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drawings/drawing1.xml" ContentType="application/vnd.openxmlformats-officedocument.drawing+xml"/>
  <Override PartName="/xl/comments1.xml" ContentType="application/vnd.openxmlformats-officedocument.spreadsheetml.comments+xml"/>
  <Override PartName="/xl/customProperty6.bin" ContentType="application/vnd.openxmlformats-officedocument.spreadsheetml.customProperty"/>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ustomProperty7.bin" ContentType="application/vnd.openxmlformats-officedocument.spreadsheetml.customProperty"/>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ustomProperty8.bin" ContentType="application/vnd.openxmlformats-officedocument.spreadsheetml.customProperty"/>
  <Override PartName="/xl/drawings/drawing4.xml" ContentType="application/vnd.openxmlformats-officedocument.drawing+xml"/>
  <Override PartName="/xl/customProperty9.bin" ContentType="application/vnd.openxmlformats-officedocument.spreadsheetml.customProperty"/>
  <Override PartName="/xl/drawings/drawing5.xml" ContentType="application/vnd.openxmlformats-officedocument.drawing+xml"/>
  <Override PartName="/xl/customProperty10.bin" ContentType="application/vnd.openxmlformats-officedocument.spreadsheetml.customProperty"/>
  <Override PartName="/xl/drawings/drawing6.xml" ContentType="application/vnd.openxmlformats-officedocument.drawing+xml"/>
  <Override PartName="/xl/customProperty11.bin" ContentType="application/vnd.openxmlformats-officedocument.spreadsheetml.customProperty"/>
  <Override PartName="/xl/drawings/drawing7.xml" ContentType="application/vnd.openxmlformats-officedocument.drawing+xml"/>
  <Override PartName="/xl/customProperty12.bin" ContentType="application/vnd.openxmlformats-officedocument.spreadsheetml.customProperty"/>
  <Override PartName="/xl/customProperty13.bin" ContentType="application/vnd.openxmlformats-officedocument.spreadsheetml.customProperty"/>
  <Override PartName="/xl/drawings/drawing8.xml" ContentType="application/vnd.openxmlformats-officedocument.drawing+xml"/>
  <Override PartName="/xl/customProperty14.bin" ContentType="application/vnd.openxmlformats-officedocument.spreadsheetml.customProperty"/>
  <Override PartName="/xl/drawings/drawing9.xml" ContentType="application/vnd.openxmlformats-officedocument.drawing+xml"/>
  <Override PartName="/xl/customProperty15.bin" ContentType="application/vnd.openxmlformats-officedocument.spreadsheetml.customProperty"/>
  <Override PartName="/xl/drawings/drawing10.xml" ContentType="application/vnd.openxmlformats-officedocument.drawing+xml"/>
  <Override PartName="/xl/customProperty16.bin" ContentType="application/vnd.openxmlformats-officedocument.spreadsheetml.customProperty"/>
  <Override PartName="/xl/drawings/drawing11.xml" ContentType="application/vnd.openxmlformats-officedocument.drawing+xml"/>
  <Override PartName="/xl/customProperty17.bin" ContentType="application/vnd.openxmlformats-officedocument.spreadsheetml.customProperty"/>
  <Override PartName="/xl/drawings/drawing12.xml" ContentType="application/vnd.openxmlformats-officedocument.drawing+xml"/>
  <Override PartName="/xl/customProperty18.bin" ContentType="application/vnd.openxmlformats-officedocument.spreadsheetml.customProperty"/>
  <Override PartName="/xl/drawings/drawing13.xml" ContentType="application/vnd.openxmlformats-officedocument.drawing+xml"/>
  <Override PartName="/xl/customProperty19.bin" ContentType="application/vnd.openxmlformats-officedocument.spreadsheetml.customProperty"/>
  <Override PartName="/xl/drawings/drawing14.xml" ContentType="application/vnd.openxmlformats-officedocument.drawing+xml"/>
  <Override PartName="/xl/customProperty20.bin" ContentType="application/vnd.openxmlformats-officedocument.spreadsheetml.customProperty"/>
  <Override PartName="/xl/customProperty21.bin" ContentType="application/vnd.openxmlformats-officedocument.spreadsheetml.customProperty"/>
  <Override PartName="/xl/customProperty22.bin" ContentType="application/vnd.openxmlformats-officedocument.spreadsheetml.customProperty"/>
  <Override PartName="/xl/customProperty23.bin" ContentType="application/vnd.openxmlformats-officedocument.spreadsheetml.customProperty"/>
  <Override PartName="/xl/customProperty24.bin" ContentType="application/vnd.openxmlformats-officedocument.spreadsheetml.customProperty"/>
  <Override PartName="/xl/drawings/drawing1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328"/>
  <workbookPr updateLinks="always" codeName="ThisWorkbook"/>
  <mc:AlternateContent xmlns:mc="http://schemas.openxmlformats.org/markup-compatibility/2006">
    <mc:Choice Requires="x15">
      <x15ac:absPath xmlns:x15ac="http://schemas.microsoft.com/office/spreadsheetml/2010/11/ac" url="\\SCA-APP01\HowNow\Data\Records\contacts\14352251\2018\"/>
    </mc:Choice>
  </mc:AlternateContent>
  <xr:revisionPtr revIDLastSave="0" documentId="13_ncr:1_{0B346086-8F9D-4602-8DB2-838991366D93}" xr6:coauthVersionLast="41" xr6:coauthVersionMax="41" xr10:uidLastSave="{00000000-0000-0000-0000-000000000000}"/>
  <bookViews>
    <workbookView xWindow="-120" yWindow="-120" windowWidth="29040" windowHeight="15840" tabRatio="874" firstSheet="4" activeTab="4" xr2:uid="{00000000-000D-0000-FFFF-FFFF00000000}"/>
  </bookViews>
  <sheets>
    <sheet name="Rep_Settings" sheetId="37" state="hidden" r:id="rId1"/>
    <sheet name="HNSW_StatusLog" sheetId="38" state="veryHidden" r:id="rId2"/>
    <sheet name="Rep_Status" sheetId="39" state="hidden" r:id="rId3"/>
    <sheet name="HNSW_ItemsCount" sheetId="50" state="veryHidden" r:id="rId4"/>
    <sheet name="Assignment To do" sheetId="52" r:id="rId5"/>
    <sheet name="Brief" sheetId="68" state="hidden" r:id="rId6"/>
    <sheet name="DeBrief" sheetId="69" state="hidden" r:id="rId7"/>
    <sheet name="Agenda &amp; Partner Points" sheetId="53" r:id="rId8"/>
    <sheet name="Pension Advice Schedule" sheetId="54" state="hidden" r:id="rId9"/>
    <sheet name="Tax Payment Sch" sheetId="55" r:id="rId10"/>
    <sheet name="Home" sheetId="7" r:id="rId11"/>
    <sheet name="HNSW_Properties" sheetId="74" state="veryHidden" r:id="rId12"/>
    <sheet name="Index" sheetId="6" r:id="rId13"/>
    <sheet name="Review Points" sheetId="57" r:id="rId14"/>
    <sheet name="Review 2" sheetId="77" r:id="rId15"/>
    <sheet name="Prov for Income Tax" sheetId="59" r:id="rId16"/>
    <sheet name="Super Contributions" sheetId="75" r:id="rId17"/>
    <sheet name="Investments" sheetId="60" r:id="rId18"/>
    <sheet name="Investment Summary" sheetId="61" r:id="rId19"/>
    <sheet name="Property CB &amp; MV" sheetId="63" r:id="rId20"/>
    <sheet name="M25 Rental Property" sheetId="71" r:id="rId21"/>
    <sheet name="N05 Fund Fees" sheetId="72" r:id="rId22"/>
    <sheet name="F05 Trade Debtors" sheetId="73" r:id="rId23"/>
    <sheet name="Rent Received" sheetId="76" r:id="rId24"/>
    <sheet name="GST Rec" sheetId="67" state="hidden" r:id="rId25"/>
  </sheets>
  <externalReferences>
    <externalReference r:id="rId26"/>
    <externalReference r:id="rId27"/>
    <externalReference r:id="rId28"/>
    <externalReference r:id="rId29"/>
  </externalReferences>
  <definedNames>
    <definedName name="AddWorkpaper">INDIRECT(_xll.CurrentCell())</definedName>
    <definedName name="BF_DocumentType" localSheetId="11">HNSW_Properties!$B$5</definedName>
    <definedName name="BF_LocalTemplateLocation" localSheetId="11">HNSW_Properties!$B$3</definedName>
    <definedName name="BF_ProductNumber" localSheetId="11">HNSW_Properties!$B$2</definedName>
    <definedName name="BF_StarterVersion" localSheetId="11">HNSW_Properties!$B$4</definedName>
    <definedName name="BF_WorkpaperId" localSheetId="11">HNSW_Properties!$B$1</definedName>
    <definedName name="Cl_ABNTFN">Home!$C$19</definedName>
    <definedName name="Cl_Code">Home!$C$17</definedName>
    <definedName name="Cl_Connected" localSheetId="7">[1]Home!$K$6</definedName>
    <definedName name="Cl_Connected" localSheetId="4">[2]Home!$K$6</definedName>
    <definedName name="Cl_Connected" localSheetId="18">[1]Home!$K$6</definedName>
    <definedName name="Cl_Connected" localSheetId="17">[1]Home!$K$6</definedName>
    <definedName name="Cl_Connected" localSheetId="8">[1]Home!$K$6</definedName>
    <definedName name="Cl_Connected" localSheetId="19">[1]Home!$K$6</definedName>
    <definedName name="Cl_Connected" localSheetId="15">[1]Home!$K$6</definedName>
    <definedName name="Cl_Connected" localSheetId="13">[1]Home!$K$6</definedName>
    <definedName name="Cl_Connected" localSheetId="9">[1]Home!$K$6</definedName>
    <definedName name="Cl_Connected">Home!$K$6</definedName>
    <definedName name="Cl_Contact">Home!$C$44</definedName>
    <definedName name="Cl_Email">Home!$G$46</definedName>
    <definedName name="Cl_EntityType">Home!$C$21</definedName>
    <definedName name="Cl_FileId" localSheetId="7">[1]Home!$C$55</definedName>
    <definedName name="Cl_FileId" localSheetId="4">[2]Home!$C$55</definedName>
    <definedName name="Cl_FileId" localSheetId="18">[1]Home!$C$55</definedName>
    <definedName name="Cl_FileId" localSheetId="17">[1]Home!$C$55</definedName>
    <definedName name="Cl_FileId" localSheetId="8">[1]Home!$C$55</definedName>
    <definedName name="Cl_FileId" localSheetId="19">[1]Home!$C$55</definedName>
    <definedName name="Cl_FileId" localSheetId="15">[1]Home!$C$55</definedName>
    <definedName name="Cl_FileId" localSheetId="13">[1]Home!$C$55</definedName>
    <definedName name="Cl_FileId" localSheetId="9">[1]Home!$C$55</definedName>
    <definedName name="Cl_FileId">Home!$C$55</definedName>
    <definedName name="Cl_FileName" localSheetId="7">[1]Home!$C$57</definedName>
    <definedName name="Cl_FileName" localSheetId="4">[2]Home!$C$57</definedName>
    <definedName name="Cl_FileName" localSheetId="18">[1]Home!$C$57</definedName>
    <definedName name="Cl_FileName" localSheetId="17">[1]Home!$C$57</definedName>
    <definedName name="Cl_FileName" localSheetId="8">[1]Home!$C$57</definedName>
    <definedName name="Cl_FileName" localSheetId="19">[1]Home!$C$57</definedName>
    <definedName name="Cl_FileName" localSheetId="15">[1]Home!$C$57</definedName>
    <definedName name="Cl_FileName" localSheetId="13">[1]Home!$C$57</definedName>
    <definedName name="Cl_FileName" localSheetId="9">[1]Home!$C$57</definedName>
    <definedName name="Cl_FileName">Home!$C$57</definedName>
    <definedName name="Cl_Member1">Home!$C$32</definedName>
    <definedName name="Cl_Member2">Home!$G$32</definedName>
    <definedName name="Cl_Member3">Home!$C$34</definedName>
    <definedName name="Cl_Member4">Home!$G$34</definedName>
    <definedName name="Cl_Member5">Home!$C$36</definedName>
    <definedName name="Cl_Member6">Home!$G$36</definedName>
    <definedName name="Cl_Member7">Home!$C$38</definedName>
    <definedName name="Cl_Member8">Home!$G$38</definedName>
    <definedName name="Cl_Name">Home!$C$15</definedName>
    <definedName name="Cl_Phone">Home!$C$46</definedName>
    <definedName name="Cl_Software">Home!$C$51</definedName>
    <definedName name="Cl_SoftwareComparatives">Home!$C$59</definedName>
    <definedName name="Cl_SoftwarePassword">Home!$G$53</definedName>
    <definedName name="Cl_SoftwareUsername">Home!$C$53</definedName>
    <definedName name="Cl_SoftwareVariance">Home!$G$59</definedName>
    <definedName name="DeleteWorkpaper">INDIRECT(_xll.CurrentCell())</definedName>
    <definedName name="DynamicCB_01" localSheetId="20">'M25 Rental Property'!$F$26:$F$28</definedName>
    <definedName name="DynamicCB_02" localSheetId="20">'M25 Rental Property'!$F$31:$F$50</definedName>
    <definedName name="DynamicCB_03" localSheetId="20">'M25 Rental Property'!$F$54</definedName>
    <definedName name="DynamicCB_04" localSheetId="20">'M25 Rental Property'!$J$26:$J$28</definedName>
    <definedName name="DynamicCB_05" localSheetId="20">'M25 Rental Property'!$J$31:$J$50</definedName>
    <definedName name="DynamicCB_06" localSheetId="20">'M25 Rental Property'!$J$54</definedName>
    <definedName name="DynamicCB_07" localSheetId="20">'M25 Rental Property'!$N$26:$N$28</definedName>
    <definedName name="DynamicCB_08" localSheetId="20">'M25 Rental Property'!$N$31:$N$50</definedName>
    <definedName name="DynamicCB_09" localSheetId="20">'M25 Rental Property'!$N$54</definedName>
    <definedName name="DynamicList_01" localSheetId="20">'M25 Rental Property'!$C$65:$E$67</definedName>
    <definedName name="DynamicList_02" localSheetId="20">'M25 Rental Property'!$G$64:$G$67</definedName>
    <definedName name="DynamicList_03" localSheetId="20">'M25 Rental Property'!$C$137:$E$139</definedName>
    <definedName name="DynamicList_04" localSheetId="20">'M25 Rental Property'!$G$136:$G$139</definedName>
    <definedName name="DynamicList_05" localSheetId="20">'M25 Rental Property'!$C$210:$E$212</definedName>
    <definedName name="DynamicList_06" localSheetId="20">'M25 Rental Property'!$G$209:$G$212</definedName>
    <definedName name="DynamicList_07" localSheetId="20">'M25 Rental Property'!$F$59</definedName>
    <definedName name="DynamicList_08" localSheetId="20">'M25 Rental Property'!$F$131</definedName>
    <definedName name="DynamicList_09" localSheetId="20">'M25 Rental Property'!$F$204</definedName>
    <definedName name="DynamicList_10" localSheetId="20">'M25 Rental Property'!$E$73:$E$74</definedName>
    <definedName name="DynamicList_12" localSheetId="20">'M25 Rental Property'!$E$145:$E$146</definedName>
    <definedName name="DynamicList_13" localSheetId="20">'M25 Rental Property'!$E$218:$E$219</definedName>
    <definedName name="DynamicOB_01" localSheetId="20">'M25 Rental Property'!$I$26:$I$28</definedName>
    <definedName name="DynamicOB_02" localSheetId="20">'M25 Rental Property'!$I$31:$I$50</definedName>
    <definedName name="DynamicOB_03" localSheetId="20">'M25 Rental Property'!$I$54</definedName>
    <definedName name="DynamicOB_04" localSheetId="20">'M25 Rental Property'!$M$26:$M$28</definedName>
    <definedName name="DynamicOB_05" localSheetId="20">'M25 Rental Property'!$M$31:$M$50</definedName>
    <definedName name="DynamicOB_06" localSheetId="20">'M25 Rental Property'!$M$54</definedName>
    <definedName name="DynamicOB_07" localSheetId="20">'M25 Rental Property'!$Q$26:$Q$28</definedName>
    <definedName name="DynamicOB_08" localSheetId="20">'M25 Rental Property'!$Q$31:$Q$50</definedName>
    <definedName name="DynamicOB_09" localSheetId="20">'M25 Rental Property'!$Q$54</definedName>
    <definedName name="Firm_Name">Home!$C$64</definedName>
    <definedName name="Firm_Partner">Home!$C$66</definedName>
    <definedName name="Firm_PartnerId">Home!$K$66</definedName>
    <definedName name="Firm_Preparer">Home!$C$68</definedName>
    <definedName name="Firm_PreparerDate">Home!$G$68</definedName>
    <definedName name="Firm_PreparerId">Home!$K$68</definedName>
    <definedName name="Firm_Reviewer">Home!$C$70</definedName>
    <definedName name="Firm_ReviewerDate">Home!$G$70</definedName>
    <definedName name="Firm_ReviewerId">Home!$K$70</definedName>
    <definedName name="FlaggedItems" localSheetId="7">[1]Index!$AM$9</definedName>
    <definedName name="FlaggedItems" localSheetId="4">[2]Index!$AM$9</definedName>
    <definedName name="FlaggedItems" localSheetId="18">[1]Index!$AM$9</definedName>
    <definedName name="FlaggedItems" localSheetId="17">[1]Index!$AM$9</definedName>
    <definedName name="FlaggedItems" localSheetId="8">[1]Index!$AM$9</definedName>
    <definedName name="FlaggedItems" localSheetId="19">[1]Index!$AM$9</definedName>
    <definedName name="FlaggedItems" localSheetId="15">[1]Index!$AM$9</definedName>
    <definedName name="FlaggedItems" localSheetId="13">[1]Index!$AM$9</definedName>
    <definedName name="FlaggedItems" localSheetId="9">[1]Index!$AM$9</definedName>
    <definedName name="FlaggedItems">Index!$AM$9</definedName>
    <definedName name="Go_AddWorkpaper">INDIRECT(_xll.CurrentCell())</definedName>
    <definedName name="Go_Chat">INDIRECT(_xll.CurrentCell())</definedName>
    <definedName name="Go_CollapseAll">Index!$N$28</definedName>
    <definedName name="Go_ConfigureFileSource">Home!$B$8</definedName>
    <definedName name="Go_DeleteWorkpaper">INDIRECT(_xll.CurrentCell())</definedName>
    <definedName name="Go_ExpandAll">Index!$M$28</definedName>
    <definedName name="Go_ExpandCollapse">INDIRECT(_xll.CurrentCell())</definedName>
    <definedName name="Go_FollowHyperlink">INDIRECT(_xll.CurrentCell())</definedName>
    <definedName name="Go_Help">Index!$AM$5</definedName>
    <definedName name="Go_Index" localSheetId="22">INDIRECT(_xll.CurrentCell())</definedName>
    <definedName name="Go_Index" localSheetId="20">INDIRECT(_xll.CurrentCell())</definedName>
    <definedName name="Go_Index" localSheetId="21">INDIRECT(_xll.CurrentCell())</definedName>
    <definedName name="Go_Index" localSheetId="23">INDIRECT(_xll.CurrentCell())</definedName>
    <definedName name="Go_Index" localSheetId="16">INDIRECT(_xll.CurrentCell())</definedName>
    <definedName name="Go_Index">INDIRECT(_xll.CurrentCell())</definedName>
    <definedName name="Go_ManageItems" localSheetId="12">INDIRECT(_xll.CurrentCell())</definedName>
    <definedName name="Go_OpeningBalance">Index!$AI$5</definedName>
    <definedName name="Go_RefreshTrialBalance">Index!$AK$5</definedName>
    <definedName name="Go_RollUp" localSheetId="22">INDIRECT(_xll.CurrentCell())</definedName>
    <definedName name="Go_RollUp" localSheetId="10">Home!$F$8</definedName>
    <definedName name="Go_RollUp" localSheetId="20">INDIRECT(_xll.CurrentCell())</definedName>
    <definedName name="Go_RollUp" localSheetId="21">INDIRECT(_xll.CurrentCell())</definedName>
    <definedName name="Go_SelectUser_Partner">Home!$H$66</definedName>
    <definedName name="Go_SelectUser_Preparer">Home!$E$68</definedName>
    <definedName name="Go_SelectUser_Reviewer">Home!$E$70</definedName>
    <definedName name="Go_StatusLog">INDIRECT(_xll.CurrentCell())</definedName>
    <definedName name="Go_TickBox">INDIRECT(_xll.CurrentCell())</definedName>
    <definedName name="Go_Toggle_O_P">INDIRECT(_xll.CurrentCell())</definedName>
    <definedName name="IssueTypes" localSheetId="7">[1]Index!$AI$9</definedName>
    <definedName name="IssueTypes" localSheetId="4">[2]Index!$AI$9</definedName>
    <definedName name="IssueTypes" localSheetId="18">[1]Index!$AI$9</definedName>
    <definedName name="IssueTypes" localSheetId="17">[1]Index!$AI$9</definedName>
    <definedName name="IssueTypes" localSheetId="8">[1]Index!$AI$9</definedName>
    <definedName name="IssueTypes" localSheetId="19">[1]Index!$AI$9</definedName>
    <definedName name="IssueTypes" localSheetId="15">[1]Index!$AI$9</definedName>
    <definedName name="IssueTypes" localSheetId="13">[1]Index!$AI$9</definedName>
    <definedName name="IssueTypes" localSheetId="9">[1]Index!$AI$9</definedName>
    <definedName name="IssueTypes">Index!$AI$9</definedName>
    <definedName name="M25_Advertising" localSheetId="20">'M25 Rental Property'!$R$31</definedName>
    <definedName name="M25_Advertising_1" localSheetId="20">'M25 Rental Property'!$S$31</definedName>
    <definedName name="M25_Advertising_2" localSheetId="20">'M25 Rental Property'!$T$31</definedName>
    <definedName name="M25_Advertising_3" localSheetId="20">'M25 Rental Property'!$U$31</definedName>
    <definedName name="M25_AgentFees" localSheetId="20">'M25 Rental Property'!$R$44</definedName>
    <definedName name="M25_AgentFees_1" localSheetId="20">'M25 Rental Property'!$S$44</definedName>
    <definedName name="M25_AgentFees_2" localSheetId="20">'M25 Rental Property'!$T$44</definedName>
    <definedName name="M25_AgentFees_3" localSheetId="20">'M25 Rental Property'!$U$44</definedName>
    <definedName name="M25_BankCharges" localSheetId="20">'M25 Rental Property'!$R$32</definedName>
    <definedName name="M25_BankCharges_1" localSheetId="20">'M25 Rental Property'!$S$32</definedName>
    <definedName name="M25_BankCharges_2" localSheetId="20">'M25 Rental Property'!$T$32</definedName>
    <definedName name="M25_BankCharges_3" localSheetId="20">'M25 Rental Property'!$U$32</definedName>
    <definedName name="M25_BodyCorp_1" localSheetId="20">'M25 Rental Property'!$S$33</definedName>
    <definedName name="M25_BodyCorp_2" localSheetId="20">'M25 Rental Property'!$T$33</definedName>
    <definedName name="M25_BodyCorp_3" localSheetId="20">'M25 Rental Property'!$U$33</definedName>
    <definedName name="M25_BodyCorpTotal" localSheetId="20">'M25 Rental Property'!$R$33</definedName>
    <definedName name="M25_BorrowingExp" localSheetId="20">'M25 Rental Property'!$R$34</definedName>
    <definedName name="M25_BorrowingExp_1" localSheetId="20">'M25 Rental Property'!$S$34</definedName>
    <definedName name="M25_BorrowingExp_2" localSheetId="20">'M25 Rental Property'!$T$34</definedName>
    <definedName name="M25_BorrowingExp_3" localSheetId="20">'M25 Rental Property'!$U$34</definedName>
    <definedName name="M25_CapWorks" localSheetId="20">'M25 Rental Property'!$R$46</definedName>
    <definedName name="M25_CapWorks_1" localSheetId="20">'M25 Rental Property'!$S$46</definedName>
    <definedName name="M25_CapWorks_2" localSheetId="20">'M25 Rental Property'!$T$46</definedName>
    <definedName name="M25_CapWorks_3" localSheetId="20">'M25 Rental Property'!$U$46</definedName>
    <definedName name="M25_Cleaning_1" localSheetId="20">'M25 Rental Property'!$S$35</definedName>
    <definedName name="M25_Cleaning_2" localSheetId="20">'M25 Rental Property'!$T$35</definedName>
    <definedName name="M25_Cleaning_3" localSheetId="20">'M25 Rental Property'!$U$35</definedName>
    <definedName name="M25_CleaningTotal" localSheetId="20">'M25 Rental Property'!$R$35</definedName>
    <definedName name="M25_ClientRentProp1" localSheetId="20">'M25 Rental Property'!$T$29</definedName>
    <definedName name="M25_Depreciation" localSheetId="20">'M25 Rental Property'!$R$37</definedName>
    <definedName name="M25_Depreciation_1" localSheetId="20">'M25 Rental Property'!$S$37</definedName>
    <definedName name="M25_Depreciation_2" localSheetId="20">'M25 Rental Property'!$T$37</definedName>
    <definedName name="M25_Depreciation_3" localSheetId="20">'M25 Rental Property'!$U$37</definedName>
    <definedName name="M25_Gardening" localSheetId="20">'M25 Rental Property'!$R$38</definedName>
    <definedName name="M25_Gardening_1" localSheetId="20">'M25 Rental Property'!$S$38</definedName>
    <definedName name="M25_Gardening_2" localSheetId="20">'M25 Rental Property'!$T$38</definedName>
    <definedName name="M25_Gardening_3" localSheetId="20">'M25 Rental Property'!$U$38</definedName>
    <definedName name="M25_GrossRentAgent" localSheetId="20">'M25 Rental Property'!$R$26</definedName>
    <definedName name="M25_GrossRentAgent_1" localSheetId="20">'M25 Rental Property'!$S$26</definedName>
    <definedName name="M25_GrossRentAgent_2" localSheetId="20">'M25 Rental Property'!$T$26</definedName>
    <definedName name="M25_GrossRentAgent_3" localSheetId="20">'M25 Rental Property'!$U$26</definedName>
    <definedName name="M25_GrossRentDirect" localSheetId="20">'M25 Rental Property'!$R$27</definedName>
    <definedName name="M25_GrossRentDirect_1" localSheetId="20">'M25 Rental Property'!$S$27</definedName>
    <definedName name="M25_GrossRentDirect_2" localSheetId="20">'M25 Rental Property'!$T$27</definedName>
    <definedName name="M25_GrossRentDirect_3" localSheetId="20">'M25 Rental Property'!$U$27</definedName>
    <definedName name="M25_Insurance" localSheetId="20">'M25 Rental Property'!$R$39</definedName>
    <definedName name="M25_Insurance_1" localSheetId="20">'M25 Rental Property'!$S$39</definedName>
    <definedName name="M25_Insurance_2" localSheetId="20">'M25 Rental Property'!$T$39</definedName>
    <definedName name="M25_Insurance_3" localSheetId="20">'M25 Rental Property'!$U$39</definedName>
    <definedName name="M25_Interest" localSheetId="20">'M25 Rental Property'!$R$40</definedName>
    <definedName name="M25_Interest_1" localSheetId="20">'M25 Rental Property'!$S$40</definedName>
    <definedName name="M25_Interest_2" localSheetId="20">'M25 Rental Property'!$T$40</definedName>
    <definedName name="M25_Interest_3" localSheetId="20">'M25 Rental Property'!$U$40</definedName>
    <definedName name="M25_LandTax" localSheetId="20">'M25 Rental Property'!$R$41</definedName>
    <definedName name="M25_LandTax_1" localSheetId="20">'M25 Rental Property'!$S$41</definedName>
    <definedName name="M25_LandTax_2" localSheetId="20">'M25 Rental Property'!$T$41</definedName>
    <definedName name="M25_LandTax_3" localSheetId="20">'M25 Rental Property'!$U$41</definedName>
    <definedName name="M25_Legal" localSheetId="20">'M25 Rental Property'!$R$42</definedName>
    <definedName name="M25_Legal_1" localSheetId="20">'M25 Rental Property'!$S$42</definedName>
    <definedName name="M25_Legal_2" localSheetId="20">'M25 Rental Property'!$T$42</definedName>
    <definedName name="M25_Legal_3" localSheetId="20">'M25 Rental Property'!$U$42</definedName>
    <definedName name="M25_OtherInc_1" localSheetId="20">'M25 Rental Property'!$S$28</definedName>
    <definedName name="M25_OtherInc_2" localSheetId="20">'M25 Rental Property'!$T$28</definedName>
    <definedName name="M25_OtherInc_3" localSheetId="20">'M25 Rental Property'!$U$28</definedName>
    <definedName name="M25_OtherIncTotal" localSheetId="20">'M25 Rental Property'!$R$28</definedName>
    <definedName name="M25_PestControl" localSheetId="20">'M25 Rental Property'!$R$43</definedName>
    <definedName name="M25_PestControl_1" localSheetId="20">'M25 Rental Property'!$S$43</definedName>
    <definedName name="M25_PestControl_2" localSheetId="20">'M25 Rental Property'!$T$43</definedName>
    <definedName name="M25_PestControl_3" localSheetId="20">'M25 Rental Property'!$U$43</definedName>
    <definedName name="M25_Rates" localSheetId="20">'M25 Rental Property'!$R$36</definedName>
    <definedName name="M25_Rates_1" localSheetId="20">'M25 Rental Property'!$S$36</definedName>
    <definedName name="M25_Rates_2" localSheetId="20">'M25 Rental Property'!$T$36</definedName>
    <definedName name="M25_Rates_3" localSheetId="20">'M25 Rental Property'!$U$36</definedName>
    <definedName name="M25_RM" localSheetId="20">'M25 Rental Property'!$R$45</definedName>
    <definedName name="M25_RM_1" localSheetId="20">'M25 Rental Property'!$S$45</definedName>
    <definedName name="M25_RM_2" localSheetId="20">'M25 Rental Property'!$T$45</definedName>
    <definedName name="M25_RM_3" localSheetId="20">'M25 Rental Property'!$U$45</definedName>
    <definedName name="M25_Stationery" localSheetId="20">'M25 Rental Property'!$R$47</definedName>
    <definedName name="M25_Stationery_1" localSheetId="20">'M25 Rental Property'!$S$47</definedName>
    <definedName name="M25_Stationery_2" localSheetId="20">'M25 Rental Property'!$T$47</definedName>
    <definedName name="M25_Stationery_3" localSheetId="20">'M25 Rental Property'!$U$47</definedName>
    <definedName name="M25_Sundry" localSheetId="20">'M25 Rental Property'!$R$50</definedName>
    <definedName name="M25_Sundry_1" localSheetId="20">'M25 Rental Property'!$S$50</definedName>
    <definedName name="M25_Sundry_2" localSheetId="20">'M25 Rental Property'!$T$50</definedName>
    <definedName name="M25_Sundry_3" localSheetId="20">'M25 Rental Property'!$U$50</definedName>
    <definedName name="M25_TaxpayerExp" localSheetId="20">'M25 Rental Property'!$R$54</definedName>
    <definedName name="M25_TaxpayerExp_3" localSheetId="20">'M25 Rental Property'!$U$54</definedName>
    <definedName name="M25_Travel" localSheetId="20">'M25 Rental Property'!$R$48</definedName>
    <definedName name="M25_Travel_1" localSheetId="20">'M25 Rental Property'!$S$48</definedName>
    <definedName name="M25_Travel_2" localSheetId="20">'M25 Rental Property'!$T$48</definedName>
    <definedName name="M25_Travel_3" localSheetId="20">'M25 Rental Property'!$U$48</definedName>
    <definedName name="M25_Water" localSheetId="20">'M25 Rental Property'!$R$49</definedName>
    <definedName name="M25_Water_1" localSheetId="20">'M25 Rental Property'!$S$49</definedName>
    <definedName name="M25_Water_2" localSheetId="20">'M25 Rental Property'!$T$49</definedName>
    <definedName name="M25_Water_3" localSheetId="20">'M25 Rental Property'!$U$49</definedName>
    <definedName name="Model_Rental.Address" localSheetId="20">'M25 Rental Property'!$E$73</definedName>
    <definedName name="Model_Rental.Advertising" localSheetId="20">'M25 Rental Property'!$P$103</definedName>
    <definedName name="Model_Rental.BankCharges" localSheetId="20">'M25 Rental Property'!$P$104</definedName>
    <definedName name="Model_Rental.BodyCorporate" localSheetId="20">'M25 Rental Property'!$P$105</definedName>
    <definedName name="Model_Rental.BorrowingExpenses" localSheetId="20">'M25 Rental Property'!$P$106</definedName>
    <definedName name="Model_Rental.CapitalWorks" localSheetId="20">'M25 Rental Property'!$P$120</definedName>
    <definedName name="Model_Rental.Cleaning" localSheetId="20">'M25 Rental Property'!$P$107</definedName>
    <definedName name="Model_Rental.DateFirstRented" localSheetId="20">'M25 Rental Property'!$E$74</definedName>
    <definedName name="Model_Rental.Depreciation" localSheetId="20">'M25 Rental Property'!$P$109</definedName>
    <definedName name="Model_Rental.Distribution" localSheetId="20">'M25 Rental Property'!$G$64</definedName>
    <definedName name="Model_Rental.Gardening" localSheetId="20">'M25 Rental Property'!$P$110</definedName>
    <definedName name="Model_Rental.GrossRent" localSheetId="20">'M25 Rental Property'!$P$100</definedName>
    <definedName name="Model_Rental.Insurance" localSheetId="20">'M25 Rental Property'!$P$111</definedName>
    <definedName name="Model_Rental.Interest" localSheetId="20">'M25 Rental Property'!$P$112</definedName>
    <definedName name="Model_Rental.LandTax" localSheetId="20">'M25 Rental Property'!$P$113</definedName>
    <definedName name="Model_Rental.Legal" localSheetId="20">'M25 Rental Property'!$P$114</definedName>
    <definedName name="Model_Rental.NumberOfWeeksRented" localSheetId="20">'M25 Rental Property'!$E$75</definedName>
    <definedName name="Model_Rental.OtherIncome" localSheetId="20">'M25 Rental Property'!$P$101</definedName>
    <definedName name="Model_Rental.PestControl" localSheetId="20">'M25 Rental Property'!$P$115</definedName>
    <definedName name="Model_Rental.PropertyAgent" localSheetId="20">'M25 Rental Property'!$P$116</definedName>
    <definedName name="Model_Rental.PropertyName" localSheetId="20">'M25 Rental Property'!$F$59</definedName>
    <definedName name="Model_Rental.Rates" localSheetId="20">'M25 Rental Property'!$P$108</definedName>
    <definedName name="Model_Rental.Repairs" localSheetId="20">'M25 Rental Property'!$P$117</definedName>
    <definedName name="Model_Rental.Sundry" localSheetId="20">'M25 Rental Property'!$P$124</definedName>
    <definedName name="Model_Rental.Travel" localSheetId="20">'M25 Rental Property'!$P$122</definedName>
    <definedName name="Model_Rental.WaterCharges" localSheetId="20">'M25 Rental Property'!$P$123</definedName>
    <definedName name="N5_Accountancy" localSheetId="21">'N05 Fund Fees'!$D$80</definedName>
    <definedName name="N5_Audit" localSheetId="21">'N05 Fund Fees'!$D$43</definedName>
    <definedName name="Options_Tolerance" localSheetId="7">[1]Home!$C$75</definedName>
    <definedName name="Options_Tolerance" localSheetId="4">[2]Home!$C$75</definedName>
    <definedName name="Options_Tolerance" localSheetId="18">[1]Home!$C$75</definedName>
    <definedName name="Options_Tolerance" localSheetId="17">[1]Home!$C$75</definedName>
    <definedName name="Options_Tolerance" localSheetId="8">[1]Home!$C$75</definedName>
    <definedName name="Options_Tolerance" localSheetId="19">[1]Home!$C$75</definedName>
    <definedName name="Options_Tolerance" localSheetId="15">[1]Home!$C$75</definedName>
    <definedName name="Options_Tolerance" localSheetId="13">[1]Home!$C$75</definedName>
    <definedName name="Options_Tolerance" localSheetId="9">[1]Home!$C$75</definedName>
    <definedName name="Options_Tolerance">Home!$C$75</definedName>
    <definedName name="PeriodEndDate" localSheetId="7">[1]Home!$G$23</definedName>
    <definedName name="PeriodEndDate" localSheetId="4">[2]Home!$G$23</definedName>
    <definedName name="PeriodEndDate" localSheetId="18">[1]Home!$G$23</definedName>
    <definedName name="PeriodEndDate" localSheetId="17">[1]Home!$G$23</definedName>
    <definedName name="PeriodEndDate" localSheetId="8">[1]Home!$G$23</definedName>
    <definedName name="PeriodEndDate" localSheetId="19">[1]Home!$G$23</definedName>
    <definedName name="PeriodEndDate" localSheetId="15">[1]Home!$G$23</definedName>
    <definedName name="PeriodEndDate" localSheetId="13">[1]Home!$G$23</definedName>
    <definedName name="PeriodEndDate" localSheetId="9">[1]Home!$G$23</definedName>
    <definedName name="PeriodEndDate">Home!$G$23</definedName>
    <definedName name="PeriodStartDate">Home!$C$23</definedName>
    <definedName name="_xlnm.Print_Area" localSheetId="7">'Agenda &amp; Partner Points'!$A$1:$F$52</definedName>
    <definedName name="_xlnm.Print_Area" localSheetId="4">'Assignment To do'!$A$1:$I$99</definedName>
    <definedName name="_xlnm.Print_Area" localSheetId="22">'F05 Trade Debtors'!$A:$I</definedName>
    <definedName name="_xlnm.Print_Area" localSheetId="17">Investments!$A$1:$Q$67</definedName>
    <definedName name="_xlnm.Print_Area" localSheetId="20">'M25 Rental Property'!$A:$V</definedName>
    <definedName name="_xlnm.Print_Area" localSheetId="21">'N05 Fund Fees'!$B:$J</definedName>
    <definedName name="_xlnm.Print_Area" localSheetId="8">'Pension Advice Schedule'!$A$14:$H$77</definedName>
    <definedName name="_xlnm.Print_Area" localSheetId="23">'Rent Received'!$B:$I</definedName>
    <definedName name="_xlnm.Print_Area" localSheetId="13">'Review Points'!$A$1:$M$43</definedName>
    <definedName name="_xlnm.Print_Area" localSheetId="16">'Super Contributions'!$B:$I</definedName>
    <definedName name="_xlnm.Print_Area" localSheetId="9">'Tax Payment Sch'!$B$3:$E$41</definedName>
    <definedName name="_xlnm.Print_Titles" localSheetId="17">Investments!$1:$14</definedName>
    <definedName name="Setting_CompareDataSetId">Rep_Settings!$B$7</definedName>
    <definedName name="Setting_CompareEntityId">Rep_Settings!$B$6</definedName>
    <definedName name="Setting_DataSetId">Rep_Settings!$B$5</definedName>
    <definedName name="Setting_EntityId">Rep_Settings!$B$4</definedName>
    <definedName name="Setting_FileConnectionString">Rep_Settings!$B$3</definedName>
    <definedName name="Setting_ShowSubTotals">Rep_Settings!$B$8</definedName>
    <definedName name="Setting_ShowVariance">Rep_Settings!$B$9</definedName>
    <definedName name="Settings_Version">Rep_Settings!$B$2</definedName>
    <definedName name="ShowAlert" localSheetId="7">[1]Index!$AJ$9</definedName>
    <definedName name="ShowAlert" localSheetId="4">[2]Index!$AJ$9</definedName>
    <definedName name="ShowAlert" localSheetId="18">[1]Index!$AJ$9</definedName>
    <definedName name="ShowAlert" localSheetId="17">[1]Index!$AJ$9</definedName>
    <definedName name="ShowAlert" localSheetId="8">[1]Index!$AJ$9</definedName>
    <definedName name="ShowAlert" localSheetId="19">[1]Index!$AJ$9</definedName>
    <definedName name="ShowAlert" localSheetId="15">[1]Index!$AJ$9</definedName>
    <definedName name="ShowAlert" localSheetId="13">[1]Index!$AJ$9</definedName>
    <definedName name="ShowAlert" localSheetId="9">[1]Index!$AJ$9</definedName>
    <definedName name="ShowAlert">Index!$AJ$9</definedName>
    <definedName name="StatusBlank" localSheetId="7">[1]Rep_Status!$A$2</definedName>
    <definedName name="StatusBlank" localSheetId="4">[2]Rep_Status!$A$2</definedName>
    <definedName name="StatusBlank" localSheetId="18">[1]Rep_Status!$A$2</definedName>
    <definedName name="StatusBlank" localSheetId="17">[1]Rep_Status!$A$2</definedName>
    <definedName name="StatusBlank" localSheetId="8">[1]Rep_Status!$A$2</definedName>
    <definedName name="StatusBlank" localSheetId="19">[1]Rep_Status!$A$2</definedName>
    <definedName name="StatusBlank" localSheetId="15">[1]Rep_Status!$A$2</definedName>
    <definedName name="StatusBlank" localSheetId="13">[1]Rep_Status!$A$2</definedName>
    <definedName name="StatusBlank" localSheetId="9">[1]Rep_Status!$A$2</definedName>
    <definedName name="StatusBlank">Rep_Status!$A$2</definedName>
    <definedName name="StatusDescriptions" localSheetId="7">[1]Rep_Status!$A$2:$A$10</definedName>
    <definedName name="StatusDescriptions" localSheetId="4">[2]Rep_Status!$A$2:$A$10</definedName>
    <definedName name="StatusDescriptions" localSheetId="18">[1]Rep_Status!$A$2:$A$10</definedName>
    <definedName name="StatusDescriptions" localSheetId="17">[1]Rep_Status!$A$2:$A$10</definedName>
    <definedName name="StatusDescriptions" localSheetId="8">[1]Rep_Status!$A$2:$A$10</definedName>
    <definedName name="StatusDescriptions" localSheetId="19">[1]Rep_Status!$A$2:$A$10</definedName>
    <definedName name="StatusDescriptions" localSheetId="15">[1]Rep_Status!$A$2:$A$10</definedName>
    <definedName name="StatusDescriptions" localSheetId="13">[1]Rep_Status!$A$2:$A$10</definedName>
    <definedName name="StatusDescriptions" localSheetId="9">[1]Rep_Status!$A$2:$A$10</definedName>
    <definedName name="StatusDescriptions">Rep_Status!$A$2:$A$10</definedName>
    <definedName name="StatusDescriptionsOrder" localSheetId="7">[1]Rep_Status!$A$2:$B$10</definedName>
    <definedName name="StatusDescriptionsOrder" localSheetId="4">[2]Rep_Status!$A$2:$B$10</definedName>
    <definedName name="StatusDescriptionsOrder" localSheetId="18">[1]Rep_Status!$A$2:$B$10</definedName>
    <definedName name="StatusDescriptionsOrder" localSheetId="17">[1]Rep_Status!$A$2:$B$10</definedName>
    <definedName name="StatusDescriptionsOrder" localSheetId="8">[1]Rep_Status!$A$2:$B$10</definedName>
    <definedName name="StatusDescriptionsOrder" localSheetId="19">[1]Rep_Status!$A$2:$B$10</definedName>
    <definedName name="StatusDescriptionsOrder" localSheetId="15">[1]Rep_Status!$A$2:$B$10</definedName>
    <definedName name="StatusDescriptionsOrder" localSheetId="13">[1]Rep_Status!$A$2:$B$10</definedName>
    <definedName name="StatusDescriptionsOrder" localSheetId="9">[1]Rep_Status!$A$2:$B$10</definedName>
    <definedName name="StatusDescriptionsOrder">Rep_Status!$A$2:$B$10</definedName>
    <definedName name="Tax_AccountingMethod">Home!$G$27</definedName>
    <definedName name="Tax_SmallBusinessEntity">Home!$C$27</definedName>
    <definedName name="Tax_Year">Home!$C$25</definedName>
    <definedName name="TB_SortOrders" localSheetId="7">INDEX('Agenda &amp; Partner Points'!TrialBalanceExact,0,1)</definedName>
    <definedName name="TB_SortOrders" localSheetId="4">INDEX('Assignment To do'!TrialBalanceExact,0,1)</definedName>
    <definedName name="TB_SortOrders" localSheetId="18">INDEX('Investment Summary'!TrialBalanceExact,0,1)</definedName>
    <definedName name="TB_SortOrders" localSheetId="17">INDEX(Investments!TrialBalanceExact,0,1)</definedName>
    <definedName name="TB_SortOrders" localSheetId="8">INDEX('Pension Advice Schedule'!TrialBalanceExact,0,1)</definedName>
    <definedName name="TB_SortOrders" localSheetId="19">INDEX('Property CB &amp; MV'!TrialBalanceExact,0,1)</definedName>
    <definedName name="TB_SortOrders" localSheetId="15">INDEX('Prov for Income Tax'!TrialBalanceExact,0,1)</definedName>
    <definedName name="TB_SortOrders" localSheetId="13">INDEX('Review Points'!TrialBalanceExact,0,1)</definedName>
    <definedName name="TB_SortOrders" localSheetId="9">INDEX('Tax Payment Sch'!TrialBalanceExact,0,1)</definedName>
    <definedName name="TB_SortOrders">INDEX(TrialBalanceExact,0,1)</definedName>
    <definedName name="TB_StatusOrders" localSheetId="7">INDEX('Agenda &amp; Partner Points'!TrialBalanceExact,0,MATCH("StatusOrder",[1]Index!$1:$1,0)-COLUMN('Agenda &amp; Partner Points'!TrialBalanceExact)+1)</definedName>
    <definedName name="TB_StatusOrders" localSheetId="4">INDEX('Assignment To do'!TrialBalanceExact,0,MATCH("StatusOrder",[2]Index!$1:$1,0)-COLUMN('Assignment To do'!TrialBalanceExact)+1)</definedName>
    <definedName name="TB_StatusOrders" localSheetId="18">INDEX('Investment Summary'!TrialBalanceExact,0,MATCH("StatusOrder",[1]Index!$1:$1,0)-COLUMN('Investment Summary'!TrialBalanceExact)+1)</definedName>
    <definedName name="TB_StatusOrders" localSheetId="17">INDEX(Investments!TrialBalanceExact,0,MATCH("StatusOrder",[1]Index!$1:$1,0)-COLUMN(Investments!TrialBalanceExact)+1)</definedName>
    <definedName name="TB_StatusOrders" localSheetId="8">INDEX('Pension Advice Schedule'!TrialBalanceExact,0,MATCH("StatusOrder",[1]Index!$1:$1,0)-COLUMN('Pension Advice Schedule'!TrialBalanceExact)+1)</definedName>
    <definedName name="TB_StatusOrders" localSheetId="19">INDEX('Property CB &amp; MV'!TrialBalanceExact,0,MATCH("StatusOrder",[1]Index!$1:$1,0)-COLUMN('Property CB &amp; MV'!TrialBalanceExact)+1)</definedName>
    <definedName name="TB_StatusOrders" localSheetId="15">INDEX('Prov for Income Tax'!TrialBalanceExact,0,MATCH("StatusOrder",[1]Index!$1:$1,0)-COLUMN('Prov for Income Tax'!TrialBalanceExact)+1)</definedName>
    <definedName name="TB_StatusOrders" localSheetId="13">INDEX('Review Points'!TrialBalanceExact,0,MATCH("StatusOrder",[1]Index!$1:$1,0)-COLUMN('Review Points'!TrialBalanceExact)+1)</definedName>
    <definedName name="TB_StatusOrders" localSheetId="9">INDEX('Tax Payment Sch'!TrialBalanceExact,0,MATCH("StatusOrder",[1]Index!$1:$1,0)-COLUMN('Tax Payment Sch'!TrialBalanceExact)+1)</definedName>
    <definedName name="TB_StatusOrders">INDEX(TrialBalanceExact,0,MATCH("StatusOrder",Index!$1:$1,0)-COLUMN(TrialBalanceExact)+1)</definedName>
    <definedName name="TB_WPTags" comment="A list of workpapers identified by their sort order and 'level' of 100, for use in Excel function that look at whether or not a workpaper belongs to the current accounts SortOrder" localSheetId="7">INDEX('Agenda &amp; Partner Points'!TrialBalanceExact,0,MATCH("WPTag",[1]Index!$1:$1,0)-COLUMN('Agenda &amp; Partner Points'!TrialBalanceExact)+1)</definedName>
    <definedName name="TB_WPTags" comment="A list of workpapers identified by their sort order and 'level' of 100, for use in Excel function that look at whether or not a workpaper belongs to the current accounts SortOrder" localSheetId="4">INDEX('Assignment To do'!TrialBalanceExact,0,MATCH("WPTag",[2]Index!$1:$1,0)-COLUMN('Assignment To do'!TrialBalanceExact)+1)</definedName>
    <definedName name="TB_WPTags" comment="A list of workpapers identified by their sort order and 'level' of 100, for use in Excel function that look at whether or not a workpaper belongs to the current accounts SortOrder" localSheetId="18">INDEX('Investment Summary'!TrialBalanceExact,0,MATCH("WPTag",[1]Index!$1:$1,0)-COLUMN('Investment Summary'!TrialBalanceExact)+1)</definedName>
    <definedName name="TB_WPTags" comment="A list of workpapers identified by their sort order and 'level' of 100, for use in Excel function that look at whether or not a workpaper belongs to the current accounts SortOrder" localSheetId="17">INDEX(Investments!TrialBalanceExact,0,MATCH("WPTag",[1]Index!$1:$1,0)-COLUMN(Investments!TrialBalanceExact)+1)</definedName>
    <definedName name="TB_WPTags" comment="A list of workpapers identified by their sort order and 'level' of 100, for use in Excel function that look at whether or not a workpaper belongs to the current accounts SortOrder" localSheetId="8">INDEX('Pension Advice Schedule'!TrialBalanceExact,0,MATCH("WPTag",[1]Index!$1:$1,0)-COLUMN('Pension Advice Schedule'!TrialBalanceExact)+1)</definedName>
    <definedName name="TB_WPTags" comment="A list of workpapers identified by their sort order and 'level' of 100, for use in Excel function that look at whether or not a workpaper belongs to the current accounts SortOrder" localSheetId="19">INDEX('Property CB &amp; MV'!TrialBalanceExact,0,MATCH("WPTag",[1]Index!$1:$1,0)-COLUMN('Property CB &amp; MV'!TrialBalanceExact)+1)</definedName>
    <definedName name="TB_WPTags" comment="A list of workpapers identified by their sort order and 'level' of 100, for use in Excel function that look at whether or not a workpaper belongs to the current accounts SortOrder" localSheetId="15">INDEX('Prov for Income Tax'!TrialBalanceExact,0,MATCH("WPTag",[1]Index!$1:$1,0)-COLUMN('Prov for Income Tax'!TrialBalanceExact)+1)</definedName>
    <definedName name="TB_WPTags" comment="A list of workpapers identified by their sort order and 'level' of 100, for use in Excel function that look at whether or not a workpaper belongs to the current accounts SortOrder" localSheetId="13">INDEX('Review Points'!TrialBalanceExact,0,MATCH("WPTag",[1]Index!$1:$1,0)-COLUMN('Review Points'!TrialBalanceExact)+1)</definedName>
    <definedName name="TB_WPTags" comment="A list of workpapers identified by their sort order and 'level' of 100, for use in Excel function that look at whether or not a workpaper belongs to the current accounts SortOrder" localSheetId="9">INDEX('Tax Payment Sch'!TrialBalanceExact,0,MATCH("WPTag",[1]Index!$1:$1,0)-COLUMN('Tax Payment Sch'!TrialBalanceExact)+1)</definedName>
    <definedName name="TB_WPTags" comment="A list of workpapers identified by their sort order and 'level' of 100, for use in Excel function that look at whether or not a workpaper belongs to the current accounts SortOrder">INDEX(TrialBalanceExact,0,MATCH("WPTag",Index!$1:$1,0)-COLUMN(TrialBalanceExact)+1)</definedName>
    <definedName name="Tm_Account" localSheetId="22">'F05 Trade Debtors'!$G$6</definedName>
    <definedName name="Tm_Account" localSheetId="20">'M25 Rental Property'!$P$6</definedName>
    <definedName name="Tm_Account" localSheetId="21">'N05 Fund Fees'!$H$6</definedName>
    <definedName name="Tm_EndRollUp" localSheetId="10">Home!$B$10</definedName>
    <definedName name="Tm_EndRollUp_01" localSheetId="22">'F05 Trade Debtors'!$B$54</definedName>
    <definedName name="Tm_EndRollUp_01" localSheetId="20">'M25 Rental Property'!$B$57</definedName>
    <definedName name="Tm_EndRollUp_01" localSheetId="21">'N05 Fund Fees'!$B$27</definedName>
    <definedName name="Tm_EndRollUp_02" localSheetId="22">'F05 Trade Debtors'!$B$78</definedName>
    <definedName name="Tm_EndRollUp_02" localSheetId="20">'M25 Rental Property'!$B$129</definedName>
    <definedName name="Tm_EndRollUp_02" localSheetId="21">'N05 Fund Fees'!$B$44</definedName>
    <definedName name="Tm_EndRollUp_03" localSheetId="22">'F05 Trade Debtors'!$B$108</definedName>
    <definedName name="Tm_EndRollUp_03" localSheetId="20">'M25 Rental Property'!$B$69</definedName>
    <definedName name="Tm_EndRollUp_03" localSheetId="21">'N05 Fund Fees'!$B$61</definedName>
    <definedName name="Tm_EndRollUp_04" localSheetId="22">'F05 Trade Debtors'!$B$35</definedName>
    <definedName name="Tm_EndRollUp_04" localSheetId="20">'M25 Rental Property'!$B$141</definedName>
    <definedName name="Tm_EndRollUp_04" localSheetId="21">'N05 Fund Fees'!$B$78</definedName>
    <definedName name="Tm_EndRollUp_05" localSheetId="22">'F05 Trade Debtors'!$B$21</definedName>
    <definedName name="Tm_EndRollUp_05" localSheetId="20">'M25 Rental Property'!$B$202</definedName>
    <definedName name="Tm_EndRollUp_06" localSheetId="20">'M25 Rental Property'!$B$214</definedName>
    <definedName name="Tm_EndRollUp_07" localSheetId="20">'M25 Rental Property'!$B$274</definedName>
    <definedName name="Tm_StartRollUp" localSheetId="10">Home!$B$10</definedName>
    <definedName name="Tm_StartRollUp_01" localSheetId="22">'F05 Trade Debtors'!$B$38</definedName>
    <definedName name="Tm_StartRollUp_01" localSheetId="20">'M25 Rental Property'!$B$21</definedName>
    <definedName name="Tm_StartRollUp_01" localSheetId="21">'N05 Fund Fees'!$B$13</definedName>
    <definedName name="Tm_StartRollUp_02" localSheetId="22">'F05 Trade Debtors'!$B$57</definedName>
    <definedName name="Tm_StartRollUp_02" localSheetId="20">'M25 Rental Property'!$B$72</definedName>
    <definedName name="Tm_StartRollUp_02" localSheetId="21">'N05 Fund Fees'!$B$30</definedName>
    <definedName name="Tm_StartRollUp_03" localSheetId="22">'F05 Trade Debtors'!$B$81</definedName>
    <definedName name="Tm_StartRollUp_03" localSheetId="20">'M25 Rental Property'!$B$60</definedName>
    <definedName name="Tm_StartRollUp_03" localSheetId="21">'N05 Fund Fees'!$B$47</definedName>
    <definedName name="Tm_StartRollUp_04" localSheetId="22">'F05 Trade Debtors'!$B$24</definedName>
    <definedName name="Tm_StartRollUp_04" localSheetId="20">'M25 Rental Property'!$B$132</definedName>
    <definedName name="Tm_StartRollUp_04" localSheetId="21">'N05 Fund Fees'!$B$64</definedName>
    <definedName name="Tm_StartRollUp_05" localSheetId="22">'F05 Trade Debtors'!$A$15</definedName>
    <definedName name="Tm_StartRollUp_05" localSheetId="20">'M25 Rental Property'!$B$144</definedName>
    <definedName name="Tm_StartRollUp_06" localSheetId="20">'M25 Rental Property'!$B$205</definedName>
    <definedName name="Tm_StartRollUp_07" localSheetId="20">'M25 Rental Property'!$B$217</definedName>
    <definedName name="Tm_Status" localSheetId="22">'F05 Trade Debtors'!$G$2</definedName>
    <definedName name="Tm_Status" localSheetId="20">'M25 Rental Property'!$P$2</definedName>
    <definedName name="Tm_Status" localSheetId="21">'N05 Fund Fees'!$H$2</definedName>
    <definedName name="Tm_Status" localSheetId="23">'Rent Received'!$G$2</definedName>
    <definedName name="Tm_Status" localSheetId="16">'Super Contributions'!$G$2</definedName>
    <definedName name="Tm_Sub" localSheetId="22">'F05 Trade Debtors'!$H$6</definedName>
    <definedName name="Tm_Sub" localSheetId="20">'M25 Rental Property'!$Q$6</definedName>
    <definedName name="Tm_Sub" localSheetId="21">'N05 Fund Fees'!$I$6</definedName>
    <definedName name="Tm_Title" localSheetId="22">'F05 Trade Debtors'!$G$5</definedName>
    <definedName name="Tm_Title" localSheetId="20">'M25 Rental Property'!$P$5</definedName>
    <definedName name="Tm_Title" localSheetId="21">'N05 Fund Fees'!$H$5</definedName>
    <definedName name="Tm_Title" localSheetId="23">'Rent Received'!$G$5</definedName>
    <definedName name="Tm_Title" localSheetId="16">'Super Contributions'!$G$5</definedName>
    <definedName name="Tm_WorksheetTitle" localSheetId="22">'F05 Trade Debtors'!$B$1</definedName>
    <definedName name="Tm_WorksheetTitle" localSheetId="20">'M25 Rental Property'!$B$1</definedName>
    <definedName name="Tm_WorksheetTitle" localSheetId="21">'N05 Fund Fees'!$B$1</definedName>
    <definedName name="Tm_WorksheetTitle" localSheetId="23">'Rent Received'!$B$1</definedName>
    <definedName name="Tm_WorksheetTitle" localSheetId="16">'Super Contributions'!$B$1</definedName>
    <definedName name="TrialBalance" localSheetId="7">[1]Index!$B$32:$AM$348</definedName>
    <definedName name="TrialBalance" localSheetId="4">[2]Index!$B$32:$AM$348</definedName>
    <definedName name="TrialBalance" localSheetId="18">[1]Index!$B$32:$AM$348</definedName>
    <definedName name="TrialBalance" localSheetId="17">[1]Index!$B$32:$AM$348</definedName>
    <definedName name="TrialBalance" localSheetId="8">[1]Index!$B$32:$AM$348</definedName>
    <definedName name="TrialBalance" localSheetId="19">[1]Index!$B$32:$AM$348</definedName>
    <definedName name="TrialBalance" localSheetId="15">[1]Index!$B$32:$AM$348</definedName>
    <definedName name="TrialBalance" localSheetId="13">[1]Index!$B$32:$AM$348</definedName>
    <definedName name="TrialBalance" localSheetId="9">[1]Index!$B$32:$AM$348</definedName>
    <definedName name="TrialBalance">Index!$B$28:$AM$235</definedName>
    <definedName name="TrialBalanceExact" localSheetId="7">OFFSET('Agenda &amp; Partner Points'!TrialBalance,1,1,ROWS('Agenda &amp; Partner Points'!TrialBalance)-2,COLUMNS('Agenda &amp; Partner Points'!TrialBalance)-2)</definedName>
    <definedName name="TrialBalanceExact" localSheetId="4">OFFSET('Assignment To do'!TrialBalance,1,1,ROWS('Assignment To do'!TrialBalance)-2,COLUMNS('Assignment To do'!TrialBalance)-2)</definedName>
    <definedName name="TrialBalanceExact" localSheetId="18">OFFSET('Investment Summary'!TrialBalance,1,1,ROWS('Investment Summary'!TrialBalance)-2,COLUMNS('Investment Summary'!TrialBalance)-2)</definedName>
    <definedName name="TrialBalanceExact" localSheetId="17">OFFSET(Investments!TrialBalance,1,1,ROWS(Investments!TrialBalance)-2,COLUMNS(Investments!TrialBalance)-2)</definedName>
    <definedName name="TrialBalanceExact" localSheetId="8">OFFSET('Pension Advice Schedule'!TrialBalance,1,1,ROWS('Pension Advice Schedule'!TrialBalance)-2,COLUMNS('Pension Advice Schedule'!TrialBalance)-2)</definedName>
    <definedName name="TrialBalanceExact" localSheetId="19">OFFSET('Property CB &amp; MV'!TrialBalance,1,1,ROWS('Property CB &amp; MV'!TrialBalance)-2,COLUMNS('Property CB &amp; MV'!TrialBalance)-2)</definedName>
    <definedName name="TrialBalanceExact" localSheetId="15">OFFSET('Prov for Income Tax'!TrialBalance,1,1,ROWS('Prov for Income Tax'!TrialBalance)-2,COLUMNS('Prov for Income Tax'!TrialBalance)-2)</definedName>
    <definedName name="TrialBalanceExact" localSheetId="13">OFFSET('Review Points'!TrialBalance,1,1,ROWS('Review Points'!TrialBalance)-2,COLUMNS('Review Points'!TrialBalance)-2)</definedName>
    <definedName name="TrialBalanceExact" localSheetId="9">OFFSET('Tax Payment Sch'!TrialBalance,1,1,ROWS('Tax Payment Sch'!TrialBalance)-2,COLUMNS('Tax Payment Sch'!TrialBalance)-2)</definedName>
    <definedName name="TrialBalanceExact">OFFSET(TrialBalance,1,1,ROWS(TrialBalance)-2,COLUMNS(TrialBalance)-2)</definedName>
    <definedName name="UnreconciledWorkpapers" localSheetId="7">[1]Index!$AL$9</definedName>
    <definedName name="UnreconciledWorkpapers" localSheetId="4">[2]Index!$AL$9</definedName>
    <definedName name="UnreconciledWorkpapers" localSheetId="18">[1]Index!$AL$9</definedName>
    <definedName name="UnreconciledWorkpapers" localSheetId="17">[1]Index!$AL$9</definedName>
    <definedName name="UnreconciledWorkpapers" localSheetId="8">[1]Index!$AL$9</definedName>
    <definedName name="UnreconciledWorkpapers" localSheetId="19">[1]Index!$AL$9</definedName>
    <definedName name="UnreconciledWorkpapers" localSheetId="15">[1]Index!$AL$9</definedName>
    <definedName name="UnreconciledWorkpapers" localSheetId="13">[1]Index!$AL$9</definedName>
    <definedName name="UnreconciledWorkpapers" localSheetId="9">[1]Index!$AL$9</definedName>
    <definedName name="UnreconciledWorkpapers">Index!$AL$9</definedName>
    <definedName name="UnresolvedItems" localSheetId="7">[1]Index!$AK$9</definedName>
    <definedName name="UnresolvedItems" localSheetId="4">[2]Index!$AK$9</definedName>
    <definedName name="UnresolvedItems" localSheetId="18">[1]Index!$AK$9</definedName>
    <definedName name="UnresolvedItems" localSheetId="17">[1]Index!$AK$9</definedName>
    <definedName name="UnresolvedItems" localSheetId="8">[1]Index!$AK$9</definedName>
    <definedName name="UnresolvedItems" localSheetId="19">[1]Index!$AK$9</definedName>
    <definedName name="UnresolvedItems" localSheetId="15">[1]Index!$AK$9</definedName>
    <definedName name="UnresolvedItems" localSheetId="13">[1]Index!$AK$9</definedName>
    <definedName name="UnresolvedItems" localSheetId="9">[1]Index!$AK$9</definedName>
    <definedName name="UnresolvedItems">Index!$AK$9</definedName>
    <definedName name="Z_558B4E49_BF54_4A2C_ACEB_D2B2F89A7C90_.wvu.PrintArea" localSheetId="12" hidden="1">Index!$Q$7:$AI$27</definedName>
    <definedName name="Z_558B4E49_BF54_4A2C_ACEB_D2B2F89A7C90_.wvu.PrintArea" localSheetId="23" hidden="1">'Rent Received'!$C$5:$H$49</definedName>
    <definedName name="Z_558B4E49_BF54_4A2C_ACEB_D2B2F89A7C90_.wvu.PrintArea" localSheetId="16" hidden="1">'Super Contributions'!$C$5:$H$47</definedName>
    <definedName name="Z_558B4E49_BF54_4A2C_ACEB_D2B2F89A7C90_.wvu.PrintTitles" localSheetId="21" hidden="1">'N05 Fund Fees'!$11:$11</definedName>
    <definedName name="Z_833AC96D_4EBC_4216_8F63_12A77F8DCBC4_.wvu.PrintArea" localSheetId="12" hidden="1">Index!$Q$7:$AI$27</definedName>
    <definedName name="Z_833AC96D_4EBC_4216_8F63_12A77F8DCBC4_.wvu.PrintArea" localSheetId="23" hidden="1">'Rent Received'!$C$5:$H$49</definedName>
    <definedName name="Z_833AC96D_4EBC_4216_8F63_12A77F8DCBC4_.wvu.PrintArea" localSheetId="16" hidden="1">'Super Contributions'!$C$5:$H$47</definedName>
    <definedName name="Z_833AC96D_4EBC_4216_8F63_12A77F8DCBC4_.wvu.PrintTitles" localSheetId="21" hidden="1">'N05 Fund Fees'!$11:$11</definedName>
    <definedName name="Z_CAD51596_6B73_4932_BD63_A9B6500D33A2_.wvu.PrintArea" localSheetId="12" hidden="1">Index!$Q$7:$AI$27</definedName>
    <definedName name="Z_CAD51596_6B73_4932_BD63_A9B6500D33A2_.wvu.PrintArea" localSheetId="23" hidden="1">'Rent Received'!$C$5:$H$49</definedName>
    <definedName name="Z_CAD51596_6B73_4932_BD63_A9B6500D33A2_.wvu.PrintArea" localSheetId="16" hidden="1">'Super Contributions'!$C$5:$H$47</definedName>
    <definedName name="Z_CAD51596_6B73_4932_BD63_A9B6500D33A2_.wvu.PrintTitles" localSheetId="21" hidden="1">'N05 Fund Fees'!$11:$11</definedName>
    <definedName name="Z_F06FA0EF_5DFC_4395_A5DD_F477E9A4FEF3_.wvu.PrintArea" localSheetId="20" hidden="1">'M25 Rental Property'!$C$5:$Q$130</definedName>
    <definedName name="Z_F06FA0EF_5DFC_4395_A5DD_F477E9A4FEF3_.wvu.PrintTitles" localSheetId="22" hidden="1">'F05 Trade Debtors'!$5:$9</definedName>
    <definedName name="Z_F06FA0EF_5DFC_4395_A5DD_F477E9A4FEF3_.wvu.PrintTitles" localSheetId="20" hidden="1">'M25 Rental Property'!$5:$9</definedName>
    <definedName name="Z_F06FA0EF_5DFC_4395_A5DD_F477E9A4FEF3_.wvu.PrintTitles" localSheetId="23" hidden="1">'Rent Received'!$5:$8</definedName>
    <definedName name="Z_F06FA0EF_5DFC_4395_A5DD_F477E9A4FEF3_.wvu.PrintTitles" localSheetId="16" hidden="1">'Super Contributions'!$5:$8</definedName>
    <definedName name="Z_F06FA0EF_5DFC_4395_A5DD_F477E9A4FEF3_.wvu.Rows" localSheetId="22" hidden="1">'F05 Trade Debtors'!$111:$114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P230" i="6" l="1"/>
  <c r="E16" i="59" l="1"/>
  <c r="Q195" i="71"/>
  <c r="AB77" i="6" l="1"/>
  <c r="AG77" i="6" s="1"/>
  <c r="AA77" i="6"/>
  <c r="X77" i="6"/>
  <c r="U77" i="6"/>
  <c r="T77" i="6"/>
  <c r="P77" i="6"/>
  <c r="D77" i="6"/>
  <c r="D16" i="76"/>
  <c r="D18" i="76" s="1"/>
  <c r="B1" i="76"/>
  <c r="G5" i="76" s="1"/>
  <c r="AB71" i="6"/>
  <c r="AG71" i="6" s="1"/>
  <c r="AA71" i="6"/>
  <c r="X71" i="6"/>
  <c r="U71" i="6"/>
  <c r="T71" i="6"/>
  <c r="P71" i="6"/>
  <c r="D71" i="6"/>
  <c r="G7" i="76"/>
  <c r="H7" i="76"/>
  <c r="B5" i="76"/>
  <c r="B7" i="76"/>
  <c r="G6" i="76"/>
  <c r="H6" i="76"/>
  <c r="B6" i="76"/>
  <c r="V77" i="6" l="1"/>
  <c r="W77" i="6" s="1"/>
  <c r="V71" i="6"/>
  <c r="W71" i="6" s="1"/>
  <c r="P100" i="71"/>
  <c r="AB103" i="6" l="1"/>
  <c r="AG103" i="6" s="1"/>
  <c r="AA103" i="6"/>
  <c r="X103" i="6"/>
  <c r="U103" i="6"/>
  <c r="T103" i="6"/>
  <c r="P103" i="6"/>
  <c r="D103" i="6"/>
  <c r="AB97" i="6"/>
  <c r="AG97" i="6" s="1"/>
  <c r="AA97" i="6"/>
  <c r="X97" i="6"/>
  <c r="U97" i="6"/>
  <c r="T97" i="6"/>
  <c r="P97" i="6"/>
  <c r="D97" i="6"/>
  <c r="AB219" i="6"/>
  <c r="AG219" i="6" s="1"/>
  <c r="AA219" i="6"/>
  <c r="X219" i="6"/>
  <c r="U219" i="6"/>
  <c r="T219" i="6"/>
  <c r="P219" i="6"/>
  <c r="D219" i="6"/>
  <c r="AB220" i="6"/>
  <c r="AG220" i="6" s="1"/>
  <c r="AA220" i="6"/>
  <c r="X220" i="6"/>
  <c r="U220" i="6"/>
  <c r="T220" i="6"/>
  <c r="P220" i="6"/>
  <c r="D220" i="6"/>
  <c r="AB211" i="6"/>
  <c r="AG211" i="6" s="1"/>
  <c r="AA211" i="6"/>
  <c r="X211" i="6"/>
  <c r="U211" i="6"/>
  <c r="T211" i="6"/>
  <c r="P211" i="6"/>
  <c r="D211" i="6"/>
  <c r="AB212" i="6"/>
  <c r="AG212" i="6" s="1"/>
  <c r="AA212" i="6"/>
  <c r="X212" i="6"/>
  <c r="U212" i="6"/>
  <c r="T212" i="6"/>
  <c r="P212" i="6"/>
  <c r="D212" i="6"/>
  <c r="AB187" i="6"/>
  <c r="AG187" i="6" s="1"/>
  <c r="AA187" i="6"/>
  <c r="X187" i="6"/>
  <c r="U187" i="6"/>
  <c r="T187" i="6"/>
  <c r="P187" i="6"/>
  <c r="D187" i="6"/>
  <c r="AB129" i="6"/>
  <c r="AG129" i="6" s="1"/>
  <c r="AA129" i="6"/>
  <c r="X129" i="6"/>
  <c r="U129" i="6"/>
  <c r="T129" i="6"/>
  <c r="P129" i="6"/>
  <c r="D129" i="6"/>
  <c r="P166" i="71"/>
  <c r="V103" i="6" l="1"/>
  <c r="W103" i="6" s="1"/>
  <c r="V97" i="6"/>
  <c r="W97" i="6" s="1"/>
  <c r="V219" i="6"/>
  <c r="W219" i="6" s="1"/>
  <c r="V220" i="6"/>
  <c r="W220" i="6" s="1"/>
  <c r="V211" i="6"/>
  <c r="W211" i="6" s="1"/>
  <c r="V212" i="6"/>
  <c r="W212" i="6" s="1"/>
  <c r="V187" i="6"/>
  <c r="W187" i="6" s="1"/>
  <c r="V129" i="6"/>
  <c r="W129" i="6" s="1"/>
  <c r="AB43" i="6"/>
  <c r="AG43" i="6" s="1"/>
  <c r="AA43" i="6"/>
  <c r="X43" i="6"/>
  <c r="U43" i="6"/>
  <c r="T43" i="6"/>
  <c r="P43" i="6"/>
  <c r="D43" i="6"/>
  <c r="AB36" i="6"/>
  <c r="AG36" i="6" s="1"/>
  <c r="AA36" i="6"/>
  <c r="X36" i="6"/>
  <c r="U36" i="6"/>
  <c r="T36" i="6"/>
  <c r="P36" i="6"/>
  <c r="D36" i="6"/>
  <c r="D15" i="75"/>
  <c r="D20" i="75" s="1"/>
  <c r="D16" i="75"/>
  <c r="D21" i="75" s="1"/>
  <c r="B1" i="75"/>
  <c r="G5" i="75" s="1"/>
  <c r="AB23" i="6"/>
  <c r="AG23" i="6" s="1"/>
  <c r="AA23" i="6"/>
  <c r="D23" i="6"/>
  <c r="B5" i="75"/>
  <c r="B6" i="75"/>
  <c r="H7" i="75"/>
  <c r="B7" i="75"/>
  <c r="G6" i="75"/>
  <c r="H6" i="75"/>
  <c r="G7" i="75"/>
  <c r="D22" i="75" l="1"/>
  <c r="D17" i="75"/>
  <c r="V43" i="6"/>
  <c r="W43" i="6" s="1"/>
  <c r="V36" i="6"/>
  <c r="W36" i="6" s="1"/>
  <c r="D24" i="75" l="1"/>
  <c r="AB188" i="6"/>
  <c r="AG188" i="6" s="1"/>
  <c r="AA188" i="6"/>
  <c r="X188" i="6"/>
  <c r="U188" i="6"/>
  <c r="T188" i="6"/>
  <c r="P188" i="6"/>
  <c r="D188" i="6"/>
  <c r="F95" i="73"/>
  <c r="E95" i="73"/>
  <c r="G94" i="73"/>
  <c r="G93" i="73"/>
  <c r="G92" i="73"/>
  <c r="G91" i="73"/>
  <c r="G90" i="73"/>
  <c r="G89" i="73"/>
  <c r="G88" i="73"/>
  <c r="G87" i="73"/>
  <c r="G86" i="73"/>
  <c r="G85" i="73"/>
  <c r="E77" i="73"/>
  <c r="G76" i="73"/>
  <c r="F76" i="73"/>
  <c r="G75" i="73"/>
  <c r="F75" i="73"/>
  <c r="G74" i="73"/>
  <c r="F74" i="73"/>
  <c r="G73" i="73"/>
  <c r="F73" i="73"/>
  <c r="G72" i="73"/>
  <c r="F72" i="73"/>
  <c r="G71" i="73"/>
  <c r="F71" i="73"/>
  <c r="G70" i="73"/>
  <c r="F70" i="73"/>
  <c r="G69" i="73"/>
  <c r="F69" i="73"/>
  <c r="G68" i="73"/>
  <c r="F68" i="73"/>
  <c r="G67" i="73"/>
  <c r="F67" i="73"/>
  <c r="G66" i="73"/>
  <c r="F66" i="73"/>
  <c r="G65" i="73"/>
  <c r="F65" i="73"/>
  <c r="G64" i="73"/>
  <c r="F64" i="73"/>
  <c r="G63" i="73"/>
  <c r="F63" i="73"/>
  <c r="G62" i="73"/>
  <c r="F62" i="73"/>
  <c r="G61" i="73"/>
  <c r="F61" i="73"/>
  <c r="G60" i="73"/>
  <c r="F60" i="73"/>
  <c r="F52" i="73"/>
  <c r="F53" i="73" s="1"/>
  <c r="H8" i="73"/>
  <c r="B6" i="73"/>
  <c r="G7" i="73"/>
  <c r="G8" i="73"/>
  <c r="H7" i="73"/>
  <c r="B7" i="73"/>
  <c r="B5" i="73"/>
  <c r="F77" i="73" l="1"/>
  <c r="G77" i="73"/>
  <c r="E28" i="73" s="1"/>
  <c r="F28" i="73" s="1"/>
  <c r="V188" i="6"/>
  <c r="W188" i="6" s="1"/>
  <c r="G95" i="73"/>
  <c r="G97" i="73" s="1"/>
  <c r="G99" i="73" s="1"/>
  <c r="F99" i="73" s="1"/>
  <c r="C111" i="73"/>
  <c r="E25" i="73"/>
  <c r="F25" i="73"/>
  <c r="G25" i="73" s="1"/>
  <c r="E33" i="73" l="1"/>
  <c r="E34" i="73" s="1"/>
  <c r="F33" i="73"/>
  <c r="F34" i="73" s="1"/>
  <c r="G104" i="73"/>
  <c r="G105" i="73" s="1"/>
  <c r="G107" i="73" s="1"/>
  <c r="F107" i="73" s="1"/>
  <c r="AB57" i="6" l="1"/>
  <c r="AG57" i="6" s="1"/>
  <c r="AA57" i="6"/>
  <c r="X57" i="6"/>
  <c r="U57" i="6"/>
  <c r="T57" i="6"/>
  <c r="P57" i="6"/>
  <c r="D57" i="6"/>
  <c r="AB197" i="6"/>
  <c r="AG197" i="6" s="1"/>
  <c r="AA197" i="6"/>
  <c r="X197" i="6"/>
  <c r="U197" i="6"/>
  <c r="T197" i="6"/>
  <c r="P197" i="6"/>
  <c r="D197" i="6"/>
  <c r="AB195" i="6"/>
  <c r="AG195" i="6" s="1"/>
  <c r="AA195" i="6"/>
  <c r="X195" i="6"/>
  <c r="U195" i="6"/>
  <c r="T195" i="6"/>
  <c r="P195" i="6"/>
  <c r="D195" i="6"/>
  <c r="AB185" i="6"/>
  <c r="AG185" i="6" s="1"/>
  <c r="AA185" i="6"/>
  <c r="X185" i="6"/>
  <c r="U185" i="6"/>
  <c r="T185" i="6"/>
  <c r="P185" i="6"/>
  <c r="D185" i="6"/>
  <c r="AB180" i="6"/>
  <c r="AG180" i="6" s="1"/>
  <c r="AA180" i="6"/>
  <c r="X180" i="6"/>
  <c r="U180" i="6"/>
  <c r="T180" i="6"/>
  <c r="P180" i="6"/>
  <c r="D180" i="6"/>
  <c r="AB153" i="6"/>
  <c r="AG153" i="6" s="1"/>
  <c r="AA153" i="6"/>
  <c r="X153" i="6"/>
  <c r="U153" i="6"/>
  <c r="T153" i="6"/>
  <c r="P153" i="6"/>
  <c r="D153" i="6"/>
  <c r="AB151" i="6"/>
  <c r="AG151" i="6" s="1"/>
  <c r="AA151" i="6"/>
  <c r="X151" i="6"/>
  <c r="U151" i="6"/>
  <c r="T151" i="6"/>
  <c r="P151" i="6"/>
  <c r="D151" i="6"/>
  <c r="AB143" i="6"/>
  <c r="AG143" i="6" s="1"/>
  <c r="AA143" i="6"/>
  <c r="X143" i="6"/>
  <c r="U143" i="6"/>
  <c r="T143" i="6"/>
  <c r="P143" i="6"/>
  <c r="D143" i="6"/>
  <c r="AB145" i="6"/>
  <c r="AG145" i="6" s="1"/>
  <c r="AA145" i="6"/>
  <c r="X145" i="6"/>
  <c r="U145" i="6"/>
  <c r="T145" i="6"/>
  <c r="P145" i="6"/>
  <c r="D145" i="6"/>
  <c r="AB137" i="6"/>
  <c r="AG137" i="6" s="1"/>
  <c r="AA137" i="6"/>
  <c r="X137" i="6"/>
  <c r="U137" i="6"/>
  <c r="T137" i="6"/>
  <c r="P137" i="6"/>
  <c r="D137" i="6"/>
  <c r="AB135" i="6"/>
  <c r="AG135" i="6" s="1"/>
  <c r="AA135" i="6"/>
  <c r="X135" i="6"/>
  <c r="U135" i="6"/>
  <c r="T135" i="6"/>
  <c r="P135" i="6"/>
  <c r="D135" i="6"/>
  <c r="AB122" i="6"/>
  <c r="AG122" i="6" s="1"/>
  <c r="AA122" i="6"/>
  <c r="X122" i="6"/>
  <c r="U122" i="6"/>
  <c r="T122" i="6"/>
  <c r="P122" i="6"/>
  <c r="D122" i="6"/>
  <c r="AB120" i="6"/>
  <c r="AG120" i="6" s="1"/>
  <c r="AA120" i="6"/>
  <c r="X120" i="6"/>
  <c r="U120" i="6"/>
  <c r="T120" i="6"/>
  <c r="P120" i="6"/>
  <c r="D120" i="6"/>
  <c r="AB114" i="6"/>
  <c r="AG114" i="6" s="1"/>
  <c r="AA114" i="6"/>
  <c r="X114" i="6"/>
  <c r="U114" i="6"/>
  <c r="T114" i="6"/>
  <c r="P114" i="6"/>
  <c r="D114" i="6"/>
  <c r="AB112" i="6"/>
  <c r="AG112" i="6" s="1"/>
  <c r="AA112" i="6"/>
  <c r="X112" i="6"/>
  <c r="U112" i="6"/>
  <c r="T112" i="6"/>
  <c r="P112" i="6"/>
  <c r="D112" i="6"/>
  <c r="P154" i="71"/>
  <c r="P94" i="71"/>
  <c r="P82" i="71"/>
  <c r="AB92" i="6"/>
  <c r="AG92" i="6" s="1"/>
  <c r="AA92" i="6"/>
  <c r="X92" i="6"/>
  <c r="U92" i="6"/>
  <c r="T92" i="6"/>
  <c r="P92" i="6"/>
  <c r="D92" i="6"/>
  <c r="D16" i="72"/>
  <c r="D26" i="72" s="1"/>
  <c r="AB90" i="6"/>
  <c r="AG90" i="6" s="1"/>
  <c r="AA90" i="6"/>
  <c r="X90" i="6"/>
  <c r="U90" i="6"/>
  <c r="T90" i="6"/>
  <c r="P90" i="6"/>
  <c r="D90" i="6"/>
  <c r="D77" i="72"/>
  <c r="D60" i="72"/>
  <c r="D43" i="72"/>
  <c r="H7" i="72"/>
  <c r="B7" i="72"/>
  <c r="H8" i="72"/>
  <c r="I7" i="72"/>
  <c r="I8" i="72"/>
  <c r="B6" i="72"/>
  <c r="B5" i="72"/>
  <c r="V57" i="6" l="1"/>
  <c r="W57" i="6" s="1"/>
  <c r="V197" i="6"/>
  <c r="W197" i="6" s="1"/>
  <c r="V195" i="6"/>
  <c r="W195" i="6" s="1"/>
  <c r="V185" i="6"/>
  <c r="W185" i="6" s="1"/>
  <c r="V180" i="6"/>
  <c r="W180" i="6" s="1"/>
  <c r="V153" i="6"/>
  <c r="W153" i="6" s="1"/>
  <c r="V151" i="6"/>
  <c r="W151" i="6" s="1"/>
  <c r="V143" i="6"/>
  <c r="W143" i="6" s="1"/>
  <c r="V145" i="6"/>
  <c r="W145" i="6" s="1"/>
  <c r="V137" i="6"/>
  <c r="W137" i="6" s="1"/>
  <c r="V135" i="6"/>
  <c r="W135" i="6" s="1"/>
  <c r="V122" i="6"/>
  <c r="W122" i="6" s="1"/>
  <c r="V120" i="6"/>
  <c r="W120" i="6" s="1"/>
  <c r="V114" i="6"/>
  <c r="W114" i="6" s="1"/>
  <c r="V112" i="6"/>
  <c r="W112" i="6" s="1"/>
  <c r="V92" i="6"/>
  <c r="W92" i="6" s="1"/>
  <c r="V90" i="6"/>
  <c r="W90" i="6" s="1"/>
  <c r="D80" i="72"/>
  <c r="D82" i="72" s="1"/>
  <c r="E82" i="72" s="1"/>
  <c r="AB65" i="6"/>
  <c r="AG65" i="6" s="1"/>
  <c r="AA65" i="6"/>
  <c r="X65" i="6"/>
  <c r="U65" i="6"/>
  <c r="T65" i="6"/>
  <c r="P65" i="6"/>
  <c r="D65" i="6"/>
  <c r="P164" i="71"/>
  <c r="Q164" i="71" s="1"/>
  <c r="P117" i="71"/>
  <c r="Q117" i="71" s="1"/>
  <c r="P123" i="71"/>
  <c r="Q123" i="71" s="1"/>
  <c r="P92" i="71"/>
  <c r="Q92" i="71" s="1"/>
  <c r="B1" i="71"/>
  <c r="AB63" i="6"/>
  <c r="AG63" i="6" s="1"/>
  <c r="AA63" i="6"/>
  <c r="X63" i="6"/>
  <c r="U63" i="6"/>
  <c r="T63" i="6"/>
  <c r="P63" i="6"/>
  <c r="O232" i="6" s="1"/>
  <c r="D63" i="6"/>
  <c r="P272" i="71"/>
  <c r="O272" i="71"/>
  <c r="N272" i="71"/>
  <c r="M272" i="71"/>
  <c r="L272" i="71"/>
  <c r="K272" i="71"/>
  <c r="J272" i="71"/>
  <c r="I272" i="71"/>
  <c r="H272" i="71"/>
  <c r="G272" i="71"/>
  <c r="F272" i="71"/>
  <c r="E272" i="71"/>
  <c r="Q271" i="71"/>
  <c r="Q270" i="71"/>
  <c r="Q269" i="71"/>
  <c r="Q268" i="71"/>
  <c r="Q267" i="71"/>
  <c r="N48" i="71" s="1"/>
  <c r="P48" i="71" s="1"/>
  <c r="Q266" i="71"/>
  <c r="Q265" i="71"/>
  <c r="N46" i="71" s="1"/>
  <c r="P46" i="71" s="1"/>
  <c r="Q264" i="71"/>
  <c r="Q263" i="71"/>
  <c r="Q262" i="71"/>
  <c r="Q261" i="71"/>
  <c r="Q260" i="71"/>
  <c r="Q259" i="71"/>
  <c r="Q258" i="71"/>
  <c r="Q257" i="71"/>
  <c r="N40" i="71" s="1"/>
  <c r="P40" i="71" s="1"/>
  <c r="Q256" i="71"/>
  <c r="Q255" i="71"/>
  <c r="Q254" i="71"/>
  <c r="N37" i="71" s="1"/>
  <c r="P37" i="71" s="1"/>
  <c r="Q253" i="71"/>
  <c r="Q252" i="71"/>
  <c r="Q251" i="71"/>
  <c r="N34" i="71" s="1"/>
  <c r="Q250" i="71"/>
  <c r="Q249" i="71"/>
  <c r="N32" i="71" s="1"/>
  <c r="P32" i="71" s="1"/>
  <c r="Q248" i="71"/>
  <c r="N31" i="71" s="1"/>
  <c r="P31" i="71" s="1"/>
  <c r="Q246" i="71"/>
  <c r="Q245" i="71"/>
  <c r="P241" i="71"/>
  <c r="O241" i="71"/>
  <c r="N241" i="71"/>
  <c r="M241" i="71"/>
  <c r="L241" i="71"/>
  <c r="K241" i="71"/>
  <c r="J241" i="71"/>
  <c r="I241" i="71"/>
  <c r="H241" i="71"/>
  <c r="G241" i="71"/>
  <c r="F241" i="71"/>
  <c r="E241" i="71"/>
  <c r="Q240" i="71"/>
  <c r="Q239" i="71"/>
  <c r="Q238" i="71"/>
  <c r="Q237" i="71"/>
  <c r="Q236" i="71"/>
  <c r="Q235" i="71"/>
  <c r="Q234" i="71"/>
  <c r="Q233" i="71"/>
  <c r="Q232" i="71"/>
  <c r="Q231" i="71"/>
  <c r="Q230" i="71"/>
  <c r="Q229" i="71"/>
  <c r="N33" i="71" s="1"/>
  <c r="P33" i="71" s="1"/>
  <c r="Q228" i="71"/>
  <c r="Q227" i="71"/>
  <c r="Q225" i="71"/>
  <c r="N28" i="71" s="1"/>
  <c r="P28" i="71" s="1"/>
  <c r="Q224" i="71"/>
  <c r="N26" i="71" s="1"/>
  <c r="P26" i="71" s="1"/>
  <c r="F216" i="71"/>
  <c r="N22" i="71" s="1"/>
  <c r="G213" i="71"/>
  <c r="K212" i="71"/>
  <c r="J212" i="71"/>
  <c r="I212" i="71"/>
  <c r="H212" i="71"/>
  <c r="K211" i="71"/>
  <c r="J211" i="71"/>
  <c r="I211" i="71"/>
  <c r="H211" i="71"/>
  <c r="K210" i="71"/>
  <c r="J210" i="71"/>
  <c r="I210" i="71"/>
  <c r="H210" i="71"/>
  <c r="O209" i="71"/>
  <c r="O213" i="71" s="1"/>
  <c r="N209" i="71"/>
  <c r="N213" i="71" s="1"/>
  <c r="J209" i="71"/>
  <c r="C207" i="71"/>
  <c r="P200" i="71"/>
  <c r="O200" i="71"/>
  <c r="N200" i="71"/>
  <c r="M200" i="71"/>
  <c r="L200" i="71"/>
  <c r="K200" i="71"/>
  <c r="J200" i="71"/>
  <c r="I200" i="71"/>
  <c r="H200" i="71"/>
  <c r="G200" i="71"/>
  <c r="F200" i="71"/>
  <c r="E200" i="71"/>
  <c r="Q199" i="71"/>
  <c r="Q198" i="71"/>
  <c r="Q197" i="71"/>
  <c r="Q196" i="71"/>
  <c r="Q194" i="71"/>
  <c r="J48" i="71" s="1"/>
  <c r="L48" i="71" s="1"/>
  <c r="Q193" i="71"/>
  <c r="Q192" i="71"/>
  <c r="J46" i="71" s="1"/>
  <c r="L46" i="71" s="1"/>
  <c r="Q191" i="71"/>
  <c r="Q190" i="71"/>
  <c r="Q189" i="71"/>
  <c r="Q188" i="71"/>
  <c r="Q187" i="71"/>
  <c r="Q186" i="71"/>
  <c r="Q185" i="71"/>
  <c r="Q184" i="71"/>
  <c r="I136" i="71" s="1"/>
  <c r="Q183" i="71"/>
  <c r="Q182" i="71"/>
  <c r="Q181" i="71"/>
  <c r="J37" i="71" s="1"/>
  <c r="L37" i="71" s="1"/>
  <c r="Q180" i="71"/>
  <c r="Q179" i="71"/>
  <c r="Q178" i="71"/>
  <c r="J34" i="71" s="1"/>
  <c r="L34" i="71" s="1"/>
  <c r="Q177" i="71"/>
  <c r="Q176" i="71"/>
  <c r="J32" i="71" s="1"/>
  <c r="L32" i="71" s="1"/>
  <c r="Q175" i="71"/>
  <c r="J31" i="71" s="1"/>
  <c r="Q173" i="71"/>
  <c r="Q172" i="71"/>
  <c r="O168" i="71"/>
  <c r="N168" i="71"/>
  <c r="M168" i="71"/>
  <c r="L168" i="71"/>
  <c r="K168" i="71"/>
  <c r="J168" i="71"/>
  <c r="I168" i="71"/>
  <c r="H168" i="71"/>
  <c r="G168" i="71"/>
  <c r="F168" i="71"/>
  <c r="E168" i="71"/>
  <c r="Q167" i="71"/>
  <c r="Q166" i="71"/>
  <c r="Q165" i="71"/>
  <c r="Q163" i="71"/>
  <c r="Q162" i="71"/>
  <c r="Q161" i="71"/>
  <c r="Q160" i="71"/>
  <c r="Q159" i="71"/>
  <c r="Q158" i="71"/>
  <c r="Q157" i="71"/>
  <c r="Q156" i="71"/>
  <c r="Q155" i="71"/>
  <c r="Q154" i="71"/>
  <c r="Q152" i="71"/>
  <c r="Q151" i="71"/>
  <c r="J26" i="71" s="1"/>
  <c r="L26" i="71" s="1"/>
  <c r="F143" i="71"/>
  <c r="J22" i="71" s="1"/>
  <c r="G140" i="71"/>
  <c r="K139" i="71"/>
  <c r="J139" i="71"/>
  <c r="I139" i="71"/>
  <c r="H139" i="71"/>
  <c r="K138" i="71"/>
  <c r="J138" i="71"/>
  <c r="I138" i="71"/>
  <c r="H138" i="71"/>
  <c r="K137" i="71"/>
  <c r="J137" i="71"/>
  <c r="I137" i="71"/>
  <c r="H137" i="71"/>
  <c r="O136" i="71"/>
  <c r="O140" i="71" s="1"/>
  <c r="N136" i="71"/>
  <c r="N140" i="71" s="1"/>
  <c r="C134" i="71"/>
  <c r="O127" i="71"/>
  <c r="N127" i="71"/>
  <c r="M127" i="71"/>
  <c r="L127" i="71"/>
  <c r="K127" i="71"/>
  <c r="J127" i="71"/>
  <c r="I127" i="71"/>
  <c r="H127" i="71"/>
  <c r="G127" i="71"/>
  <c r="F127" i="71"/>
  <c r="E127" i="71"/>
  <c r="Q126" i="71"/>
  <c r="Q125" i="71"/>
  <c r="Q124" i="71"/>
  <c r="Q122" i="71"/>
  <c r="F48" i="71" s="1"/>
  <c r="Q121" i="71"/>
  <c r="Q120" i="71"/>
  <c r="J64" i="71" s="1"/>
  <c r="Q119" i="71"/>
  <c r="Q118" i="71"/>
  <c r="Q116" i="71"/>
  <c r="Q115" i="71"/>
  <c r="Q114" i="71"/>
  <c r="Q113" i="71"/>
  <c r="Q112" i="71"/>
  <c r="F40" i="71" s="1"/>
  <c r="Q111" i="71"/>
  <c r="Q110" i="71"/>
  <c r="Q109" i="71"/>
  <c r="F37" i="71" s="1"/>
  <c r="H37" i="71" s="1"/>
  <c r="Q108" i="71"/>
  <c r="Q107" i="71"/>
  <c r="Q106" i="71"/>
  <c r="F34" i="71" s="1"/>
  <c r="H34" i="71" s="1"/>
  <c r="Q105" i="71"/>
  <c r="Q104" i="71"/>
  <c r="F32" i="71" s="1"/>
  <c r="Q103" i="71"/>
  <c r="F31" i="71" s="1"/>
  <c r="H31" i="71" s="1"/>
  <c r="Q101" i="71"/>
  <c r="Q100" i="71"/>
  <c r="F27" i="71" s="1"/>
  <c r="H27" i="71" s="1"/>
  <c r="O96" i="71"/>
  <c r="N96" i="71"/>
  <c r="M96" i="71"/>
  <c r="L96" i="71"/>
  <c r="K96" i="71"/>
  <c r="J96" i="71"/>
  <c r="I96" i="71"/>
  <c r="H96" i="71"/>
  <c r="G96" i="71"/>
  <c r="F96" i="71"/>
  <c r="E96" i="71"/>
  <c r="Q95" i="71"/>
  <c r="Q94" i="71"/>
  <c r="Q93" i="71"/>
  <c r="Q91" i="71"/>
  <c r="Q90" i="71"/>
  <c r="Q89" i="71"/>
  <c r="Q88" i="71"/>
  <c r="Q87" i="71"/>
  <c r="Q86" i="71"/>
  <c r="Q85" i="71"/>
  <c r="Q84" i="71"/>
  <c r="Q83" i="71"/>
  <c r="Q82" i="71"/>
  <c r="Q80" i="71"/>
  <c r="H64" i="71" s="1"/>
  <c r="Q79" i="71"/>
  <c r="F71" i="71"/>
  <c r="F22" i="71" s="1"/>
  <c r="G68" i="71"/>
  <c r="K67" i="71"/>
  <c r="J67" i="71"/>
  <c r="I67" i="71"/>
  <c r="H67" i="71"/>
  <c r="K66" i="71"/>
  <c r="J66" i="71"/>
  <c r="I66" i="71"/>
  <c r="H66" i="71"/>
  <c r="K65" i="71"/>
  <c r="J65" i="71"/>
  <c r="I65" i="71"/>
  <c r="H65" i="71"/>
  <c r="O64" i="71"/>
  <c r="O68" i="71" s="1"/>
  <c r="N64" i="71"/>
  <c r="N68" i="71" s="1"/>
  <c r="I64" i="71"/>
  <c r="C62" i="71"/>
  <c r="U54" i="71"/>
  <c r="Q51" i="71"/>
  <c r="O51" i="71"/>
  <c r="P209" i="71" s="1"/>
  <c r="P213" i="71" s="1"/>
  <c r="M51" i="71"/>
  <c r="K51" i="71"/>
  <c r="P136" i="71" s="1"/>
  <c r="P140" i="71" s="1"/>
  <c r="I51" i="71"/>
  <c r="G51" i="71"/>
  <c r="P64" i="71" s="1"/>
  <c r="P68" i="71" s="1"/>
  <c r="U50" i="71"/>
  <c r="S50" i="71"/>
  <c r="U49" i="71"/>
  <c r="S49" i="71"/>
  <c r="U48" i="71"/>
  <c r="S48" i="71"/>
  <c r="U47" i="71"/>
  <c r="S47" i="71"/>
  <c r="U46" i="71"/>
  <c r="S46" i="71"/>
  <c r="U45" i="71"/>
  <c r="S45" i="71"/>
  <c r="U44" i="71"/>
  <c r="S44" i="71"/>
  <c r="U43" i="71"/>
  <c r="S43" i="71"/>
  <c r="U42" i="71"/>
  <c r="S42" i="71"/>
  <c r="U41" i="71"/>
  <c r="S41" i="71"/>
  <c r="U40" i="71"/>
  <c r="S40" i="71"/>
  <c r="U39" i="71"/>
  <c r="S39" i="71"/>
  <c r="U38" i="71"/>
  <c r="S38" i="71"/>
  <c r="U37" i="71"/>
  <c r="S37" i="71"/>
  <c r="U36" i="71"/>
  <c r="S36" i="71"/>
  <c r="U35" i="71"/>
  <c r="S35" i="71"/>
  <c r="U34" i="71"/>
  <c r="S34" i="71"/>
  <c r="U33" i="71"/>
  <c r="S33" i="71"/>
  <c r="U32" i="71"/>
  <c r="S32" i="71"/>
  <c r="U31" i="71"/>
  <c r="S31" i="71"/>
  <c r="Q29" i="71"/>
  <c r="O29" i="71"/>
  <c r="M29" i="71"/>
  <c r="K29" i="71"/>
  <c r="I29" i="71"/>
  <c r="G29" i="71"/>
  <c r="U28" i="71"/>
  <c r="S28" i="71"/>
  <c r="U27" i="71"/>
  <c r="S27" i="71"/>
  <c r="U26" i="71"/>
  <c r="S26" i="71"/>
  <c r="Q7" i="71"/>
  <c r="B7" i="71"/>
  <c r="P7" i="71"/>
  <c r="B5" i="71"/>
  <c r="Q8" i="71"/>
  <c r="B6" i="71"/>
  <c r="P8" i="71"/>
  <c r="P127" i="71" l="1"/>
  <c r="Q200" i="71"/>
  <c r="Q96" i="71"/>
  <c r="Z232" i="6"/>
  <c r="Y232" i="6"/>
  <c r="AF232" i="6" s="1"/>
  <c r="M232" i="6"/>
  <c r="AB232" i="6"/>
  <c r="AG232" i="6" s="1"/>
  <c r="X232" i="6"/>
  <c r="AI232" i="6"/>
  <c r="AA232" i="6"/>
  <c r="O39" i="6"/>
  <c r="O61" i="6"/>
  <c r="O54" i="6"/>
  <c r="O69" i="6"/>
  <c r="O107" i="6"/>
  <c r="O104" i="6"/>
  <c r="O140" i="6"/>
  <c r="O127" i="6"/>
  <c r="O169" i="6"/>
  <c r="O184" i="6"/>
  <c r="O222" i="6"/>
  <c r="O218" i="6"/>
  <c r="O60" i="6"/>
  <c r="O45" i="6"/>
  <c r="O115" i="6"/>
  <c r="O118" i="6"/>
  <c r="O136" i="6"/>
  <c r="O133" i="6"/>
  <c r="O162" i="6"/>
  <c r="O181" i="6"/>
  <c r="O227" i="6"/>
  <c r="O225" i="6"/>
  <c r="O52" i="6"/>
  <c r="O46" i="6"/>
  <c r="O70" i="6"/>
  <c r="O96" i="6"/>
  <c r="O94" i="6"/>
  <c r="O130" i="6"/>
  <c r="O159" i="6"/>
  <c r="O183" i="6"/>
  <c r="O175" i="6"/>
  <c r="O210" i="6"/>
  <c r="O208" i="6"/>
  <c r="O51" i="6"/>
  <c r="O31" i="6"/>
  <c r="O102" i="6"/>
  <c r="O108" i="6"/>
  <c r="O126" i="6"/>
  <c r="O124" i="6"/>
  <c r="O161" i="6"/>
  <c r="O172" i="6"/>
  <c r="O217" i="6"/>
  <c r="O215" i="6"/>
  <c r="O33" i="6"/>
  <c r="O38" i="6"/>
  <c r="O76" i="6"/>
  <c r="O87" i="6"/>
  <c r="O95" i="6"/>
  <c r="O110" i="6"/>
  <c r="O157" i="6"/>
  <c r="O148" i="6"/>
  <c r="O189" i="6"/>
  <c r="O203" i="6"/>
  <c r="O201" i="6"/>
  <c r="O48" i="6"/>
  <c r="O41" i="6"/>
  <c r="O62" i="6"/>
  <c r="O91" i="6"/>
  <c r="O88" i="6"/>
  <c r="O163" i="6"/>
  <c r="O155" i="6"/>
  <c r="O178" i="6"/>
  <c r="O171" i="6"/>
  <c r="O206" i="6"/>
  <c r="O204" i="6"/>
  <c r="O73" i="6"/>
  <c r="O67" i="6"/>
  <c r="O79" i="6"/>
  <c r="O85" i="6"/>
  <c r="O125" i="6"/>
  <c r="O150" i="6"/>
  <c r="O138" i="6"/>
  <c r="O177" i="6"/>
  <c r="O194" i="6"/>
  <c r="O230" i="6"/>
  <c r="O228" i="6"/>
  <c r="O75" i="6"/>
  <c r="O53" i="6"/>
  <c r="O82" i="6"/>
  <c r="O80" i="6"/>
  <c r="O147" i="6"/>
  <c r="O144" i="6"/>
  <c r="O170" i="6"/>
  <c r="O192" i="6"/>
  <c r="O198" i="6"/>
  <c r="O233" i="6"/>
  <c r="O35" i="6"/>
  <c r="O55" i="6"/>
  <c r="O40" i="6"/>
  <c r="O113" i="6"/>
  <c r="O109" i="6"/>
  <c r="O131" i="6"/>
  <c r="O128" i="6"/>
  <c r="O158" i="6"/>
  <c r="O176" i="6"/>
  <c r="O223" i="6"/>
  <c r="O221" i="6"/>
  <c r="O72" i="6"/>
  <c r="O59" i="6"/>
  <c r="O74" i="6"/>
  <c r="O117" i="6"/>
  <c r="O111" i="6"/>
  <c r="O146" i="6"/>
  <c r="O132" i="6"/>
  <c r="O173" i="6"/>
  <c r="O191" i="6"/>
  <c r="O226" i="6"/>
  <c r="O224" i="6"/>
  <c r="O47" i="6"/>
  <c r="O32" i="6"/>
  <c r="O98" i="6"/>
  <c r="O105" i="6"/>
  <c r="O121" i="6"/>
  <c r="O165" i="6"/>
  <c r="O160" i="6"/>
  <c r="O168" i="6"/>
  <c r="O213" i="6"/>
  <c r="O209" i="6"/>
  <c r="O37" i="6"/>
  <c r="O50" i="6"/>
  <c r="O64" i="6"/>
  <c r="O101" i="6"/>
  <c r="O99" i="6"/>
  <c r="O134" i="6"/>
  <c r="O123" i="6"/>
  <c r="O190" i="6"/>
  <c r="O179" i="6"/>
  <c r="O216" i="6"/>
  <c r="O214" i="6"/>
  <c r="O34" i="6"/>
  <c r="O44" i="6"/>
  <c r="O29" i="6"/>
  <c r="O58" i="6"/>
  <c r="O86" i="6"/>
  <c r="O84" i="6"/>
  <c r="O152" i="6"/>
  <c r="O149" i="6"/>
  <c r="O174" i="6"/>
  <c r="O167" i="6"/>
  <c r="O202" i="6"/>
  <c r="O200" i="6"/>
  <c r="O42" i="6"/>
  <c r="O81" i="6"/>
  <c r="O93" i="6"/>
  <c r="O100" i="6"/>
  <c r="O116" i="6"/>
  <c r="O164" i="6"/>
  <c r="O154" i="6"/>
  <c r="O193" i="6"/>
  <c r="O207" i="6"/>
  <c r="O205" i="6"/>
  <c r="O30" i="6"/>
  <c r="O66" i="6"/>
  <c r="O49" i="6"/>
  <c r="O78" i="6"/>
  <c r="O119" i="6"/>
  <c r="O141" i="6"/>
  <c r="O139" i="6"/>
  <c r="O166" i="6"/>
  <c r="O186" i="6"/>
  <c r="O231" i="6"/>
  <c r="O229" i="6"/>
  <c r="O56" i="6"/>
  <c r="O68" i="6"/>
  <c r="O83" i="6"/>
  <c r="O89" i="6"/>
  <c r="O106" i="6"/>
  <c r="O156" i="6"/>
  <c r="O142" i="6"/>
  <c r="O182" i="6"/>
  <c r="O199" i="6"/>
  <c r="O196" i="6"/>
  <c r="F26" i="71"/>
  <c r="H26" i="71" s="1"/>
  <c r="T26" i="71" s="1"/>
  <c r="N42" i="71"/>
  <c r="N35" i="71"/>
  <c r="P35" i="71" s="1"/>
  <c r="P168" i="71"/>
  <c r="N38" i="71"/>
  <c r="P38" i="71" s="1"/>
  <c r="H273" i="71"/>
  <c r="L273" i="71"/>
  <c r="P273" i="71"/>
  <c r="N39" i="71"/>
  <c r="P39" i="71" s="1"/>
  <c r="K52" i="71"/>
  <c r="K56" i="71" s="1"/>
  <c r="I209" i="71"/>
  <c r="I213" i="71" s="1"/>
  <c r="N44" i="71"/>
  <c r="P44" i="71" s="1"/>
  <c r="N36" i="71"/>
  <c r="P36" i="71" s="1"/>
  <c r="N273" i="71"/>
  <c r="N49" i="71"/>
  <c r="P49" i="71" s="1"/>
  <c r="P96" i="71"/>
  <c r="P128" i="71" s="1"/>
  <c r="J136" i="71"/>
  <c r="J140" i="71" s="1"/>
  <c r="O52" i="71"/>
  <c r="O56" i="71" s="1"/>
  <c r="F33" i="71"/>
  <c r="H33" i="71" s="1"/>
  <c r="H136" i="71"/>
  <c r="H140" i="71" s="1"/>
  <c r="N43" i="71"/>
  <c r="P43" i="71" s="1"/>
  <c r="G52" i="71"/>
  <c r="G56" i="71" s="1"/>
  <c r="F39" i="71"/>
  <c r="H39" i="71" s="1"/>
  <c r="I52" i="71"/>
  <c r="I56" i="71" s="1"/>
  <c r="Q52" i="71"/>
  <c r="Q56" i="71" s="1"/>
  <c r="J28" i="71"/>
  <c r="L28" i="71" s="1"/>
  <c r="M201" i="71"/>
  <c r="Q241" i="71"/>
  <c r="E273" i="71"/>
  <c r="I273" i="71"/>
  <c r="M273" i="71"/>
  <c r="Q272" i="71"/>
  <c r="N41" i="71"/>
  <c r="P41" i="71" s="1"/>
  <c r="N47" i="71"/>
  <c r="P47" i="71" s="1"/>
  <c r="N50" i="71"/>
  <c r="P50" i="71" s="1"/>
  <c r="S29" i="71"/>
  <c r="F36" i="71"/>
  <c r="H36" i="71" s="1"/>
  <c r="J36" i="71"/>
  <c r="L36" i="71" s="1"/>
  <c r="J49" i="71"/>
  <c r="L49" i="71" s="1"/>
  <c r="F273" i="71"/>
  <c r="J273" i="71"/>
  <c r="V65" i="6"/>
  <c r="W65" i="6" s="1"/>
  <c r="J40" i="71"/>
  <c r="L40" i="71" s="1"/>
  <c r="J41" i="71"/>
  <c r="L41" i="71" s="1"/>
  <c r="J47" i="71"/>
  <c r="L47" i="71" s="1"/>
  <c r="F201" i="71"/>
  <c r="J201" i="71"/>
  <c r="N201" i="71"/>
  <c r="J38" i="71"/>
  <c r="L38" i="71" s="1"/>
  <c r="J44" i="71"/>
  <c r="L44" i="71" s="1"/>
  <c r="R32" i="71"/>
  <c r="J42" i="71"/>
  <c r="L42" i="71" s="1"/>
  <c r="J39" i="71"/>
  <c r="L39" i="71" s="1"/>
  <c r="J43" i="71"/>
  <c r="L43" i="71" s="1"/>
  <c r="J45" i="71"/>
  <c r="L45" i="71" s="1"/>
  <c r="E201" i="71"/>
  <c r="R48" i="71"/>
  <c r="H201" i="71"/>
  <c r="L201" i="71"/>
  <c r="P201" i="71"/>
  <c r="F43" i="71"/>
  <c r="H43" i="71" s="1"/>
  <c r="E128" i="71"/>
  <c r="M128" i="71"/>
  <c r="F44" i="71"/>
  <c r="H44" i="71" s="1"/>
  <c r="F50" i="71"/>
  <c r="H50" i="71" s="1"/>
  <c r="F41" i="71"/>
  <c r="H41" i="71" s="1"/>
  <c r="F47" i="71"/>
  <c r="H47" i="71" s="1"/>
  <c r="F128" i="71"/>
  <c r="J128" i="71"/>
  <c r="N128" i="71"/>
  <c r="F42" i="71"/>
  <c r="H42" i="71" s="1"/>
  <c r="F46" i="71"/>
  <c r="J68" i="71"/>
  <c r="V63" i="6"/>
  <c r="W63" i="6" s="1"/>
  <c r="L31" i="71"/>
  <c r="T31" i="71" s="1"/>
  <c r="U51" i="71"/>
  <c r="R34" i="71"/>
  <c r="Q127" i="71"/>
  <c r="F35" i="71"/>
  <c r="H35" i="71" s="1"/>
  <c r="F45" i="71"/>
  <c r="H45" i="71" s="1"/>
  <c r="F49" i="71"/>
  <c r="H49" i="71" s="1"/>
  <c r="I128" i="71"/>
  <c r="K209" i="71"/>
  <c r="K213" i="71" s="1"/>
  <c r="L210" i="71"/>
  <c r="Q210" i="71" s="1"/>
  <c r="L212" i="71"/>
  <c r="Q212" i="71" s="1"/>
  <c r="T37" i="71"/>
  <c r="I68" i="71"/>
  <c r="F38" i="71"/>
  <c r="H38" i="71" s="1"/>
  <c r="H128" i="71"/>
  <c r="L128" i="71"/>
  <c r="M136" i="71"/>
  <c r="M140" i="71" s="1"/>
  <c r="J54" i="71" s="1"/>
  <c r="L137" i="71"/>
  <c r="Q137" i="71" s="1"/>
  <c r="L138" i="71"/>
  <c r="Q138" i="71" s="1"/>
  <c r="L139" i="71"/>
  <c r="Q139" i="71" s="1"/>
  <c r="Q168" i="71"/>
  <c r="I201" i="71"/>
  <c r="J33" i="71"/>
  <c r="L33" i="71" s="1"/>
  <c r="J50" i="71"/>
  <c r="L50" i="71" s="1"/>
  <c r="G201" i="71"/>
  <c r="K201" i="71"/>
  <c r="O201" i="71"/>
  <c r="M209" i="71"/>
  <c r="M213" i="71" s="1"/>
  <c r="N54" i="71" s="1"/>
  <c r="G273" i="71"/>
  <c r="K273" i="71"/>
  <c r="O273" i="71"/>
  <c r="N45" i="71"/>
  <c r="P45" i="71" s="1"/>
  <c r="U29" i="71"/>
  <c r="F28" i="71"/>
  <c r="M52" i="71"/>
  <c r="M56" i="71" s="1"/>
  <c r="M64" i="71"/>
  <c r="M68" i="71" s="1"/>
  <c r="F54" i="71" s="1"/>
  <c r="L65" i="71"/>
  <c r="Q65" i="71" s="1"/>
  <c r="L66" i="71"/>
  <c r="Q66" i="71" s="1"/>
  <c r="I140" i="71"/>
  <c r="J35" i="71"/>
  <c r="L35" i="71" s="1"/>
  <c r="C136" i="71"/>
  <c r="C64" i="71"/>
  <c r="C209" i="71"/>
  <c r="H68" i="71"/>
  <c r="R31" i="71"/>
  <c r="J27" i="71"/>
  <c r="S51" i="71"/>
  <c r="H32" i="71"/>
  <c r="T32" i="71" s="1"/>
  <c r="P34" i="71"/>
  <c r="T34" i="71" s="1"/>
  <c r="H40" i="71"/>
  <c r="P42" i="71"/>
  <c r="H48" i="71"/>
  <c r="T48" i="71" s="1"/>
  <c r="K64" i="71"/>
  <c r="K68" i="71" s="1"/>
  <c r="K136" i="71"/>
  <c r="K140" i="71" s="1"/>
  <c r="H209" i="71"/>
  <c r="L211" i="71"/>
  <c r="Q211" i="71" s="1"/>
  <c r="N27" i="71"/>
  <c r="P27" i="71" s="1"/>
  <c r="P29" i="71" s="1"/>
  <c r="R37" i="71"/>
  <c r="L67" i="71"/>
  <c r="Q67" i="71" s="1"/>
  <c r="G128" i="71"/>
  <c r="K128" i="71"/>
  <c r="O128" i="71"/>
  <c r="J213" i="71"/>
  <c r="R26" i="71" l="1"/>
  <c r="AB182" i="6"/>
  <c r="AG182" i="6" s="1"/>
  <c r="X182" i="6"/>
  <c r="AI182" i="6"/>
  <c r="AA182" i="6"/>
  <c r="Z182" i="6"/>
  <c r="Y182" i="6"/>
  <c r="AF182" i="6" s="1"/>
  <c r="M182" i="6"/>
  <c r="Z142" i="6"/>
  <c r="Y142" i="6"/>
  <c r="AF142" i="6" s="1"/>
  <c r="M142" i="6"/>
  <c r="AB142" i="6"/>
  <c r="AG142" i="6" s="1"/>
  <c r="AA142" i="6"/>
  <c r="Y83" i="6"/>
  <c r="AF83" i="6" s="1"/>
  <c r="M83" i="6"/>
  <c r="AI83" i="6"/>
  <c r="AA83" i="6"/>
  <c r="Z83" i="6"/>
  <c r="AB83" i="6"/>
  <c r="AG83" i="6" s="1"/>
  <c r="X83" i="6"/>
  <c r="Y231" i="6"/>
  <c r="AF231" i="6" s="1"/>
  <c r="M231" i="6"/>
  <c r="AB231" i="6"/>
  <c r="AG231" i="6" s="1"/>
  <c r="X231" i="6"/>
  <c r="AI231" i="6"/>
  <c r="AA231" i="6"/>
  <c r="Z231" i="6"/>
  <c r="Y141" i="6"/>
  <c r="AF141" i="6" s="1"/>
  <c r="M141" i="6"/>
  <c r="AB141" i="6"/>
  <c r="AG141" i="6" s="1"/>
  <c r="X141" i="6"/>
  <c r="AI141" i="6"/>
  <c r="AA141" i="6"/>
  <c r="Z141" i="6"/>
  <c r="AI66" i="6"/>
  <c r="AA66" i="6"/>
  <c r="X66" i="6"/>
  <c r="X64" i="6" s="1"/>
  <c r="X62" i="6" s="1"/>
  <c r="AI62" i="6" s="1"/>
  <c r="AB66" i="6"/>
  <c r="AG66" i="6" s="1"/>
  <c r="Z66" i="6"/>
  <c r="Y66" i="6"/>
  <c r="AF66" i="6" s="1"/>
  <c r="M66" i="6"/>
  <c r="AB193" i="6"/>
  <c r="AG193" i="6" s="1"/>
  <c r="X193" i="6"/>
  <c r="AA193" i="6"/>
  <c r="AI193" i="6"/>
  <c r="Z193" i="6"/>
  <c r="Y193" i="6"/>
  <c r="AF193" i="6" s="1"/>
  <c r="M193" i="6"/>
  <c r="AI100" i="6"/>
  <c r="AA100" i="6"/>
  <c r="Z100" i="6"/>
  <c r="Y100" i="6"/>
  <c r="AF100" i="6" s="1"/>
  <c r="M100" i="6"/>
  <c r="AB100" i="6"/>
  <c r="AG100" i="6" s="1"/>
  <c r="X100" i="6"/>
  <c r="Z200" i="6"/>
  <c r="Y200" i="6"/>
  <c r="AF200" i="6" s="1"/>
  <c r="M200" i="6"/>
  <c r="AB200" i="6"/>
  <c r="AG200" i="6" s="1"/>
  <c r="X200" i="6"/>
  <c r="AI200" i="6"/>
  <c r="AA200" i="6"/>
  <c r="AI149" i="6"/>
  <c r="AA149" i="6"/>
  <c r="Z149" i="6"/>
  <c r="Y149" i="6"/>
  <c r="AF149" i="6" s="1"/>
  <c r="M149" i="6"/>
  <c r="AB149" i="6"/>
  <c r="AG149" i="6" s="1"/>
  <c r="X149" i="6"/>
  <c r="Z58" i="6"/>
  <c r="Y58" i="6"/>
  <c r="AF58" i="6" s="1"/>
  <c r="M58" i="6"/>
  <c r="AB58" i="6"/>
  <c r="AG58" i="6" s="1"/>
  <c r="X58" i="6"/>
  <c r="AI58" i="6"/>
  <c r="AA58" i="6"/>
  <c r="Z214" i="6"/>
  <c r="Y214" i="6"/>
  <c r="AF214" i="6" s="1"/>
  <c r="M214" i="6"/>
  <c r="AB214" i="6"/>
  <c r="AG214" i="6" s="1"/>
  <c r="X214" i="6"/>
  <c r="AI214" i="6"/>
  <c r="AA214" i="6"/>
  <c r="Z123" i="6"/>
  <c r="Y123" i="6"/>
  <c r="AF123" i="6" s="1"/>
  <c r="M123" i="6"/>
  <c r="AI123" i="6"/>
  <c r="AA123" i="6"/>
  <c r="AB123" i="6"/>
  <c r="AG123" i="6" s="1"/>
  <c r="X123" i="6"/>
  <c r="Z64" i="6"/>
  <c r="Y64" i="6"/>
  <c r="AF64" i="6" s="1"/>
  <c r="AB64" i="6"/>
  <c r="AG64" i="6" s="1"/>
  <c r="AA64" i="6"/>
  <c r="M64" i="6"/>
  <c r="Y213" i="6"/>
  <c r="AF213" i="6" s="1"/>
  <c r="M213" i="6"/>
  <c r="AB213" i="6"/>
  <c r="AG213" i="6" s="1"/>
  <c r="X213" i="6"/>
  <c r="X210" i="6" s="1"/>
  <c r="AI210" i="6" s="1"/>
  <c r="AI213" i="6"/>
  <c r="AA213" i="6"/>
  <c r="Z213" i="6"/>
  <c r="AB121" i="6"/>
  <c r="AG121" i="6" s="1"/>
  <c r="X121" i="6"/>
  <c r="AI121" i="6" s="1"/>
  <c r="Z121" i="6"/>
  <c r="M121" i="6"/>
  <c r="AA121" i="6"/>
  <c r="Y121" i="6"/>
  <c r="AF121" i="6" s="1"/>
  <c r="AB47" i="6"/>
  <c r="AG47" i="6" s="1"/>
  <c r="X47" i="6"/>
  <c r="AI47" i="6"/>
  <c r="AA47" i="6"/>
  <c r="Z47" i="6"/>
  <c r="Y47" i="6"/>
  <c r="AF47" i="6" s="1"/>
  <c r="M47" i="6"/>
  <c r="AB173" i="6"/>
  <c r="AG173" i="6" s="1"/>
  <c r="X173" i="6"/>
  <c r="AI173" i="6"/>
  <c r="AA173" i="6"/>
  <c r="Z173" i="6"/>
  <c r="Y173" i="6"/>
  <c r="AF173" i="6" s="1"/>
  <c r="M173" i="6"/>
  <c r="AI117" i="6"/>
  <c r="AA117" i="6"/>
  <c r="X117" i="6"/>
  <c r="AB117" i="6"/>
  <c r="AG117" i="6" s="1"/>
  <c r="Z117" i="6"/>
  <c r="Y117" i="6"/>
  <c r="AF117" i="6" s="1"/>
  <c r="M117" i="6"/>
  <c r="AI221" i="6"/>
  <c r="AA221" i="6"/>
  <c r="Z221" i="6"/>
  <c r="Y221" i="6"/>
  <c r="AF221" i="6" s="1"/>
  <c r="M221" i="6"/>
  <c r="AB221" i="6"/>
  <c r="AG221" i="6" s="1"/>
  <c r="X221" i="6"/>
  <c r="AA128" i="6"/>
  <c r="Z128" i="6"/>
  <c r="Y128" i="6"/>
  <c r="AF128" i="6" s="1"/>
  <c r="M128" i="6"/>
  <c r="AB128" i="6"/>
  <c r="AG128" i="6" s="1"/>
  <c r="Z40" i="6"/>
  <c r="AB40" i="6"/>
  <c r="AG40" i="6" s="1"/>
  <c r="X40" i="6"/>
  <c r="AI40" i="6"/>
  <c r="AA40" i="6"/>
  <c r="Y40" i="6"/>
  <c r="AF40" i="6" s="1"/>
  <c r="M40" i="6"/>
  <c r="AB198" i="6"/>
  <c r="AG198" i="6" s="1"/>
  <c r="X198" i="6"/>
  <c r="AI198" i="6"/>
  <c r="AA198" i="6"/>
  <c r="Z198" i="6"/>
  <c r="Y198" i="6"/>
  <c r="AF198" i="6" s="1"/>
  <c r="M198" i="6"/>
  <c r="Y147" i="6"/>
  <c r="AF147" i="6" s="1"/>
  <c r="M147" i="6"/>
  <c r="AB147" i="6"/>
  <c r="AG147" i="6" s="1"/>
  <c r="X147" i="6"/>
  <c r="AI147" i="6"/>
  <c r="AA147" i="6"/>
  <c r="Z147" i="6"/>
  <c r="AI75" i="6"/>
  <c r="AA75" i="6"/>
  <c r="X75" i="6"/>
  <c r="AB75" i="6"/>
  <c r="AG75" i="6" s="1"/>
  <c r="Z75" i="6"/>
  <c r="Y75" i="6"/>
  <c r="AF75" i="6" s="1"/>
  <c r="M75" i="6"/>
  <c r="AB177" i="6"/>
  <c r="AG177" i="6" s="1"/>
  <c r="X177" i="6"/>
  <c r="AI177" i="6"/>
  <c r="AA177" i="6"/>
  <c r="Z177" i="6"/>
  <c r="Y177" i="6"/>
  <c r="AF177" i="6" s="1"/>
  <c r="M177" i="6"/>
  <c r="AI85" i="6"/>
  <c r="AA85" i="6"/>
  <c r="Z85" i="6"/>
  <c r="Y85" i="6"/>
  <c r="AF85" i="6" s="1"/>
  <c r="M85" i="6"/>
  <c r="AB85" i="6"/>
  <c r="AG85" i="6" s="1"/>
  <c r="X85" i="6"/>
  <c r="Z204" i="6"/>
  <c r="Y204" i="6"/>
  <c r="AF204" i="6" s="1"/>
  <c r="M204" i="6"/>
  <c r="AB204" i="6"/>
  <c r="AG204" i="6" s="1"/>
  <c r="X204" i="6"/>
  <c r="AI204" i="6"/>
  <c r="AA204" i="6"/>
  <c r="AI155" i="6"/>
  <c r="AA155" i="6"/>
  <c r="Z155" i="6"/>
  <c r="Y155" i="6"/>
  <c r="AF155" i="6" s="1"/>
  <c r="M155" i="6"/>
  <c r="AB155" i="6"/>
  <c r="AG155" i="6" s="1"/>
  <c r="X155" i="6"/>
  <c r="Z62" i="6"/>
  <c r="Y62" i="6"/>
  <c r="AF62" i="6" s="1"/>
  <c r="M62" i="6"/>
  <c r="AB62" i="6"/>
  <c r="AG62" i="6" s="1"/>
  <c r="AA62" i="6"/>
  <c r="Y203" i="6"/>
  <c r="AF203" i="6" s="1"/>
  <c r="M203" i="6"/>
  <c r="AB203" i="6"/>
  <c r="AG203" i="6" s="1"/>
  <c r="X203" i="6"/>
  <c r="AI203" i="6"/>
  <c r="AA203" i="6"/>
  <c r="Z203" i="6"/>
  <c r="Z110" i="6"/>
  <c r="AB110" i="6"/>
  <c r="AG110" i="6" s="1"/>
  <c r="AA110" i="6"/>
  <c r="M110" i="6"/>
  <c r="AI110" i="6"/>
  <c r="Y110" i="6"/>
  <c r="AF110" i="6" s="1"/>
  <c r="X110" i="6"/>
  <c r="Z38" i="6"/>
  <c r="Y38" i="6"/>
  <c r="AF38" i="6" s="1"/>
  <c r="M38" i="6"/>
  <c r="AB38" i="6"/>
  <c r="AG38" i="6" s="1"/>
  <c r="X38" i="6"/>
  <c r="AI38" i="6"/>
  <c r="AA38" i="6"/>
  <c r="AI172" i="6"/>
  <c r="AA172" i="6"/>
  <c r="Z172" i="6"/>
  <c r="Y172" i="6"/>
  <c r="AF172" i="6" s="1"/>
  <c r="M172" i="6"/>
  <c r="AB172" i="6"/>
  <c r="AG172" i="6" s="1"/>
  <c r="X172" i="6"/>
  <c r="AB108" i="6"/>
  <c r="AG108" i="6" s="1"/>
  <c r="X108" i="6"/>
  <c r="AA108" i="6"/>
  <c r="AI108" i="6"/>
  <c r="Z108" i="6"/>
  <c r="M108" i="6"/>
  <c r="Y108" i="6"/>
  <c r="AF108" i="6" s="1"/>
  <c r="Z208" i="6"/>
  <c r="Y208" i="6"/>
  <c r="AF208" i="6" s="1"/>
  <c r="M208" i="6"/>
  <c r="AB208" i="6"/>
  <c r="AG208" i="6" s="1"/>
  <c r="X208" i="6"/>
  <c r="AI208" i="6"/>
  <c r="AA208" i="6"/>
  <c r="AI159" i="6"/>
  <c r="AA159" i="6"/>
  <c r="AB159" i="6"/>
  <c r="AG159" i="6" s="1"/>
  <c r="Z159" i="6"/>
  <c r="Y159" i="6"/>
  <c r="AF159" i="6" s="1"/>
  <c r="M159" i="6"/>
  <c r="X159" i="6"/>
  <c r="AA70" i="6"/>
  <c r="Z70" i="6"/>
  <c r="Y70" i="6"/>
  <c r="AF70" i="6" s="1"/>
  <c r="M70" i="6"/>
  <c r="AB70" i="6"/>
  <c r="AG70" i="6" s="1"/>
  <c r="Y227" i="6"/>
  <c r="AF227" i="6" s="1"/>
  <c r="M227" i="6"/>
  <c r="AB227" i="6"/>
  <c r="AG227" i="6" s="1"/>
  <c r="X227" i="6"/>
  <c r="AI227" i="6"/>
  <c r="AA227" i="6"/>
  <c r="Z227" i="6"/>
  <c r="Y136" i="6"/>
  <c r="AF136" i="6" s="1"/>
  <c r="M136" i="6"/>
  <c r="AB136" i="6"/>
  <c r="AG136" i="6" s="1"/>
  <c r="AA136" i="6"/>
  <c r="Z136" i="6"/>
  <c r="AB60" i="6"/>
  <c r="AG60" i="6" s="1"/>
  <c r="X60" i="6"/>
  <c r="AI60" i="6"/>
  <c r="AA60" i="6"/>
  <c r="Z60" i="6"/>
  <c r="Y60" i="6"/>
  <c r="AF60" i="6" s="1"/>
  <c r="M60" i="6"/>
  <c r="AB169" i="6"/>
  <c r="AG169" i="6" s="1"/>
  <c r="X169" i="6"/>
  <c r="AI169" i="6"/>
  <c r="AA169" i="6"/>
  <c r="Z169" i="6"/>
  <c r="Y169" i="6"/>
  <c r="AF169" i="6" s="1"/>
  <c r="M169" i="6"/>
  <c r="AI107" i="6"/>
  <c r="AA107" i="6"/>
  <c r="X107" i="6"/>
  <c r="AB107" i="6"/>
  <c r="AG107" i="6" s="1"/>
  <c r="Z107" i="6"/>
  <c r="Y107" i="6"/>
  <c r="AF107" i="6" s="1"/>
  <c r="M107" i="6"/>
  <c r="AI39" i="6"/>
  <c r="AA39" i="6"/>
  <c r="Z39" i="6"/>
  <c r="Y39" i="6"/>
  <c r="AF39" i="6" s="1"/>
  <c r="M39" i="6"/>
  <c r="AB39" i="6"/>
  <c r="AG39" i="6" s="1"/>
  <c r="X39" i="6"/>
  <c r="AB156" i="6"/>
  <c r="AG156" i="6" s="1"/>
  <c r="X156" i="6"/>
  <c r="Y156" i="6"/>
  <c r="AF156" i="6" s="1"/>
  <c r="AA156" i="6"/>
  <c r="AI156" i="6"/>
  <c r="Z156" i="6"/>
  <c r="M156" i="6"/>
  <c r="Y68" i="6"/>
  <c r="AF68" i="6" s="1"/>
  <c r="M68" i="6"/>
  <c r="AB68" i="6"/>
  <c r="AG68" i="6" s="1"/>
  <c r="AA68" i="6"/>
  <c r="AI68" i="6"/>
  <c r="Z68" i="6"/>
  <c r="X68" i="6"/>
  <c r="AA186" i="6"/>
  <c r="Z186" i="6"/>
  <c r="Y186" i="6"/>
  <c r="AF186" i="6" s="1"/>
  <c r="M186" i="6"/>
  <c r="AB186" i="6"/>
  <c r="AG186" i="6" s="1"/>
  <c r="Y119" i="6"/>
  <c r="AF119" i="6" s="1"/>
  <c r="M119" i="6"/>
  <c r="AB119" i="6"/>
  <c r="AG119" i="6" s="1"/>
  <c r="AA119" i="6"/>
  <c r="Z119" i="6"/>
  <c r="X119" i="6"/>
  <c r="AI119" i="6" s="1"/>
  <c r="AB30" i="6"/>
  <c r="AG30" i="6" s="1"/>
  <c r="X30" i="6"/>
  <c r="AI30" i="6"/>
  <c r="Z30" i="6"/>
  <c r="Y30" i="6"/>
  <c r="AF30" i="6" s="1"/>
  <c r="M30" i="6"/>
  <c r="AA30" i="6"/>
  <c r="Z154" i="6"/>
  <c r="Y154" i="6"/>
  <c r="AF154" i="6" s="1"/>
  <c r="M154" i="6"/>
  <c r="AB154" i="6"/>
  <c r="AG154" i="6" s="1"/>
  <c r="X154" i="6"/>
  <c r="AI154" i="6"/>
  <c r="AA154" i="6"/>
  <c r="Y93" i="6"/>
  <c r="AF93" i="6" s="1"/>
  <c r="M93" i="6"/>
  <c r="AB93" i="6"/>
  <c r="AG93" i="6" s="1"/>
  <c r="X93" i="6"/>
  <c r="X91" i="6" s="1"/>
  <c r="X89" i="6" s="1"/>
  <c r="AI89" i="6" s="1"/>
  <c r="AI93" i="6"/>
  <c r="AA93" i="6"/>
  <c r="Z93" i="6"/>
  <c r="AB202" i="6"/>
  <c r="AG202" i="6" s="1"/>
  <c r="X202" i="6"/>
  <c r="AI202" i="6"/>
  <c r="AA202" i="6"/>
  <c r="Z202" i="6"/>
  <c r="Y202" i="6"/>
  <c r="AF202" i="6" s="1"/>
  <c r="M202" i="6"/>
  <c r="Y152" i="6"/>
  <c r="AF152" i="6" s="1"/>
  <c r="M152" i="6"/>
  <c r="AB152" i="6"/>
  <c r="AG152" i="6" s="1"/>
  <c r="X152" i="6"/>
  <c r="AI152" i="6" s="1"/>
  <c r="AA152" i="6"/>
  <c r="Z152" i="6"/>
  <c r="AI29" i="6"/>
  <c r="AA29" i="6"/>
  <c r="Z29" i="6"/>
  <c r="Y29" i="6"/>
  <c r="AF29" i="6" s="1"/>
  <c r="M29" i="6"/>
  <c r="AB29" i="6"/>
  <c r="AG29" i="6" s="1"/>
  <c r="X29" i="6"/>
  <c r="AB216" i="6"/>
  <c r="AG216" i="6" s="1"/>
  <c r="X216" i="6"/>
  <c r="AI216" i="6"/>
  <c r="AA216" i="6"/>
  <c r="Z216" i="6"/>
  <c r="Y216" i="6"/>
  <c r="AF216" i="6" s="1"/>
  <c r="M216" i="6"/>
  <c r="AB134" i="6"/>
  <c r="AG134" i="6" s="1"/>
  <c r="AA134" i="6"/>
  <c r="Z134" i="6"/>
  <c r="Y134" i="6"/>
  <c r="AF134" i="6" s="1"/>
  <c r="M134" i="6"/>
  <c r="AI50" i="6"/>
  <c r="AA50" i="6"/>
  <c r="Z50" i="6"/>
  <c r="Y50" i="6"/>
  <c r="AF50" i="6" s="1"/>
  <c r="M50" i="6"/>
  <c r="AB50" i="6"/>
  <c r="AG50" i="6" s="1"/>
  <c r="X50" i="6"/>
  <c r="AI168" i="6"/>
  <c r="AA168" i="6"/>
  <c r="Z168" i="6"/>
  <c r="Y168" i="6"/>
  <c r="AF168" i="6" s="1"/>
  <c r="M168" i="6"/>
  <c r="AB168" i="6"/>
  <c r="AG168" i="6" s="1"/>
  <c r="X168" i="6"/>
  <c r="AI105" i="6"/>
  <c r="AA105" i="6"/>
  <c r="Z105" i="6"/>
  <c r="Y105" i="6"/>
  <c r="AF105" i="6" s="1"/>
  <c r="M105" i="6"/>
  <c r="AB105" i="6"/>
  <c r="AG105" i="6" s="1"/>
  <c r="X105" i="6"/>
  <c r="Z224" i="6"/>
  <c r="Y224" i="6"/>
  <c r="AF224" i="6" s="1"/>
  <c r="M224" i="6"/>
  <c r="AB224" i="6"/>
  <c r="AG224" i="6" s="1"/>
  <c r="X224" i="6"/>
  <c r="AI224" i="6"/>
  <c r="AA224" i="6"/>
  <c r="Z132" i="6"/>
  <c r="Y132" i="6"/>
  <c r="AF132" i="6" s="1"/>
  <c r="M132" i="6"/>
  <c r="AB132" i="6"/>
  <c r="AG132" i="6" s="1"/>
  <c r="X132" i="6"/>
  <c r="AI132" i="6"/>
  <c r="AA132" i="6"/>
  <c r="Z74" i="6"/>
  <c r="AI74" i="6"/>
  <c r="Y74" i="6"/>
  <c r="AF74" i="6" s="1"/>
  <c r="X74" i="6"/>
  <c r="AB74" i="6"/>
  <c r="AG74" i="6" s="1"/>
  <c r="AA74" i="6"/>
  <c r="M74" i="6"/>
  <c r="Y223" i="6"/>
  <c r="AF223" i="6" s="1"/>
  <c r="M223" i="6"/>
  <c r="AB223" i="6"/>
  <c r="AG223" i="6" s="1"/>
  <c r="X223" i="6"/>
  <c r="AI223" i="6"/>
  <c r="AA223" i="6"/>
  <c r="Z223" i="6"/>
  <c r="Y131" i="6"/>
  <c r="AF131" i="6" s="1"/>
  <c r="M131" i="6"/>
  <c r="AB131" i="6"/>
  <c r="AG131" i="6" s="1"/>
  <c r="X131" i="6"/>
  <c r="AI131" i="6"/>
  <c r="AA131" i="6"/>
  <c r="Z131" i="6"/>
  <c r="AB55" i="6"/>
  <c r="AG55" i="6" s="1"/>
  <c r="X55" i="6"/>
  <c r="AI55" i="6"/>
  <c r="AA55" i="6"/>
  <c r="Z55" i="6"/>
  <c r="Y55" i="6"/>
  <c r="AF55" i="6" s="1"/>
  <c r="M55" i="6"/>
  <c r="AI192" i="6"/>
  <c r="AA192" i="6"/>
  <c r="Z192" i="6"/>
  <c r="Y192" i="6"/>
  <c r="AF192" i="6" s="1"/>
  <c r="M192" i="6"/>
  <c r="AB192" i="6"/>
  <c r="AG192" i="6" s="1"/>
  <c r="X192" i="6"/>
  <c r="Z80" i="6"/>
  <c r="AB80" i="6"/>
  <c r="AG80" i="6" s="1"/>
  <c r="X80" i="6"/>
  <c r="AI80" i="6"/>
  <c r="AA80" i="6"/>
  <c r="M80" i="6"/>
  <c r="Y80" i="6"/>
  <c r="AF80" i="6" s="1"/>
  <c r="Z228" i="6"/>
  <c r="Y228" i="6"/>
  <c r="AF228" i="6" s="1"/>
  <c r="M228" i="6"/>
  <c r="AB228" i="6"/>
  <c r="AG228" i="6" s="1"/>
  <c r="X228" i="6"/>
  <c r="AI228" i="6"/>
  <c r="AA228" i="6"/>
  <c r="Z138" i="6"/>
  <c r="Y138" i="6"/>
  <c r="AF138" i="6" s="1"/>
  <c r="M138" i="6"/>
  <c r="AB138" i="6"/>
  <c r="AG138" i="6" s="1"/>
  <c r="X138" i="6"/>
  <c r="X136" i="6" s="1"/>
  <c r="X134" i="6" s="1"/>
  <c r="AI134" i="6" s="1"/>
  <c r="AI138" i="6"/>
  <c r="AA138" i="6"/>
  <c r="Y79" i="6"/>
  <c r="AF79" i="6" s="1"/>
  <c r="M79" i="6"/>
  <c r="AI79" i="6"/>
  <c r="AA79" i="6"/>
  <c r="Z79" i="6"/>
  <c r="AB79" i="6"/>
  <c r="AG79" i="6" s="1"/>
  <c r="X79" i="6"/>
  <c r="AB206" i="6"/>
  <c r="AG206" i="6" s="1"/>
  <c r="X206" i="6"/>
  <c r="AI206" i="6"/>
  <c r="AA206" i="6"/>
  <c r="Z206" i="6"/>
  <c r="Y206" i="6"/>
  <c r="AF206" i="6" s="1"/>
  <c r="M206" i="6"/>
  <c r="AI163" i="6"/>
  <c r="AA163" i="6"/>
  <c r="Y163" i="6"/>
  <c r="AF163" i="6" s="1"/>
  <c r="M163" i="6"/>
  <c r="X163" i="6"/>
  <c r="AB163" i="6"/>
  <c r="AG163" i="6" s="1"/>
  <c r="Z163" i="6"/>
  <c r="AI41" i="6"/>
  <c r="AA41" i="6"/>
  <c r="Z41" i="6"/>
  <c r="Y41" i="6"/>
  <c r="AF41" i="6" s="1"/>
  <c r="M41" i="6"/>
  <c r="AB41" i="6"/>
  <c r="AG41" i="6" s="1"/>
  <c r="X41" i="6"/>
  <c r="AB189" i="6"/>
  <c r="AG189" i="6" s="1"/>
  <c r="X189" i="6"/>
  <c r="X186" i="6" s="1"/>
  <c r="X184" i="6" s="1"/>
  <c r="AI184" i="6" s="1"/>
  <c r="AI189" i="6"/>
  <c r="AA189" i="6"/>
  <c r="Z189" i="6"/>
  <c r="Y189" i="6"/>
  <c r="AF189" i="6" s="1"/>
  <c r="M189" i="6"/>
  <c r="AI95" i="6"/>
  <c r="AA95" i="6"/>
  <c r="Z95" i="6"/>
  <c r="Y95" i="6"/>
  <c r="AF95" i="6" s="1"/>
  <c r="M95" i="6"/>
  <c r="AB95" i="6"/>
  <c r="AG95" i="6" s="1"/>
  <c r="X95" i="6"/>
  <c r="AB33" i="6"/>
  <c r="AG33" i="6" s="1"/>
  <c r="X33" i="6"/>
  <c r="AI33" i="6"/>
  <c r="AA33" i="6"/>
  <c r="Z33" i="6"/>
  <c r="Y33" i="6"/>
  <c r="AF33" i="6" s="1"/>
  <c r="M33" i="6"/>
  <c r="Y161" i="6"/>
  <c r="AF161" i="6" s="1"/>
  <c r="M161" i="6"/>
  <c r="AA161" i="6"/>
  <c r="AI161" i="6"/>
  <c r="Z161" i="6"/>
  <c r="X161" i="6"/>
  <c r="AB161" i="6"/>
  <c r="AG161" i="6" s="1"/>
  <c r="Y102" i="6"/>
  <c r="AF102" i="6" s="1"/>
  <c r="M102" i="6"/>
  <c r="AB102" i="6"/>
  <c r="AG102" i="6" s="1"/>
  <c r="AA102" i="6"/>
  <c r="Z102" i="6"/>
  <c r="AB210" i="6"/>
  <c r="AG210" i="6" s="1"/>
  <c r="AA210" i="6"/>
  <c r="Z210" i="6"/>
  <c r="Y210" i="6"/>
  <c r="AF210" i="6" s="1"/>
  <c r="M210" i="6"/>
  <c r="AB130" i="6"/>
  <c r="AG130" i="6" s="1"/>
  <c r="X130" i="6"/>
  <c r="X128" i="6" s="1"/>
  <c r="AI128" i="6" s="1"/>
  <c r="AI130" i="6"/>
  <c r="AA130" i="6"/>
  <c r="Z130" i="6"/>
  <c r="Y130" i="6"/>
  <c r="AF130" i="6" s="1"/>
  <c r="M130" i="6"/>
  <c r="AI46" i="6"/>
  <c r="AA46" i="6"/>
  <c r="Z46" i="6"/>
  <c r="Y46" i="6"/>
  <c r="AF46" i="6" s="1"/>
  <c r="M46" i="6"/>
  <c r="AB46" i="6"/>
  <c r="AG46" i="6" s="1"/>
  <c r="X46" i="6"/>
  <c r="AI181" i="6"/>
  <c r="AA181" i="6"/>
  <c r="Z181" i="6"/>
  <c r="Y181" i="6"/>
  <c r="AF181" i="6" s="1"/>
  <c r="M181" i="6"/>
  <c r="AB181" i="6"/>
  <c r="AG181" i="6" s="1"/>
  <c r="X181" i="6"/>
  <c r="X179" i="6" s="1"/>
  <c r="AI179" i="6" s="1"/>
  <c r="AB118" i="6"/>
  <c r="AG118" i="6" s="1"/>
  <c r="X118" i="6"/>
  <c r="AA118" i="6"/>
  <c r="AI118" i="6"/>
  <c r="Z118" i="6"/>
  <c r="M118" i="6"/>
  <c r="Y118" i="6"/>
  <c r="AF118" i="6" s="1"/>
  <c r="Z218" i="6"/>
  <c r="Y218" i="6"/>
  <c r="AF218" i="6" s="1"/>
  <c r="M218" i="6"/>
  <c r="AB218" i="6"/>
  <c r="AG218" i="6" s="1"/>
  <c r="X218" i="6"/>
  <c r="AI218" i="6" s="1"/>
  <c r="AA218" i="6"/>
  <c r="Z127" i="6"/>
  <c r="Y127" i="6"/>
  <c r="AF127" i="6" s="1"/>
  <c r="M127" i="6"/>
  <c r="AB127" i="6"/>
  <c r="AG127" i="6" s="1"/>
  <c r="X127" i="6"/>
  <c r="AI127" i="6"/>
  <c r="AA127" i="6"/>
  <c r="Z69" i="6"/>
  <c r="AB69" i="6"/>
  <c r="AG69" i="6" s="1"/>
  <c r="AA69" i="6"/>
  <c r="M69" i="6"/>
  <c r="AI69" i="6"/>
  <c r="Y69" i="6"/>
  <c r="AF69" i="6" s="1"/>
  <c r="X69" i="6"/>
  <c r="AA196" i="6"/>
  <c r="Z196" i="6"/>
  <c r="Y196" i="6"/>
  <c r="AF196" i="6" s="1"/>
  <c r="M196" i="6"/>
  <c r="AB196" i="6"/>
  <c r="AG196" i="6" s="1"/>
  <c r="X196" i="6"/>
  <c r="AI196" i="6" s="1"/>
  <c r="Y199" i="6"/>
  <c r="AF199" i="6" s="1"/>
  <c r="M199" i="6"/>
  <c r="AB199" i="6"/>
  <c r="AG199" i="6" s="1"/>
  <c r="X199" i="6"/>
  <c r="AI199" i="6"/>
  <c r="AA199" i="6"/>
  <c r="Z199" i="6"/>
  <c r="Z106" i="6"/>
  <c r="AI106" i="6"/>
  <c r="Y106" i="6"/>
  <c r="AF106" i="6" s="1"/>
  <c r="X106" i="6"/>
  <c r="AB106" i="6"/>
  <c r="AG106" i="6" s="1"/>
  <c r="AA106" i="6"/>
  <c r="M106" i="6"/>
  <c r="Y56" i="6"/>
  <c r="AF56" i="6" s="1"/>
  <c r="M56" i="6"/>
  <c r="AB56" i="6"/>
  <c r="AG56" i="6" s="1"/>
  <c r="X56" i="6"/>
  <c r="AI56" i="6" s="1"/>
  <c r="AA56" i="6"/>
  <c r="Z56" i="6"/>
  <c r="AB166" i="6"/>
  <c r="AG166" i="6" s="1"/>
  <c r="X166" i="6"/>
  <c r="AI166" i="6"/>
  <c r="AA166" i="6"/>
  <c r="Z166" i="6"/>
  <c r="Y166" i="6"/>
  <c r="AF166" i="6" s="1"/>
  <c r="M166" i="6"/>
  <c r="AB78" i="6"/>
  <c r="AG78" i="6" s="1"/>
  <c r="X78" i="6"/>
  <c r="Z78" i="6"/>
  <c r="Y78" i="6"/>
  <c r="AF78" i="6" s="1"/>
  <c r="M78" i="6"/>
  <c r="AI78" i="6"/>
  <c r="AA78" i="6"/>
  <c r="AI205" i="6"/>
  <c r="AA205" i="6"/>
  <c r="Z205" i="6"/>
  <c r="Y205" i="6"/>
  <c r="AF205" i="6" s="1"/>
  <c r="M205" i="6"/>
  <c r="AB205" i="6"/>
  <c r="AG205" i="6" s="1"/>
  <c r="X205" i="6"/>
  <c r="AB164" i="6"/>
  <c r="AG164" i="6" s="1"/>
  <c r="X164" i="6"/>
  <c r="Y164" i="6"/>
  <c r="AF164" i="6" s="1"/>
  <c r="AA164" i="6"/>
  <c r="AI164" i="6"/>
  <c r="Z164" i="6"/>
  <c r="M164" i="6"/>
  <c r="AI81" i="6"/>
  <c r="AA81" i="6"/>
  <c r="Y81" i="6"/>
  <c r="AF81" i="6" s="1"/>
  <c r="M81" i="6"/>
  <c r="AB81" i="6"/>
  <c r="AG81" i="6" s="1"/>
  <c r="X81" i="6"/>
  <c r="Z81" i="6"/>
  <c r="Z167" i="6"/>
  <c r="Y167" i="6"/>
  <c r="AF167" i="6" s="1"/>
  <c r="M167" i="6"/>
  <c r="AB167" i="6"/>
  <c r="AG167" i="6" s="1"/>
  <c r="X167" i="6"/>
  <c r="AI167" i="6"/>
  <c r="AA167" i="6"/>
  <c r="Z84" i="6"/>
  <c r="AB84" i="6"/>
  <c r="AG84" i="6" s="1"/>
  <c r="X84" i="6"/>
  <c r="AI84" i="6"/>
  <c r="AA84" i="6"/>
  <c r="Y84" i="6"/>
  <c r="AF84" i="6" s="1"/>
  <c r="M84" i="6"/>
  <c r="Y44" i="6"/>
  <c r="AF44" i="6" s="1"/>
  <c r="M44" i="6"/>
  <c r="AB44" i="6"/>
  <c r="AG44" i="6" s="1"/>
  <c r="X44" i="6"/>
  <c r="AI44" i="6"/>
  <c r="AA44" i="6"/>
  <c r="Z44" i="6"/>
  <c r="Z179" i="6"/>
  <c r="Y179" i="6"/>
  <c r="AF179" i="6" s="1"/>
  <c r="M179" i="6"/>
  <c r="AB179" i="6"/>
  <c r="AG179" i="6" s="1"/>
  <c r="AA179" i="6"/>
  <c r="Z99" i="6"/>
  <c r="Y99" i="6"/>
  <c r="AF99" i="6" s="1"/>
  <c r="M99" i="6"/>
  <c r="AB99" i="6"/>
  <c r="AG99" i="6" s="1"/>
  <c r="X99" i="6"/>
  <c r="AI99" i="6"/>
  <c r="AA99" i="6"/>
  <c r="Y37" i="6"/>
  <c r="AF37" i="6" s="1"/>
  <c r="M37" i="6"/>
  <c r="AB37" i="6"/>
  <c r="AG37" i="6" s="1"/>
  <c r="X37" i="6"/>
  <c r="AI37" i="6"/>
  <c r="AA37" i="6"/>
  <c r="Z37" i="6"/>
  <c r="AB160" i="6"/>
  <c r="AG160" i="6" s="1"/>
  <c r="X160" i="6"/>
  <c r="AA160" i="6"/>
  <c r="AI160" i="6"/>
  <c r="Z160" i="6"/>
  <c r="M160" i="6"/>
  <c r="Y160" i="6"/>
  <c r="AF160" i="6" s="1"/>
  <c r="Y98" i="6"/>
  <c r="AF98" i="6" s="1"/>
  <c r="M98" i="6"/>
  <c r="AB98" i="6"/>
  <c r="AG98" i="6" s="1"/>
  <c r="X98" i="6"/>
  <c r="X96" i="6" s="1"/>
  <c r="AI96" i="6" s="1"/>
  <c r="AI98" i="6"/>
  <c r="AA98" i="6"/>
  <c r="Z98" i="6"/>
  <c r="AB226" i="6"/>
  <c r="AG226" i="6" s="1"/>
  <c r="X226" i="6"/>
  <c r="AI226" i="6"/>
  <c r="AA226" i="6"/>
  <c r="Z226" i="6"/>
  <c r="Y226" i="6"/>
  <c r="AF226" i="6" s="1"/>
  <c r="M226" i="6"/>
  <c r="AB146" i="6"/>
  <c r="AG146" i="6" s="1"/>
  <c r="X146" i="6"/>
  <c r="X144" i="6" s="1"/>
  <c r="X142" i="6" s="1"/>
  <c r="AI142" i="6" s="1"/>
  <c r="AI146" i="6"/>
  <c r="AA146" i="6"/>
  <c r="Z146" i="6"/>
  <c r="Y146" i="6"/>
  <c r="AF146" i="6" s="1"/>
  <c r="M146" i="6"/>
  <c r="AI59" i="6"/>
  <c r="AA59" i="6"/>
  <c r="Z59" i="6"/>
  <c r="Y59" i="6"/>
  <c r="AF59" i="6" s="1"/>
  <c r="M59" i="6"/>
  <c r="AB59" i="6"/>
  <c r="AG59" i="6" s="1"/>
  <c r="X59" i="6"/>
  <c r="AI176" i="6"/>
  <c r="AA176" i="6"/>
  <c r="Z176" i="6"/>
  <c r="Y176" i="6"/>
  <c r="AF176" i="6" s="1"/>
  <c r="M176" i="6"/>
  <c r="AB176" i="6"/>
  <c r="AG176" i="6" s="1"/>
  <c r="X176" i="6"/>
  <c r="Y109" i="6"/>
  <c r="AF109" i="6" s="1"/>
  <c r="M109" i="6"/>
  <c r="AB109" i="6"/>
  <c r="AG109" i="6" s="1"/>
  <c r="AA109" i="6"/>
  <c r="AI109" i="6"/>
  <c r="Z109" i="6"/>
  <c r="X109" i="6"/>
  <c r="Y35" i="6"/>
  <c r="AF35" i="6" s="1"/>
  <c r="M35" i="6"/>
  <c r="AB35" i="6"/>
  <c r="AG35" i="6" s="1"/>
  <c r="X35" i="6"/>
  <c r="AI35" i="6" s="1"/>
  <c r="AA35" i="6"/>
  <c r="Z35" i="6"/>
  <c r="Y170" i="6"/>
  <c r="AF170" i="6" s="1"/>
  <c r="M170" i="6"/>
  <c r="AB170" i="6"/>
  <c r="AG170" i="6" s="1"/>
  <c r="X170" i="6"/>
  <c r="AI170" i="6"/>
  <c r="AA170" i="6"/>
  <c r="Z170" i="6"/>
  <c r="AB82" i="6"/>
  <c r="AG82" i="6" s="1"/>
  <c r="X82" i="6"/>
  <c r="Z82" i="6"/>
  <c r="Y82" i="6"/>
  <c r="AF82" i="6" s="1"/>
  <c r="M82" i="6"/>
  <c r="AA82" i="6"/>
  <c r="AI82" i="6"/>
  <c r="AB230" i="6"/>
  <c r="AG230" i="6" s="1"/>
  <c r="X230" i="6"/>
  <c r="AI230" i="6"/>
  <c r="AA230" i="6"/>
  <c r="Z230" i="6"/>
  <c r="Y230" i="6"/>
  <c r="AF230" i="6" s="1"/>
  <c r="M230" i="6"/>
  <c r="AB150" i="6"/>
  <c r="AG150" i="6" s="1"/>
  <c r="X150" i="6"/>
  <c r="AI150" i="6" s="1"/>
  <c r="AA150" i="6"/>
  <c r="Z150" i="6"/>
  <c r="Y150" i="6"/>
  <c r="AF150" i="6" s="1"/>
  <c r="M150" i="6"/>
  <c r="AB67" i="6"/>
  <c r="AG67" i="6" s="1"/>
  <c r="X67" i="6"/>
  <c r="AA67" i="6"/>
  <c r="AI67" i="6"/>
  <c r="Z67" i="6"/>
  <c r="M67" i="6"/>
  <c r="Y67" i="6"/>
  <c r="AF67" i="6" s="1"/>
  <c r="Z171" i="6"/>
  <c r="Y171" i="6"/>
  <c r="AF171" i="6" s="1"/>
  <c r="M171" i="6"/>
  <c r="AB171" i="6"/>
  <c r="AG171" i="6" s="1"/>
  <c r="X171" i="6"/>
  <c r="AI171" i="6"/>
  <c r="AA171" i="6"/>
  <c r="Z88" i="6"/>
  <c r="Y88" i="6"/>
  <c r="AF88" i="6" s="1"/>
  <c r="M88" i="6"/>
  <c r="AB88" i="6"/>
  <c r="AG88" i="6" s="1"/>
  <c r="X88" i="6"/>
  <c r="AI88" i="6"/>
  <c r="AA88" i="6"/>
  <c r="Y48" i="6"/>
  <c r="AF48" i="6" s="1"/>
  <c r="M48" i="6"/>
  <c r="AB48" i="6"/>
  <c r="AG48" i="6" s="1"/>
  <c r="X48" i="6"/>
  <c r="AI48" i="6"/>
  <c r="AA48" i="6"/>
  <c r="Z48" i="6"/>
  <c r="Z148" i="6"/>
  <c r="Y148" i="6"/>
  <c r="AF148" i="6" s="1"/>
  <c r="M148" i="6"/>
  <c r="AB148" i="6"/>
  <c r="AG148" i="6" s="1"/>
  <c r="X148" i="6"/>
  <c r="AI148" i="6"/>
  <c r="AA148" i="6"/>
  <c r="Y87" i="6"/>
  <c r="AF87" i="6" s="1"/>
  <c r="M87" i="6"/>
  <c r="AB87" i="6"/>
  <c r="AG87" i="6" s="1"/>
  <c r="X87" i="6"/>
  <c r="AI87" i="6"/>
  <c r="AA87" i="6"/>
  <c r="Z87" i="6"/>
  <c r="AI215" i="6"/>
  <c r="AA215" i="6"/>
  <c r="Z215" i="6"/>
  <c r="Y215" i="6"/>
  <c r="AF215" i="6" s="1"/>
  <c r="M215" i="6"/>
  <c r="AB215" i="6"/>
  <c r="AG215" i="6" s="1"/>
  <c r="X215" i="6"/>
  <c r="AI124" i="6"/>
  <c r="AA124" i="6"/>
  <c r="Z124" i="6"/>
  <c r="AB124" i="6"/>
  <c r="AG124" i="6" s="1"/>
  <c r="X124" i="6"/>
  <c r="M124" i="6"/>
  <c r="Y124" i="6"/>
  <c r="AF124" i="6" s="1"/>
  <c r="Z31" i="6"/>
  <c r="Y31" i="6"/>
  <c r="AF31" i="6" s="1"/>
  <c r="M31" i="6"/>
  <c r="AB31" i="6"/>
  <c r="AG31" i="6" s="1"/>
  <c r="AI31" i="6"/>
  <c r="AA31" i="6"/>
  <c r="X31" i="6"/>
  <c r="Z175" i="6"/>
  <c r="Y175" i="6"/>
  <c r="AF175" i="6" s="1"/>
  <c r="M175" i="6"/>
  <c r="AB175" i="6"/>
  <c r="AG175" i="6" s="1"/>
  <c r="X175" i="6"/>
  <c r="AI175" i="6"/>
  <c r="AA175" i="6"/>
  <c r="Z94" i="6"/>
  <c r="Y94" i="6"/>
  <c r="AF94" i="6" s="1"/>
  <c r="M94" i="6"/>
  <c r="AB94" i="6"/>
  <c r="AG94" i="6" s="1"/>
  <c r="X94" i="6"/>
  <c r="AI94" i="6"/>
  <c r="AA94" i="6"/>
  <c r="Y52" i="6"/>
  <c r="AF52" i="6" s="1"/>
  <c r="M52" i="6"/>
  <c r="AB52" i="6"/>
  <c r="AG52" i="6" s="1"/>
  <c r="X52" i="6"/>
  <c r="AI52" i="6"/>
  <c r="AA52" i="6"/>
  <c r="Z52" i="6"/>
  <c r="Z162" i="6"/>
  <c r="AA162" i="6"/>
  <c r="M162" i="6"/>
  <c r="AI162" i="6"/>
  <c r="Y162" i="6"/>
  <c r="AF162" i="6" s="1"/>
  <c r="X162" i="6"/>
  <c r="AB162" i="6"/>
  <c r="AG162" i="6" s="1"/>
  <c r="Y115" i="6"/>
  <c r="AF115" i="6" s="1"/>
  <c r="M115" i="6"/>
  <c r="AI115" i="6"/>
  <c r="Z115" i="6"/>
  <c r="X115" i="6"/>
  <c r="AB115" i="6"/>
  <c r="AG115" i="6" s="1"/>
  <c r="AA115" i="6"/>
  <c r="AB222" i="6"/>
  <c r="AG222" i="6" s="1"/>
  <c r="X222" i="6"/>
  <c r="AI222" i="6"/>
  <c r="AA222" i="6"/>
  <c r="Z222" i="6"/>
  <c r="Y222" i="6"/>
  <c r="AF222" i="6" s="1"/>
  <c r="M222" i="6"/>
  <c r="AB140" i="6"/>
  <c r="AG140" i="6" s="1"/>
  <c r="X140" i="6"/>
  <c r="AI140" i="6"/>
  <c r="AA140" i="6"/>
  <c r="Z140" i="6"/>
  <c r="Y140" i="6"/>
  <c r="AF140" i="6" s="1"/>
  <c r="M140" i="6"/>
  <c r="AI54" i="6"/>
  <c r="AA54" i="6"/>
  <c r="Z54" i="6"/>
  <c r="Y54" i="6"/>
  <c r="AF54" i="6" s="1"/>
  <c r="M54" i="6"/>
  <c r="AB54" i="6"/>
  <c r="AG54" i="6" s="1"/>
  <c r="X54" i="6"/>
  <c r="AA89" i="6"/>
  <c r="Z89" i="6"/>
  <c r="Y89" i="6"/>
  <c r="AF89" i="6" s="1"/>
  <c r="M89" i="6"/>
  <c r="AB89" i="6"/>
  <c r="AG89" i="6" s="1"/>
  <c r="AI229" i="6"/>
  <c r="AA229" i="6"/>
  <c r="Z229" i="6"/>
  <c r="Y229" i="6"/>
  <c r="AF229" i="6" s="1"/>
  <c r="M229" i="6"/>
  <c r="AB229" i="6"/>
  <c r="AG229" i="6" s="1"/>
  <c r="X229" i="6"/>
  <c r="AI139" i="6"/>
  <c r="AA139" i="6"/>
  <c r="Z139" i="6"/>
  <c r="Y139" i="6"/>
  <c r="AF139" i="6" s="1"/>
  <c r="M139" i="6"/>
  <c r="AB139" i="6"/>
  <c r="AG139" i="6" s="1"/>
  <c r="X139" i="6"/>
  <c r="Z49" i="6"/>
  <c r="Y49" i="6"/>
  <c r="AF49" i="6" s="1"/>
  <c r="M49" i="6"/>
  <c r="AB49" i="6"/>
  <c r="AG49" i="6" s="1"/>
  <c r="X49" i="6"/>
  <c r="AI49" i="6"/>
  <c r="AA49" i="6"/>
  <c r="Y207" i="6"/>
  <c r="AF207" i="6" s="1"/>
  <c r="M207" i="6"/>
  <c r="AB207" i="6"/>
  <c r="AG207" i="6" s="1"/>
  <c r="X207" i="6"/>
  <c r="AI207" i="6"/>
  <c r="AA207" i="6"/>
  <c r="Z207" i="6"/>
  <c r="Z116" i="6"/>
  <c r="AI116" i="6"/>
  <c r="Y116" i="6"/>
  <c r="AF116" i="6" s="1"/>
  <c r="X116" i="6"/>
  <c r="AB116" i="6"/>
  <c r="AG116" i="6" s="1"/>
  <c r="AA116" i="6"/>
  <c r="M116" i="6"/>
  <c r="AB42" i="6"/>
  <c r="AG42" i="6" s="1"/>
  <c r="X42" i="6"/>
  <c r="AI42" i="6" s="1"/>
  <c r="AA42" i="6"/>
  <c r="Z42" i="6"/>
  <c r="Y42" i="6"/>
  <c r="AF42" i="6" s="1"/>
  <c r="M42" i="6"/>
  <c r="Y174" i="6"/>
  <c r="AF174" i="6" s="1"/>
  <c r="M174" i="6"/>
  <c r="AB174" i="6"/>
  <c r="AG174" i="6" s="1"/>
  <c r="X174" i="6"/>
  <c r="AI174" i="6"/>
  <c r="AA174" i="6"/>
  <c r="Z174" i="6"/>
  <c r="AB86" i="6"/>
  <c r="AG86" i="6" s="1"/>
  <c r="X86" i="6"/>
  <c r="AI86" i="6"/>
  <c r="AA86" i="6"/>
  <c r="Z86" i="6"/>
  <c r="Y86" i="6"/>
  <c r="AF86" i="6" s="1"/>
  <c r="M86" i="6"/>
  <c r="Y34" i="6"/>
  <c r="AF34" i="6" s="1"/>
  <c r="M34" i="6"/>
  <c r="AB34" i="6"/>
  <c r="AG34" i="6" s="1"/>
  <c r="X34" i="6"/>
  <c r="AI34" i="6"/>
  <c r="AA34" i="6"/>
  <c r="Z34" i="6"/>
  <c r="Y190" i="6"/>
  <c r="AF190" i="6" s="1"/>
  <c r="M190" i="6"/>
  <c r="AB190" i="6"/>
  <c r="AG190" i="6" s="1"/>
  <c r="X190" i="6"/>
  <c r="AI190" i="6"/>
  <c r="AA190" i="6"/>
  <c r="Z190" i="6"/>
  <c r="AB101" i="6"/>
  <c r="AG101" i="6" s="1"/>
  <c r="X101" i="6"/>
  <c r="AI101" i="6"/>
  <c r="AA101" i="6"/>
  <c r="Z101" i="6"/>
  <c r="Y101" i="6"/>
  <c r="AF101" i="6" s="1"/>
  <c r="M101" i="6"/>
  <c r="AI209" i="6"/>
  <c r="AA209" i="6"/>
  <c r="Z209" i="6"/>
  <c r="Y209" i="6"/>
  <c r="AF209" i="6" s="1"/>
  <c r="M209" i="6"/>
  <c r="AB209" i="6"/>
  <c r="AG209" i="6" s="1"/>
  <c r="X209" i="6"/>
  <c r="AI165" i="6"/>
  <c r="Y165" i="6"/>
  <c r="AF165" i="6" s="1"/>
  <c r="M165" i="6"/>
  <c r="X165" i="6"/>
  <c r="AB165" i="6"/>
  <c r="AG165" i="6" s="1"/>
  <c r="AA165" i="6"/>
  <c r="Z165" i="6"/>
  <c r="AI32" i="6"/>
  <c r="AA32" i="6"/>
  <c r="Z32" i="6"/>
  <c r="Y32" i="6"/>
  <c r="AF32" i="6" s="1"/>
  <c r="AB32" i="6"/>
  <c r="AG32" i="6" s="1"/>
  <c r="X32" i="6"/>
  <c r="M32" i="6"/>
  <c r="Z191" i="6"/>
  <c r="Y191" i="6"/>
  <c r="AF191" i="6" s="1"/>
  <c r="M191" i="6"/>
  <c r="AB191" i="6"/>
  <c r="AG191" i="6" s="1"/>
  <c r="X191" i="6"/>
  <c r="AI191" i="6"/>
  <c r="AA191" i="6"/>
  <c r="AA111" i="6"/>
  <c r="Z111" i="6"/>
  <c r="Y111" i="6"/>
  <c r="AF111" i="6" s="1"/>
  <c r="M111" i="6"/>
  <c r="AB111" i="6"/>
  <c r="AG111" i="6" s="1"/>
  <c r="AB72" i="6"/>
  <c r="AG72" i="6" s="1"/>
  <c r="X72" i="6"/>
  <c r="X70" i="6" s="1"/>
  <c r="AI70" i="6" s="1"/>
  <c r="AI72" i="6"/>
  <c r="Z72" i="6"/>
  <c r="M72" i="6"/>
  <c r="Y72" i="6"/>
  <c r="AF72" i="6" s="1"/>
  <c r="AA72" i="6"/>
  <c r="Z158" i="6"/>
  <c r="X158" i="6"/>
  <c r="AB158" i="6"/>
  <c r="AG158" i="6" s="1"/>
  <c r="AA158" i="6"/>
  <c r="M158" i="6"/>
  <c r="AI158" i="6"/>
  <c r="Y158" i="6"/>
  <c r="AF158" i="6" s="1"/>
  <c r="AB113" i="6"/>
  <c r="AG113" i="6" s="1"/>
  <c r="X113" i="6"/>
  <c r="X111" i="6" s="1"/>
  <c r="AI111" i="6" s="1"/>
  <c r="Z113" i="6"/>
  <c r="M113" i="6"/>
  <c r="Y113" i="6"/>
  <c r="AF113" i="6" s="1"/>
  <c r="AA113" i="6"/>
  <c r="AI233" i="6"/>
  <c r="AA233" i="6"/>
  <c r="Z233" i="6"/>
  <c r="Y233" i="6"/>
  <c r="AF233" i="6" s="1"/>
  <c r="M233" i="6"/>
  <c r="AB233" i="6"/>
  <c r="AG233" i="6" s="1"/>
  <c r="X233" i="6"/>
  <c r="AI144" i="6"/>
  <c r="AA144" i="6"/>
  <c r="Z144" i="6"/>
  <c r="Y144" i="6"/>
  <c r="AF144" i="6" s="1"/>
  <c r="M144" i="6"/>
  <c r="AB144" i="6"/>
  <c r="AG144" i="6" s="1"/>
  <c r="Z53" i="6"/>
  <c r="Y53" i="6"/>
  <c r="AF53" i="6" s="1"/>
  <c r="M53" i="6"/>
  <c r="AB53" i="6"/>
  <c r="AG53" i="6" s="1"/>
  <c r="X53" i="6"/>
  <c r="AI53" i="6"/>
  <c r="AA53" i="6"/>
  <c r="Z194" i="6"/>
  <c r="AB194" i="6"/>
  <c r="AG194" i="6" s="1"/>
  <c r="X194" i="6"/>
  <c r="AI194" i="6" s="1"/>
  <c r="AA194" i="6"/>
  <c r="M194" i="6"/>
  <c r="Y194" i="6"/>
  <c r="AF194" i="6" s="1"/>
  <c r="AB125" i="6"/>
  <c r="AG125" i="6" s="1"/>
  <c r="X125" i="6"/>
  <c r="AI125" i="6"/>
  <c r="AA125" i="6"/>
  <c r="Z125" i="6"/>
  <c r="Y125" i="6"/>
  <c r="AF125" i="6" s="1"/>
  <c r="M125" i="6"/>
  <c r="Y73" i="6"/>
  <c r="AF73" i="6" s="1"/>
  <c r="M73" i="6"/>
  <c r="AI73" i="6"/>
  <c r="Z73" i="6"/>
  <c r="X73" i="6"/>
  <c r="AB73" i="6"/>
  <c r="AG73" i="6" s="1"/>
  <c r="AA73" i="6"/>
  <c r="Y178" i="6"/>
  <c r="AF178" i="6" s="1"/>
  <c r="M178" i="6"/>
  <c r="AB178" i="6"/>
  <c r="AG178" i="6" s="1"/>
  <c r="X178" i="6"/>
  <c r="AI178" i="6"/>
  <c r="AA178" i="6"/>
  <c r="Z178" i="6"/>
  <c r="AB91" i="6"/>
  <c r="AG91" i="6" s="1"/>
  <c r="AA91" i="6"/>
  <c r="Z91" i="6"/>
  <c r="Y91" i="6"/>
  <c r="AF91" i="6" s="1"/>
  <c r="M91" i="6"/>
  <c r="AI201" i="6"/>
  <c r="AA201" i="6"/>
  <c r="Z201" i="6"/>
  <c r="Y201" i="6"/>
  <c r="AF201" i="6" s="1"/>
  <c r="M201" i="6"/>
  <c r="AB201" i="6"/>
  <c r="AG201" i="6" s="1"/>
  <c r="X201" i="6"/>
  <c r="Y157" i="6"/>
  <c r="AF157" i="6" s="1"/>
  <c r="M157" i="6"/>
  <c r="X157" i="6"/>
  <c r="AB157" i="6"/>
  <c r="AG157" i="6" s="1"/>
  <c r="AA157" i="6"/>
  <c r="AI157" i="6"/>
  <c r="Z157" i="6"/>
  <c r="AA76" i="6"/>
  <c r="AB76" i="6"/>
  <c r="AG76" i="6" s="1"/>
  <c r="X76" i="6"/>
  <c r="AI76" i="6" s="1"/>
  <c r="Z76" i="6"/>
  <c r="M76" i="6"/>
  <c r="Y76" i="6"/>
  <c r="AF76" i="6" s="1"/>
  <c r="Y217" i="6"/>
  <c r="AF217" i="6" s="1"/>
  <c r="M217" i="6"/>
  <c r="AB217" i="6"/>
  <c r="AG217" i="6" s="1"/>
  <c r="X217" i="6"/>
  <c r="AI217" i="6"/>
  <c r="AA217" i="6"/>
  <c r="Z217" i="6"/>
  <c r="Y126" i="6"/>
  <c r="AF126" i="6" s="1"/>
  <c r="M126" i="6"/>
  <c r="AB126" i="6"/>
  <c r="AG126" i="6" s="1"/>
  <c r="X126" i="6"/>
  <c r="AI126" i="6"/>
  <c r="AA126" i="6"/>
  <c r="Z126" i="6"/>
  <c r="AB51" i="6"/>
  <c r="AG51" i="6" s="1"/>
  <c r="X51" i="6"/>
  <c r="AI51" i="6"/>
  <c r="AA51" i="6"/>
  <c r="Z51" i="6"/>
  <c r="Y51" i="6"/>
  <c r="AF51" i="6" s="1"/>
  <c r="M51" i="6"/>
  <c r="Y183" i="6"/>
  <c r="AF183" i="6" s="1"/>
  <c r="M183" i="6"/>
  <c r="AB183" i="6"/>
  <c r="AG183" i="6" s="1"/>
  <c r="X183" i="6"/>
  <c r="AI183" i="6"/>
  <c r="AA183" i="6"/>
  <c r="Z183" i="6"/>
  <c r="AB96" i="6"/>
  <c r="AG96" i="6" s="1"/>
  <c r="AA96" i="6"/>
  <c r="Z96" i="6"/>
  <c r="Y96" i="6"/>
  <c r="AF96" i="6" s="1"/>
  <c r="M96" i="6"/>
  <c r="AI225" i="6"/>
  <c r="AA225" i="6"/>
  <c r="Z225" i="6"/>
  <c r="Y225" i="6"/>
  <c r="AF225" i="6" s="1"/>
  <c r="M225" i="6"/>
  <c r="AB225" i="6"/>
  <c r="AG225" i="6" s="1"/>
  <c r="X225" i="6"/>
  <c r="AI133" i="6"/>
  <c r="AA133" i="6"/>
  <c r="Z133" i="6"/>
  <c r="Y133" i="6"/>
  <c r="AF133" i="6" s="1"/>
  <c r="M133" i="6"/>
  <c r="AB133" i="6"/>
  <c r="AG133" i="6" s="1"/>
  <c r="X133" i="6"/>
  <c r="Z45" i="6"/>
  <c r="Y45" i="6"/>
  <c r="AF45" i="6" s="1"/>
  <c r="M45" i="6"/>
  <c r="AB45" i="6"/>
  <c r="AG45" i="6" s="1"/>
  <c r="X45" i="6"/>
  <c r="AI45" i="6"/>
  <c r="AA45" i="6"/>
  <c r="Z184" i="6"/>
  <c r="Y184" i="6"/>
  <c r="AF184" i="6" s="1"/>
  <c r="M184" i="6"/>
  <c r="AB184" i="6"/>
  <c r="AG184" i="6" s="1"/>
  <c r="AA184" i="6"/>
  <c r="Z104" i="6"/>
  <c r="Y104" i="6"/>
  <c r="AF104" i="6" s="1"/>
  <c r="M104" i="6"/>
  <c r="AB104" i="6"/>
  <c r="AG104" i="6" s="1"/>
  <c r="X104" i="6"/>
  <c r="X102" i="6" s="1"/>
  <c r="AI102" i="6" s="1"/>
  <c r="AI104" i="6"/>
  <c r="AA104" i="6"/>
  <c r="Y61" i="6"/>
  <c r="AF61" i="6" s="1"/>
  <c r="M61" i="6"/>
  <c r="AB61" i="6"/>
  <c r="AG61" i="6" s="1"/>
  <c r="X61" i="6"/>
  <c r="AI61" i="6"/>
  <c r="AA61" i="6"/>
  <c r="Z61" i="6"/>
  <c r="T49" i="71"/>
  <c r="J29" i="71"/>
  <c r="T33" i="71"/>
  <c r="T40" i="71"/>
  <c r="R28" i="71"/>
  <c r="T39" i="71"/>
  <c r="R39" i="71"/>
  <c r="N51" i="71"/>
  <c r="S52" i="71"/>
  <c r="S56" i="71" s="1"/>
  <c r="T36" i="71"/>
  <c r="T38" i="71"/>
  <c r="R36" i="71"/>
  <c r="T41" i="71"/>
  <c r="R47" i="71"/>
  <c r="H28" i="71"/>
  <c r="T28" i="71" s="1"/>
  <c r="R49" i="71"/>
  <c r="T50" i="71"/>
  <c r="R38" i="71"/>
  <c r="U52" i="71"/>
  <c r="U56" i="71" s="1"/>
  <c r="Q273" i="71"/>
  <c r="T44" i="71"/>
  <c r="R44" i="71"/>
  <c r="R40" i="71"/>
  <c r="T47" i="71"/>
  <c r="R33" i="71"/>
  <c r="T43" i="71"/>
  <c r="R43" i="71"/>
  <c r="T35" i="71"/>
  <c r="R50" i="71"/>
  <c r="R41" i="71"/>
  <c r="T42" i="71"/>
  <c r="R42" i="71"/>
  <c r="H46" i="71"/>
  <c r="T46" i="71" s="1"/>
  <c r="R46" i="71"/>
  <c r="F51" i="71"/>
  <c r="T45" i="71"/>
  <c r="R54" i="71"/>
  <c r="J51" i="71"/>
  <c r="R35" i="71"/>
  <c r="N29" i="71"/>
  <c r="R45" i="71"/>
  <c r="Q201" i="71"/>
  <c r="F29" i="71"/>
  <c r="L136" i="71"/>
  <c r="L209" i="71"/>
  <c r="H213" i="71"/>
  <c r="L64" i="71"/>
  <c r="P51" i="71"/>
  <c r="P52" i="71" s="1"/>
  <c r="P56" i="71" s="1"/>
  <c r="L27" i="71"/>
  <c r="R27" i="71"/>
  <c r="L51" i="71"/>
  <c r="AI91" i="6" l="1"/>
  <c r="AI64" i="6"/>
  <c r="AI113" i="6"/>
  <c r="AI136" i="6"/>
  <c r="AI186" i="6"/>
  <c r="J52" i="71"/>
  <c r="J56" i="71" s="1"/>
  <c r="R29" i="71"/>
  <c r="N52" i="71"/>
  <c r="N56" i="71" s="1"/>
  <c r="H29" i="71"/>
  <c r="T51" i="71"/>
  <c r="H51" i="71"/>
  <c r="R51" i="71"/>
  <c r="F52" i="71"/>
  <c r="F56" i="71" s="1"/>
  <c r="T27" i="71"/>
  <c r="T29" i="71" s="1"/>
  <c r="L29" i="71"/>
  <c r="L52" i="71" s="1"/>
  <c r="L56" i="71" s="1"/>
  <c r="Q64" i="71"/>
  <c r="Q68" i="71" s="1"/>
  <c r="L68" i="71"/>
  <c r="L140" i="71"/>
  <c r="Q136" i="71"/>
  <c r="Q140" i="71" s="1"/>
  <c r="L213" i="71"/>
  <c r="Q209" i="71"/>
  <c r="Q213" i="71" s="1"/>
  <c r="R52" i="71" l="1"/>
  <c r="R56" i="71" s="1"/>
  <c r="H52" i="71"/>
  <c r="H56" i="71" s="1"/>
  <c r="T52" i="71"/>
  <c r="T56" i="71" s="1"/>
  <c r="B15" i="52" l="1"/>
  <c r="I15" i="52" l="1"/>
  <c r="B10" i="69" l="1"/>
  <c r="B8" i="69"/>
  <c r="B6" i="69"/>
  <c r="B4" i="69"/>
  <c r="B2" i="69"/>
  <c r="B10" i="68"/>
  <c r="B8" i="68"/>
  <c r="B6" i="68"/>
  <c r="B4" i="68"/>
  <c r="B2" i="68"/>
  <c r="F20" i="69"/>
  <c r="D20" i="69"/>
  <c r="C19" i="69"/>
  <c r="E19" i="69" s="1"/>
  <c r="C18" i="69"/>
  <c r="E18" i="69" s="1"/>
  <c r="C17" i="69"/>
  <c r="E17" i="69" s="1"/>
  <c r="C16" i="69"/>
  <c r="E16" i="69" s="1"/>
  <c r="C15" i="69"/>
  <c r="E15" i="69" s="1"/>
  <c r="C14" i="69"/>
  <c r="F20" i="68"/>
  <c r="C20" i="68"/>
  <c r="E20" i="69" l="1"/>
  <c r="C20" i="69"/>
  <c r="H23" i="63" l="1"/>
  <c r="I5" i="67" l="1"/>
  <c r="B5" i="67"/>
  <c r="B6" i="67"/>
  <c r="I6" i="67"/>
  <c r="B7" i="67"/>
  <c r="I7" i="67"/>
  <c r="F11" i="67"/>
  <c r="F12" i="67"/>
  <c r="F13" i="67"/>
  <c r="F14" i="67"/>
  <c r="F17" i="67" s="1"/>
  <c r="G42" i="67" s="1"/>
  <c r="D15" i="67"/>
  <c r="E15" i="67"/>
  <c r="E21" i="67"/>
  <c r="G21" i="67" s="1"/>
  <c r="E22" i="67"/>
  <c r="G22" i="67" s="1"/>
  <c r="E23" i="67"/>
  <c r="G23" i="67" s="1"/>
  <c r="D28" i="67"/>
  <c r="E28" i="67" s="1"/>
  <c r="G28" i="67" s="1"/>
  <c r="D29" i="67"/>
  <c r="E29" i="67" s="1"/>
  <c r="G29" i="67" s="1"/>
  <c r="E31" i="67"/>
  <c r="G31" i="67" s="1"/>
  <c r="E32" i="67"/>
  <c r="G32" i="67" s="1"/>
  <c r="E33" i="67"/>
  <c r="G33" i="67" s="1"/>
  <c r="E34" i="67"/>
  <c r="G34" i="67" s="1"/>
  <c r="E35" i="67"/>
  <c r="G35" i="67" s="1"/>
  <c r="F15" i="67" l="1"/>
  <c r="G25" i="67"/>
  <c r="D30" i="67"/>
  <c r="E30" i="67" s="1"/>
  <c r="G30" i="67" s="1"/>
  <c r="G37" i="67" s="1"/>
  <c r="B6" i="55"/>
  <c r="B15" i="55"/>
  <c r="G39" i="67" l="1"/>
  <c r="G41" i="67" s="1"/>
  <c r="G44" i="67" s="1"/>
  <c r="L6" i="57" l="1"/>
  <c r="L7" i="63" l="1"/>
  <c r="B76" i="54" l="1"/>
  <c r="B75" i="54"/>
  <c r="B74" i="54"/>
  <c r="B73" i="54"/>
  <c r="B61" i="54"/>
  <c r="B60" i="54"/>
  <c r="B59" i="54"/>
  <c r="B58" i="54"/>
  <c r="F8" i="53"/>
  <c r="F7" i="53"/>
  <c r="F6" i="53"/>
  <c r="B5" i="55" l="1"/>
  <c r="L8" i="63" l="1"/>
  <c r="I8" i="61"/>
  <c r="I7" i="61"/>
  <c r="S8" i="60"/>
  <c r="F8" i="59"/>
  <c r="L8" i="57"/>
  <c r="G8" i="54"/>
  <c r="S7" i="60"/>
  <c r="F7" i="59"/>
  <c r="L7" i="57"/>
  <c r="G7" i="54"/>
  <c r="L6" i="63"/>
  <c r="B8" i="63"/>
  <c r="I6" i="61"/>
  <c r="S6" i="60"/>
  <c r="F6" i="59"/>
  <c r="G6" i="54"/>
  <c r="B7" i="63"/>
  <c r="B7" i="61"/>
  <c r="B7" i="60"/>
  <c r="B7" i="59"/>
  <c r="B7" i="57"/>
  <c r="D7" i="53"/>
  <c r="B6" i="63"/>
  <c r="B6" i="61"/>
  <c r="B6" i="60"/>
  <c r="B6" i="59"/>
  <c r="B6" i="57"/>
  <c r="C6" i="54"/>
  <c r="A16" i="54" s="1"/>
  <c r="C7" i="54"/>
  <c r="D6" i="53"/>
  <c r="AB22" i="6"/>
  <c r="AG22" i="6" s="1"/>
  <c r="AA22" i="6"/>
  <c r="D22" i="6"/>
  <c r="AB21" i="6" l="1"/>
  <c r="AG21" i="6" s="1"/>
  <c r="AA21" i="6"/>
  <c r="D21" i="6"/>
  <c r="AB20" i="6" l="1"/>
  <c r="AG20" i="6" s="1"/>
  <c r="AA20" i="6"/>
  <c r="D20" i="6"/>
  <c r="H20" i="61"/>
  <c r="G20" i="61"/>
  <c r="F20" i="61"/>
  <c r="E20" i="61"/>
  <c r="D20" i="61"/>
  <c r="C20" i="61"/>
  <c r="B20" i="61"/>
  <c r="B19" i="61"/>
  <c r="B8" i="61"/>
  <c r="AB19" i="6" l="1"/>
  <c r="AG19" i="6" s="1"/>
  <c r="AA19" i="6"/>
  <c r="D19" i="6"/>
  <c r="B8" i="60"/>
  <c r="AB18" i="6" l="1"/>
  <c r="AG18" i="6" s="1"/>
  <c r="AA18" i="6"/>
  <c r="D18" i="6"/>
  <c r="B8" i="59"/>
  <c r="AB17" i="6" l="1"/>
  <c r="AG17" i="6" s="1"/>
  <c r="AA17" i="6"/>
  <c r="D17" i="6"/>
  <c r="B8" i="57"/>
  <c r="AB16" i="6" l="1"/>
  <c r="AG16" i="6" s="1"/>
  <c r="AA16" i="6"/>
  <c r="D16" i="6"/>
  <c r="E30" i="55"/>
  <c r="E14" i="55"/>
  <c r="E20" i="55" s="1"/>
  <c r="E8" i="55"/>
  <c r="B35" i="55"/>
  <c r="E23" i="55" l="1"/>
  <c r="D18" i="59"/>
  <c r="E20" i="59" s="1"/>
  <c r="E22" i="59" s="1"/>
  <c r="AB15" i="6"/>
  <c r="AG15" i="6" s="1"/>
  <c r="AA15" i="6"/>
  <c r="D15" i="6"/>
  <c r="E77" i="54"/>
  <c r="F62" i="54"/>
  <c r="E62" i="54"/>
  <c r="C8" i="54"/>
  <c r="E33" i="55" l="1"/>
  <c r="F49" i="52"/>
  <c r="AB14" i="6"/>
  <c r="AG14" i="6" s="1"/>
  <c r="AA14" i="6"/>
  <c r="D14" i="6"/>
  <c r="D8" i="53"/>
  <c r="AB13" i="6" l="1"/>
  <c r="AG13" i="6" s="1"/>
  <c r="AA13" i="6"/>
  <c r="D13" i="6"/>
  <c r="M28" i="52"/>
  <c r="L28" i="52"/>
  <c r="M27" i="52"/>
  <c r="L27" i="52"/>
  <c r="M23" i="52"/>
  <c r="L23" i="52"/>
  <c r="M22" i="52"/>
  <c r="L22" i="52"/>
  <c r="M18" i="52"/>
  <c r="L18" i="52"/>
  <c r="M17" i="52"/>
  <c r="L17" i="52"/>
  <c r="M13" i="52"/>
  <c r="L13" i="52"/>
  <c r="M12" i="52"/>
  <c r="L12" i="52"/>
  <c r="D73" i="54" l="1"/>
  <c r="D58" i="54"/>
  <c r="D59" i="54"/>
  <c r="D74" i="54"/>
  <c r="D75" i="54"/>
  <c r="D60" i="54"/>
  <c r="D61" i="54"/>
  <c r="D76" i="54"/>
  <c r="U3" i="6"/>
  <c r="T3" i="6"/>
  <c r="V3" i="6" l="1"/>
  <c r="AK9" i="6"/>
  <c r="AA3" i="6" l="1"/>
  <c r="AB3" i="6"/>
  <c r="AB2" i="6"/>
  <c r="AA2" i="6"/>
  <c r="AG3" i="6" l="1"/>
  <c r="AG2" i="6"/>
  <c r="K6" i="7" l="1"/>
  <c r="D5" i="7" s="1"/>
  <c r="B6" i="7" l="1"/>
  <c r="J28" i="6" l="1"/>
  <c r="K28" i="6" s="1"/>
  <c r="X3" i="6" l="1"/>
  <c r="C25" i="7" l="1"/>
  <c r="D2" i="6" l="1"/>
  <c r="D3" i="6"/>
  <c r="P3" i="6"/>
  <c r="O4" i="6"/>
  <c r="V4" i="6"/>
  <c r="AI4" i="6" l="1"/>
  <c r="AB4" i="6"/>
  <c r="AG4" i="6" s="1"/>
  <c r="Y4" i="6"/>
  <c r="AF4" i="6" s="1"/>
  <c r="AA4" i="6"/>
  <c r="Z4" i="6"/>
  <c r="X4" i="6"/>
  <c r="M4" i="6"/>
  <c r="W3" i="6"/>
  <c r="AM9" i="6"/>
  <c r="V233" i="6" l="1"/>
  <c r="V229" i="6"/>
  <c r="V225" i="6"/>
  <c r="V221" i="6"/>
  <c r="V215" i="6"/>
  <c r="V209" i="6"/>
  <c r="V205" i="6"/>
  <c r="V201" i="6"/>
  <c r="V196" i="6"/>
  <c r="V191" i="6"/>
  <c r="V184" i="6"/>
  <c r="V179" i="6"/>
  <c r="V175" i="6"/>
  <c r="V171" i="6"/>
  <c r="V167" i="6"/>
  <c r="V163" i="6"/>
  <c r="V159" i="6"/>
  <c r="V155" i="6"/>
  <c r="V149" i="6"/>
  <c r="V144" i="6"/>
  <c r="V139" i="6"/>
  <c r="V133" i="6"/>
  <c r="V128" i="6"/>
  <c r="V124" i="6"/>
  <c r="V118" i="6"/>
  <c r="V113" i="6"/>
  <c r="V108" i="6"/>
  <c r="V104" i="6"/>
  <c r="V99" i="6"/>
  <c r="V94" i="6"/>
  <c r="V88" i="6"/>
  <c r="V84" i="6"/>
  <c r="V80" i="6"/>
  <c r="V75" i="6"/>
  <c r="V70" i="6"/>
  <c r="V66" i="6"/>
  <c r="V60" i="6"/>
  <c r="V55" i="6"/>
  <c r="V51" i="6"/>
  <c r="V47" i="6"/>
  <c r="V42" i="6"/>
  <c r="V38" i="6"/>
  <c r="V33" i="6"/>
  <c r="V29" i="6"/>
  <c r="V222" i="6"/>
  <c r="V206" i="6"/>
  <c r="V192" i="6"/>
  <c r="V176" i="6"/>
  <c r="V168" i="6"/>
  <c r="V156" i="6"/>
  <c r="V140" i="6"/>
  <c r="V125" i="6"/>
  <c r="V109" i="6"/>
  <c r="V95" i="6"/>
  <c r="V81" i="6"/>
  <c r="V67" i="6"/>
  <c r="V56" i="6"/>
  <c r="V44" i="6"/>
  <c r="V30" i="6"/>
  <c r="V232" i="6"/>
  <c r="V228" i="6"/>
  <c r="V224" i="6"/>
  <c r="V218" i="6"/>
  <c r="V214" i="6"/>
  <c r="V208" i="6"/>
  <c r="V204" i="6"/>
  <c r="V200" i="6"/>
  <c r="V194" i="6"/>
  <c r="V190" i="6"/>
  <c r="V183" i="6"/>
  <c r="V178" i="6"/>
  <c r="V174" i="6"/>
  <c r="V170" i="6"/>
  <c r="V166" i="6"/>
  <c r="V162" i="6"/>
  <c r="V158" i="6"/>
  <c r="V154" i="6"/>
  <c r="V148" i="6"/>
  <c r="V142" i="6"/>
  <c r="V138" i="6"/>
  <c r="V132" i="6"/>
  <c r="V127" i="6"/>
  <c r="V123" i="6"/>
  <c r="V117" i="6"/>
  <c r="V111" i="6"/>
  <c r="V107" i="6"/>
  <c r="V102" i="6"/>
  <c r="V98" i="6"/>
  <c r="V93" i="6"/>
  <c r="V87" i="6"/>
  <c r="V83" i="6"/>
  <c r="V79" i="6"/>
  <c r="V74" i="6"/>
  <c r="V69" i="6"/>
  <c r="V64" i="6"/>
  <c r="V59" i="6"/>
  <c r="V54" i="6"/>
  <c r="V50" i="6"/>
  <c r="V46" i="6"/>
  <c r="V41" i="6"/>
  <c r="V37" i="6"/>
  <c r="V32" i="6"/>
  <c r="V226" i="6"/>
  <c r="V210" i="6"/>
  <c r="V202" i="6"/>
  <c r="V186" i="6"/>
  <c r="V172" i="6"/>
  <c r="V160" i="6"/>
  <c r="V146" i="6"/>
  <c r="V130" i="6"/>
  <c r="V115" i="6"/>
  <c r="V100" i="6"/>
  <c r="V85" i="6"/>
  <c r="V72" i="6"/>
  <c r="V52" i="6"/>
  <c r="V39" i="6"/>
  <c r="V231" i="6"/>
  <c r="V227" i="6"/>
  <c r="V223" i="6"/>
  <c r="V217" i="6"/>
  <c r="V213" i="6"/>
  <c r="V207" i="6"/>
  <c r="V203" i="6"/>
  <c r="V199" i="6"/>
  <c r="V193" i="6"/>
  <c r="V189" i="6"/>
  <c r="V182" i="6"/>
  <c r="V177" i="6"/>
  <c r="V173" i="6"/>
  <c r="V169" i="6"/>
  <c r="V165" i="6"/>
  <c r="V161" i="6"/>
  <c r="V157" i="6"/>
  <c r="V152" i="6"/>
  <c r="V147" i="6"/>
  <c r="V141" i="6"/>
  <c r="V136" i="6"/>
  <c r="V131" i="6"/>
  <c r="V126" i="6"/>
  <c r="V121" i="6"/>
  <c r="V116" i="6"/>
  <c r="V110" i="6"/>
  <c r="V106" i="6"/>
  <c r="V101" i="6"/>
  <c r="V96" i="6"/>
  <c r="V91" i="6"/>
  <c r="V86" i="6"/>
  <c r="V82" i="6"/>
  <c r="V78" i="6"/>
  <c r="V73" i="6"/>
  <c r="V68" i="6"/>
  <c r="V62" i="6"/>
  <c r="V58" i="6"/>
  <c r="V53" i="6"/>
  <c r="V49" i="6"/>
  <c r="V45" i="6"/>
  <c r="V40" i="6"/>
  <c r="V35" i="6"/>
  <c r="V31" i="6"/>
  <c r="V230" i="6"/>
  <c r="V216" i="6"/>
  <c r="V198" i="6"/>
  <c r="V181" i="6"/>
  <c r="V164" i="6"/>
  <c r="V150" i="6"/>
  <c r="V134" i="6"/>
  <c r="V119" i="6"/>
  <c r="V105" i="6"/>
  <c r="V89" i="6"/>
  <c r="V76" i="6"/>
  <c r="V61" i="6"/>
  <c r="V48" i="6"/>
  <c r="V34" i="6"/>
  <c r="Q128" i="71"/>
  <c r="AL9" i="6" l="1"/>
  <c r="AI9" i="6" s="1"/>
  <c r="AJ9" i="6" l="1"/>
  <c r="AP9" i="6" s="1"/>
  <c r="I9"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Amanda Wright</author>
  </authors>
  <commentList>
    <comment ref="I96" authorId="0" shapeId="0" xr:uid="{00000000-0006-0000-0400-000001000000}">
      <text>
        <r>
          <rPr>
            <b/>
            <sz val="10"/>
            <color indexed="81"/>
            <rFont val="Tahoma"/>
            <family val="2"/>
          </rPr>
          <t>Lodged copy of ACR to be sent to Client with Audit Docs</t>
        </r>
        <r>
          <rPr>
            <sz val="9"/>
            <color indexed="81"/>
            <rFont val="Tahoma"/>
            <family val="2"/>
          </rPr>
          <t xml:space="preserve">
</t>
        </r>
      </text>
    </comment>
  </commentList>
</comments>
</file>

<file path=xl/sharedStrings.xml><?xml version="1.0" encoding="utf-8"?>
<sst xmlns="http://schemas.openxmlformats.org/spreadsheetml/2006/main" count="3753" uniqueCount="1168">
  <si>
    <t>Date</t>
  </si>
  <si>
    <t>Links</t>
  </si>
  <si>
    <t>Notes</t>
  </si>
  <si>
    <t>Status</t>
  </si>
  <si>
    <t>Template</t>
  </si>
  <si>
    <t>Reviewer</t>
  </si>
  <si>
    <t>Preparer</t>
  </si>
  <si>
    <t>Partner</t>
  </si>
  <si>
    <t>Name of firm</t>
  </si>
  <si>
    <t>Firm Details</t>
  </si>
  <si>
    <t>Email</t>
  </si>
  <si>
    <t>Telephone</t>
  </si>
  <si>
    <t>Contact name</t>
  </si>
  <si>
    <t>Contact Details</t>
  </si>
  <si>
    <t>Accounting method</t>
  </si>
  <si>
    <t>Small business entity</t>
  </si>
  <si>
    <t>Depreciation method</t>
  </si>
  <si>
    <t>Tax year</t>
  </si>
  <si>
    <t>Period end date</t>
  </si>
  <si>
    <t>Period start date</t>
  </si>
  <si>
    <t>Entity Type</t>
  </si>
  <si>
    <t>ABN/TFN</t>
  </si>
  <si>
    <t>Client code</t>
  </si>
  <si>
    <t>Name of client</t>
  </si>
  <si>
    <t>Entity Details</t>
  </si>
  <si>
    <t>Q</t>
  </si>
  <si>
    <t>Mode</t>
  </si>
  <si>
    <t>Ref</t>
  </si>
  <si>
    <t>add workpaper</t>
  </si>
  <si>
    <t>WPType</t>
  </si>
  <si>
    <t>Del</t>
  </si>
  <si>
    <t>Ready for Review</t>
  </si>
  <si>
    <t>Status Descriptions</t>
  </si>
  <si>
    <t>Started</t>
  </si>
  <si>
    <t>Client Query</t>
  </si>
  <si>
    <t>Rework Required</t>
  </si>
  <si>
    <t>Rework Complete</t>
  </si>
  <si>
    <t>Complete</t>
  </si>
  <si>
    <t>-</t>
  </si>
  <si>
    <t>General</t>
  </si>
  <si>
    <t>Trial Balance</t>
  </si>
  <si>
    <t>Account Name</t>
  </si>
  <si>
    <t>Balance</t>
  </si>
  <si>
    <t>FileConnectionString</t>
  </si>
  <si>
    <t>Settings</t>
  </si>
  <si>
    <t>Level</t>
  </si>
  <si>
    <t>SortOrder</t>
  </si>
  <si>
    <t>EntityId</t>
  </si>
  <si>
    <t>DataSetId</t>
  </si>
  <si>
    <t>Comparatives</t>
  </si>
  <si>
    <t>CompareEntityId</t>
  </si>
  <si>
    <t>CompareDataSetId</t>
  </si>
  <si>
    <t>SortId</t>
  </si>
  <si>
    <t>ShowSubTotals</t>
  </si>
  <si>
    <t>1.00.00</t>
  </si>
  <si>
    <t>Version</t>
  </si>
  <si>
    <t>Notes/Workpaper Title</t>
  </si>
  <si>
    <t>Reconcile To</t>
  </si>
  <si>
    <t>P</t>
  </si>
  <si>
    <t>StatusUpdatedBy</t>
  </si>
  <si>
    <t>StatusChangeDate</t>
  </si>
  <si>
    <t>Formatting</t>
  </si>
  <si>
    <t>AddA</t>
  </si>
  <si>
    <t>AccountName</t>
  </si>
  <si>
    <t>Reconcile</t>
  </si>
  <si>
    <t>RelatedBalance</t>
  </si>
  <si>
    <t>WorkpaperType</t>
  </si>
  <si>
    <t>UniqueRef</t>
  </si>
  <si>
    <t>UpdatedBy</t>
  </si>
  <si>
    <t>UpdatedTime</t>
  </si>
  <si>
    <t>Created</t>
  </si>
  <si>
    <t>Content</t>
  </si>
  <si>
    <t>LogType</t>
  </si>
  <si>
    <t>Chat</t>
  </si>
  <si>
    <t>]</t>
  </si>
  <si>
    <t>HasChat</t>
  </si>
  <si>
    <t>HasUnreadChat</t>
  </si>
  <si>
    <t>Has Chat</t>
  </si>
  <si>
    <t>Has Unread Chat</t>
  </si>
  <si>
    <t>Variance</t>
  </si>
  <si>
    <t>ShowVariance</t>
  </si>
  <si>
    <t>Movement</t>
  </si>
  <si>
    <t>Expanded</t>
  </si>
  <si>
    <t>Add</t>
  </si>
  <si>
    <t>ReconciledStatus</t>
  </si>
  <si>
    <t>Related Balance</t>
  </si>
  <si>
    <t>Reconciled Status</t>
  </si>
  <si>
    <t>StatusOrder</t>
  </si>
  <si>
    <t>Updated By</t>
  </si>
  <si>
    <t>Change Date</t>
  </si>
  <si>
    <t>R/O</t>
  </si>
  <si>
    <t>Status Order</t>
  </si>
  <si>
    <t>WPTag</t>
  </si>
  <si>
    <t>WPCount</t>
  </si>
  <si>
    <t>Flag</t>
  </si>
  <si>
    <t>Reconciled</t>
  </si>
  <si>
    <t>Not Started</t>
  </si>
  <si>
    <t>Review</t>
  </si>
  <si>
    <t>Final Review</t>
  </si>
  <si>
    <t>File Id</t>
  </si>
  <si>
    <t>Refresh</t>
  </si>
  <si>
    <t>Opening Balances</t>
  </si>
  <si>
    <t>s</t>
  </si>
  <si>
    <t>Commands</t>
  </si>
  <si>
    <t>Software Details</t>
  </si>
  <si>
    <t>Client software</t>
  </si>
  <si>
    <t>Login name</t>
  </si>
  <si>
    <t>Password</t>
  </si>
  <si>
    <t>Show Comparatives</t>
  </si>
  <si>
    <t>Show Variance</t>
  </si>
  <si>
    <t>q</t>
  </si>
  <si>
    <t>+</t>
  </si>
  <si>
    <t>WORKPAPERS</t>
  </si>
  <si>
    <t>i</t>
  </si>
  <si>
    <t>CONNECT FILE</t>
  </si>
  <si>
    <t>Select 'Connect File' to select the online accounting file that you wish to connect this workpaper to.</t>
  </si>
  <si>
    <t>File Name</t>
  </si>
  <si>
    <t>Items</t>
  </si>
  <si>
    <t>SheetId</t>
  </si>
  <si>
    <t>Unresolved</t>
  </si>
  <si>
    <t>Resolved</t>
  </si>
  <si>
    <t>Total</t>
  </si>
  <si>
    <t>HasUnresolvedItems</t>
  </si>
  <si>
    <t>Member Details</t>
  </si>
  <si>
    <t>Member 1</t>
  </si>
  <si>
    <t>Member 2</t>
  </si>
  <si>
    <t>Enter name</t>
  </si>
  <si>
    <t>Member 3</t>
  </si>
  <si>
    <t>Member 4</t>
  </si>
  <si>
    <t>Member 5</t>
  </si>
  <si>
    <t>Member 6</t>
  </si>
  <si>
    <t>Member 7</t>
  </si>
  <si>
    <t>Member 8</t>
  </si>
  <si>
    <t>RollOver</t>
  </si>
  <si>
    <t>Options</t>
  </si>
  <si>
    <t>Reconciliation Accuracy (Tolerance) $</t>
  </si>
  <si>
    <t>}</t>
  </si>
  <si>
    <t>Assignment To Do</t>
  </si>
  <si>
    <t>Year</t>
  </si>
  <si>
    <t>Biller Client</t>
  </si>
  <si>
    <t>Fund Information</t>
  </si>
  <si>
    <t>Job</t>
  </si>
  <si>
    <t>Notes to Admin Hub</t>
  </si>
  <si>
    <t>Fund Members</t>
  </si>
  <si>
    <t>No. of members</t>
  </si>
  <si>
    <t>Due Date</t>
  </si>
  <si>
    <t>Member Information</t>
  </si>
  <si>
    <t>Name</t>
  </si>
  <si>
    <t>Is the job on Direct Debit</t>
  </si>
  <si>
    <t>Date of Birth</t>
  </si>
  <si>
    <t>Permanent Information Doc</t>
  </si>
  <si>
    <t>Does an invoice need to be raised?</t>
  </si>
  <si>
    <t>How is the job going to client?</t>
  </si>
  <si>
    <t>**GST excl</t>
  </si>
  <si>
    <t>Person discussed with Client</t>
  </si>
  <si>
    <t>How will the invoice be paid</t>
  </si>
  <si>
    <t>Letter Sign off?</t>
  </si>
  <si>
    <t>Have you checked the Class exceptions report?</t>
  </si>
  <si>
    <t>CLIENT FINANCIALS PACKAGE</t>
  </si>
  <si>
    <t>From Class - PDF after review</t>
  </si>
  <si>
    <t>Prepared</t>
  </si>
  <si>
    <t>Audit</t>
  </si>
  <si>
    <t>NOTES</t>
  </si>
  <si>
    <t>Link In Document where applicable from AE</t>
  </si>
  <si>
    <t>Send Out Letter</t>
  </si>
  <si>
    <t>Admin Hub to Draft</t>
  </si>
  <si>
    <t>Tax Payment Schedule</t>
  </si>
  <si>
    <t>Linked into Workpaper</t>
  </si>
  <si>
    <t>Pension Advice Schedule</t>
  </si>
  <si>
    <t>From Heffron via Class $130+GST</t>
  </si>
  <si>
    <t>GST &amp; BAS Rec</t>
  </si>
  <si>
    <t>From Hownow</t>
  </si>
  <si>
    <t>From Class</t>
  </si>
  <si>
    <t>Other</t>
  </si>
  <si>
    <t>To be emailed to the client with invoice</t>
  </si>
  <si>
    <t>ATO payslips</t>
  </si>
  <si>
    <t xml:space="preserve"> - ICA</t>
  </si>
  <si>
    <t xml:space="preserve"> - ITA</t>
  </si>
  <si>
    <t>Documents to be Mailed Out (Original Hard Copies to be Posted)</t>
  </si>
  <si>
    <t>Loan Agreements</t>
  </si>
  <si>
    <t>Now Infinity - provide details to Admin Hub</t>
  </si>
  <si>
    <t>Pension Minutes</t>
  </si>
  <si>
    <t xml:space="preserve">From Class </t>
  </si>
  <si>
    <t>Payment Summaries</t>
  </si>
  <si>
    <t>Investment Strategy Template</t>
  </si>
  <si>
    <t>Add into documents from AE Intranet</t>
  </si>
  <si>
    <t>Binding Death Benefit Nominations</t>
  </si>
  <si>
    <t xml:space="preserve">From Class, must be sent if Feeds not Activated </t>
  </si>
  <si>
    <t>Other (Detail)</t>
  </si>
  <si>
    <t>Items for review - NOT to be sent out</t>
  </si>
  <si>
    <t>This is instead of the ATO associates report</t>
  </si>
  <si>
    <t>Client Information checklist</t>
  </si>
  <si>
    <t>Completed By</t>
  </si>
  <si>
    <t>CLIENT AUDIT PACKAGE</t>
  </si>
  <si>
    <t>Auditor Compliance Documents</t>
  </si>
  <si>
    <t>Completed</t>
  </si>
  <si>
    <t xml:space="preserve">AUDITORS </t>
  </si>
  <si>
    <t>E2 - Acceptance &amp; Continuance Assessment</t>
  </si>
  <si>
    <t>E1 - Independence Assessment</t>
  </si>
  <si>
    <t>E4 - Audit Plan</t>
  </si>
  <si>
    <t xml:space="preserve">J1 - Audit Program </t>
  </si>
  <si>
    <t>J2 - Additional Audit Programs  (if relevant)</t>
  </si>
  <si>
    <t>D2 - Audit Completion Document</t>
  </si>
  <si>
    <t>Auditor Completion Approval from Auditor</t>
  </si>
  <si>
    <t xml:space="preserve">Link in </t>
  </si>
  <si>
    <t>Client Audit Documents</t>
  </si>
  <si>
    <t xml:space="preserve">Audit Report </t>
  </si>
  <si>
    <t>ExternalSheet</t>
  </si>
  <si>
    <t>ee1fe8c7-f3fb-444f-949e-3fb620eee027</t>
  </si>
  <si>
    <t>Assignment To do</t>
  </si>
  <si>
    <t>}_ee1fe8c7-f3fb-444f-949e-3fb620eee027</t>
  </si>
  <si>
    <t>Stuart Flinn</t>
  </si>
  <si>
    <t>Agenda Items</t>
  </si>
  <si>
    <t xml:space="preserve">FOR REFERENCE - these are some of our alliance partners </t>
  </si>
  <si>
    <t>Finance and Investment</t>
  </si>
  <si>
    <t>Fitzpatricks Financial Planning  www.fitz.com.au</t>
  </si>
  <si>
    <t xml:space="preserve">High wealth clients / portoflio management etc </t>
  </si>
  <si>
    <t>Politis Investment Strategies  www.politis.com.au</t>
  </si>
  <si>
    <t>Portoflio management</t>
  </si>
  <si>
    <t>Client:</t>
  </si>
  <si>
    <t>Date:</t>
  </si>
  <si>
    <t>Morgans www.morgans.com.au</t>
  </si>
  <si>
    <t>For pure stock broking</t>
  </si>
  <si>
    <t>Job:</t>
  </si>
  <si>
    <t>Prepared By:</t>
  </si>
  <si>
    <t>        </t>
  </si>
  <si>
    <t xml:space="preserve">Subject:  </t>
  </si>
  <si>
    <t>Risk</t>
  </si>
  <si>
    <t>Tax Depreciation</t>
  </si>
  <si>
    <t>Hunter Financial   www.hunterfinancial.com.au </t>
  </si>
  <si>
    <t>Capital Claims    www.capitalclaims.com.au</t>
  </si>
  <si>
    <t>Pivotal Financial Planning  www.pivotalfp.com</t>
  </si>
  <si>
    <t>SiDCOR overview</t>
  </si>
  <si>
    <t xml:space="preserve"> - </t>
  </si>
  <si>
    <t>What do we need to Discuss with the client?</t>
  </si>
  <si>
    <t>9c13b1fb-8f80-4e3f-859b-8da87e5bb07e</t>
  </si>
  <si>
    <t>Agenda &amp; Partner Points</t>
  </si>
  <si>
    <t>}_9c13b1fb-8f80-4e3f-859b-8da87e5bb07e</t>
  </si>
  <si>
    <t>The percentages are illustrated below:</t>
  </si>
  <si>
    <t>Pension Advice Letter</t>
  </si>
  <si>
    <t>Age</t>
  </si>
  <si>
    <t>Percentage of Account Balance</t>
  </si>
  <si>
    <t>&lt;55</t>
  </si>
  <si>
    <t>55 - 64</t>
  </si>
  <si>
    <t>65 – 74</t>
  </si>
  <si>
    <t>Subject:</t>
  </si>
  <si>
    <t>75 – 79</t>
  </si>
  <si>
    <t>80 – 84</t>
  </si>
  <si>
    <t>85 – 89</t>
  </si>
  <si>
    <t>90 – 94</t>
  </si>
  <si>
    <t>** please un - highlight once completed**</t>
  </si>
  <si>
    <t>95 +</t>
  </si>
  <si>
    <t xml:space="preserve">Each year, members who are in pension phase must ensure that they draw at least their minimum pension amount to meet SISA requirements. The minimum amount is worked out by multiplying the member’s pension account balance by a percentage factor which is based on age. </t>
  </si>
  <si>
    <t>&lt;56</t>
  </si>
  <si>
    <t>56 - 64</t>
  </si>
  <si>
    <t>IF ACTUARIAL CERTIFICATE REQUIRED</t>
  </si>
  <si>
    <t>NO ACTUARIAL CERTIFICATE REQUIRED</t>
  </si>
  <si>
    <t>Transition to Retirement</t>
  </si>
  <si>
    <t>Minimum %</t>
  </si>
  <si>
    <t>Minimum $</t>
  </si>
  <si>
    <t>Maximum $</t>
  </si>
  <si>
    <t>Manually enter amounts</t>
  </si>
  <si>
    <t>OR</t>
  </si>
  <si>
    <t>Account Based Pensions</t>
  </si>
  <si>
    <t>6e9e1219-8f50-4491-8d62-2d34dbdd16b2</t>
  </si>
  <si>
    <t>}_6e9e1219-8f50-4491-8d62-2d34dbdd16b2</t>
  </si>
  <si>
    <t>Taxable Income</t>
  </si>
  <si>
    <t xml:space="preserve"> * Enter as per Statement of Taxable Income</t>
  </si>
  <si>
    <t>Income Tax Payable</t>
  </si>
  <si>
    <t>Imputation Credits</t>
  </si>
  <si>
    <t xml:space="preserve"> * Amounts to be entered as negatives</t>
  </si>
  <si>
    <t>TFN Credits</t>
  </si>
  <si>
    <t>Foreign Tax Credits</t>
  </si>
  <si>
    <t>PAYG instalments Paid</t>
  </si>
  <si>
    <t>Net Income Tax Payable / (Refundable)</t>
  </si>
  <si>
    <t>Add: ATO Supervisory Levy</t>
  </si>
  <si>
    <t xml:space="preserve"> * Select option for 1st year ($518.00) or non 1st year ($259.00) fund</t>
  </si>
  <si>
    <t>Total Tax Payable / (Refundable)</t>
  </si>
  <si>
    <t>DUE DATE</t>
  </si>
  <si>
    <t xml:space="preserve"> * Pick from list</t>
  </si>
  <si>
    <t>Other ATO Payments/(Refunds)</t>
  </si>
  <si>
    <t>Income Tax Account</t>
  </si>
  <si>
    <t>ATO Integrated Client Account</t>
  </si>
  <si>
    <t>ASAP</t>
  </si>
  <si>
    <t>GST Adjustments</t>
  </si>
  <si>
    <t>Pay As You Go Withholding Adjustments</t>
  </si>
  <si>
    <t>Total Other ATO Payable/(Refundable)</t>
  </si>
  <si>
    <t xml:space="preserve">Can Manually write over but will usually be ASAP if overdue/amendments etc </t>
  </si>
  <si>
    <t>TOTAL ATO PAYABLE/(REFUNDABLE)</t>
  </si>
  <si>
    <t>Already Paid</t>
  </si>
  <si>
    <t>Division 293 tax will be included in the group entity group tax payment schedule if applicable</t>
  </si>
  <si>
    <t>4b351428-81a7-48b9-9493-2b1c1e9f67d6</t>
  </si>
  <si>
    <t>Tax Payment Sch</t>
  </si>
  <si>
    <t>}_4b351428-81a7-48b9-9493-2b1c1e9f67d6</t>
  </si>
  <si>
    <t>}_aa4c3b4f-e21a-4eda-8bfd-9d0c6c791432</t>
  </si>
  <si>
    <t>Review Points</t>
  </si>
  <si>
    <t>Action Taken</t>
  </si>
  <si>
    <t>5262ba3b-d069-4ec8-8946-9ebcb0783622</t>
  </si>
  <si>
    <t>}_5262ba3b-d069-4ec8-8946-9ebcb0783622</t>
  </si>
  <si>
    <t>}_3ef776f2-a581-45e0-af98-5a52cbec5ce8</t>
  </si>
  <si>
    <t>Tax Reconciliation</t>
  </si>
  <si>
    <t xml:space="preserve">Reconciliation </t>
  </si>
  <si>
    <t>Balance of Income Tax Payable / (Refundable) per Financials</t>
  </si>
  <si>
    <t>(Less):</t>
  </si>
  <si>
    <t>2017 Provision</t>
  </si>
  <si>
    <t>Other years</t>
  </si>
  <si>
    <t>Difference</t>
  </si>
  <si>
    <t>0cf9defd-6a9c-4180-9ac5-d310d3bac0d7</t>
  </si>
  <si>
    <t>Prov for Income Tax</t>
  </si>
  <si>
    <t>}_0cf9defd-6a9c-4180-9ac5-d310d3bac0d7</t>
  </si>
  <si>
    <t xml:space="preserve">Investment Confirmations </t>
  </si>
  <si>
    <t>** USE THE INVESTMENT SUMMARY REPORT AT 30 JUNE  &gt; RUN REPORT AS CSV  &gt; COPY CELL B2 TILL Q2 &amp; DOWN FOR AS MANY ASSETS HELD, PASTE IN CELL A16 + FORMATE THE NUMBER CELLS WITH THE COMMA BUTTON</t>
  </si>
  <si>
    <t>Security Code</t>
  </si>
  <si>
    <t>Holding Account Name</t>
  </si>
  <si>
    <t>Feed Reference</t>
  </si>
  <si>
    <t>Market Type</t>
  </si>
  <si>
    <t>Asset Pool</t>
  </si>
  <si>
    <t>G/L Class</t>
  </si>
  <si>
    <t>Units</t>
  </si>
  <si>
    <t>Average Cost</t>
  </si>
  <si>
    <t>Market Price</t>
  </si>
  <si>
    <t>Total Cost</t>
  </si>
  <si>
    <t>Market Value</t>
  </si>
  <si>
    <t>Unrealised Gain</t>
  </si>
  <si>
    <t>Gain/loss %</t>
  </si>
  <si>
    <t>Portfoliio weight %</t>
  </si>
  <si>
    <t>Estimated Income</t>
  </si>
  <si>
    <t>Estimated Yield %</t>
  </si>
  <si>
    <t>Link Confirmations Here</t>
  </si>
  <si>
    <t>2e747b36-25bd-4494-9478-12cf43f2cb27</t>
  </si>
  <si>
    <t>Investments</t>
  </si>
  <si>
    <t>}_2e747b36-25bd-4494-9478-12cf43f2cb27</t>
  </si>
  <si>
    <t>Investment Strategy</t>
  </si>
  <si>
    <t>Optional Workpaper</t>
  </si>
  <si>
    <t xml:space="preserve"> ** USE THE INVESTMENT SUMMARY REPORT &gt; RUN AS PDF &gt; USE PORTFOLIO WEIGHT %'S</t>
  </si>
  <si>
    <t>Cash</t>
  </si>
  <si>
    <t>Fixed Interest</t>
  </si>
  <si>
    <t>Australian Equities</t>
  </si>
  <si>
    <t>International Equities</t>
  </si>
  <si>
    <t>Property 
(Direct &amp; Indirect)</t>
  </si>
  <si>
    <t>Derivative, Options, Futures etc</t>
  </si>
  <si>
    <t>Other Investments</t>
  </si>
  <si>
    <t>Holdings</t>
  </si>
  <si>
    <t>Total Assets</t>
  </si>
  <si>
    <t>Minimum</t>
  </si>
  <si>
    <t>Maximum</t>
  </si>
  <si>
    <t xml:space="preserve"> * Insert ranges as per current investment strategy or all 0% if no strategy held</t>
  </si>
  <si>
    <t>Check to confirm if current investment strategy still ok, any "False" appear above consider whether new investment strategy required.</t>
  </si>
  <si>
    <t>Note please select the appropriate option:</t>
  </si>
  <si>
    <t>Investment ranges for the current financial year are within the current investment strategy ranges, however does not mention insurances - new strategy must be completed.</t>
  </si>
  <si>
    <t>Investment ranges for the current financial year are within the current investment strategy ranges and mention insurances - no further action is required.</t>
  </si>
  <si>
    <t>Investment ranges for the current financial year are minimally outside the current investment strategy ranges and do not remain so post 30 June 2015 but don't mention insurances - new strategy must be completed.</t>
  </si>
  <si>
    <t>Investment ranges for the current financial year are minimally outside the current investment strategy ranges and do not remain so post 30 June 2015 and mention insurances - no further action is required.</t>
  </si>
  <si>
    <t>Investment ranges for the current financial year are not within the current investment strategy ranges - new strategy must be completed.</t>
  </si>
  <si>
    <t>Investment ranges for the current financial year are not within the current investment strategy ranges as there are no ranges - new strategy must be completed.</t>
  </si>
  <si>
    <t>6a5dd7cd-6387-42af-b0f0-80677e99628e</t>
  </si>
  <si>
    <t>Investment Summary</t>
  </si>
  <si>
    <t>}_6a5dd7cd-6387-42af-b0f0-80677e99628e</t>
  </si>
  <si>
    <t>}_2cebcd5f-c71b-4a63-b318-562393de8854</t>
  </si>
  <si>
    <t>Property Revaluations</t>
  </si>
  <si>
    <t>Perm Document</t>
  </si>
  <si>
    <t>**LINK PERM DOC HERE</t>
  </si>
  <si>
    <t>Total Cost Base</t>
  </si>
  <si>
    <t>Revaluation</t>
  </si>
  <si>
    <t>Amount:</t>
  </si>
  <si>
    <t>Documentation:</t>
  </si>
  <si>
    <t>Title Search</t>
  </si>
  <si>
    <t>Link confirmation:</t>
  </si>
  <si>
    <t>User name</t>
  </si>
  <si>
    <t>ndcsidcor</t>
  </si>
  <si>
    <t xml:space="preserve">Matter </t>
  </si>
  <si>
    <t>Client Code</t>
  </si>
  <si>
    <t>hunter</t>
  </si>
  <si>
    <t xml:space="preserve">Cost </t>
  </si>
  <si>
    <t xml:space="preserve"> * Note - title must reflect the trustee(s) of the super fund, where no mortgage over property.</t>
  </si>
  <si>
    <t xml:space="preserve">   If there is a Limited Recourse Borrowing structure in place the title must reflect the </t>
  </si>
  <si>
    <t xml:space="preserve">   corporate trustee for the Bare Trust.</t>
  </si>
  <si>
    <t xml:space="preserve">   If this is not the case then an "Investment Title Declaration" should be completed in the current </t>
  </si>
  <si>
    <t xml:space="preserve">   year. The matter should be raised in the management letter &amp; trustees notified that the title</t>
  </si>
  <si>
    <t xml:space="preserve">   needs to be changed accordingly with the OSR - there are fees associated with this &amp; they will</t>
  </si>
  <si>
    <t xml:space="preserve">   need to provide a copy of the title of the property to the OSR or to Sidcor so that we may </t>
  </si>
  <si>
    <t xml:space="preserve">   arrange on their behalf.</t>
  </si>
  <si>
    <t>91936721-54d9-40b4-af9c-2fac87625a9c</t>
  </si>
  <si>
    <t>Property CB &amp; MV</t>
  </si>
  <si>
    <t>}_91936721-54d9-40b4-af9c-2fac87625a9c</t>
  </si>
  <si>
    <t>}_9943e8f3-bc6f-400b-95e4-0fb405ba3db1</t>
  </si>
  <si>
    <t>Interest</t>
  </si>
  <si>
    <t>}_29e71f86-b123-4142-9d5c-d4c92cbf701d</t>
  </si>
  <si>
    <t>CGT Relief</t>
  </si>
  <si>
    <t>33b912d6-46cc-4d08-b82b-9cdda32c1ff8</t>
  </si>
  <si>
    <t>}_33b912d6-46cc-4d08-b82b-9cdda32c1ff8</t>
  </si>
  <si>
    <t>Please consider moving prior years to debtors or creditors if relevant</t>
  </si>
  <si>
    <t>https://globalx.com.au/</t>
  </si>
  <si>
    <t>Amount should be forwarded to the CSC to be disbursed (Lee-anne will get invoice directly)</t>
  </si>
  <si>
    <t>QUESTIONS BEFORE SUBMISSION FOR AUDIT</t>
  </si>
  <si>
    <t>Client Email Address</t>
  </si>
  <si>
    <t>Bank Feed Authority Form</t>
  </si>
  <si>
    <t>Add into documents from Hownow</t>
  </si>
  <si>
    <t>Accountant to Prepare from Class</t>
  </si>
  <si>
    <t>Income threshold is $300,000 - from 1 July 2017 threshold is $250,000.</t>
  </si>
  <si>
    <t>HIN / SRN</t>
  </si>
  <si>
    <t>Manager Review Points</t>
  </si>
  <si>
    <t>All auditor / audit assitant points in Evolv</t>
  </si>
  <si>
    <t>2018 Year End</t>
  </si>
  <si>
    <t>CSM</t>
  </si>
  <si>
    <t>Client Team</t>
  </si>
  <si>
    <t>CSD</t>
  </si>
  <si>
    <t>Does the tax return Validate in Class?</t>
  </si>
  <si>
    <t>Following Financial Year - 2019 Compliance</t>
  </si>
  <si>
    <t xml:space="preserve">Have you linked the Engagement/Trustee Rep letter from Evolv? </t>
  </si>
  <si>
    <t>Has work been Reviewed by CSD?</t>
  </si>
  <si>
    <t>Financial Statements &amp; Income Tax Returns</t>
  </si>
  <si>
    <t>From Evolv</t>
  </si>
  <si>
    <t>2018 Audit Engagement Letter</t>
  </si>
  <si>
    <t>Audit Completion Letter</t>
  </si>
  <si>
    <t>From Evolv - Preparer to link</t>
  </si>
  <si>
    <t>Only required if docs are being posted. HUB to draft</t>
  </si>
  <si>
    <t>Audit Finalisation Cover Letter (CSD to sign)</t>
  </si>
  <si>
    <t>Original Source Docs to be sent back to Client?</t>
  </si>
  <si>
    <t>Auditor: Is there an ACR</t>
  </si>
  <si>
    <r>
      <t xml:space="preserve">Run </t>
    </r>
    <r>
      <rPr>
        <i/>
        <sz val="10"/>
        <rFont val="Arial"/>
        <family val="2"/>
      </rPr>
      <t>2018 Financial Statements</t>
    </r>
    <r>
      <rPr>
        <sz val="10"/>
        <rFont val="Arial"/>
        <family val="2"/>
      </rPr>
      <t xml:space="preserve"> report pack in Class</t>
    </r>
  </si>
  <si>
    <t>If Yes, how much is the Year End invoice?</t>
  </si>
  <si>
    <t xml:space="preserve">Link In Document where applicable </t>
  </si>
  <si>
    <t>Upload audit job to Evolv with all source docs &amp; workpapers?</t>
  </si>
  <si>
    <t>Accrual Intentions</t>
  </si>
  <si>
    <t>Intangibles</t>
  </si>
  <si>
    <t>Suits</t>
  </si>
  <si>
    <t>Super</t>
  </si>
  <si>
    <t>Tax Mania</t>
  </si>
  <si>
    <t>Meeting Date &amp; Staff</t>
  </si>
  <si>
    <t>eSAT: Link Draft ACR at Stage1 &amp; Lodged copy on Completion</t>
  </si>
  <si>
    <t>No</t>
  </si>
  <si>
    <r>
      <t xml:space="preserve">From Evolv - </t>
    </r>
    <r>
      <rPr>
        <sz val="9"/>
        <color rgb="FFFF0000"/>
        <rFont val="Arial"/>
        <family val="2"/>
      </rPr>
      <t>Only required if not covered by previous year or if new fund</t>
    </r>
  </si>
  <si>
    <t>As the Fund was in both accumulation and pension phase during the 2018 financial year the Fund is required to obtain an actuarial certificate in order to determine the portion of the net ordinary assessable income which is exempt from income tax.</t>
  </si>
  <si>
    <t>As the Fund was 100% in pension phase during the 2018 financial year the Fund is not required to obtain an actuarial certificate in order to determine the portion of the net ordinary assessable income which is exempt from income tax.</t>
  </si>
  <si>
    <t>Are we winding up the fund?</t>
  </si>
  <si>
    <t>Class Tax Agent</t>
  </si>
  <si>
    <t>Yes</t>
  </si>
  <si>
    <t>P.I Link</t>
  </si>
  <si>
    <t>GST as per Statement of Financial Position</t>
  </si>
  <si>
    <t>June BAS</t>
  </si>
  <si>
    <t>Net Actual GST</t>
  </si>
  <si>
    <t>Total GST Receivable on Expenses Paid</t>
  </si>
  <si>
    <t>Rounding</t>
  </si>
  <si>
    <t>Commercial Property Expenses</t>
  </si>
  <si>
    <t>Brokerage</t>
  </si>
  <si>
    <t>Management Fees</t>
  </si>
  <si>
    <t>Technical Advice</t>
  </si>
  <si>
    <t>Other Accounting Fees</t>
  </si>
  <si>
    <t>Accounting Fees</t>
  </si>
  <si>
    <t>Audit Fees</t>
  </si>
  <si>
    <t>Income Tax Return</t>
  </si>
  <si>
    <t>Expenses</t>
  </si>
  <si>
    <t>SiDCOR Accounting Fees</t>
  </si>
  <si>
    <t>Total GST Payable on Income Received</t>
  </si>
  <si>
    <t>Other Income</t>
  </si>
  <si>
    <t>Rental Income (Commercial Property 2)</t>
  </si>
  <si>
    <t>Rental Income (Commercial Property)</t>
  </si>
  <si>
    <t>GST</t>
  </si>
  <si>
    <t>Claimable %</t>
  </si>
  <si>
    <t>Gross Amount</t>
  </si>
  <si>
    <t>Income</t>
  </si>
  <si>
    <t>Actual Amounts per Simplefund</t>
  </si>
  <si>
    <t>Business Activity Statements</t>
  </si>
  <si>
    <t>Net</t>
  </si>
  <si>
    <t>1B</t>
  </si>
  <si>
    <t>1A</t>
  </si>
  <si>
    <t>GST Reported to ATO</t>
  </si>
  <si>
    <t>Reviewed By:</t>
  </si>
  <si>
    <t>GST Reconciliation</t>
  </si>
  <si>
    <t>Gold Coast (Mr P Siderovski)</t>
  </si>
  <si>
    <t>Newcastle (Mr Paul Siderovski)</t>
  </si>
  <si>
    <t>Port Douglas (Paul Siderovski)</t>
  </si>
  <si>
    <t>Newcastle (Mr Scott Douglas)</t>
  </si>
  <si>
    <t>Newcastle (Ms Lesa Sylvester)</t>
  </si>
  <si>
    <t>DocuSign</t>
  </si>
  <si>
    <t>Express Post</t>
  </si>
  <si>
    <t>DocuSign + Hard Copy Docs</t>
  </si>
  <si>
    <t>Meeting</t>
  </si>
  <si>
    <t xml:space="preserve">Compilation Report </t>
  </si>
  <si>
    <t>Alan Beck - Gold Coast</t>
  </si>
  <si>
    <t>Cameron Tink - Tax Mania</t>
  </si>
  <si>
    <t>Heidi Ruch - Accrual Intentions</t>
  </si>
  <si>
    <t>Janelle Wheeler - Mossman</t>
  </si>
  <si>
    <t>Janet Simpson - Port Douglas</t>
  </si>
  <si>
    <t>Lesa Sylvester - Tax Advisory</t>
  </si>
  <si>
    <t>Matthew Hunt - Busness Advisory</t>
  </si>
  <si>
    <t>Matthew Hunt - Suits</t>
  </si>
  <si>
    <t>Michelle Chesworth - Super Team</t>
  </si>
  <si>
    <t>Paul Siderovski - Intangibles</t>
  </si>
  <si>
    <t>Paul Sidverovski - PMG Team</t>
  </si>
  <si>
    <t>Scott Douglas - SMSF Auditor</t>
  </si>
  <si>
    <t>Reviewed By</t>
  </si>
  <si>
    <t>Have you identified a reportable breach &amp; noted in the tax return?</t>
  </si>
  <si>
    <t>2019 Pension Requirements</t>
  </si>
  <si>
    <t>To meet the income stream requirements for the 2019 financial year the following minimum pension amounts based on the members relevant percentage factor must be drawn. As pensions are transition to retirement pensions there is a maximum amount of 10% that can be drawn. Please note, from 1 July 2018, earnings from assets supporting a transition to retirement income streams will not be eligible for tax exemption on fund earnings where the member has not met a condition of release.</t>
  </si>
  <si>
    <t>We wish to advise that the pensions to be drawn during the 2019 financial year should be within the following ranges:</t>
  </si>
  <si>
    <t xml:space="preserve">To meet the income stream requirements for the 2019 financial year the following minimum amounts based on the members relevant percentage factor must be drawn. As the pension is an account based pension there is no maximum restriction.  </t>
  </si>
  <si>
    <t>We wish to advise that the pensions to be drawn during the 2019 financial year should be at least the minimum amount mentioned below:</t>
  </si>
  <si>
    <t>31 October 2018</t>
  </si>
  <si>
    <t>28 February 2019</t>
  </si>
  <si>
    <t>September PAYG Instalment (October 2018)</t>
  </si>
  <si>
    <t>December PAYG Instalment (February 2019)</t>
  </si>
  <si>
    <t>March PAYG Instalment (April 2019)</t>
  </si>
  <si>
    <t>June PAYG Instalment (July 2019)</t>
  </si>
  <si>
    <t>Annual PAYG Instalment (October 2019)</t>
  </si>
  <si>
    <t>Completed by the Audit Assistant</t>
  </si>
  <si>
    <t>Outstanding as at 30 June 2018</t>
  </si>
  <si>
    <t>2018 Provision</t>
  </si>
  <si>
    <t>Reviewe By:</t>
  </si>
  <si>
    <t>SiDCOR letter - Loan Confirmation</t>
  </si>
  <si>
    <t>For related Party Loan - from Hownow</t>
  </si>
  <si>
    <t>Client Service Manager (CSM)</t>
  </si>
  <si>
    <t>Client Service Director (CSD)</t>
  </si>
  <si>
    <t>Person</t>
  </si>
  <si>
    <t>Hours</t>
  </si>
  <si>
    <t>Budget</t>
  </si>
  <si>
    <t>Team Member</t>
  </si>
  <si>
    <t>Detailed Review</t>
  </si>
  <si>
    <t>CSD Sign Off</t>
  </si>
  <si>
    <t>Total Hours Budgeted</t>
  </si>
  <si>
    <t>Job Brief Notes</t>
  </si>
  <si>
    <t>Link handwritten notes or type in notes section above</t>
  </si>
  <si>
    <t>Checklist</t>
  </si>
  <si>
    <t>Responsibility</t>
  </si>
  <si>
    <t>Does the client have any oustanding debtors that need to be resolved prior to commencing work.</t>
  </si>
  <si>
    <t>CSC</t>
  </si>
  <si>
    <t>Review of client group structure and scope of work</t>
  </si>
  <si>
    <t>CSM/CSD</t>
  </si>
  <si>
    <t xml:space="preserve">Has scope of work and budgeted hours been agreed </t>
  </si>
  <si>
    <t>CSM /CSD</t>
  </si>
  <si>
    <t>Has the turn around time for client work been agreed</t>
  </si>
  <si>
    <t>Enter Date</t>
  </si>
  <si>
    <t>Has CSD sign off been tentatively booked</t>
  </si>
  <si>
    <t>Has a client meeting been tentatively booked with client</t>
  </si>
  <si>
    <t>Actual</t>
  </si>
  <si>
    <t>De Brief Notes</t>
  </si>
  <si>
    <t>What went well with this job?</t>
  </si>
  <si>
    <t>What didn’t go well with this job?</t>
  </si>
  <si>
    <t>What training areas could you benefit from?</t>
  </si>
  <si>
    <t>What suggestions (if any) do you have for improving efficiency for this job</t>
  </si>
  <si>
    <t xml:space="preserve">Was turn around time met? </t>
  </si>
  <si>
    <t>Reasons for any budget overruns and actions to avoid next time (please comment in notes)</t>
  </si>
  <si>
    <t>Inefficient Processes</t>
  </si>
  <si>
    <t xml:space="preserve">Inefficiencies by SiDCOR </t>
  </si>
  <si>
    <t xml:space="preserve">Client Issues </t>
  </si>
  <si>
    <t>Scope Creep</t>
  </si>
  <si>
    <t>Review of client information (including Compliance) / to client checklist</t>
  </si>
  <si>
    <t>Is there a related Compliance Job and has this been scheduled where appropriate with the relevant team</t>
  </si>
  <si>
    <t>Asset Class</t>
  </si>
  <si>
    <t>The Schubert Superannuation Fund</t>
  </si>
  <si>
    <t>David Edmunds</t>
  </si>
  <si>
    <t>Kristy Gorgievski</t>
  </si>
  <si>
    <t>https://app.practiceignition.com/proposals/406079</t>
  </si>
  <si>
    <t>On Completion</t>
  </si>
  <si>
    <t>Graeme Schubert</t>
  </si>
  <si>
    <t>Superannuation Fund Permanent Document</t>
  </si>
  <si>
    <t>Jennifer Schubert</t>
  </si>
  <si>
    <t>Class</t>
  </si>
  <si>
    <t>SCH001</t>
  </si>
  <si>
    <t>Superannuation Fund</t>
  </si>
  <si>
    <t>jenniferschubert@bigpond.com</t>
  </si>
  <si>
    <t>Header_1</t>
  </si>
  <si>
    <t>AddE</t>
  </si>
  <si>
    <t>investment_income</t>
  </si>
  <si>
    <t>Header_2</t>
  </si>
  <si>
    <t>Investment Income</t>
  </si>
  <si>
    <t>interest</t>
  </si>
  <si>
    <t>Header_3</t>
  </si>
  <si>
    <t>interest.OtherAssets.CashAtBank</t>
  </si>
  <si>
    <t>Header_4</t>
  </si>
  <si>
    <t>Cash At Bank</t>
  </si>
  <si>
    <t>interest.OtherAssets.CashAtBank.9c33cc9f-099c-410b-a660-2225d53d8513</t>
  </si>
  <si>
    <t>Line_5</t>
  </si>
  <si>
    <t>NAB Bank Account #2277</t>
  </si>
  <si>
    <t>Totalinterest.OtherAssets.CashAtBank</t>
  </si>
  <si>
    <t>Total_4</t>
  </si>
  <si>
    <t>Total Cash At Bank</t>
  </si>
  <si>
    <t>Totalinterest</t>
  </si>
  <si>
    <t>Total_3</t>
  </si>
  <si>
    <t>Total Interest</t>
  </si>
  <si>
    <t>Totalinvestment_income</t>
  </si>
  <si>
    <t>Total_2</t>
  </si>
  <si>
    <t>Total Investment Income</t>
  </si>
  <si>
    <t>TotalIncome</t>
  </si>
  <si>
    <t>Total_1</t>
  </si>
  <si>
    <t>Total Income</t>
  </si>
  <si>
    <t>Profit &amp; Loss Clearing Account</t>
  </si>
  <si>
    <t>AddB</t>
  </si>
  <si>
    <t>unallocated_benefits</t>
  </si>
  <si>
    <t>Line_2</t>
  </si>
  <si>
    <t>TotalProfit &amp; Loss Clearing Account</t>
  </si>
  <si>
    <t>Total Profit &amp; Loss Clearing Account</t>
  </si>
  <si>
    <t>Assets</t>
  </si>
  <si>
    <t>investments</t>
  </si>
  <si>
    <t>investments.Property</t>
  </si>
  <si>
    <t>Direct Property</t>
  </si>
  <si>
    <t>investments.Property.98da9e35-149c-408d-81d9-e7c6bce587f6</t>
  </si>
  <si>
    <t>Line_4</t>
  </si>
  <si>
    <t>Class.ImportProperty</t>
  </si>
  <si>
    <t>18 South Heron Road, Old Bar</t>
  </si>
  <si>
    <t>investments.Property.49362750-9aeb-4984-a896-1dd8b81c2e48</t>
  </si>
  <si>
    <t>Totalinvestments.Property</t>
  </si>
  <si>
    <t>Total Direct Property</t>
  </si>
  <si>
    <t>Totalinvestments</t>
  </si>
  <si>
    <t>Total Investments</t>
  </si>
  <si>
    <t>other_assets</t>
  </si>
  <si>
    <t>Other Assets</t>
  </si>
  <si>
    <t>cash_at_bank</t>
  </si>
  <si>
    <t>cash_at_bank.9c33cc9f-099c-410b-a660-2225d53d8513</t>
  </si>
  <si>
    <t>Totalcash_at_bank</t>
  </si>
  <si>
    <t>tax_assets</t>
  </si>
  <si>
    <t>Deferred Tax Assets</t>
  </si>
  <si>
    <t>accumulated_carried_forward_capitallosses</t>
  </si>
  <si>
    <t>Carried Forward Capital Losses</t>
  </si>
  <si>
    <t>Totaltax_assets</t>
  </si>
  <si>
    <t>Total Deferred Tax Assets</t>
  </si>
  <si>
    <t>Totalother_assets</t>
  </si>
  <si>
    <t>Total Other Assets</t>
  </si>
  <si>
    <t>TotalAssets</t>
  </si>
  <si>
    <t>Liabilities</t>
  </si>
  <si>
    <t>AddC</t>
  </si>
  <si>
    <t>income_tax_payable</t>
  </si>
  <si>
    <t>Line_3</t>
  </si>
  <si>
    <t>Totalincome_tax_payable</t>
  </si>
  <si>
    <t>provision_for_deferred_income_tax</t>
  </si>
  <si>
    <t>Deferred Tax Liability</t>
  </si>
  <si>
    <t>deferred_income_tax_on_fund_income</t>
  </si>
  <si>
    <t>Unrealised Gains/Losses</t>
  </si>
  <si>
    <t>Totalprovision_for_deferred_income_tax</t>
  </si>
  <si>
    <t>Total Deferred Tax Liability</t>
  </si>
  <si>
    <t>TotalLiabilities</t>
  </si>
  <si>
    <t>Total Liabilities</t>
  </si>
  <si>
    <t>Member Entitlements</t>
  </si>
  <si>
    <t>AddD</t>
  </si>
  <si>
    <t>members_entitlements_accounts</t>
  </si>
  <si>
    <t>Member Entitlement Accounts</t>
  </si>
  <si>
    <t>members_entitlements_accounts.1</t>
  </si>
  <si>
    <t>Mr Graeme Schubert</t>
  </si>
  <si>
    <t>members_entitlements_accounts.1.03e5eb30-7709-4cda-9f19-9cb52d2c3fd1</t>
  </si>
  <si>
    <t>Accumulation</t>
  </si>
  <si>
    <t>Totalmembers_entitlements_accounts.1</t>
  </si>
  <si>
    <t>Total Mr Graeme Schubert</t>
  </si>
  <si>
    <t>members_entitlements_accounts.2</t>
  </si>
  <si>
    <t>Mrs Jennifer Schubert</t>
  </si>
  <si>
    <t>members_entitlements_accounts.2.3ecf967d-7989-4a24-b558-d405ae469a0a</t>
  </si>
  <si>
    <t>members_entitlements_accounts.2.ae00aade-e45c-4b86-8cd0-8ca5c65963e6</t>
  </si>
  <si>
    <t>Totalmembers_entitlements_accounts.2</t>
  </si>
  <si>
    <t>Total Mrs Jennifer Schubert</t>
  </si>
  <si>
    <t>Totalmembers_entitlements_accounts</t>
  </si>
  <si>
    <t>Total Member Entitlement Accounts</t>
  </si>
  <si>
    <t>TotalMember Entitlements</t>
  </si>
  <si>
    <t>Total Member Entitlements</t>
  </si>
  <si>
    <t>rent</t>
  </si>
  <si>
    <t>Rent</t>
  </si>
  <si>
    <t>rent.Property</t>
  </si>
  <si>
    <t>rent.Property.49362750-9aeb-4984-a896-1dd8b81c2e48</t>
  </si>
  <si>
    <t>Totalrent.Property</t>
  </si>
  <si>
    <t>Totalrent</t>
  </si>
  <si>
    <t>Total Rent</t>
  </si>
  <si>
    <t>Expense</t>
  </si>
  <si>
    <t>AddF</t>
  </si>
  <si>
    <t>other_expenses</t>
  </si>
  <si>
    <t>Other Expenses</t>
  </si>
  <si>
    <t>property_expenses_expense</t>
  </si>
  <si>
    <t>Property Expenses</t>
  </si>
  <si>
    <t>property_expenses_expense.PropertyExpenses.AgentsManagementFee</t>
  </si>
  <si>
    <t>Agents Management Fee</t>
  </si>
  <si>
    <t>property_expenses_expense.PropertyExpenses.AgentsManagementFee.Property</t>
  </si>
  <si>
    <t>Header_5</t>
  </si>
  <si>
    <t>property_expenses_expense.PropertyExpenses.AgentsManagementFee.Property.49362750-9aeb-4984-a896-1dd8b81c2e48</t>
  </si>
  <si>
    <t>Line_6</t>
  </si>
  <si>
    <t>Totalproperty_expenses_expense.PropertyExpenses.AgentsManagementFee.Property</t>
  </si>
  <si>
    <t>Total_5</t>
  </si>
  <si>
    <t>Totalproperty_expenses_expense.PropertyExpenses.AgentsManagementFee</t>
  </si>
  <si>
    <t>Total Agents Management Fee</t>
  </si>
  <si>
    <t>property_expenses_expense.PropertyExpenses.Rates</t>
  </si>
  <si>
    <t>Council Rates</t>
  </si>
  <si>
    <t>property_expenses_expense.PropertyExpenses.Rates.Property</t>
  </si>
  <si>
    <t>property_expenses_expense.PropertyExpenses.Rates.Property.49362750-9aeb-4984-a896-1dd8b81c2e48</t>
  </si>
  <si>
    <t>Totalproperty_expenses_expense.PropertyExpenses.Rates.Property</t>
  </si>
  <si>
    <t>Totalproperty_expenses_expense.PropertyExpenses.Rates</t>
  </si>
  <si>
    <t>Total Council Rates</t>
  </si>
  <si>
    <t>property_expenses_expense.PropertyExpenses.RepairsMaintenance</t>
  </si>
  <si>
    <t>Repairs Maintenance</t>
  </si>
  <si>
    <t>property_expenses_expense.PropertyExpenses.RepairsMaintenance.Property</t>
  </si>
  <si>
    <t>property_expenses_expense.PropertyExpenses.RepairsMaintenance.Property.49362750-9aeb-4984-a896-1dd8b81c2e48</t>
  </si>
  <si>
    <t>Totalproperty_expenses_expense.PropertyExpenses.RepairsMaintenance.Property</t>
  </si>
  <si>
    <t>Totalproperty_expenses_expense.PropertyExpenses.RepairsMaintenance</t>
  </si>
  <si>
    <t>Total Repairs Maintenance</t>
  </si>
  <si>
    <t>property_expenses_expense.PropertyExpenses.SundryExpenses</t>
  </si>
  <si>
    <t>Sundry Expenses</t>
  </si>
  <si>
    <t>property_expenses_expense.PropertyExpenses.SundryExpenses.Property</t>
  </si>
  <si>
    <t>property_expenses_expense.PropertyExpenses.SundryExpenses.Property.49362750-9aeb-4984-a896-1dd8b81c2e48</t>
  </si>
  <si>
    <t>Totalproperty_expenses_expense.PropertyExpenses.SundryExpenses.Property</t>
  </si>
  <si>
    <t>Totalproperty_expenses_expense.PropertyExpenses.SundryExpenses</t>
  </si>
  <si>
    <t>Total Sundry Expenses</t>
  </si>
  <si>
    <t>property_expenses_expense.PropertyExpenses.WaterLevyFee</t>
  </si>
  <si>
    <t>Water Rates</t>
  </si>
  <si>
    <t>property_expenses_expense.PropertyExpenses.WaterLevyFee.Property</t>
  </si>
  <si>
    <t>property_expenses_expense.PropertyExpenses.WaterLevyFee.Property.49362750-9aeb-4984-a896-1dd8b81c2e48</t>
  </si>
  <si>
    <t>Totalproperty_expenses_expense.PropertyExpenses.WaterLevyFee.Property</t>
  </si>
  <si>
    <t>Totalproperty_expenses_expense.PropertyExpenses.WaterLevyFee</t>
  </si>
  <si>
    <t>Total Water Rates</t>
  </si>
  <si>
    <t>Totalproperty_expenses_expense</t>
  </si>
  <si>
    <t>Total Property Expenses</t>
  </si>
  <si>
    <t>Totalother_expenses</t>
  </si>
  <si>
    <t>Total Other Expenses</t>
  </si>
  <si>
    <t>TotalExpense</t>
  </si>
  <si>
    <t>Total Expense</t>
  </si>
  <si>
    <t>receivables</t>
  </si>
  <si>
    <t>Receivables</t>
  </si>
  <si>
    <t>investment_income_receivable</t>
  </si>
  <si>
    <t>Investment Income Receivable</t>
  </si>
  <si>
    <t>rent_receivable</t>
  </si>
  <si>
    <t>rent_receivable.Property</t>
  </si>
  <si>
    <t>Header_6</t>
  </si>
  <si>
    <t>rent_receivable.Property.49362750-9aeb-4984-a896-1dd8b81c2e48</t>
  </si>
  <si>
    <t>Line_7</t>
  </si>
  <si>
    <t>Totalrent_receivable.Property</t>
  </si>
  <si>
    <t>Total_6</t>
  </si>
  <si>
    <t>Totalrent_receivable</t>
  </si>
  <si>
    <t>Totalinvestment_income_receivable</t>
  </si>
  <si>
    <t>Total Investment Income Receivable</t>
  </si>
  <si>
    <t>Totalreceivables</t>
  </si>
  <si>
    <t>Total Receivables</t>
  </si>
  <si>
    <t>rent.Property.98da9e35-149c-408d-81d9-e7c6bce587f6</t>
  </si>
  <si>
    <t>sundries_expense.AdministrationExpense.AccountancyFee</t>
  </si>
  <si>
    <t>Accountancy Fee</t>
  </si>
  <si>
    <t>sundries_expense.AdministrationExpense.AuditorFee</t>
  </si>
  <si>
    <t>Auditor Fee</t>
  </si>
  <si>
    <t>property_expenses_expense.PropertyExpenses.AgentsManagementFee.Property.98da9e35-149c-408d-81d9-e7c6bce587f6</t>
  </si>
  <si>
    <t>property_expenses_expense.PropertyExpenses.Rates.Property.98da9e35-149c-408d-81d9-e7c6bce587f6</t>
  </si>
  <si>
    <t>property_expenses_expense.PropertyExpenses.RepairsMaintenance.Property.98da9e35-149c-408d-81d9-e7c6bce587f6</t>
  </si>
  <si>
    <t>property_expenses_expense.PropertyExpenses.SundryExpenses.Property.98da9e35-149c-408d-81d9-e7c6bce587f6</t>
  </si>
  <si>
    <t>property_expenses_expense.PropertyExpenses.WaterLevyFee.Property.98da9e35-149c-408d-81d9-e7c6bce587f6</t>
  </si>
  <si>
    <t>sundries_expense.RegulatoryExpense.SMSFSupervisoryLevy</t>
  </si>
  <si>
    <t>SMSF Supervisory Levy</t>
  </si>
  <si>
    <t>rent_receivable.Property.98da9e35-149c-408d-81d9-e7c6bce587f6</t>
  </si>
  <si>
    <t>income_tax_instalments_paid</t>
  </si>
  <si>
    <t>Income Tax Instalments Paid</t>
  </si>
  <si>
    <t>member_receipts</t>
  </si>
  <si>
    <t>Member Receipts</t>
  </si>
  <si>
    <t>contributions</t>
  </si>
  <si>
    <t>Contributions</t>
  </si>
  <si>
    <t>member</t>
  </si>
  <si>
    <t>Member</t>
  </si>
  <si>
    <t>deducted</t>
  </si>
  <si>
    <t>Personal Concessional</t>
  </si>
  <si>
    <t>deducted.1</t>
  </si>
  <si>
    <t>deducted.2</t>
  </si>
  <si>
    <t>Totaldeducted</t>
  </si>
  <si>
    <t>Total Personal Concessional</t>
  </si>
  <si>
    <t>Totalmember</t>
  </si>
  <si>
    <t>Total Member</t>
  </si>
  <si>
    <t>Totalcontributions</t>
  </si>
  <si>
    <t>Total Contributions</t>
  </si>
  <si>
    <t>Totalmember_receipts</t>
  </si>
  <si>
    <t>Total Member Receipts</t>
  </si>
  <si>
    <t>member_payments</t>
  </si>
  <si>
    <t>Member Payments</t>
  </si>
  <si>
    <t>pensions_paid</t>
  </si>
  <si>
    <t>Pensions Paid</t>
  </si>
  <si>
    <t>pensions_paid.2</t>
  </si>
  <si>
    <t>pensions_paid.2.3ecf967d-7989-4a24-b558-d405ae469a0a</t>
  </si>
  <si>
    <t>Totalpensions_paid.2</t>
  </si>
  <si>
    <t>Totalpensions_paid</t>
  </si>
  <si>
    <t>Total Pensions Paid</t>
  </si>
  <si>
    <t>Totalmember_payments</t>
  </si>
  <si>
    <t>Total Member Payments</t>
  </si>
  <si>
    <t>Insurance Premium</t>
  </si>
  <si>
    <t>Total Insurance Premium</t>
  </si>
  <si>
    <t>Rental Property</t>
  </si>
  <si>
    <t>Index</t>
  </si>
  <si>
    <t>Workpaper</t>
  </si>
  <si>
    <t>Account/sub</t>
  </si>
  <si>
    <t>Prepared by</t>
  </si>
  <si>
    <t>Reviewed by</t>
  </si>
  <si>
    <t>This worksheet enables you to analyse income and expenses for rental properties. Total rental income and expenses will prefill to the Rental Property Summary worksheet.  If there are more than 3 rental properties for a client, please add an additional Rental Property Worksheet.</t>
  </si>
  <si>
    <t>NOTE: Data imported from Class can pre-populate only Property 1 of this worksheet.  If you have additional rental properties, please manually enter data for these properties.</t>
  </si>
  <si>
    <t>Checklist items</t>
  </si>
  <si>
    <t>Have you made adjustments for repairs that are capital in nature?</t>
  </si>
  <si>
    <t>Have you made adjustments for initial repairs that existed at the time of purchasing the property?</t>
  </si>
  <si>
    <t>Have you ensured that depreciation on plant and equipment in relation to a residential rental property for individual investors has been limited to the expenses the taxpayer actually incurred the outlay to purchase?</t>
  </si>
  <si>
    <t>Summary</t>
  </si>
  <si>
    <t>Joint income &amp; expenses</t>
  </si>
  <si>
    <t>Income &amp; expenses - this taxpayer only</t>
  </si>
  <si>
    <t>Taxpayer's share of rental income &amp; expenses</t>
  </si>
  <si>
    <t>Previous year</t>
  </si>
  <si>
    <t>Notes/hyperlinks</t>
  </si>
  <si>
    <t>Gross rents from agent</t>
  </si>
  <si>
    <t>Gross rents direct to owner(s)</t>
  </si>
  <si>
    <t>Other income</t>
  </si>
  <si>
    <t>Total income</t>
  </si>
  <si>
    <t>Less: Expenses</t>
  </si>
  <si>
    <t>Advertising</t>
  </si>
  <si>
    <t>Bank charges</t>
  </si>
  <si>
    <t>Body corporate</t>
  </si>
  <si>
    <t>Borrowing expenses</t>
  </si>
  <si>
    <t>Cleaning</t>
  </si>
  <si>
    <t>Council rates</t>
  </si>
  <si>
    <t>Deductions for decline in value</t>
  </si>
  <si>
    <t>Gardening/lawnmowing</t>
  </si>
  <si>
    <t>Insurance</t>
  </si>
  <si>
    <t>Interest on loans</t>
  </si>
  <si>
    <t>Land tax</t>
  </si>
  <si>
    <t>Legal expenses</t>
  </si>
  <si>
    <t>Pest control</t>
  </si>
  <si>
    <t>Property agent fees/commissions</t>
  </si>
  <si>
    <t>Repairs &amp; maintenance</t>
  </si>
  <si>
    <t>Capital works deductions</t>
  </si>
  <si>
    <t>Stationery, telephone &amp; postage</t>
  </si>
  <si>
    <t>Travel expenses</t>
  </si>
  <si>
    <t>Water charges</t>
  </si>
  <si>
    <t>Sundry rental expenses</t>
  </si>
  <si>
    <t>Total expenses</t>
  </si>
  <si>
    <t>Rent less expenses</t>
  </si>
  <si>
    <t>Total individual owner rent less expenses</t>
  </si>
  <si>
    <t>Net income/loss</t>
  </si>
  <si>
    <t>Distribution - property 1</t>
  </si>
  <si>
    <t>Enter rental property name</t>
  </si>
  <si>
    <t>Joint rent and expenses</t>
  </si>
  <si>
    <t>Individual owner rent and expenses</t>
  </si>
  <si>
    <t>%</t>
  </si>
  <si>
    <t>Other expenses</t>
  </si>
  <si>
    <t>Rent less 
joint expenses</t>
  </si>
  <si>
    <t>Net rent
this taxpayer</t>
  </si>
  <si>
    <t/>
  </si>
  <si>
    <t>Name of other part owner</t>
  </si>
  <si>
    <t>Rental property income and expenses - property 1</t>
  </si>
  <si>
    <t>Address of property:</t>
  </si>
  <si>
    <t>Date first rented:</t>
  </si>
  <si>
    <t>Number of weeks rented:</t>
  </si>
  <si>
    <t>Joint income &amp; expenses from rental statement(s)</t>
  </si>
  <si>
    <t>July</t>
  </si>
  <si>
    <t>August</t>
  </si>
  <si>
    <t>September</t>
  </si>
  <si>
    <t>October</t>
  </si>
  <si>
    <t>November</t>
  </si>
  <si>
    <t>December</t>
  </si>
  <si>
    <t>January</t>
  </si>
  <si>
    <t>February</t>
  </si>
  <si>
    <t>March</t>
  </si>
  <si>
    <t>April</t>
  </si>
  <si>
    <t>May</t>
  </si>
  <si>
    <t>June/Annual</t>
  </si>
  <si>
    <t>Gross rent</t>
  </si>
  <si>
    <t>Agent fees/commission</t>
  </si>
  <si>
    <t>Letting fees</t>
  </si>
  <si>
    <t>Postage &amp; stationery</t>
  </si>
  <si>
    <t>Sundry</t>
  </si>
  <si>
    <t>Net rent (subtotal)</t>
  </si>
  <si>
    <t>Joint income received &amp; expenses paid directly by owner(s)</t>
  </si>
  <si>
    <t>Rental income</t>
  </si>
  <si>
    <t>Other R&amp;M - specify</t>
  </si>
  <si>
    <t>Other sundry - specify</t>
  </si>
  <si>
    <t>Total net rent</t>
  </si>
  <si>
    <t>Distribution - property 2</t>
  </si>
  <si>
    <t>Rental property income and expenses - property 2</t>
  </si>
  <si>
    <t>Distribution - property 3</t>
  </si>
  <si>
    <t>Rental property income and expenses - property 3</t>
  </si>
  <si>
    <t>Worksheet</t>
  </si>
  <si>
    <t>c6fcf820-526f-48b0-92f3-3bbcb699331a</t>
  </si>
  <si>
    <t>adacf2c7-56a6-4cb6-a345-7f450d9412ca</t>
  </si>
  <si>
    <t>M25 Rental Property</t>
  </si>
  <si>
    <t>}_c6fcf820-526f-48b0-92f3-3bbcb699331a</t>
  </si>
  <si>
    <t>18 South Heron Road, Old Bar NSW 2430, Australia</t>
  </si>
  <si>
    <t>28 Greygum Road, TAREE NSW 2430</t>
  </si>
  <si>
    <t>pg. 1</t>
  </si>
  <si>
    <t>pg. 2</t>
  </si>
  <si>
    <t>2018 Council Rates</t>
  </si>
  <si>
    <t>2018 Insurance Premium - Old Bar</t>
  </si>
  <si>
    <t>pg. 2 &amp; 3</t>
  </si>
  <si>
    <t>2018 Water Rates</t>
  </si>
  <si>
    <t>2018 Repairs &amp; Maintenance Invoices</t>
  </si>
  <si>
    <t>2018 Rental Statement - 28 Greygum Road, TAREE NSW 2430</t>
  </si>
  <si>
    <t>2018 Rental Statement - 18 South Heron Road, OLD BAR NSW 2430</t>
  </si>
  <si>
    <t>LinkSheet</t>
  </si>
  <si>
    <t>StatusUpdate</t>
  </si>
  <si>
    <t>Accountancy</t>
  </si>
  <si>
    <t>Use this sheet to record details of accounting fees. The total fees will transfer to the Expenses worksheet.</t>
  </si>
  <si>
    <t>Detail</t>
  </si>
  <si>
    <t>Amount $</t>
  </si>
  <si>
    <t>Reviewed</t>
  </si>
  <si>
    <t>Schedule ref.</t>
  </si>
  <si>
    <t>Notes or comments</t>
  </si>
  <si>
    <t>Business advisory</t>
  </si>
  <si>
    <t>Total accountancy fees</t>
  </si>
  <si>
    <t>Ledger balance</t>
  </si>
  <si>
    <t>ce724c59-6768-4305-bb90-3da954c97d8d</t>
  </si>
  <si>
    <t>64fdad39-6399-4a0a-834e-6d2769c92898</t>
  </si>
  <si>
    <t>}_ce724c59-6768-4305-bb90-3da954c97d8d</t>
  </si>
  <si>
    <t>2017 SiDCOR Fees INV-14829</t>
  </si>
  <si>
    <t>2018 SiDCOR Entity Establishment Fees INV-15300</t>
  </si>
  <si>
    <t>2018 SiDCOR Entity Establishment INV-15300</t>
  </si>
  <si>
    <t>Fund Fees</t>
  </si>
  <si>
    <t>N05 Fund Fees</t>
  </si>
  <si>
    <t>SmartLink</t>
  </si>
  <si>
    <t>5e2b6bbc-3d39-42ee-b0de-cecbda164cc2</t>
  </si>
  <si>
    <t>}_5e2b6bbc-3d39-42ee-b0de-cecbda164cc2</t>
  </si>
  <si>
    <t>2018 Bank Statements #2277</t>
  </si>
  <si>
    <t>279fbaaa-0d6b-4164-a5ae-1bc416a7fb72</t>
  </si>
  <si>
    <t>}_279fbaaa-0d6b-4164-a5ae-1bc416a7fb72</t>
  </si>
  <si>
    <t>Post</t>
  </si>
  <si>
    <t>Pg. 1 of PDF linked in shows income been received July 2018</t>
  </si>
  <si>
    <t>c0e43241-b275-4eb0-9f5d-cccde7833cad</t>
  </si>
  <si>
    <t>}_c0e43241-b275-4eb0-9f5d-cccde7833cad</t>
  </si>
  <si>
    <t>cash_at_bank.df5d7670-995e-48be-93f9-bfb1ffad9427</t>
  </si>
  <si>
    <t>Sundry Debtor</t>
  </si>
  <si>
    <t>Email from bmtreports@bmtqs.com.au - BMT Tax Depreciation Schedule - Graeme &amp; Je</t>
  </si>
  <si>
    <t>BMT Tax Dep'n Report Invoice</t>
  </si>
  <si>
    <t>Trade Debtors</t>
  </si>
  <si>
    <t xml:space="preserve">Reconcile trade debtors on this sheet. Adjustments to trade debtors are calculated and trade debtors are analysed. </t>
  </si>
  <si>
    <t>If reconciling to the client's trade debtors ledger, use the first section of this worksheet. If the client has provided a list of outstandings, use the second section.</t>
  </si>
  <si>
    <t>The movement in the provision for doubtful debts should also be calculated on this worksheet, see lower part of the worksheet.</t>
  </si>
  <si>
    <t>Have you investigated any potential bad debts?</t>
  </si>
  <si>
    <t>Have you recommended that the client considers making a provision for doubtful debts?</t>
  </si>
  <si>
    <t>Have you recommended that the client considers writing off bad debts?</t>
  </si>
  <si>
    <t>Is the client a former STS taxpayer eligible to report sales on a cash basis for income tax purposes?</t>
  </si>
  <si>
    <t>Does the client report sales for GST on a cash basis?</t>
  </si>
  <si>
    <t>Trade debtors analysis</t>
  </si>
  <si>
    <t>Analysis</t>
  </si>
  <si>
    <t>This year</t>
  </si>
  <si>
    <t>Last year</t>
  </si>
  <si>
    <t>Turnover</t>
  </si>
  <si>
    <t>Debtor turnover</t>
  </si>
  <si>
    <t>Days outstanding</t>
  </si>
  <si>
    <t>Reconciliation to client's trade debtors ledger</t>
  </si>
  <si>
    <t>Total outstandings per client's trade debtors ledger</t>
  </si>
  <si>
    <t>Reconciliation adjustments:</t>
  </si>
  <si>
    <t>Adjusted trade debtors balance</t>
  </si>
  <si>
    <t>Reconciliation to client's list</t>
  </si>
  <si>
    <t>Details</t>
  </si>
  <si>
    <t>GST inc?</t>
  </si>
  <si>
    <t>Amount $ including GST</t>
  </si>
  <si>
    <t>Total trade debtors</t>
  </si>
  <si>
    <t>Provision for doubtful debts</t>
  </si>
  <si>
    <t>Calculation by review of specific accounts</t>
  </si>
  <si>
    <t xml:space="preserve">Debtor </t>
  </si>
  <si>
    <t>Estimate of recoverable amount</t>
  </si>
  <si>
    <t xml:space="preserve">Provision </t>
  </si>
  <si>
    <t>Totals</t>
  </si>
  <si>
    <t>Provision</t>
  </si>
  <si>
    <t>Provision at start of year</t>
  </si>
  <si>
    <t>Movement for journal</t>
  </si>
  <si>
    <t>Calculation by % of debtors method</t>
  </si>
  <si>
    <t>Estimate of recoverable %</t>
  </si>
  <si>
    <t>Total debtors $</t>
  </si>
  <si>
    <t>days in year</t>
  </si>
  <si>
    <t>4bcde47e-e4ee-4bad-b8a9-d01d467cc829</t>
  </si>
  <si>
    <t>84fd092c-15c7-42a0-8f57-708d9d2916cd</t>
  </si>
  <si>
    <t>F05 Trade Debtors</t>
  </si>
  <si>
    <t>}_4bcde47e-e4ee-4bad-b8a9-d01d467cc829</t>
  </si>
  <si>
    <t>Workpaper Id</t>
  </si>
  <si>
    <t>a54da716-329e-4ba4-b77b-3fcd4f16b9df</t>
  </si>
  <si>
    <t>Product Number</t>
  </si>
  <si>
    <t>Local Template Location</t>
  </si>
  <si>
    <t>Starter Version</t>
  </si>
  <si>
    <t>2.2.0.0</t>
  </si>
  <si>
    <t>Document Type</t>
  </si>
  <si>
    <t>Class_Workpaper</t>
  </si>
  <si>
    <t>property_expenses_expense.PropertyExpenses.InsurancePremium</t>
  </si>
  <si>
    <t>property_expenses_expense.PropertyExpenses.InsurancePremium.Property</t>
  </si>
  <si>
    <t>property_expenses_expense.PropertyExpenses.InsurancePremium.Property.49362750-9aeb-4984-a896-1dd8b81c2e48</t>
  </si>
  <si>
    <t>Totalproperty_expenses_expense.PropertyExpenses.InsurancePremium.Property</t>
  </si>
  <si>
    <t>Totalproperty_expenses_expense.PropertyExpenses.InsurancePremium</t>
  </si>
  <si>
    <t>Use this worksheet for other items not included in the workpapers.</t>
  </si>
  <si>
    <t>046712f0-83de-47e0-986a-6b1bc2ed2e47</t>
  </si>
  <si>
    <t>586d49dc-989a-4289-9a90-0b987c28cd02</t>
  </si>
  <si>
    <t>}_046712f0-83de-47e0-986a-6b1bc2ed2e47</t>
  </si>
  <si>
    <t>Super Contributions</t>
  </si>
  <si>
    <t>Employer Contributions</t>
  </si>
  <si>
    <t>Total Employer Contributions</t>
  </si>
  <si>
    <t>Personal Concessional Contributions</t>
  </si>
  <si>
    <t>Total Personal Concessional Contributions</t>
  </si>
  <si>
    <t>Total contributions for 2018 financial year</t>
  </si>
  <si>
    <t>2018 Notice of Intent to Claim</t>
  </si>
  <si>
    <t>employer</t>
  </si>
  <si>
    <t>Employer</t>
  </si>
  <si>
    <t>employer.1</t>
  </si>
  <si>
    <t>employer.2</t>
  </si>
  <si>
    <t>Totalemployer</t>
  </si>
  <si>
    <t>Total Employer</t>
  </si>
  <si>
    <t>other_taxes</t>
  </si>
  <si>
    <t>Other Taxes Payable</t>
  </si>
  <si>
    <t>activity_statement_payable_refundable</t>
  </si>
  <si>
    <t>Activity Statement Payable/Refundable</t>
  </si>
  <si>
    <t>Totalother_taxes</t>
  </si>
  <si>
    <t>Total Other Taxes Payable</t>
  </si>
  <si>
    <t>}_49cdb2d5-d8c0-47c4-b964-2f7b65cc2147</t>
  </si>
  <si>
    <t>Invoice for insurance paid for Grey Gum Road is yet to be received by the client.</t>
  </si>
  <si>
    <t>BACCT</t>
  </si>
  <si>
    <t>No Reference</t>
  </si>
  <si>
    <t>Bank</t>
  </si>
  <si>
    <t>Default Pool</t>
  </si>
  <si>
    <t>PD</t>
  </si>
  <si>
    <t>Property Direct Market</t>
  </si>
  <si>
    <t>5e59dbe4-faaf-4427-b1e9-a5ddc06a7fca</t>
  </si>
  <si>
    <t>}_5e59dbe4-faaf-4427-b1e9-a5ddc06a7fca</t>
  </si>
  <si>
    <t>2018 ATO PAYG Instalment Report - The Schubert Superannuation Fund</t>
  </si>
  <si>
    <t>}_baf66eb8-3fd1-4bd2-b070-7779f2a214e4</t>
  </si>
  <si>
    <t>2018 ATO Integrated Client Account - The Schubert Superannuation Fund</t>
  </si>
  <si>
    <t>8f3947fc-f9fb-49bd-8ad3-fe8e3789c553</t>
  </si>
  <si>
    <t>}_8f3947fc-f9fb-49bd-8ad3-fe8e3789c553</t>
  </si>
  <si>
    <t>2e060310-701b-4362-ae07-adc14a8af684</t>
  </si>
  <si>
    <t>}_2e060310-701b-4362-ae07-adc14a8af684</t>
  </si>
  <si>
    <t>645a0768-8d6d-4014-b2db-39ff7ac5c3e2</t>
  </si>
  <si>
    <t>}_645a0768-8d6d-4014-b2db-39ff7ac5c3e2</t>
  </si>
  <si>
    <t>2017 Signed Investment Strategy</t>
  </si>
  <si>
    <t>18 South Heron Road, OLD BAR NSW 2430</t>
  </si>
  <si>
    <t>28 Grey Gum Road, TAREE NSW 2430</t>
  </si>
  <si>
    <t>2018 Market Positioning and Commerical Lease for 18a South Heron Road, Old Bar</t>
  </si>
  <si>
    <t>Email from Luke Quinnell - 2018 Market Positioning for 28 Grey Gum Rd, Taree</t>
  </si>
  <si>
    <t>Overpayment on BMT Tax Depreciation Invoice 16/11/2017</t>
  </si>
  <si>
    <t>2018 ATO Income Tax Account - The Schubert Superannuation Fund</t>
  </si>
  <si>
    <t>pg. 13</t>
  </si>
  <si>
    <t>BMT Depreciation Report - 18 South Heron Road, OLD BAR NSW 2430</t>
  </si>
  <si>
    <t>depreciation_expense</t>
  </si>
  <si>
    <t>Depreciation</t>
  </si>
  <si>
    <t>depreciation_expense.DepreciationExpense.PropertyDepreciation</t>
  </si>
  <si>
    <t>Capital Allowances</t>
  </si>
  <si>
    <t>depreciation_expense.DepreciationExpense.PropertyDepreciation.Property</t>
  </si>
  <si>
    <t>depreciation_expense.DepreciationExpense.PropertyDepreciation.Property.98da9e35-149c-408d-81d9-e7c6bce587f6</t>
  </si>
  <si>
    <t>Totaldepreciation_expense.DepreciationExpense.PropertyDepreciation.Property</t>
  </si>
  <si>
    <t>Totaldepreciation_expense.DepreciationExpense.PropertyDepreciation</t>
  </si>
  <si>
    <t>Total Capital Allowances</t>
  </si>
  <si>
    <t>depreciation_expense.DepreciationExpense.CapitalWorkDeduction</t>
  </si>
  <si>
    <t>Capital Works Deduction</t>
  </si>
  <si>
    <t>depreciation_expense.DepreciationExpense.CapitalWorkDeduction.Property</t>
  </si>
  <si>
    <t>depreciation_expense.DepreciationExpense.CapitalWorkDeduction.Property.98da9e35-149c-408d-81d9-e7c6bce587f6</t>
  </si>
  <si>
    <t>Totaldepreciation_expense.DepreciationExpense.CapitalWorkDeduction.Property</t>
  </si>
  <si>
    <t>Totaldepreciation_expense.DepreciationExpense.CapitalWorkDeduction</t>
  </si>
  <si>
    <t>Total Capital Works Deduction</t>
  </si>
  <si>
    <t>Totaldepreciation_expense</t>
  </si>
  <si>
    <t>Total Depreciation</t>
  </si>
  <si>
    <t>2018 ASIC Extract - G &amp; J Schubert Pty Ltd</t>
  </si>
  <si>
    <t>N/A</t>
  </si>
  <si>
    <t>28/03/2019 - David Edmunds</t>
  </si>
  <si>
    <t>Graeme &amp; Jennifer Schubert have seperated.</t>
  </si>
  <si>
    <t>1. We need something to confirm that the $37k rent is valid arms length rental income.</t>
  </si>
  <si>
    <t>2. Get print screens from the personal tax returns showing the personal concessional contributions are correct.</t>
  </si>
  <si>
    <t>Luke Quinnell</t>
  </si>
  <si>
    <t>3. is cell j155 in the index correct? The amount is different to the financials.</t>
  </si>
  <si>
    <t>4. the PAYG instalments are actually $4,560, you need to look into what the $7.88 actually is and allocate that correctly.</t>
  </si>
  <si>
    <t>investment_gains</t>
  </si>
  <si>
    <t>Investment Gains</t>
  </si>
  <si>
    <t>increase_in_market_value</t>
  </si>
  <si>
    <t>Increase in Market Value</t>
  </si>
  <si>
    <t>increase_in_market_value.Property</t>
  </si>
  <si>
    <t>increase_in_market_value.Property.98da9e35-149c-408d-81d9-e7c6bce587f6</t>
  </si>
  <si>
    <t>Totalincrease_in_market_value.Property</t>
  </si>
  <si>
    <t>Totalincrease_in_market_value</t>
  </si>
  <si>
    <t>Total Increase in Market Value</t>
  </si>
  <si>
    <t>Totalinvestment_gains</t>
  </si>
  <si>
    <t>Total Investment Gains</t>
  </si>
  <si>
    <t>Income Tax</t>
  </si>
  <si>
    <t>AddG</t>
  </si>
  <si>
    <t>income_tax_control</t>
  </si>
  <si>
    <t>Income Tax Expense</t>
  </si>
  <si>
    <t>income_tax_expense</t>
  </si>
  <si>
    <t>Totalincome_tax_control</t>
  </si>
  <si>
    <t>Total Income Tax Expense</t>
  </si>
  <si>
    <t>TotalIncome Tax</t>
  </si>
  <si>
    <t>Total Income Tax</t>
  </si>
  <si>
    <t>provision_for_income_tax</t>
  </si>
  <si>
    <t>Provision for Income Tax</t>
  </si>
  <si>
    <t>Total Income Tax Payable</t>
  </si>
  <si>
    <t>It is the right amount now. Appears the workpapers were not refreshed at the time - KG 22/03/19</t>
  </si>
  <si>
    <t>Done - KG 22/03/19</t>
  </si>
  <si>
    <t>Fixed with LQ - KG 22/03/19</t>
  </si>
  <si>
    <t>other_income</t>
  </si>
  <si>
    <t>sundries.Interest.ATO</t>
  </si>
  <si>
    <t>ATO Interest Payments</t>
  </si>
  <si>
    <t>Totalother_income</t>
  </si>
  <si>
    <t>Total Other Income</t>
  </si>
  <si>
    <t>other_investment_income.PropertyIncome.RentReceivedinAdvance</t>
  </si>
  <si>
    <t>Rent Received in Advance</t>
  </si>
  <si>
    <t>other_investment_income.PropertyIncome.RentReceivedinAdvance.Property</t>
  </si>
  <si>
    <t>other_investment_income.PropertyIncome.RentReceivedinAdvance.Property.98da9e35-149c-408d-81d9-e7c6bce587f6</t>
  </si>
  <si>
    <t>Totalother_investment_income.PropertyIncome.RentReceivedinAdvance.Property</t>
  </si>
  <si>
    <t>Totalother_investment_income.PropertyIncome.RentReceivedinAdvance</t>
  </si>
  <si>
    <t>Total Rent Received in Advance</t>
  </si>
  <si>
    <t>Old Bar property has been treated at Arms Length.</t>
  </si>
  <si>
    <t>9cf5ef8b-cddb-4803-b418-70b1671a2fbf</t>
  </si>
  <si>
    <t>}_9cf5ef8b-cddb-4803-b418-70b1671a2fbf</t>
  </si>
  <si>
    <t>Rent in Advance</t>
  </si>
  <si>
    <t xml:space="preserve">Less: </t>
  </si>
  <si>
    <t>Total rent received in advance</t>
  </si>
  <si>
    <t>Rent received</t>
  </si>
  <si>
    <t>*To keep the rent received for property consistent for 2019 FY</t>
  </si>
  <si>
    <t>9dd897f5-75c3-4fee-88aa-136b851fcb2c</t>
  </si>
  <si>
    <t>}_9dd897f5-75c3-4fee-88aa-136b851fcb2c</t>
  </si>
  <si>
    <t>ATO Overpayment on ITA</t>
  </si>
  <si>
    <t>2018 Insurance Premium - Taree</t>
  </si>
  <si>
    <t>Done with LQ and VW - KG 22/03/19</t>
  </si>
  <si>
    <t>2018 Account Transactions - Super Contributions from GJ Plants Pty Ltd</t>
  </si>
  <si>
    <t>(Please see below)</t>
  </si>
  <si>
    <t>2018 Investment Strategy Template</t>
  </si>
  <si>
    <t>2018 ASIC Extract - G &amp; J Schubert Holdings Pty Ltd</t>
  </si>
  <si>
    <t>*New Trustee</t>
  </si>
  <si>
    <t>*Old Trusee</t>
  </si>
  <si>
    <t>2018 ABR Associates Report - updated 04.04.2019</t>
  </si>
  <si>
    <t>1. Dave still liaising with the client and OSR to have this sorted on the propertyies. As fund so overdue will continue on without this as dicussed</t>
  </si>
  <si>
    <t>2. linked to Assignments tab</t>
  </si>
  <si>
    <t>3. As discussed no point looking into now</t>
  </si>
  <si>
    <t>4. WP completed</t>
  </si>
  <si>
    <t>5. WP completed and matched</t>
  </si>
  <si>
    <t>6. Updated</t>
  </si>
  <si>
    <t>7. Changed to Non-Deductible as INV in XPM shows inv for change in trustee</t>
  </si>
  <si>
    <t>8. Now seperated to show as Valuation Fees</t>
  </si>
  <si>
    <t xml:space="preserve">9. in 2018 rent was not paid monthly - was paid all over the place. In the 2019 FY the rent is paid monthly by the client and is consistent with the $25K as per the document attached at Cell O22. In regards to 2018 the rent received is above this. The expenses are said to be reimbursed as soon as practical for the tenants portion of the expenses </t>
  </si>
  <si>
    <t>10. Both received 02/07/2018</t>
  </si>
  <si>
    <t>11. 2 x reports for both properties so make sense it would be $715 each. I have updated for this</t>
  </si>
  <si>
    <t>12. No there isnt a lease for 18b South Heron Rd. This property is through a third party agent - KG 04/04/19</t>
  </si>
  <si>
    <t>13. Attached to assignments tab for collation and signing</t>
  </si>
  <si>
    <t>14.Updated to be correct on 04/04/2019</t>
  </si>
  <si>
    <t>15. Updated. I have also updated to be Super Audits for the auditor</t>
  </si>
  <si>
    <t>16. I could find a reason as to why this was the case. I have updated along with the auditor details</t>
  </si>
  <si>
    <t>17. as discussed we will send to audit without chasing this response due to how long this fund has sat around for</t>
  </si>
  <si>
    <t>18.The rent transactions in GJ Plants Pty Ltd accounts. Please see below clip</t>
  </si>
  <si>
    <t>19. Please find below account transactions from GJ Plants Pty Ltd for rent paid ($12,000*2 + $1,000). $18,870 is third party rental income received - KG 04/04/19</t>
  </si>
  <si>
    <t>For point 18</t>
  </si>
  <si>
    <t>For point 19</t>
  </si>
  <si>
    <t>Audit Queries 12/09/2019 - sorry the below are my responses to the queries on the right from Evolv</t>
  </si>
  <si>
    <t>TTR201 - 5.15% Tax Free</t>
  </si>
  <si>
    <t>sundries_expense.AdministrationExpense.NonDeductibleExpense</t>
  </si>
  <si>
    <t>Non-Deductible Expense</t>
  </si>
  <si>
    <t>property_expenses_expense.PropertyExpenses.InsurancePremium.Property.98da9e35-149c-408d-81d9-e7c6bce587f6</t>
  </si>
  <si>
    <t>other_investment_expenses_property.GeneralExpenses.ValuationFees</t>
  </si>
  <si>
    <t>Valuation Fees</t>
  </si>
  <si>
    <t>other_investment_expenses_property.GeneralExpenses.ValuationFees.Property</t>
  </si>
  <si>
    <t>other_investment_expenses_property.GeneralExpenses.ValuationFees.Property.98da9e35-149c-408d-81d9-e7c6bce587f6</t>
  </si>
  <si>
    <t>other_investment_expenses_property.GeneralExpenses.ValuationFees.Property.49362750-9aeb-4984-a896-1dd8b81c2e48</t>
  </si>
  <si>
    <t>Totalother_investment_expenses_property.GeneralExpenses.ValuationFees.Property</t>
  </si>
  <si>
    <t>Totalother_investment_expenses_property.GeneralExpenses.ValuationFees</t>
  </si>
  <si>
    <t>Total Valuation Fees</t>
  </si>
  <si>
    <t>2018_Statement_of_Taxable_Income_Report - CORRECT</t>
  </si>
  <si>
    <t>2018 Minutes - CORRECT</t>
  </si>
  <si>
    <t>2018 Financials and Tax Return</t>
  </si>
  <si>
    <t>2018 Trustee Representation Letter to the Auditor</t>
  </si>
  <si>
    <t>2018 Engagement Letter Template docs-doc</t>
  </si>
  <si>
    <t>update trade debtors workpapers</t>
  </si>
  <si>
    <t>for next year change OLD BAR to Old Bar, the superfund accounts are not an envelope</t>
  </si>
  <si>
    <t>I think the auditor will qualify for title to assets but leave as is for now and see what they say</t>
  </si>
  <si>
    <t>Pension max to be calculated - TTR, also check wording this fund was not 100% in pension phase.</t>
  </si>
  <si>
    <t>what are the current tax balances re ICA etc, update tax payment schedule if necessary</t>
  </si>
  <si>
    <t>the notice of intent to claim deduction is linked but not the other docs that are usually included with this.</t>
  </si>
  <si>
    <t>Can you note on the agenda re the correction of title to assets, is the bank accounts correct in 2019?</t>
  </si>
  <si>
    <t>I would prepare a deed of trust for the properties, re the title, come see me if this needs explanation</t>
  </si>
  <si>
    <t>Noted</t>
  </si>
  <si>
    <t>Updated. I have also Updated TAREE to Taree</t>
  </si>
  <si>
    <t>NIL - no change needed</t>
  </si>
  <si>
    <t>2018 s290-170 - Acknowledgement Letter</t>
  </si>
  <si>
    <t>2018 Acceptance Minute</t>
  </si>
  <si>
    <t>Other 2 docs run and attached</t>
  </si>
  <si>
    <t>The assets needs to be amended to be in the correct name (G &amp; J Schubert Holdings Pty Ltd ATF The Schubert Superannuation Fund)</t>
  </si>
  <si>
    <t>agenda point made</t>
  </si>
  <si>
    <t>Updated.</t>
  </si>
  <si>
    <t>We advise that the tax free portion of the Funds income for the financial year ended 30 June 2018 has been assessed as 0.00%. Please find enclosed a copy of the certificate for your records.</t>
  </si>
  <si>
    <t>I have hidden altogether due to this being 2018 FY and 2019 has already ended</t>
  </si>
  <si>
    <t>2018 Deed of Trust - Declaration of Trust - Old Bar</t>
  </si>
  <si>
    <t>2018 Deed of Trust - Declaration of Trust - Taree</t>
  </si>
  <si>
    <t>Completed and attached to assignments tab</t>
  </si>
  <si>
    <t>lease expires 30 June 2019, tennants portion of outgoings is 100%</t>
  </si>
  <si>
    <t xml:space="preserve">In the Deed's of Trust, change shareholding to property for all instances </t>
  </si>
  <si>
    <t>The S290 170 Notice for Jennifer gives her address as not supplied.</t>
  </si>
  <si>
    <t>Michelle C 16/09/2019</t>
  </si>
  <si>
    <t>Updated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</si>
</sst>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6">
    <numFmt numFmtId="164" formatCode="&quot;$&quot;#,##0_);\(&quot;$&quot;#,##0\)"/>
    <numFmt numFmtId="165" formatCode="&quot;$&quot;#,##0.00_);\(&quot;$&quot;#,##0.00\)"/>
    <numFmt numFmtId="166" formatCode="_(&quot;$&quot;* #,##0_);_(&quot;$&quot;* \(#,##0\);_(&quot;$&quot;* &quot;-&quot;_);_(@_)"/>
    <numFmt numFmtId="167" formatCode="_(* #,##0_);_(* \(#,##0\);_(* &quot;-&quot;_);_(@_)"/>
    <numFmt numFmtId="168" formatCode="_(&quot;$&quot;* #,##0.00_);_(&quot;$&quot;* \(#,##0.00\);_(&quot;$&quot;* &quot;-&quot;??_);_(@_)"/>
    <numFmt numFmtId="169" formatCode="_(* #,##0.00_);_(* \(#,##0.00\);_(* &quot;-&quot;??_);_(@_)"/>
    <numFmt numFmtId="170" formatCode="[$-C09]d\ mmmm\ yyyy;@"/>
    <numFmt numFmtId="171" formatCode="d/mm/yyyy;@"/>
    <numFmt numFmtId="172" formatCode="yyyy"/>
    <numFmt numFmtId="173" formatCode="_(* #,##0.00_);_(* \(#,##0.00\);_(* &quot;-&quot;_);_(@_)"/>
    <numFmt numFmtId="174" formatCode="_(&quot;$&quot;* #,##0.00_);_(&quot;$&quot;* \(#,##0.00\);_(&quot;$&quot;* &quot;-&quot;_);_(@_)"/>
    <numFmt numFmtId="175" formatCode="0.0%"/>
    <numFmt numFmtId="176" formatCode="#,##0.0000"/>
    <numFmt numFmtId="177" formatCode="_-* #,##0.00_-;[Red]* \(#,##0.00\)_-;&quot;&quot;;_-@_-"/>
    <numFmt numFmtId="178" formatCode="mmm\ yyyy"/>
    <numFmt numFmtId="179" formatCode="#,##0.00;#,##0.00;&quot;-&quot;;"/>
    <numFmt numFmtId="180" formatCode="0.0"/>
    <numFmt numFmtId="181" formatCode="#,##0.0"/>
    <numFmt numFmtId="182" formatCode="#,##0.000"/>
    <numFmt numFmtId="183" formatCode="0.0000"/>
    <numFmt numFmtId="184" formatCode="&quot;$&quot;#,##0"/>
    <numFmt numFmtId="185" formatCode="_-* #,##0_-;\-* #,##0_-;_-* &quot;-&quot;??_-;_-@_-"/>
    <numFmt numFmtId="186" formatCode="_(* #,##0.00_);_(* \(#,##0.00\);_(* 0.00_);_(@_)"/>
    <numFmt numFmtId="187" formatCode="[$-C09]dd\-mmmm\-yyyy;@"/>
    <numFmt numFmtId="188" formatCode="[$-C09]dd\-mmm\-yy;@"/>
    <numFmt numFmtId="189" formatCode="#,##0.00;[Red]\ \(#,##0.00\);\ &quot;-&quot;"/>
  </numFmts>
  <fonts count="127">
    <font>
      <sz val="11"/>
      <color theme="1"/>
      <name val="Calibri"/>
      <family val="2"/>
      <scheme val="minor"/>
    </font>
    <font>
      <sz val="11"/>
      <color theme="1"/>
      <name val="Calibri"/>
      <family val="2"/>
      <scheme val="minor"/>
    </font>
    <font>
      <b/>
      <sz val="10"/>
      <color rgb="FF333333"/>
      <name val="Calibri"/>
      <family val="2"/>
    </font>
    <font>
      <sz val="9"/>
      <color rgb="FF333333"/>
      <name val="Calibri"/>
      <family val="2"/>
    </font>
    <font>
      <b/>
      <sz val="9"/>
      <color rgb="FF333333"/>
      <name val="Calibri"/>
      <family val="2"/>
    </font>
    <font>
      <b/>
      <sz val="14"/>
      <color rgb="FF333333"/>
      <name val="Calibri"/>
      <family val="2"/>
    </font>
    <font>
      <b/>
      <sz val="10"/>
      <color rgb="FF333333"/>
      <name val="Calibri"/>
      <family val="2"/>
      <scheme val="minor"/>
    </font>
    <font>
      <b/>
      <sz val="11"/>
      <color rgb="FF333333"/>
      <name val="Calibri"/>
      <family val="2"/>
      <scheme val="minor"/>
    </font>
    <font>
      <b/>
      <sz val="16"/>
      <color rgb="FF333333"/>
      <name val="Calibri"/>
      <family val="2"/>
      <scheme val="minor"/>
    </font>
    <font>
      <b/>
      <sz val="11"/>
      <color rgb="FF333333"/>
      <name val="Calibri"/>
      <family val="2"/>
    </font>
    <font>
      <sz val="10"/>
      <color rgb="FF333333"/>
      <name val="Calibri"/>
      <family val="2"/>
    </font>
    <font>
      <sz val="9"/>
      <color theme="0"/>
      <name val="Calibri"/>
      <family val="2"/>
    </font>
    <font>
      <sz val="10"/>
      <color theme="0"/>
      <name val="Calibri"/>
      <family val="2"/>
    </font>
    <font>
      <sz val="11"/>
      <color rgb="FF333333"/>
      <name val="Calibri"/>
      <family val="2"/>
    </font>
    <font>
      <b/>
      <sz val="10"/>
      <color rgb="FF333333"/>
      <name val="Segoe UI Light"/>
      <family val="2"/>
    </font>
    <font>
      <sz val="10"/>
      <color rgb="FF333333"/>
      <name val="Segoe UI Light"/>
      <family val="2"/>
    </font>
    <font>
      <i/>
      <sz val="10"/>
      <color theme="0" tint="-0.499984740745262"/>
      <name val="Calibri"/>
      <family val="2"/>
    </font>
    <font>
      <i/>
      <sz val="10"/>
      <color rgb="FF333333"/>
      <name val="Calibri"/>
      <family val="2"/>
      <scheme val="minor"/>
    </font>
    <font>
      <u/>
      <sz val="10"/>
      <color rgb="FF265996"/>
      <name val="Calibri"/>
      <family val="2"/>
      <scheme val="minor"/>
    </font>
    <font>
      <b/>
      <sz val="10"/>
      <color theme="0"/>
      <name val="Calibri"/>
      <family val="2"/>
      <scheme val="minor"/>
    </font>
    <font>
      <sz val="18"/>
      <color theme="3"/>
      <name val="Calibri Light"/>
      <family val="2"/>
      <scheme val="major"/>
    </font>
    <font>
      <b/>
      <sz val="11"/>
      <color theme="1"/>
      <name val="Calibri"/>
      <family val="2"/>
      <scheme val="minor"/>
    </font>
    <font>
      <sz val="10"/>
      <color theme="1"/>
      <name val="Calibri"/>
      <family val="2"/>
      <scheme val="minor"/>
    </font>
    <font>
      <sz val="9"/>
      <color theme="0"/>
      <name val="Calibri"/>
      <family val="2"/>
      <scheme val="minor"/>
    </font>
    <font>
      <sz val="14"/>
      <color theme="0" tint="-0.249977111117893"/>
      <name val="Webdings"/>
      <family val="1"/>
      <charset val="2"/>
    </font>
    <font>
      <sz val="80"/>
      <color rgb="FF000000"/>
      <name val="ProximaNova-Bold"/>
    </font>
    <font>
      <sz val="23"/>
      <color rgb="FFFFC40A"/>
      <name val="ProximaNova-Bold"/>
    </font>
    <font>
      <sz val="10"/>
      <color theme="7" tint="-0.249977111117893"/>
      <name val="Calibri"/>
      <family val="2"/>
      <scheme val="minor"/>
    </font>
    <font>
      <sz val="11"/>
      <color theme="0"/>
      <name val="Calibri"/>
      <family val="2"/>
      <scheme val="minor"/>
    </font>
    <font>
      <sz val="18"/>
      <color theme="0"/>
      <name val="ProximaNova-Bold"/>
    </font>
    <font>
      <b/>
      <sz val="18"/>
      <color theme="0"/>
      <name val="Segoe UI"/>
      <family val="2"/>
    </font>
    <font>
      <b/>
      <sz val="12"/>
      <color theme="0"/>
      <name val="Arial"/>
      <family val="2"/>
    </font>
    <font>
      <sz val="12"/>
      <color theme="1" tint="0.249977111117893"/>
      <name val="Calibri Light"/>
      <family val="2"/>
      <scheme val="major"/>
    </font>
    <font>
      <sz val="12"/>
      <color theme="1" tint="0.249977111117893"/>
      <name val="Webdings"/>
      <family val="1"/>
      <charset val="2"/>
    </font>
    <font>
      <sz val="10"/>
      <color theme="0" tint="-4.9989318521683403E-2"/>
      <name val="Calibri"/>
      <family val="2"/>
    </font>
    <font>
      <b/>
      <sz val="10"/>
      <color theme="0"/>
      <name val="Calibri"/>
      <family val="2"/>
    </font>
    <font>
      <b/>
      <sz val="10"/>
      <color rgb="FFC00000"/>
      <name val="Calibri"/>
      <family val="2"/>
    </font>
    <font>
      <b/>
      <sz val="12"/>
      <color theme="0"/>
      <name val="Calibri"/>
      <family val="2"/>
      <scheme val="minor"/>
    </font>
    <font>
      <sz val="20"/>
      <color rgb="FF00ACD4"/>
      <name val="ProximaNova-Bold"/>
    </font>
    <font>
      <b/>
      <sz val="11"/>
      <color theme="0"/>
      <name val="Calibri"/>
      <family val="2"/>
      <scheme val="minor"/>
    </font>
    <font>
      <sz val="8"/>
      <color theme="0"/>
      <name val="Wingdings 3"/>
      <family val="1"/>
      <charset val="2"/>
    </font>
    <font>
      <b/>
      <sz val="11"/>
      <color rgb="FF55ABDE"/>
      <name val="Calibri"/>
      <family val="2"/>
      <scheme val="minor"/>
    </font>
    <font>
      <b/>
      <sz val="14"/>
      <color rgb="FF55ABDE"/>
      <name val="Arial Black"/>
      <family val="2"/>
    </font>
    <font>
      <sz val="18"/>
      <color rgb="FF00ACD4"/>
      <name val="ProximaNova-Bold"/>
    </font>
    <font>
      <sz val="16"/>
      <color rgb="FF00ACD4"/>
      <name val="Webdings"/>
      <family val="1"/>
      <charset val="2"/>
    </font>
    <font>
      <b/>
      <sz val="14"/>
      <color theme="0" tint="-0.249977111117893"/>
      <name val="Calibri"/>
      <family val="2"/>
      <scheme val="minor"/>
    </font>
    <font>
      <sz val="11"/>
      <color theme="0" tint="-0.499984740745262"/>
      <name val="Calibri"/>
      <family val="2"/>
      <scheme val="minor"/>
    </font>
    <font>
      <b/>
      <sz val="16"/>
      <color rgb="FF333333"/>
      <name val="Arial"/>
      <family val="2"/>
    </font>
    <font>
      <b/>
      <sz val="8"/>
      <color theme="0"/>
      <name val="Segoe UI"/>
      <family val="2"/>
    </font>
    <font>
      <sz val="10"/>
      <color theme="0" tint="-0.34998626667073579"/>
      <name val="Calibri"/>
      <family val="2"/>
      <scheme val="minor"/>
    </font>
    <font>
      <sz val="14"/>
      <name val="Webdings"/>
      <family val="1"/>
      <charset val="2"/>
    </font>
    <font>
      <sz val="14"/>
      <color theme="0"/>
      <name val="Webdings"/>
      <family val="1"/>
      <charset val="2"/>
    </font>
    <font>
      <b/>
      <sz val="12"/>
      <color theme="0" tint="-0.499984740745262"/>
      <name val="Wingdings 2"/>
      <family val="1"/>
      <charset val="2"/>
    </font>
    <font>
      <sz val="12"/>
      <color theme="0" tint="-0.499984740745262"/>
      <name val="Wingdings 2"/>
      <family val="1"/>
      <charset val="2"/>
    </font>
    <font>
      <b/>
      <sz val="13"/>
      <color theme="0"/>
      <name val="Wingdings"/>
      <charset val="2"/>
    </font>
    <font>
      <b/>
      <sz val="10"/>
      <color theme="0"/>
      <name val="Wingdings 3"/>
      <family val="1"/>
      <charset val="2"/>
    </font>
    <font>
      <u/>
      <sz val="10"/>
      <color theme="4" tint="-0.24994659260841701"/>
      <name val="Calibri"/>
      <family val="2"/>
      <scheme val="minor"/>
    </font>
    <font>
      <b/>
      <i/>
      <sz val="10"/>
      <color rgb="FF333333"/>
      <name val="Calibri"/>
      <family val="2"/>
      <scheme val="minor"/>
    </font>
    <font>
      <b/>
      <sz val="10"/>
      <color indexed="10"/>
      <name val="Calibri"/>
      <family val="2"/>
    </font>
    <font>
      <sz val="10"/>
      <color theme="1"/>
      <name val="Arial"/>
      <family val="2"/>
    </font>
    <font>
      <sz val="10"/>
      <color rgb="FFFF0000"/>
      <name val="Arial"/>
      <family val="2"/>
    </font>
    <font>
      <b/>
      <sz val="16"/>
      <color theme="1"/>
      <name val="Arial"/>
      <family val="2"/>
    </font>
    <font>
      <b/>
      <sz val="10"/>
      <color theme="1"/>
      <name val="Arial"/>
      <family val="2"/>
    </font>
    <font>
      <b/>
      <sz val="10"/>
      <name val="Arial"/>
      <family val="2"/>
    </font>
    <font>
      <sz val="10"/>
      <name val="Arial"/>
      <family val="2"/>
    </font>
    <font>
      <b/>
      <u/>
      <sz val="10"/>
      <color theme="1"/>
      <name val="Arial"/>
      <family val="2"/>
    </font>
    <font>
      <b/>
      <i/>
      <sz val="10"/>
      <color theme="1"/>
      <name val="Arial"/>
      <family val="2"/>
    </font>
    <font>
      <i/>
      <sz val="10"/>
      <name val="Arial"/>
      <family val="2"/>
    </font>
    <font>
      <b/>
      <sz val="10"/>
      <color rgb="FFFF0000"/>
      <name val="Arial"/>
      <family val="2"/>
    </font>
    <font>
      <u/>
      <sz val="10"/>
      <color theme="10"/>
      <name val="Arial"/>
      <family val="2"/>
    </font>
    <font>
      <sz val="10"/>
      <color rgb="FFC00000"/>
      <name val="Arial"/>
      <family val="2"/>
    </font>
    <font>
      <b/>
      <sz val="11"/>
      <color theme="1"/>
      <name val="Arial"/>
      <family val="2"/>
    </font>
    <font>
      <sz val="11"/>
      <color rgb="FFFFFFFF"/>
      <name val="Arial"/>
      <family val="2"/>
    </font>
    <font>
      <b/>
      <sz val="14"/>
      <color theme="1"/>
      <name val="Arial"/>
      <family val="2"/>
    </font>
    <font>
      <b/>
      <sz val="24"/>
      <color theme="0"/>
      <name val="Arial"/>
      <family val="2"/>
    </font>
    <font>
      <b/>
      <sz val="11"/>
      <color theme="1" tint="0.34998626667073579"/>
      <name val="Arial"/>
      <family val="2"/>
    </font>
    <font>
      <sz val="11"/>
      <name val="Arial"/>
      <family val="2"/>
    </font>
    <font>
      <sz val="12"/>
      <name val="Times New Roman"/>
      <family val="1"/>
    </font>
    <font>
      <u/>
      <sz val="10"/>
      <name val="Arial"/>
      <family val="2"/>
    </font>
    <font>
      <b/>
      <u/>
      <sz val="10"/>
      <name val="Arial"/>
      <family val="2"/>
    </font>
    <font>
      <b/>
      <sz val="16"/>
      <name val="Arial"/>
      <family val="2"/>
    </font>
    <font>
      <b/>
      <sz val="11"/>
      <name val="Arial"/>
      <family val="2"/>
    </font>
    <font>
      <sz val="10.5"/>
      <name val="Arial"/>
      <family val="2"/>
    </font>
    <font>
      <sz val="11"/>
      <color theme="1"/>
      <name val="Arial"/>
      <family val="2"/>
    </font>
    <font>
      <b/>
      <sz val="18"/>
      <color theme="1" tint="0.249977111117893"/>
      <name val="Arial"/>
      <family val="2"/>
    </font>
    <font>
      <sz val="10"/>
      <name val="Times New Roman"/>
      <family val="1"/>
    </font>
    <font>
      <b/>
      <sz val="14"/>
      <color rgb="FF1D98C2"/>
      <name val="Arial"/>
      <family val="2"/>
    </font>
    <font>
      <b/>
      <sz val="18"/>
      <color rgb="FF999933"/>
      <name val="Arial"/>
      <family val="2"/>
    </font>
    <font>
      <sz val="11"/>
      <color rgb="FFFF0000"/>
      <name val="Arial"/>
      <family val="2"/>
    </font>
    <font>
      <sz val="4"/>
      <name val="Arial"/>
      <family val="2"/>
    </font>
    <font>
      <sz val="10"/>
      <color theme="0"/>
      <name val="Arial"/>
      <family val="2"/>
    </font>
    <font>
      <b/>
      <sz val="10"/>
      <color theme="0"/>
      <name val="Arial"/>
      <family val="2"/>
    </font>
    <font>
      <b/>
      <i/>
      <sz val="10"/>
      <color theme="0"/>
      <name val="Arial"/>
      <family val="2"/>
    </font>
    <font>
      <b/>
      <sz val="12"/>
      <color indexed="9"/>
      <name val="Arial"/>
      <family val="2"/>
    </font>
    <font>
      <b/>
      <sz val="10"/>
      <color indexed="9"/>
      <name val="Arial"/>
      <family val="2"/>
    </font>
    <font>
      <b/>
      <sz val="12"/>
      <color rgb="FFFF0000"/>
      <name val="Arial"/>
      <family val="2"/>
    </font>
    <font>
      <sz val="12"/>
      <color theme="0"/>
      <name val="Arial"/>
      <family val="2"/>
    </font>
    <font>
      <sz val="12"/>
      <name val="Arial"/>
      <family val="2"/>
    </font>
    <font>
      <sz val="10"/>
      <color rgb="FF00B0F0"/>
      <name val="Arial"/>
      <family val="2"/>
    </font>
    <font>
      <b/>
      <sz val="10"/>
      <name val="Calibri"/>
      <family val="2"/>
      <scheme val="minor"/>
    </font>
    <font>
      <b/>
      <sz val="10"/>
      <color theme="1"/>
      <name val="Calibri"/>
      <family val="2"/>
      <scheme val="minor"/>
    </font>
    <font>
      <b/>
      <sz val="10"/>
      <color indexed="8"/>
      <name val="Arial"/>
      <family val="2"/>
    </font>
    <font>
      <b/>
      <sz val="9"/>
      <color indexed="8"/>
      <name val="Arial"/>
      <family val="2"/>
    </font>
    <font>
      <sz val="9"/>
      <color indexed="8"/>
      <name val="Arial"/>
      <family val="2"/>
    </font>
    <font>
      <sz val="9"/>
      <color indexed="81"/>
      <name val="Tahoma"/>
      <family val="2"/>
    </font>
    <font>
      <u/>
      <sz val="10"/>
      <color theme="4" tint="-0.24994659260841701"/>
      <name val="Arial"/>
      <family val="2"/>
    </font>
    <font>
      <u/>
      <sz val="10"/>
      <color rgb="FF265996"/>
      <name val="Arial"/>
      <family val="2"/>
    </font>
    <font>
      <b/>
      <sz val="10"/>
      <color indexed="81"/>
      <name val="Tahoma"/>
      <family val="2"/>
    </font>
    <font>
      <sz val="9"/>
      <color rgb="FFFF0000"/>
      <name val="Arial"/>
      <family val="2"/>
    </font>
    <font>
      <b/>
      <sz val="12"/>
      <name val="Arial"/>
      <family val="2"/>
    </font>
    <font>
      <b/>
      <sz val="10"/>
      <color rgb="FFC00000"/>
      <name val="Arial"/>
      <family val="2"/>
    </font>
    <font>
      <b/>
      <i/>
      <sz val="10"/>
      <name val="Arial"/>
      <family val="2"/>
    </font>
    <font>
      <b/>
      <sz val="11"/>
      <color indexed="8"/>
      <name val="Arial"/>
      <family val="2"/>
    </font>
    <font>
      <sz val="11"/>
      <color theme="0"/>
      <name val="Arial"/>
      <family val="2"/>
    </font>
    <font>
      <sz val="11"/>
      <color indexed="8"/>
      <name val="Arial"/>
      <family val="2"/>
    </font>
    <font>
      <b/>
      <sz val="11"/>
      <color theme="0"/>
      <name val="Arial"/>
      <family val="2"/>
    </font>
    <font>
      <sz val="10"/>
      <color indexed="8"/>
      <name val="Arial"/>
      <family val="2"/>
    </font>
    <font>
      <sz val="11"/>
      <name val="Calibri"/>
      <family val="2"/>
      <scheme val="minor"/>
    </font>
    <font>
      <b/>
      <sz val="14"/>
      <color rgb="FFF9C705"/>
      <name val="Calibri"/>
      <family val="2"/>
      <scheme val="minor"/>
    </font>
    <font>
      <b/>
      <sz val="12"/>
      <color rgb="FF000000"/>
      <name val="Calibri"/>
      <family val="2"/>
      <scheme val="minor"/>
    </font>
    <font>
      <b/>
      <sz val="11"/>
      <color rgb="FF000000"/>
      <name val="Calibri"/>
      <family val="2"/>
      <scheme val="minor"/>
    </font>
    <font>
      <sz val="11"/>
      <color rgb="FF000000"/>
      <name val="Calibri"/>
      <family val="2"/>
      <scheme val="minor"/>
    </font>
    <font>
      <sz val="11"/>
      <color theme="0"/>
      <name val="Webdings"/>
      <family val="1"/>
      <charset val="2"/>
    </font>
    <font>
      <sz val="10"/>
      <name val="Calibri"/>
      <family val="2"/>
    </font>
    <font>
      <u/>
      <sz val="11"/>
      <color theme="10"/>
      <name val="Calibri"/>
      <family val="2"/>
      <scheme val="minor"/>
    </font>
    <font>
      <i/>
      <sz val="11"/>
      <color theme="1"/>
      <name val="Calibri"/>
      <family val="2"/>
      <scheme val="minor"/>
    </font>
    <font>
      <sz val="11"/>
      <color rgb="FFFF0000"/>
      <name val="Calibri"/>
      <family val="2"/>
      <scheme val="minor"/>
    </font>
  </fonts>
  <fills count="32">
    <fill>
      <patternFill patternType="none"/>
    </fill>
    <fill>
      <patternFill patternType="gray125"/>
    </fill>
    <fill>
      <patternFill patternType="solid">
        <fgColor theme="0" tint="-0.14996795556505021"/>
        <bgColor indexed="64"/>
      </patternFill>
    </fill>
    <fill>
      <patternFill patternType="solid">
        <fgColor theme="0" tint="-4.9989318521683403E-2"/>
        <bgColor indexed="6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79998168889431442"/>
        <bgColor indexed="65"/>
      </patternFill>
    </fill>
    <fill>
      <patternFill patternType="solid">
        <fgColor theme="7" tint="0.59999389629810485"/>
        <bgColor indexed="65"/>
      </patternFill>
    </fill>
    <fill>
      <patternFill patternType="solid">
        <fgColor theme="8" tint="0.79998168889431442"/>
        <bgColor indexed="65"/>
      </patternFill>
    </fill>
    <fill>
      <patternFill patternType="solid">
        <fgColor theme="8" tint="0.59999389629810485"/>
        <bgColor indexed="65"/>
      </patternFill>
    </fill>
    <fill>
      <patternFill patternType="solid">
        <fgColor theme="9" tint="0.79998168889431442"/>
        <bgColor indexed="65"/>
      </patternFill>
    </fill>
    <fill>
      <patternFill patternType="solid">
        <fgColor theme="9" tint="0.59999389629810485"/>
        <bgColor indexed="65"/>
      </patternFill>
    </fill>
    <fill>
      <patternFill patternType="solid">
        <fgColor rgb="FF55ABDE"/>
        <bgColor indexed="64"/>
      </patternFill>
    </fill>
    <fill>
      <patternFill patternType="solid">
        <fgColor theme="4" tint="0.59999389629810485"/>
        <bgColor indexed="64"/>
      </patternFill>
    </fill>
    <fill>
      <patternFill patternType="solid">
        <fgColor theme="0" tint="-0.249977111117893"/>
        <bgColor indexed="64"/>
      </patternFill>
    </fill>
    <fill>
      <patternFill patternType="solid">
        <fgColor rgb="FF00ACD4"/>
        <bgColor indexed="64"/>
      </patternFill>
    </fill>
    <fill>
      <gradientFill degree="45">
        <stop position="0">
          <color rgb="FFCFE7F5"/>
        </stop>
        <stop position="1">
          <color rgb="FF00ACD4"/>
        </stop>
      </gradientFill>
    </fill>
    <fill>
      <patternFill patternType="solid">
        <fgColor theme="4" tint="0.79998168889431442"/>
        <bgColor indexed="64"/>
      </patternFill>
    </fill>
    <fill>
      <patternFill patternType="solid">
        <fgColor rgb="FF56B900"/>
        <bgColor indexed="64"/>
      </patternFill>
    </fill>
    <fill>
      <patternFill patternType="solid">
        <fgColor theme="0" tint="-0.14999847407452621"/>
        <bgColor indexed="64"/>
      </patternFill>
    </fill>
    <fill>
      <gradientFill degree="90">
        <stop position="0">
          <color theme="0" tint="-5.0965910824915313E-2"/>
        </stop>
        <stop position="0.5">
          <color theme="0" tint="-5.0965910824915313E-2"/>
        </stop>
        <stop position="1">
          <color theme="0" tint="-5.0965910824915313E-2"/>
        </stop>
      </gradientFill>
    </fill>
    <fill>
      <patternFill patternType="solid">
        <fgColor rgb="FF1D98C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bgColor indexed="64"/>
      </patternFill>
    </fill>
    <fill>
      <patternFill patternType="solid">
        <fgColor theme="0" tint="-0.34998626667073579"/>
        <bgColor indexed="64"/>
      </patternFill>
    </fill>
    <fill>
      <patternFill patternType="solid">
        <fgColor rgb="FF92D050"/>
        <bgColor indexed="64"/>
      </patternFill>
    </fill>
    <fill>
      <patternFill patternType="solid">
        <fgColor rgb="FF8DC63F"/>
        <bgColor indexed="64"/>
      </patternFill>
    </fill>
  </fills>
  <borders count="153">
    <border>
      <left/>
      <right/>
      <top/>
      <bottom/>
      <diagonal/>
    </border>
    <border>
      <left style="thin">
        <color theme="0"/>
      </left>
      <right style="thin">
        <color theme="0"/>
      </right>
      <top style="thin">
        <color theme="0"/>
      </top>
      <bottom style="thin">
        <color theme="0"/>
      </bottom>
      <diagonal/>
    </border>
    <border>
      <left/>
      <right/>
      <top/>
      <bottom style="thin">
        <color theme="0" tint="-0.14996795556505021"/>
      </bottom>
      <diagonal/>
    </border>
    <border>
      <left/>
      <right style="thin">
        <color theme="0"/>
      </right>
      <top/>
      <bottom style="thin">
        <color theme="0"/>
      </bottom>
      <diagonal/>
    </border>
    <border>
      <left/>
      <right style="thin">
        <color theme="0" tint="-0.14999847407452621"/>
      </right>
      <top/>
      <bottom/>
      <diagonal/>
    </border>
    <border>
      <left style="thin">
        <color theme="0" tint="-0.14999847407452621"/>
      </left>
      <right/>
      <top style="thin">
        <color theme="0" tint="-0.14999847407452621"/>
      </top>
      <bottom/>
      <diagonal/>
    </border>
    <border>
      <left/>
      <right/>
      <top style="thin">
        <color theme="0" tint="-0.14999847407452621"/>
      </top>
      <bottom/>
      <diagonal/>
    </border>
    <border>
      <left/>
      <right style="thin">
        <color theme="0" tint="-0.14999847407452621"/>
      </right>
      <top style="thin">
        <color theme="0" tint="-0.14999847407452621"/>
      </top>
      <bottom/>
      <diagonal/>
    </border>
    <border>
      <left style="thin">
        <color theme="0" tint="-0.14999847407452621"/>
      </left>
      <right/>
      <top/>
      <bottom/>
      <diagonal/>
    </border>
    <border>
      <left style="thin">
        <color theme="0" tint="-0.14999847407452621"/>
      </left>
      <right/>
      <top/>
      <bottom style="thin">
        <color theme="0" tint="-0.14999847407452621"/>
      </bottom>
      <diagonal/>
    </border>
    <border>
      <left/>
      <right/>
      <top/>
      <bottom style="thin">
        <color theme="0" tint="-0.14999847407452621"/>
      </bottom>
      <diagonal/>
    </border>
    <border>
      <left/>
      <right style="thin">
        <color theme="0" tint="-0.14999847407452621"/>
      </right>
      <top/>
      <bottom style="thin">
        <color theme="0" tint="-0.14999847407452621"/>
      </bottom>
      <diagonal/>
    </border>
    <border>
      <left/>
      <right/>
      <top style="thin">
        <color theme="0" tint="-0.14996795556505021"/>
      </top>
      <bottom/>
      <diagonal/>
    </border>
    <border>
      <left style="thin">
        <color theme="0" tint="-0.14996795556505021"/>
      </left>
      <right/>
      <top/>
      <bottom/>
      <diagonal/>
    </border>
    <border>
      <left/>
      <right style="thin">
        <color theme="0" tint="-0.14996795556505021"/>
      </right>
      <top/>
      <bottom/>
      <diagonal/>
    </border>
    <border>
      <left style="thin">
        <color theme="0" tint="-0.14996795556505021"/>
      </left>
      <right/>
      <top/>
      <bottom style="thin">
        <color theme="0" tint="-0.14996795556505021"/>
      </bottom>
      <diagonal/>
    </border>
    <border>
      <left/>
      <right style="thin">
        <color theme="0" tint="-0.14996795556505021"/>
      </right>
      <top/>
      <bottom style="thin">
        <color theme="0" tint="-0.14996795556505021"/>
      </bottom>
      <diagonal/>
    </border>
    <border>
      <left/>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tint="-0.14999847407452621"/>
      </left>
      <right/>
      <top style="thin">
        <color theme="0"/>
      </top>
      <bottom style="thin">
        <color theme="0"/>
      </bottom>
      <diagonal/>
    </border>
    <border>
      <left/>
      <right style="thin">
        <color theme="0" tint="-0.14999847407452621"/>
      </right>
      <top style="thin">
        <color theme="0"/>
      </top>
      <bottom style="thin">
        <color theme="0"/>
      </bottom>
      <diagonal/>
    </border>
    <border>
      <left style="thin">
        <color theme="0"/>
      </left>
      <right style="thin">
        <color theme="0"/>
      </right>
      <top style="thin">
        <color theme="0"/>
      </top>
      <bottom style="thin">
        <color theme="0" tint="-0.14999847407452621"/>
      </bottom>
      <diagonal/>
    </border>
    <border>
      <left style="thin">
        <color theme="0"/>
      </left>
      <right style="thin">
        <color theme="0"/>
      </right>
      <top style="thin">
        <color theme="0" tint="-4.9989318521683403E-2"/>
      </top>
      <bottom/>
      <diagonal/>
    </border>
    <border>
      <left/>
      <right/>
      <top/>
      <bottom style="thin">
        <color theme="0" tint="-0.249977111117893"/>
      </bottom>
      <diagonal/>
    </border>
    <border>
      <left style="thin">
        <color theme="0"/>
      </left>
      <right style="thin">
        <color theme="0"/>
      </right>
      <top style="thin">
        <color theme="0" tint="-4.9989318521683403E-2"/>
      </top>
      <bottom style="thin">
        <color theme="0"/>
      </bottom>
      <diagonal/>
    </border>
    <border>
      <left style="thin">
        <color theme="0" tint="-0.14996795556505021"/>
      </left>
      <right style="thin">
        <color theme="0" tint="-0.14996795556505021"/>
      </right>
      <top style="thin">
        <color theme="0" tint="-0.14996795556505021"/>
      </top>
      <bottom/>
      <diagonal/>
    </border>
    <border>
      <left style="thin">
        <color theme="0"/>
      </left>
      <right style="thin">
        <color theme="0"/>
      </right>
      <top style="thin">
        <color theme="0"/>
      </top>
      <bottom/>
      <diagonal/>
    </border>
    <border>
      <left style="thin">
        <color theme="0"/>
      </left>
      <right style="thin">
        <color theme="0"/>
      </right>
      <top style="thin">
        <color theme="0" tint="-0.14996795556505021"/>
      </top>
      <bottom style="thin">
        <color theme="0"/>
      </bottom>
      <diagonal/>
    </border>
    <border>
      <left/>
      <right style="thin">
        <color theme="0"/>
      </right>
      <top style="thin">
        <color theme="0" tint="-0.14996795556505021"/>
      </top>
      <bottom style="thin">
        <color theme="0"/>
      </bottom>
      <diagonal/>
    </border>
    <border>
      <left style="thin">
        <color theme="0"/>
      </left>
      <right style="thin">
        <color theme="0"/>
      </right>
      <top style="thin">
        <color theme="0"/>
      </top>
      <bottom style="thin">
        <color theme="0" tint="-4.9989318521683403E-2"/>
      </bottom>
      <diagonal/>
    </border>
    <border>
      <left style="thin">
        <color theme="0"/>
      </left>
      <right/>
      <top style="thin">
        <color theme="0"/>
      </top>
      <bottom style="thin">
        <color theme="0" tint="-4.9989318521683403E-2"/>
      </bottom>
      <diagonal/>
    </border>
    <border>
      <left style="thin">
        <color rgb="FFC00000"/>
      </left>
      <right/>
      <top style="thin">
        <color rgb="FFC00000"/>
      </top>
      <bottom style="thin">
        <color rgb="FFC00000"/>
      </bottom>
      <diagonal/>
    </border>
    <border>
      <left/>
      <right/>
      <top style="thin">
        <color rgb="FFC00000"/>
      </top>
      <bottom style="thin">
        <color rgb="FFC00000"/>
      </bottom>
      <diagonal/>
    </border>
    <border>
      <left/>
      <right style="thin">
        <color rgb="FFC00000"/>
      </right>
      <top style="thin">
        <color rgb="FFC00000"/>
      </top>
      <bottom style="thin">
        <color rgb="FFC00000"/>
      </bottom>
      <diagonal/>
    </border>
    <border>
      <left style="thin">
        <color theme="0"/>
      </left>
      <right/>
      <top/>
      <bottom/>
      <diagonal/>
    </border>
    <border>
      <left/>
      <right style="medium">
        <color theme="0"/>
      </right>
      <top style="thin">
        <color theme="0" tint="-0.14999847407452621"/>
      </top>
      <bottom style="thin">
        <color theme="0"/>
      </bottom>
      <diagonal/>
    </border>
    <border>
      <left style="thin">
        <color rgb="FF008EB0"/>
      </left>
      <right/>
      <top/>
      <bottom/>
      <diagonal/>
    </border>
    <border>
      <left/>
      <right/>
      <top/>
      <bottom style="thin">
        <color theme="0"/>
      </bottom>
      <diagonal/>
    </border>
    <border>
      <left/>
      <right/>
      <top style="thin">
        <color theme="0"/>
      </top>
      <bottom/>
      <diagonal/>
    </border>
    <border>
      <left style="thin">
        <color theme="0" tint="-0.14999847407452621"/>
      </left>
      <right style="thin">
        <color theme="0" tint="-0.14999847407452621"/>
      </right>
      <top style="thin">
        <color theme="0" tint="-0.14999847407452621"/>
      </top>
      <bottom style="thin">
        <color theme="0" tint="-0.14999847407452621"/>
      </bottom>
      <diagonal/>
    </border>
    <border>
      <left style="thin">
        <color theme="0" tint="-0.14999847407452621"/>
      </left>
      <right/>
      <top style="thin">
        <color theme="0" tint="-0.14999847407452621"/>
      </top>
      <bottom style="thin">
        <color theme="0" tint="-0.14999847407452621"/>
      </bottom>
      <diagonal/>
    </border>
    <border>
      <left/>
      <right/>
      <top style="thin">
        <color theme="0" tint="-0.14999847407452621"/>
      </top>
      <bottom style="thin">
        <color theme="0" tint="-0.14999847407452621"/>
      </bottom>
      <diagonal/>
    </border>
    <border>
      <left style="thin">
        <color rgb="FF00ACD4"/>
      </left>
      <right style="thin">
        <color rgb="FF00ACD4"/>
      </right>
      <top style="thin">
        <color rgb="FF00ACD4"/>
      </top>
      <bottom style="thin">
        <color rgb="FF00ACD4"/>
      </bottom>
      <diagonal/>
    </border>
    <border>
      <left style="thin">
        <color theme="0" tint="-0.14993743705557422"/>
      </left>
      <right/>
      <top style="thin">
        <color theme="0" tint="-0.14993743705557422"/>
      </top>
      <bottom/>
      <diagonal/>
    </border>
    <border>
      <left/>
      <right/>
      <top style="thin">
        <color theme="0" tint="-0.14993743705557422"/>
      </top>
      <bottom style="thin">
        <color theme="0"/>
      </bottom>
      <diagonal/>
    </border>
    <border>
      <left/>
      <right/>
      <top style="thin">
        <color theme="0" tint="-0.14993743705557422"/>
      </top>
      <bottom/>
      <diagonal/>
    </border>
    <border>
      <left/>
      <right style="thin">
        <color theme="0" tint="-0.14993743705557422"/>
      </right>
      <top style="thin">
        <color theme="0" tint="-0.14993743705557422"/>
      </top>
      <bottom/>
      <diagonal/>
    </border>
    <border>
      <left style="thin">
        <color theme="0" tint="-0.14993743705557422"/>
      </left>
      <right/>
      <top/>
      <bottom/>
      <diagonal/>
    </border>
    <border>
      <left/>
      <right style="thin">
        <color theme="0" tint="-0.14993743705557422"/>
      </right>
      <top/>
      <bottom/>
      <diagonal/>
    </border>
    <border>
      <left style="thin">
        <color theme="0" tint="-0.14993743705557422"/>
      </left>
      <right/>
      <top/>
      <bottom style="thin">
        <color theme="0" tint="-0.14993743705557422"/>
      </bottom>
      <diagonal/>
    </border>
    <border>
      <left/>
      <right/>
      <top/>
      <bottom style="thin">
        <color theme="0" tint="-0.14993743705557422"/>
      </bottom>
      <diagonal/>
    </border>
    <border>
      <left/>
      <right style="thin">
        <color theme="0" tint="-0.14993743705557422"/>
      </right>
      <top/>
      <bottom style="thin">
        <color theme="0" tint="-0.14993743705557422"/>
      </bottom>
      <diagonal/>
    </border>
    <border>
      <left/>
      <right/>
      <top style="thin">
        <color theme="0" tint="-0.14999847407452621"/>
      </top>
      <bottom style="thin">
        <color theme="0"/>
      </bottom>
      <diagonal/>
    </border>
    <border>
      <left style="hair">
        <color theme="0"/>
      </left>
      <right style="hair">
        <color theme="0"/>
      </right>
      <top style="hair">
        <color theme="0"/>
      </top>
      <bottom style="hair">
        <color theme="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diagonal/>
    </border>
    <border>
      <left style="thin">
        <color indexed="64"/>
      </left>
      <right style="medium">
        <color indexed="64"/>
      </right>
      <top/>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double">
        <color indexed="64"/>
      </bottom>
      <diagonal/>
    </border>
    <border>
      <left style="thin">
        <color indexed="64"/>
      </left>
      <right/>
      <top/>
      <bottom style="dashed">
        <color indexed="22"/>
      </bottom>
      <diagonal/>
    </border>
    <border>
      <left/>
      <right/>
      <top/>
      <bottom style="dashed">
        <color indexed="22"/>
      </bottom>
      <diagonal/>
    </border>
    <border>
      <left/>
      <right style="thin">
        <color indexed="64"/>
      </right>
      <top/>
      <bottom style="dashed">
        <color indexed="22"/>
      </bottom>
      <diagonal/>
    </border>
    <border>
      <left style="thin">
        <color indexed="64"/>
      </left>
      <right/>
      <top style="dashed">
        <color indexed="22"/>
      </top>
      <bottom/>
      <diagonal/>
    </border>
    <border>
      <left/>
      <right/>
      <top style="dashed">
        <color indexed="22"/>
      </top>
      <bottom/>
      <diagonal/>
    </border>
    <border>
      <left/>
      <right style="thin">
        <color indexed="64"/>
      </right>
      <top style="dashed">
        <color indexed="22"/>
      </top>
      <bottom/>
      <diagonal/>
    </border>
    <border>
      <left/>
      <right style="dashed">
        <color indexed="22"/>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style="thin">
        <color theme="0" tint="-0.14996795556505021"/>
      </left>
      <right/>
      <top style="thin">
        <color theme="0" tint="-0.14996795556505021"/>
      </top>
      <bottom/>
      <diagonal/>
    </border>
    <border>
      <left/>
      <right style="thin">
        <color theme="0" tint="-0.14996795556505021"/>
      </right>
      <top style="thin">
        <color theme="0" tint="-0.14996795556505021"/>
      </top>
      <bottom/>
      <diagonal/>
    </border>
    <border>
      <left/>
      <right style="thin">
        <color theme="0"/>
      </right>
      <top/>
      <bottom style="thin">
        <color theme="0" tint="-0.14996795556505021"/>
      </bottom>
      <diagonal/>
    </border>
    <border>
      <left/>
      <right style="thin">
        <color theme="0"/>
      </right>
      <top style="thin">
        <color theme="0" tint="-0.14996795556505021"/>
      </top>
      <bottom/>
      <diagonal/>
    </border>
    <border>
      <left style="thin">
        <color theme="0" tint="-0.14996795556505021"/>
      </left>
      <right/>
      <top style="thin">
        <color theme="0" tint="-0.14996795556505021"/>
      </top>
      <bottom style="thin">
        <color theme="0" tint="-0.14996795556505021"/>
      </bottom>
      <diagonal/>
    </border>
    <border>
      <left/>
      <right/>
      <top style="thin">
        <color theme="0" tint="-0.14996795556505021"/>
      </top>
      <bottom style="thin">
        <color theme="0" tint="-0.14996795556505021"/>
      </bottom>
      <diagonal/>
    </border>
    <border>
      <left/>
      <right style="thin">
        <color theme="0" tint="-0.14996795556505021"/>
      </right>
      <top style="thin">
        <color theme="0" tint="-0.14996795556505021"/>
      </top>
      <bottom style="thin">
        <color theme="0" tint="-0.14996795556505021"/>
      </bottom>
      <diagonal/>
    </border>
    <border>
      <left style="thin">
        <color theme="0"/>
      </left>
      <right/>
      <top/>
      <bottom style="thin">
        <color theme="0" tint="-0.14996795556505021"/>
      </bottom>
      <diagonal/>
    </border>
    <border>
      <left style="thin">
        <color theme="0" tint="-0.14990691854609822"/>
      </left>
      <right/>
      <top style="thin">
        <color theme="0" tint="-0.14990691854609822"/>
      </top>
      <bottom/>
      <diagonal/>
    </border>
    <border>
      <left/>
      <right/>
      <top style="thin">
        <color theme="0" tint="-0.14990691854609822"/>
      </top>
      <bottom/>
      <diagonal/>
    </border>
    <border>
      <left/>
      <right style="thin">
        <color theme="0" tint="-0.14990691854609822"/>
      </right>
      <top style="thin">
        <color theme="0" tint="-0.14990691854609822"/>
      </top>
      <bottom/>
      <diagonal/>
    </border>
    <border>
      <left/>
      <right style="thin">
        <color theme="0" tint="-0.14993743705557422"/>
      </right>
      <top style="thin">
        <color theme="0" tint="-0.14996795556505021"/>
      </top>
      <bottom style="thin">
        <color theme="0" tint="-0.14996795556505021"/>
      </bottom>
      <diagonal/>
    </border>
    <border>
      <left style="thin">
        <color theme="0"/>
      </left>
      <right/>
      <top style="thin">
        <color theme="0"/>
      </top>
      <bottom style="thin">
        <color theme="0" tint="-0.14993743705557422"/>
      </bottom>
      <diagonal/>
    </border>
    <border>
      <left/>
      <right/>
      <top style="thin">
        <color theme="0"/>
      </top>
      <bottom style="thin">
        <color theme="0" tint="-0.14993743705557422"/>
      </bottom>
      <diagonal/>
    </border>
    <border>
      <left/>
      <right style="thin">
        <color theme="0"/>
      </right>
      <top style="thin">
        <color theme="0"/>
      </top>
      <bottom style="thin">
        <color theme="0" tint="-0.14993743705557422"/>
      </bottom>
      <diagonal/>
    </border>
    <border>
      <left style="thin">
        <color theme="0" tint="-0.14996795556505021"/>
      </left>
      <right/>
      <top style="thin">
        <color theme="0" tint="-0.14993743705557422"/>
      </top>
      <bottom/>
      <diagonal/>
    </border>
    <border>
      <left/>
      <right style="thin">
        <color theme="0" tint="-0.14996795556505021"/>
      </right>
      <top style="thin">
        <color theme="0" tint="-0.14993743705557422"/>
      </top>
      <bottom/>
      <diagonal/>
    </border>
    <border>
      <left/>
      <right style="thin">
        <color theme="0" tint="-0.14990691854609822"/>
      </right>
      <top style="thin">
        <color theme="0" tint="-0.14996795556505021"/>
      </top>
      <bottom style="thin">
        <color theme="0" tint="-0.14996795556505021"/>
      </bottom>
      <diagonal/>
    </border>
    <border>
      <left style="thin">
        <color theme="0" tint="-0.14993743705557422"/>
      </left>
      <right/>
      <top style="thin">
        <color theme="0" tint="-0.14996795556505021"/>
      </top>
      <bottom style="thin">
        <color theme="0" tint="-0.14996795556505021"/>
      </bottom>
      <diagonal/>
    </border>
    <border>
      <left/>
      <right style="thin">
        <color theme="0"/>
      </right>
      <top style="thin">
        <color theme="0"/>
      </top>
      <bottom/>
      <diagonal/>
    </border>
    <border>
      <left style="thin">
        <color theme="0"/>
      </left>
      <right/>
      <top style="thin">
        <color theme="0"/>
      </top>
      <bottom/>
      <diagonal/>
    </border>
    <border>
      <left/>
      <right/>
      <top style="thin">
        <color theme="0" tint="-0.14996795556505021"/>
      </top>
      <bottom style="thin">
        <color theme="0" tint="-0.14993743705557422"/>
      </bottom>
      <diagonal/>
    </border>
    <border>
      <left/>
      <right style="thin">
        <color theme="0"/>
      </right>
      <top style="thin">
        <color theme="0" tint="-0.14996795556505021"/>
      </top>
      <bottom style="thin">
        <color theme="0" tint="-0.14993743705557422"/>
      </bottom>
      <diagonal/>
    </border>
    <border>
      <left/>
      <right/>
      <top style="thin">
        <color theme="0" tint="-0.14993743705557422"/>
      </top>
      <bottom style="thin">
        <color theme="0" tint="-0.14993743705557422"/>
      </bottom>
      <diagonal/>
    </border>
    <border>
      <left/>
      <right style="thin">
        <color theme="0"/>
      </right>
      <top style="thin">
        <color theme="0" tint="-0.14993743705557422"/>
      </top>
      <bottom style="thin">
        <color theme="0" tint="-0.14993743705557422"/>
      </bottom>
      <diagonal/>
    </border>
    <border>
      <left/>
      <right style="thin">
        <color theme="0"/>
      </right>
      <top style="thin">
        <color theme="0" tint="-0.14993743705557422"/>
      </top>
      <bottom/>
      <diagonal/>
    </border>
    <border>
      <left style="thin">
        <color theme="0" tint="-0.14993743705557422"/>
      </left>
      <right/>
      <top style="thin">
        <color theme="0" tint="-0.14993743705557422"/>
      </top>
      <bottom style="thin">
        <color theme="0" tint="-0.14993743705557422"/>
      </bottom>
      <diagonal/>
    </border>
    <border>
      <left style="thin">
        <color theme="0" tint="-0.14990691854609822"/>
      </left>
      <right/>
      <top/>
      <bottom/>
      <diagonal/>
    </border>
    <border>
      <left/>
      <right style="thin">
        <color theme="0"/>
      </right>
      <top/>
      <bottom/>
      <diagonal/>
    </border>
    <border>
      <left/>
      <right/>
      <top style="thin">
        <color indexed="64"/>
      </top>
      <bottom style="medium">
        <color indexed="64"/>
      </bottom>
      <diagonal/>
    </border>
    <border>
      <left/>
      <right/>
      <top style="thin">
        <color indexed="64"/>
      </top>
      <bottom style="double">
        <color indexed="64"/>
      </bottom>
      <diagonal/>
    </border>
  </borders>
  <cellStyleXfs count="153">
    <xf numFmtId="0" fontId="0" fillId="0" borderId="0"/>
    <xf numFmtId="170" fontId="13" fillId="3" borderId="1">
      <alignment horizontal="left" vertical="center" wrapText="1"/>
    </xf>
    <xf numFmtId="0" fontId="13" fillId="3" borderId="1">
      <alignment horizontal="left" vertical="center" wrapText="1"/>
    </xf>
    <xf numFmtId="0" fontId="10" fillId="0" borderId="0">
      <alignment horizontal="left" vertical="center" wrapText="1"/>
    </xf>
    <xf numFmtId="1" fontId="10" fillId="2" borderId="1">
      <alignment horizontal="center" vertical="center" wrapText="1"/>
    </xf>
    <xf numFmtId="49" fontId="2" fillId="0" borderId="0">
      <alignment horizontal="center" vertical="center" wrapText="1"/>
    </xf>
    <xf numFmtId="0" fontId="10" fillId="3" borderId="1">
      <alignment vertical="center" wrapText="1"/>
      <protection locked="0"/>
    </xf>
    <xf numFmtId="0" fontId="10" fillId="0" borderId="0">
      <alignment horizontal="left" vertical="center" wrapText="1"/>
    </xf>
    <xf numFmtId="10" fontId="10" fillId="0" borderId="0">
      <alignment horizontal="center" vertical="center" wrapText="1"/>
    </xf>
    <xf numFmtId="0" fontId="2" fillId="0" borderId="0">
      <alignment horizontal="left" vertical="center" wrapText="1"/>
    </xf>
    <xf numFmtId="4" fontId="17" fillId="0" borderId="0">
      <alignment horizontal="center" vertical="center" wrapText="1"/>
    </xf>
    <xf numFmtId="49" fontId="17" fillId="0" borderId="0">
      <alignment vertical="center" wrapText="1"/>
    </xf>
    <xf numFmtId="49" fontId="10" fillId="3" borderId="1">
      <alignment vertical="center" wrapText="1"/>
      <protection locked="0"/>
    </xf>
    <xf numFmtId="0" fontId="10" fillId="3" borderId="1">
      <alignment horizontal="center" vertical="center" wrapText="1"/>
      <protection locked="0"/>
    </xf>
    <xf numFmtId="0" fontId="10" fillId="0" borderId="0">
      <alignment horizontal="left" vertical="center" wrapText="1"/>
    </xf>
    <xf numFmtId="14" fontId="10" fillId="3" borderId="1">
      <alignment horizontal="center" vertical="center" wrapText="1"/>
    </xf>
    <xf numFmtId="0" fontId="10" fillId="0" borderId="0">
      <alignment horizontal="center" vertical="center" wrapText="1"/>
    </xf>
    <xf numFmtId="10" fontId="10" fillId="2" borderId="1">
      <alignment horizontal="center" vertical="center" wrapText="1"/>
    </xf>
    <xf numFmtId="166" fontId="10" fillId="2" borderId="1">
      <alignment vertical="center"/>
    </xf>
    <xf numFmtId="0" fontId="9" fillId="3" borderId="1">
      <alignment horizontal="left" vertical="center" wrapText="1"/>
      <protection locked="0"/>
    </xf>
    <xf numFmtId="10" fontId="10" fillId="3" borderId="1">
      <alignment horizontal="center" vertical="center"/>
      <protection locked="0"/>
    </xf>
    <xf numFmtId="49" fontId="10" fillId="3" borderId="1">
      <alignment horizontal="center" vertical="center" wrapText="1"/>
      <protection locked="0"/>
    </xf>
    <xf numFmtId="169" fontId="1" fillId="0" borderId="0" applyFont="0" applyFill="0" applyBorder="0" applyAlignment="0" applyProtection="0"/>
    <xf numFmtId="0" fontId="56" fillId="0" borderId="0" applyNumberFormat="0" applyFill="0" applyBorder="0" applyAlignment="0" applyProtection="0"/>
    <xf numFmtId="49" fontId="10" fillId="3" borderId="1">
      <alignment horizontal="center" vertical="center" wrapText="1"/>
      <protection locked="0"/>
    </xf>
    <xf numFmtId="0" fontId="10" fillId="0" borderId="0">
      <alignment horizontal="right" vertical="center" wrapText="1"/>
    </xf>
    <xf numFmtId="14" fontId="10" fillId="3" borderId="1">
      <alignment horizontal="center" vertical="center"/>
      <protection locked="0"/>
    </xf>
    <xf numFmtId="14" fontId="10" fillId="0" borderId="0">
      <alignment horizontal="center" vertical="center" wrapText="1"/>
    </xf>
    <xf numFmtId="0" fontId="2" fillId="3" borderId="1">
      <alignment horizontal="center" vertical="center" wrapText="1"/>
      <protection locked="0"/>
    </xf>
    <xf numFmtId="49" fontId="17" fillId="0" borderId="0">
      <alignment vertical="center" wrapText="1"/>
    </xf>
    <xf numFmtId="0" fontId="9" fillId="2" borderId="0">
      <alignment vertical="center" wrapText="1"/>
    </xf>
    <xf numFmtId="174" fontId="10" fillId="2" borderId="1">
      <alignment vertical="center"/>
    </xf>
    <xf numFmtId="49" fontId="2" fillId="0" borderId="0">
      <alignment horizontal="left" vertical="center" wrapText="1"/>
    </xf>
    <xf numFmtId="170" fontId="9" fillId="3" borderId="1">
      <alignment horizontal="left" vertical="center"/>
      <protection locked="0"/>
    </xf>
    <xf numFmtId="49" fontId="10" fillId="3" borderId="17">
      <alignment vertical="center"/>
      <protection locked="0"/>
    </xf>
    <xf numFmtId="173" fontId="10" fillId="3" borderId="1">
      <alignment vertical="center"/>
      <protection locked="0"/>
    </xf>
    <xf numFmtId="167" fontId="10" fillId="3" borderId="1">
      <alignment vertical="center"/>
      <protection locked="0"/>
    </xf>
    <xf numFmtId="0" fontId="5" fillId="0" borderId="0">
      <alignment vertical="center" wrapText="1"/>
      <protection locked="0"/>
    </xf>
    <xf numFmtId="173" fontId="10" fillId="2" borderId="1">
      <alignment vertical="center"/>
    </xf>
    <xf numFmtId="1" fontId="10" fillId="3" borderId="1">
      <alignment horizontal="center" vertical="center"/>
      <protection locked="0"/>
    </xf>
    <xf numFmtId="14" fontId="10" fillId="2" borderId="1">
      <alignment horizontal="center" vertical="center" wrapText="1"/>
    </xf>
    <xf numFmtId="167" fontId="10" fillId="2" borderId="1">
      <alignment vertical="center"/>
    </xf>
    <xf numFmtId="0" fontId="2" fillId="0" borderId="0">
      <alignment horizontal="center" vertical="center" wrapText="1"/>
    </xf>
    <xf numFmtId="0" fontId="13" fillId="0" borderId="0">
      <alignment horizontal="left" vertical="center" wrapText="1"/>
    </xf>
    <xf numFmtId="0" fontId="10" fillId="3" borderId="1">
      <alignment horizontal="center" vertical="center" wrapText="1"/>
    </xf>
    <xf numFmtId="166" fontId="17" fillId="0" borderId="0">
      <alignment vertical="center" wrapText="1"/>
    </xf>
    <xf numFmtId="9" fontId="17" fillId="0" borderId="0">
      <alignment horizontal="right" vertical="center" wrapText="1"/>
    </xf>
    <xf numFmtId="175" fontId="17" fillId="0" borderId="0">
      <alignment horizontal="right" vertical="center" wrapText="1"/>
    </xf>
    <xf numFmtId="3" fontId="17" fillId="0" borderId="0">
      <alignment horizontal="center" vertical="center" wrapText="1"/>
    </xf>
    <xf numFmtId="170" fontId="17" fillId="0" borderId="0">
      <alignment horizontal="center" vertical="center" wrapText="1"/>
    </xf>
    <xf numFmtId="10" fontId="17" fillId="0" borderId="0">
      <alignment horizontal="right" vertical="center" wrapText="1"/>
    </xf>
    <xf numFmtId="176" fontId="17" fillId="0" borderId="0">
      <alignment horizontal="center" vertical="center" wrapText="1"/>
    </xf>
    <xf numFmtId="49" fontId="17" fillId="2" borderId="1">
      <alignment horizontal="center" vertical="center" wrapText="1"/>
    </xf>
    <xf numFmtId="0" fontId="20" fillId="0" borderId="0" applyNumberFormat="0" applyFill="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167" fontId="10" fillId="3" borderId="1">
      <alignment vertical="center"/>
      <protection locked="0"/>
    </xf>
    <xf numFmtId="167" fontId="10" fillId="2" borderId="1">
      <alignment vertical="center"/>
    </xf>
    <xf numFmtId="166" fontId="10" fillId="2" borderId="1">
      <alignment vertical="center"/>
    </xf>
    <xf numFmtId="169" fontId="1" fillId="0" borderId="0" applyFont="0" applyFill="0" applyBorder="0" applyAlignment="0" applyProtection="0"/>
    <xf numFmtId="168" fontId="17" fillId="0" borderId="0">
      <alignment vertical="center" wrapText="1"/>
    </xf>
    <xf numFmtId="167" fontId="10" fillId="3" borderId="1">
      <alignment vertical="center"/>
      <protection locked="0"/>
    </xf>
    <xf numFmtId="167" fontId="10" fillId="2" borderId="1">
      <alignment vertical="center"/>
    </xf>
    <xf numFmtId="166" fontId="10" fillId="2" borderId="1">
      <alignment vertical="center"/>
    </xf>
    <xf numFmtId="0" fontId="10" fillId="3" borderId="1">
      <alignment horizontal="left" vertical="center"/>
    </xf>
    <xf numFmtId="169" fontId="1" fillId="0" borderId="0" applyFont="0" applyFill="0" applyBorder="0" applyAlignment="0" applyProtection="0"/>
    <xf numFmtId="166" fontId="17" fillId="0" borderId="0">
      <alignment vertical="center" wrapText="1"/>
    </xf>
    <xf numFmtId="167" fontId="10" fillId="3" borderId="1">
      <alignment vertical="center"/>
      <protection locked="0"/>
    </xf>
    <xf numFmtId="167" fontId="10" fillId="2" borderId="1">
      <alignment vertical="center"/>
    </xf>
    <xf numFmtId="166" fontId="10" fillId="2" borderId="1">
      <alignment vertical="center"/>
    </xf>
    <xf numFmtId="169" fontId="1" fillId="0" borderId="0" applyFont="0" applyFill="0" applyBorder="0" applyAlignment="0" applyProtection="0"/>
    <xf numFmtId="166" fontId="17" fillId="0" borderId="0">
      <alignment vertical="center" wrapText="1"/>
    </xf>
    <xf numFmtId="167" fontId="10" fillId="3" borderId="1">
      <alignment vertical="center"/>
      <protection locked="0"/>
    </xf>
    <xf numFmtId="167" fontId="10" fillId="2" borderId="1">
      <alignment vertical="center"/>
    </xf>
    <xf numFmtId="166" fontId="10" fillId="2" borderId="1">
      <alignment vertical="center"/>
    </xf>
    <xf numFmtId="169" fontId="1" fillId="0" borderId="0" applyFont="0" applyFill="0" applyBorder="0" applyAlignment="0" applyProtection="0"/>
    <xf numFmtId="166" fontId="17" fillId="0" borderId="0">
      <alignment vertical="center" wrapText="1"/>
    </xf>
    <xf numFmtId="167" fontId="10" fillId="3" borderId="1">
      <alignment vertical="center"/>
      <protection locked="0"/>
    </xf>
    <xf numFmtId="167" fontId="10" fillId="2" borderId="1">
      <alignment vertical="center"/>
    </xf>
    <xf numFmtId="166" fontId="10" fillId="2" borderId="1">
      <alignment vertical="center"/>
    </xf>
    <xf numFmtId="169" fontId="1" fillId="0" borderId="0" applyFont="0" applyFill="0" applyBorder="0" applyAlignment="0" applyProtection="0"/>
    <xf numFmtId="166" fontId="17" fillId="0" borderId="0">
      <alignment vertical="center" wrapText="1"/>
    </xf>
    <xf numFmtId="167" fontId="10" fillId="3" borderId="1">
      <alignment vertical="center"/>
      <protection locked="0"/>
    </xf>
    <xf numFmtId="167" fontId="10" fillId="2" borderId="1">
      <alignment vertical="center"/>
    </xf>
    <xf numFmtId="166" fontId="10" fillId="2" borderId="1">
      <alignment vertical="center"/>
    </xf>
    <xf numFmtId="169" fontId="1" fillId="0" borderId="0" applyFont="0" applyFill="0" applyBorder="0" applyAlignment="0" applyProtection="0"/>
    <xf numFmtId="166" fontId="17" fillId="0" borderId="0">
      <alignment vertical="center" wrapText="1"/>
    </xf>
    <xf numFmtId="167" fontId="10" fillId="3" borderId="1">
      <alignment vertical="center"/>
      <protection locked="0"/>
    </xf>
    <xf numFmtId="167" fontId="10" fillId="2" borderId="1">
      <alignment vertical="center"/>
    </xf>
    <xf numFmtId="166" fontId="10" fillId="2" borderId="1">
      <alignment vertical="center"/>
    </xf>
    <xf numFmtId="169" fontId="1" fillId="0" borderId="0" applyFont="0" applyFill="0" applyBorder="0" applyAlignment="0" applyProtection="0"/>
    <xf numFmtId="166" fontId="17" fillId="0" borderId="0">
      <alignment vertical="center" wrapText="1"/>
    </xf>
    <xf numFmtId="167" fontId="10" fillId="3" borderId="1">
      <alignment vertical="center"/>
      <protection locked="0"/>
    </xf>
    <xf numFmtId="167" fontId="10" fillId="2" borderId="1">
      <alignment vertical="center"/>
    </xf>
    <xf numFmtId="166" fontId="10" fillId="2" borderId="1">
      <alignment vertical="center"/>
    </xf>
    <xf numFmtId="0" fontId="39" fillId="19" borderId="1" applyProtection="0">
      <alignment horizontal="center" vertical="center" wrapText="1"/>
    </xf>
    <xf numFmtId="10" fontId="2" fillId="0" borderId="1">
      <alignment horizontal="center" vertical="center"/>
    </xf>
    <xf numFmtId="0" fontId="2" fillId="0" borderId="0">
      <alignment horizontal="left" vertical="center" wrapText="1"/>
    </xf>
    <xf numFmtId="0" fontId="2" fillId="0" borderId="0">
      <alignment horizontal="center" vertical="center" wrapText="1"/>
    </xf>
    <xf numFmtId="170" fontId="2" fillId="0" borderId="0">
      <alignment horizontal="left" vertical="center" wrapText="1"/>
    </xf>
    <xf numFmtId="0" fontId="2" fillId="3" borderId="1">
      <alignment horizontal="center" vertical="center" wrapText="1"/>
      <protection locked="0"/>
    </xf>
    <xf numFmtId="180" fontId="10" fillId="3" borderId="1">
      <alignment horizontal="center" vertical="center"/>
      <protection locked="0"/>
    </xf>
    <xf numFmtId="175" fontId="10" fillId="3" borderId="1">
      <alignment horizontal="center" vertical="center"/>
      <protection locked="0"/>
    </xf>
    <xf numFmtId="10" fontId="10" fillId="3" borderId="1">
      <alignment horizontal="center" vertical="center"/>
      <protection locked="0"/>
    </xf>
    <xf numFmtId="0" fontId="10" fillId="2" borderId="1">
      <alignment horizontal="center" vertical="center" wrapText="1"/>
    </xf>
    <xf numFmtId="181" fontId="10" fillId="2" borderId="1">
      <alignment horizontal="center" vertical="center" wrapText="1"/>
    </xf>
    <xf numFmtId="4" fontId="10" fillId="2" borderId="55">
      <alignment horizontal="center" vertical="center"/>
    </xf>
    <xf numFmtId="182" fontId="10" fillId="2" borderId="55">
      <alignment horizontal="center" vertical="center"/>
    </xf>
    <xf numFmtId="183" fontId="10" fillId="2" borderId="1">
      <alignment horizontal="center" vertical="center" wrapText="1"/>
    </xf>
    <xf numFmtId="0" fontId="10" fillId="2" borderId="1">
      <alignment horizontal="left" vertical="center" wrapText="1"/>
    </xf>
    <xf numFmtId="0" fontId="10" fillId="2" borderId="1">
      <alignment horizontal="center" vertical="center" wrapText="1"/>
    </xf>
    <xf numFmtId="172" fontId="10" fillId="2" borderId="1">
      <alignment horizontal="center" vertical="center" wrapText="1"/>
    </xf>
    <xf numFmtId="173" fontId="10" fillId="2" borderId="1">
      <alignment horizontal="center" vertical="center"/>
    </xf>
    <xf numFmtId="167" fontId="10" fillId="3" borderId="1">
      <alignment vertical="center"/>
    </xf>
    <xf numFmtId="10" fontId="3" fillId="2" borderId="1">
      <alignment horizontal="center" vertical="center" wrapText="1"/>
    </xf>
    <xf numFmtId="9" fontId="10" fillId="2" borderId="1">
      <alignment horizontal="center" vertical="center" wrapText="1"/>
    </xf>
    <xf numFmtId="0" fontId="18" fillId="0" borderId="0" applyNumberFormat="0" applyFill="0" applyBorder="0" applyAlignment="0" applyProtection="0"/>
    <xf numFmtId="182" fontId="17" fillId="0" borderId="0">
      <alignment horizontal="center" vertical="center" wrapText="1"/>
    </xf>
    <xf numFmtId="49" fontId="57" fillId="0" borderId="0">
      <alignment vertical="center" wrapText="1"/>
    </xf>
    <xf numFmtId="49" fontId="5" fillId="0" borderId="0">
      <alignment horizontal="center" vertical="center" wrapText="1"/>
    </xf>
    <xf numFmtId="170" fontId="5" fillId="0" borderId="0">
      <alignment horizontal="center" vertical="center" wrapText="1"/>
    </xf>
    <xf numFmtId="0" fontId="9" fillId="2" borderId="1">
      <alignment horizontal="center" vertical="center" wrapText="1"/>
    </xf>
    <xf numFmtId="164" fontId="2" fillId="0" borderId="0">
      <alignment horizontal="center" vertical="center" wrapText="1"/>
    </xf>
    <xf numFmtId="165" fontId="2" fillId="0" borderId="0">
      <alignment horizontal="center" vertical="center" wrapText="1"/>
    </xf>
    <xf numFmtId="14" fontId="2" fillId="0" borderId="0">
      <alignment horizontal="center" vertical="center" wrapText="1"/>
    </xf>
    <xf numFmtId="0" fontId="2" fillId="0" borderId="0">
      <alignment horizontal="left" vertical="center" wrapText="1"/>
    </xf>
    <xf numFmtId="0" fontId="9" fillId="2" borderId="1">
      <alignment vertical="center" wrapText="1"/>
    </xf>
    <xf numFmtId="49" fontId="2" fillId="0" borderId="0">
      <alignment horizontal="right" vertical="center" wrapText="1"/>
    </xf>
    <xf numFmtId="0" fontId="58" fillId="0" borderId="0">
      <alignment vertical="center" wrapText="1"/>
    </xf>
    <xf numFmtId="49" fontId="2" fillId="24" borderId="1">
      <alignment horizontal="center" vertical="center" wrapText="1"/>
    </xf>
    <xf numFmtId="168" fontId="1" fillId="0" borderId="0" applyFont="0" applyFill="0" applyBorder="0" applyAlignment="0" applyProtection="0"/>
    <xf numFmtId="9" fontId="1" fillId="0" borderId="0" applyFont="0" applyFill="0" applyBorder="0" applyAlignment="0" applyProtection="0"/>
    <xf numFmtId="169" fontId="64" fillId="0" borderId="0" applyFont="0" applyFill="0" applyBorder="0" applyAlignment="0" applyProtection="0"/>
    <xf numFmtId="0" fontId="64" fillId="0" borderId="0"/>
    <xf numFmtId="0" fontId="18" fillId="0" borderId="0" applyNumberFormat="0" applyFill="0" applyBorder="0" applyProtection="0">
      <alignment horizontal="center" vertical="center"/>
    </xf>
    <xf numFmtId="0" fontId="69" fillId="0" borderId="0" applyNumberFormat="0" applyFill="0" applyBorder="0" applyAlignment="0" applyProtection="0">
      <alignment vertical="top"/>
      <protection locked="0"/>
    </xf>
    <xf numFmtId="169" fontId="64" fillId="0" borderId="0" applyFont="0" applyFill="0" applyBorder="0" applyAlignment="0" applyProtection="0"/>
    <xf numFmtId="169" fontId="64" fillId="0" borderId="0" applyFont="0" applyFill="0" applyBorder="0" applyAlignment="0" applyProtection="0"/>
    <xf numFmtId="0" fontId="77" fillId="0" borderId="0"/>
    <xf numFmtId="0" fontId="85" fillId="0" borderId="0"/>
    <xf numFmtId="9" fontId="85" fillId="0" borderId="0" applyFont="0" applyFill="0" applyBorder="0" applyAlignment="0" applyProtection="0"/>
    <xf numFmtId="0" fontId="97" fillId="0" borderId="0"/>
    <xf numFmtId="0" fontId="124" fillId="0" borderId="0" applyNumberFormat="0" applyFill="0" applyBorder="0" applyAlignment="0" applyProtection="0"/>
  </cellStyleXfs>
  <cellXfs count="1207">
    <xf numFmtId="0" fontId="0" fillId="0" borderId="0" xfId="0"/>
    <xf numFmtId="0" fontId="0" fillId="0" borderId="0" xfId="0"/>
    <xf numFmtId="49" fontId="10" fillId="0" borderId="0" xfId="12" applyFill="1" applyBorder="1" applyAlignment="1">
      <alignment horizontal="center" vertical="center" wrapText="1"/>
      <protection locked="0"/>
    </xf>
    <xf numFmtId="0" fontId="10" fillId="0" borderId="0" xfId="0" applyFont="1"/>
    <xf numFmtId="0" fontId="11" fillId="0" borderId="0" xfId="0" applyFont="1"/>
    <xf numFmtId="0" fontId="12" fillId="0" borderId="0" xfId="0" applyFont="1"/>
    <xf numFmtId="49" fontId="17" fillId="0" borderId="0" xfId="11" applyFill="1" applyBorder="1" applyAlignment="1">
      <alignment vertical="center" wrapText="1"/>
    </xf>
    <xf numFmtId="0" fontId="2" fillId="0" borderId="0" xfId="0" applyFont="1" applyBorder="1"/>
    <xf numFmtId="0" fontId="2" fillId="0" borderId="0" xfId="0" applyFont="1" applyBorder="1" applyAlignment="1">
      <alignment horizontal="center" vertical="center" wrapText="1"/>
    </xf>
    <xf numFmtId="0" fontId="3" fillId="0" borderId="0" xfId="6" applyFont="1" applyFill="1" applyBorder="1" applyAlignment="1">
      <alignment horizontal="center" vertical="center"/>
      <protection locked="0"/>
    </xf>
    <xf numFmtId="0" fontId="0" fillId="0" borderId="0" xfId="0" applyAlignment="1">
      <alignment vertical="center"/>
    </xf>
    <xf numFmtId="0" fontId="11" fillId="0" borderId="0" xfId="0" applyFont="1" applyBorder="1"/>
    <xf numFmtId="49" fontId="17" fillId="0" borderId="6" xfId="11" applyFill="1" applyBorder="1" applyAlignment="1">
      <alignment vertical="center" wrapText="1"/>
    </xf>
    <xf numFmtId="0" fontId="11" fillId="0" borderId="6" xfId="0" applyFont="1" applyBorder="1"/>
    <xf numFmtId="0" fontId="0" fillId="0" borderId="7" xfId="0" applyBorder="1"/>
    <xf numFmtId="0" fontId="0" fillId="0" borderId="4" xfId="0" applyBorder="1"/>
    <xf numFmtId="49" fontId="6" fillId="0" borderId="10" xfId="11" applyFont="1" applyFill="1" applyBorder="1" applyAlignment="1" applyProtection="1">
      <alignment horizontal="center" vertical="center" wrapText="1"/>
      <protection locked="0"/>
    </xf>
    <xf numFmtId="0" fontId="3" fillId="0" borderId="10" xfId="6" applyFont="1" applyFill="1" applyBorder="1" applyAlignment="1">
      <alignment horizontal="center" vertical="center"/>
      <protection locked="0"/>
    </xf>
    <xf numFmtId="49" fontId="10" fillId="0" borderId="10" xfId="12" applyFill="1" applyBorder="1" applyAlignment="1">
      <alignment horizontal="center" vertical="center" wrapText="1"/>
      <protection locked="0"/>
    </xf>
    <xf numFmtId="0" fontId="11" fillId="0" borderId="10" xfId="0" applyFont="1" applyBorder="1"/>
    <xf numFmtId="0" fontId="0" fillId="0" borderId="11" xfId="0" applyBorder="1"/>
    <xf numFmtId="0" fontId="0" fillId="0" borderId="0" xfId="0"/>
    <xf numFmtId="0" fontId="0" fillId="0" borderId="0" xfId="0" applyBorder="1" applyAlignment="1">
      <alignment vertical="center"/>
    </xf>
    <xf numFmtId="0" fontId="11" fillId="0" borderId="0" xfId="0" applyFont="1" applyAlignment="1">
      <alignment vertical="center"/>
    </xf>
    <xf numFmtId="0" fontId="0" fillId="0" borderId="5"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10" xfId="0" applyBorder="1" applyAlignment="1">
      <alignment vertical="center"/>
    </xf>
    <xf numFmtId="0" fontId="11" fillId="0" borderId="10" xfId="0" applyFont="1" applyBorder="1" applyAlignment="1">
      <alignment vertical="center"/>
    </xf>
    <xf numFmtId="0" fontId="0" fillId="0" borderId="11" xfId="0" applyBorder="1" applyAlignment="1">
      <alignment vertical="center"/>
    </xf>
    <xf numFmtId="0" fontId="0" fillId="0" borderId="0" xfId="0" applyFill="1"/>
    <xf numFmtId="0" fontId="0" fillId="0" borderId="0" xfId="0" applyAlignment="1">
      <alignment vertical="center"/>
    </xf>
    <xf numFmtId="0" fontId="0" fillId="0" borderId="13" xfId="0" applyBorder="1"/>
    <xf numFmtId="0" fontId="0" fillId="0" borderId="0" xfId="0" applyBorder="1"/>
    <xf numFmtId="0" fontId="0" fillId="0" borderId="15" xfId="0" applyBorder="1"/>
    <xf numFmtId="0" fontId="0" fillId="0" borderId="2" xfId="0" applyBorder="1"/>
    <xf numFmtId="0" fontId="0" fillId="0" borderId="16" xfId="0" applyBorder="1"/>
    <xf numFmtId="0" fontId="21" fillId="0" borderId="0" xfId="0" applyFont="1"/>
    <xf numFmtId="0" fontId="0" fillId="0" borderId="0" xfId="0" applyProtection="1"/>
    <xf numFmtId="0" fontId="0" fillId="0" borderId="0" xfId="0" applyFill="1" applyProtection="1"/>
    <xf numFmtId="0" fontId="8" fillId="0" borderId="0" xfId="0" applyFont="1" applyFill="1" applyBorder="1" applyAlignment="1" applyProtection="1">
      <alignment horizontal="center" vertical="center" wrapText="1"/>
    </xf>
    <xf numFmtId="0" fontId="0" fillId="0" borderId="8" xfId="0" applyBorder="1" applyProtection="1"/>
    <xf numFmtId="0" fontId="10" fillId="0" borderId="4" xfId="14" applyBorder="1" applyProtection="1">
      <alignment horizontal="left" vertical="center" wrapText="1"/>
    </xf>
    <xf numFmtId="0" fontId="15" fillId="0" borderId="0" xfId="0" applyFont="1" applyFill="1" applyBorder="1" applyAlignment="1" applyProtection="1">
      <alignment horizontal="left" vertical="center" wrapText="1"/>
    </xf>
    <xf numFmtId="0" fontId="8" fillId="0" borderId="4" xfId="0" applyFont="1" applyFill="1" applyBorder="1" applyAlignment="1" applyProtection="1">
      <alignment horizontal="center" vertical="center" wrapText="1"/>
    </xf>
    <xf numFmtId="171" fontId="14" fillId="0" borderId="0" xfId="13" applyNumberFormat="1" applyFont="1" applyFill="1" applyBorder="1" applyAlignment="1" applyProtection="1">
      <alignment horizontal="left" vertical="center" wrapText="1"/>
    </xf>
    <xf numFmtId="172" fontId="14" fillId="0" borderId="0" xfId="13" applyNumberFormat="1" applyFont="1" applyFill="1" applyBorder="1" applyAlignment="1" applyProtection="1">
      <alignment horizontal="left" vertical="center" wrapText="1"/>
    </xf>
    <xf numFmtId="0" fontId="0" fillId="0" borderId="9" xfId="0" applyBorder="1" applyProtection="1"/>
    <xf numFmtId="172" fontId="7" fillId="0" borderId="10" xfId="13" applyNumberFormat="1" applyFont="1" applyFill="1" applyBorder="1" applyAlignment="1" applyProtection="1">
      <alignment horizontal="left" vertical="center" wrapText="1"/>
    </xf>
    <xf numFmtId="172" fontId="14" fillId="0" borderId="10" xfId="13" applyNumberFormat="1" applyFont="1" applyFill="1" applyBorder="1" applyAlignment="1" applyProtection="1">
      <alignment horizontal="left" vertical="center" wrapText="1"/>
    </xf>
    <xf numFmtId="0" fontId="10" fillId="0" borderId="11" xfId="14" applyBorder="1" applyProtection="1">
      <alignment horizontal="left" vertical="center" wrapText="1"/>
    </xf>
    <xf numFmtId="0" fontId="0" fillId="0" borderId="0" xfId="0" applyBorder="1" applyProtection="1"/>
    <xf numFmtId="172" fontId="7" fillId="0" borderId="0" xfId="13" applyNumberFormat="1" applyFont="1" applyFill="1" applyBorder="1" applyAlignment="1" applyProtection="1">
      <alignment horizontal="left" vertical="center" wrapText="1"/>
    </xf>
    <xf numFmtId="0" fontId="10" fillId="0" borderId="0" xfId="14" applyBorder="1" applyProtection="1">
      <alignment horizontal="left" vertical="center" wrapText="1"/>
    </xf>
    <xf numFmtId="0" fontId="0" fillId="0" borderId="13" xfId="0" applyBorder="1" applyProtection="1"/>
    <xf numFmtId="0" fontId="10" fillId="0" borderId="14" xfId="14" applyBorder="1" applyProtection="1">
      <alignment horizontal="left" vertical="center" wrapText="1"/>
    </xf>
    <xf numFmtId="0" fontId="14" fillId="0" borderId="0" xfId="13" applyFont="1" applyFill="1" applyBorder="1" applyAlignment="1" applyProtection="1">
      <alignment horizontal="left" vertical="center" wrapText="1"/>
    </xf>
    <xf numFmtId="0" fontId="0" fillId="0" borderId="15" xfId="0" applyBorder="1" applyProtection="1"/>
    <xf numFmtId="0" fontId="0" fillId="0" borderId="2" xfId="0" applyBorder="1" applyProtection="1"/>
    <xf numFmtId="0" fontId="0" fillId="0" borderId="2" xfId="0" applyFill="1" applyBorder="1" applyProtection="1"/>
    <xf numFmtId="0" fontId="0" fillId="0" borderId="16" xfId="0" applyBorder="1" applyProtection="1"/>
    <xf numFmtId="0" fontId="0" fillId="0" borderId="0" xfId="0" applyFill="1" applyBorder="1" applyProtection="1"/>
    <xf numFmtId="0" fontId="0" fillId="0" borderId="10" xfId="0" applyFill="1" applyBorder="1" applyAlignment="1">
      <alignment vertical="center"/>
    </xf>
    <xf numFmtId="49" fontId="19" fillId="0" borderId="23" xfId="11" applyFont="1" applyFill="1" applyBorder="1" applyAlignment="1" applyProtection="1">
      <alignment horizontal="center" vertical="center" wrapText="1"/>
      <protection locked="0"/>
    </xf>
    <xf numFmtId="0" fontId="0" fillId="0" borderId="0" xfId="0"/>
    <xf numFmtId="49" fontId="17" fillId="0" borderId="0" xfId="11" applyFill="1" applyBorder="1" applyAlignment="1">
      <alignment vertical="center" wrapText="1"/>
    </xf>
    <xf numFmtId="0" fontId="2" fillId="0" borderId="0" xfId="0" applyFont="1" applyBorder="1"/>
    <xf numFmtId="0" fontId="0" fillId="0" borderId="0" xfId="0" applyAlignment="1">
      <alignment vertical="center"/>
    </xf>
    <xf numFmtId="49" fontId="17" fillId="0" borderId="6" xfId="11" applyFill="1" applyBorder="1" applyAlignment="1">
      <alignment vertical="center" wrapText="1"/>
    </xf>
    <xf numFmtId="49" fontId="6" fillId="0" borderId="10" xfId="11" applyFont="1" applyFill="1" applyBorder="1" applyAlignment="1" applyProtection="1">
      <alignment horizontal="center" vertical="center" wrapText="1"/>
      <protection locked="0"/>
    </xf>
    <xf numFmtId="0" fontId="0" fillId="0" borderId="0" xfId="0" applyBorder="1" applyAlignment="1">
      <alignment vertical="center"/>
    </xf>
    <xf numFmtId="0" fontId="21" fillId="0" borderId="0" xfId="0" applyFont="1" applyProtection="1"/>
    <xf numFmtId="0" fontId="16" fillId="0" borderId="0" xfId="0" applyFont="1" applyFill="1" applyBorder="1" applyAlignment="1">
      <alignment horizontal="left" vertical="center" wrapText="1"/>
    </xf>
    <xf numFmtId="0" fontId="0" fillId="0" borderId="0" xfId="0"/>
    <xf numFmtId="0" fontId="10" fillId="0" borderId="0" xfId="0" applyFont="1"/>
    <xf numFmtId="0" fontId="0" fillId="0" borderId="0" xfId="0" applyAlignment="1">
      <alignment vertical="center"/>
    </xf>
    <xf numFmtId="0" fontId="0" fillId="0" borderId="8" xfId="0" applyBorder="1" applyAlignment="1">
      <alignment vertical="center"/>
    </xf>
    <xf numFmtId="0" fontId="2" fillId="0" borderId="27" xfId="0" applyFont="1" applyBorder="1" applyAlignment="1">
      <alignment horizontal="center"/>
    </xf>
    <xf numFmtId="0" fontId="2" fillId="0" borderId="12" xfId="42" applyBorder="1">
      <alignment horizontal="center" vertical="center" wrapText="1"/>
    </xf>
    <xf numFmtId="49" fontId="23" fillId="18" borderId="1" xfId="11" applyFont="1" applyFill="1" applyBorder="1" applyAlignment="1" applyProtection="1">
      <alignment horizontal="center" vertical="center" wrapText="1"/>
      <protection locked="0"/>
    </xf>
    <xf numFmtId="0" fontId="19" fillId="0" borderId="26" xfId="11" applyNumberFormat="1" applyFont="1" applyFill="1" applyBorder="1" applyAlignment="1" applyProtection="1">
      <alignment horizontal="center" vertical="center" wrapText="1"/>
    </xf>
    <xf numFmtId="0" fontId="22" fillId="17" borderId="29" xfId="0" applyFont="1" applyFill="1" applyBorder="1" applyAlignment="1">
      <alignment vertical="center"/>
    </xf>
    <xf numFmtId="0" fontId="22" fillId="17" borderId="29" xfId="0" applyFont="1" applyFill="1" applyBorder="1" applyAlignment="1">
      <alignment horizontal="center" vertical="center"/>
    </xf>
    <xf numFmtId="0" fontId="22" fillId="0" borderId="26" xfId="0" applyFont="1" applyBorder="1" applyAlignment="1">
      <alignment vertical="center"/>
    </xf>
    <xf numFmtId="0" fontId="0" fillId="0" borderId="21" xfId="0" applyBorder="1" applyAlignment="1">
      <alignment vertical="center"/>
    </xf>
    <xf numFmtId="0" fontId="0" fillId="16" borderId="1" xfId="0" applyFill="1" applyBorder="1" applyAlignment="1" applyProtection="1">
      <alignment vertical="center"/>
      <protection locked="0"/>
    </xf>
    <xf numFmtId="0" fontId="0" fillId="16" borderId="1" xfId="0" applyFill="1" applyBorder="1" applyAlignment="1">
      <alignment vertical="center"/>
    </xf>
    <xf numFmtId="0" fontId="0" fillId="0" borderId="22" xfId="0" applyBorder="1" applyAlignment="1">
      <alignment vertical="center"/>
    </xf>
    <xf numFmtId="49" fontId="22" fillId="0" borderId="1" xfId="0" applyNumberFormat="1" applyFont="1" applyBorder="1" applyAlignment="1">
      <alignment horizontal="left" vertical="center"/>
    </xf>
    <xf numFmtId="0" fontId="0" fillId="0" borderId="4" xfId="0" applyBorder="1" applyAlignment="1">
      <alignment vertical="center"/>
    </xf>
    <xf numFmtId="0" fontId="10" fillId="3" borderId="18" xfId="6" applyFill="1" applyBorder="1" applyAlignment="1">
      <alignment horizontal="center" vertical="center" wrapText="1"/>
      <protection locked="0"/>
    </xf>
    <xf numFmtId="0" fontId="10" fillId="3" borderId="17" xfId="6" applyFill="1" applyBorder="1" applyAlignment="1">
      <alignment horizontal="center" vertical="center" wrapText="1"/>
      <protection locked="0"/>
    </xf>
    <xf numFmtId="0" fontId="22" fillId="17" borderId="30" xfId="0" applyFont="1" applyFill="1" applyBorder="1" applyAlignment="1">
      <alignment vertical="center"/>
    </xf>
    <xf numFmtId="0" fontId="22" fillId="17" borderId="20" xfId="0" applyFont="1" applyFill="1" applyBorder="1" applyAlignment="1">
      <alignment vertical="center"/>
    </xf>
    <xf numFmtId="0" fontId="4" fillId="0" borderId="24" xfId="12" applyNumberFormat="1" applyFont="1" applyFill="1" applyBorder="1" applyAlignment="1" applyProtection="1">
      <alignment horizontal="center" vertical="center" wrapText="1"/>
    </xf>
    <xf numFmtId="177" fontId="22" fillId="0" borderId="1" xfId="0" applyNumberFormat="1" applyFont="1" applyBorder="1" applyAlignment="1">
      <alignment horizontal="left" vertical="center"/>
    </xf>
    <xf numFmtId="177" fontId="22" fillId="0" borderId="26" xfId="100" applyNumberFormat="1" applyFont="1" applyBorder="1" applyAlignment="1">
      <alignment vertical="center"/>
    </xf>
    <xf numFmtId="177" fontId="27" fillId="0" borderId="1" xfId="0" applyNumberFormat="1" applyFont="1" applyBorder="1" applyAlignment="1">
      <alignment horizontal="left" vertical="center"/>
    </xf>
    <xf numFmtId="177" fontId="27" fillId="0" borderId="26" xfId="100" applyNumberFormat="1" applyFont="1" applyBorder="1" applyAlignment="1">
      <alignment horizontal="right" vertical="center" indent="1"/>
    </xf>
    <xf numFmtId="49" fontId="6" fillId="16" borderId="19" xfId="11" applyFont="1" applyFill="1" applyBorder="1" applyAlignment="1" applyProtection="1">
      <alignment horizontal="center" vertical="center"/>
      <protection locked="0"/>
    </xf>
    <xf numFmtId="49" fontId="6" fillId="16" borderId="1" xfId="11" applyFont="1" applyFill="1" applyBorder="1" applyAlignment="1" applyProtection="1">
      <alignment horizontal="center" vertical="center"/>
      <protection locked="0"/>
    </xf>
    <xf numFmtId="2" fontId="6" fillId="16" borderId="1" xfId="11" applyNumberFormat="1" applyFont="1" applyFill="1" applyBorder="1" applyAlignment="1" applyProtection="1">
      <alignment horizontal="center" vertical="center"/>
      <protection locked="0"/>
    </xf>
    <xf numFmtId="1" fontId="6" fillId="16" borderId="1" xfId="11" applyNumberFormat="1" applyFont="1" applyFill="1" applyBorder="1" applyAlignment="1" applyProtection="1">
      <alignment horizontal="center" vertical="center"/>
      <protection locked="0"/>
    </xf>
    <xf numFmtId="2" fontId="6" fillId="16" borderId="18" xfId="11" applyNumberFormat="1" applyFont="1" applyFill="1" applyBorder="1" applyAlignment="1" applyProtection="1">
      <alignment horizontal="center" vertical="center"/>
      <protection locked="0"/>
    </xf>
    <xf numFmtId="0" fontId="28" fillId="19" borderId="0" xfId="0" applyFont="1" applyFill="1" applyBorder="1"/>
    <xf numFmtId="0" fontId="28" fillId="19" borderId="0" xfId="0" applyFont="1" applyFill="1"/>
    <xf numFmtId="0" fontId="29" fillId="19" borderId="0" xfId="0" applyFont="1" applyFill="1" applyBorder="1" applyAlignment="1">
      <alignment horizontal="right" vertical="center" indent="1"/>
    </xf>
    <xf numFmtId="0" fontId="30" fillId="19" borderId="0" xfId="0" applyFont="1" applyFill="1" applyBorder="1" applyAlignment="1">
      <alignment horizontal="right" vertical="center" indent="1"/>
    </xf>
    <xf numFmtId="0" fontId="12" fillId="19" borderId="25" xfId="0" applyFont="1" applyFill="1" applyBorder="1"/>
    <xf numFmtId="0" fontId="0" fillId="0" borderId="24" xfId="0" applyBorder="1" applyAlignment="1">
      <alignment vertical="center"/>
    </xf>
    <xf numFmtId="0" fontId="24" fillId="0" borderId="24" xfId="11" applyNumberFormat="1" applyFont="1" applyFill="1" applyBorder="1" applyAlignment="1" applyProtection="1">
      <alignment horizontal="center" vertical="center" wrapText="1"/>
      <protection locked="0"/>
    </xf>
    <xf numFmtId="0" fontId="28" fillId="0" borderId="0" xfId="0" applyFont="1" applyFill="1" applyBorder="1"/>
    <xf numFmtId="0" fontId="12" fillId="0" borderId="25" xfId="0" applyFont="1" applyFill="1" applyBorder="1"/>
    <xf numFmtId="0" fontId="34" fillId="3" borderId="33" xfId="0" applyFont="1" applyFill="1" applyBorder="1" applyAlignment="1"/>
    <xf numFmtId="0" fontId="34" fillId="3" borderId="34" xfId="0" applyFont="1" applyFill="1" applyBorder="1" applyAlignment="1"/>
    <xf numFmtId="0" fontId="34" fillId="3" borderId="34" xfId="0" applyFont="1" applyFill="1" applyBorder="1" applyAlignment="1">
      <alignment horizontal="center" vertical="center"/>
    </xf>
    <xf numFmtId="0" fontId="34" fillId="3" borderId="35" xfId="0" applyFont="1" applyFill="1" applyBorder="1" applyAlignment="1"/>
    <xf numFmtId="0" fontId="36" fillId="3" borderId="34" xfId="0" applyFont="1" applyFill="1" applyBorder="1" applyAlignment="1">
      <alignment vertical="center"/>
    </xf>
    <xf numFmtId="0" fontId="3" fillId="3" borderId="19" xfId="6" applyFont="1" applyFill="1" applyBorder="1" applyAlignment="1" applyProtection="1">
      <alignment horizontal="left" vertical="center" wrapText="1"/>
      <protection locked="0"/>
    </xf>
    <xf numFmtId="169" fontId="3" fillId="3" borderId="1" xfId="100" applyFont="1" applyFill="1" applyBorder="1" applyAlignment="1" applyProtection="1">
      <alignment horizontal="center" vertical="center" wrapText="1"/>
      <protection locked="0"/>
    </xf>
    <xf numFmtId="49" fontId="4" fillId="3" borderId="1" xfId="12" applyFont="1" applyFill="1" applyBorder="1" applyAlignment="1" applyProtection="1">
      <alignment horizontal="center" vertical="center" wrapText="1"/>
      <protection locked="0"/>
    </xf>
    <xf numFmtId="49" fontId="3" fillId="3" borderId="1" xfId="12" applyFont="1" applyFill="1" applyBorder="1" applyAlignment="1" applyProtection="1">
      <alignment horizontal="center" vertical="center" wrapText="1"/>
      <protection locked="0"/>
    </xf>
    <xf numFmtId="14" fontId="3" fillId="3" borderId="1" xfId="12" applyNumberFormat="1" applyFont="1" applyFill="1" applyBorder="1" applyAlignment="1" applyProtection="1">
      <alignment horizontal="center" vertical="center" wrapText="1"/>
      <protection locked="0"/>
    </xf>
    <xf numFmtId="169" fontId="4" fillId="3" borderId="31" xfId="100" applyFont="1" applyFill="1" applyBorder="1" applyAlignment="1" applyProtection="1">
      <alignment horizontal="center" vertical="center" wrapText="1"/>
      <protection locked="0"/>
    </xf>
    <xf numFmtId="49" fontId="4" fillId="3" borderId="31" xfId="12" applyFont="1" applyFill="1" applyBorder="1" applyAlignment="1" applyProtection="1">
      <alignment horizontal="center" vertical="center" wrapText="1"/>
      <protection locked="0"/>
    </xf>
    <xf numFmtId="14" fontId="3" fillId="3" borderId="28" xfId="12" applyNumberFormat="1" applyFont="1" applyFill="1" applyBorder="1" applyAlignment="1" applyProtection="1">
      <alignment horizontal="center" vertical="center" wrapText="1"/>
      <protection locked="0"/>
    </xf>
    <xf numFmtId="0" fontId="3" fillId="3" borderId="20" xfId="6" applyFont="1" applyFill="1" applyBorder="1" applyAlignment="1" applyProtection="1">
      <alignment horizontal="left" vertical="center" wrapText="1"/>
      <protection locked="0"/>
    </xf>
    <xf numFmtId="0" fontId="28" fillId="0" borderId="0" xfId="0" applyFont="1" applyFill="1" applyProtection="1"/>
    <xf numFmtId="0" fontId="26" fillId="0" borderId="0" xfId="0" applyFont="1" applyFill="1" applyAlignment="1">
      <alignment vertical="center" wrapText="1"/>
    </xf>
    <xf numFmtId="0" fontId="25" fillId="0" borderId="0" xfId="0" applyFont="1" applyFill="1" applyAlignment="1">
      <alignment vertical="center" wrapText="1"/>
    </xf>
    <xf numFmtId="0" fontId="38" fillId="0" borderId="0" xfId="0" applyFont="1" applyFill="1" applyAlignment="1" applyProtection="1">
      <alignment horizontal="left"/>
    </xf>
    <xf numFmtId="0" fontId="35" fillId="19" borderId="25" xfId="42" applyFont="1" applyFill="1" applyBorder="1" applyAlignment="1">
      <alignment horizontal="center" vertical="center" wrapText="1"/>
    </xf>
    <xf numFmtId="0" fontId="2" fillId="0" borderId="12" xfId="0" applyFont="1" applyBorder="1" applyAlignment="1">
      <alignment horizontal="center"/>
    </xf>
    <xf numFmtId="0" fontId="0" fillId="0" borderId="0" xfId="0" applyFill="1" applyBorder="1"/>
    <xf numFmtId="0" fontId="13" fillId="0" borderId="0" xfId="43">
      <alignment horizontal="left" vertical="center" wrapText="1"/>
    </xf>
    <xf numFmtId="0" fontId="10" fillId="0" borderId="14" xfId="14" applyBorder="1">
      <alignment horizontal="left" vertical="center" wrapText="1"/>
    </xf>
    <xf numFmtId="0" fontId="8" fillId="0" borderId="14" xfId="0" applyFont="1" applyFill="1" applyBorder="1" applyAlignment="1">
      <alignment horizontal="center" vertical="center" wrapText="1"/>
    </xf>
    <xf numFmtId="0" fontId="0" fillId="0" borderId="2" xfId="0" applyFill="1" applyBorder="1"/>
    <xf numFmtId="0" fontId="13" fillId="0" borderId="0" xfId="19" applyFont="1" applyFill="1" applyBorder="1" applyAlignment="1">
      <alignment vertical="center" wrapText="1"/>
      <protection locked="0"/>
    </xf>
    <xf numFmtId="178" fontId="41" fillId="0" borderId="6" xfId="0" applyNumberFormat="1" applyFont="1" applyBorder="1" applyAlignment="1">
      <alignment horizontal="right" vertical="center" indent="1"/>
    </xf>
    <xf numFmtId="178" fontId="41" fillId="0" borderId="6" xfId="0" applyNumberFormat="1" applyFont="1" applyFill="1" applyBorder="1" applyAlignment="1">
      <alignment horizontal="right" vertical="center" indent="1"/>
    </xf>
    <xf numFmtId="49" fontId="42" fillId="21" borderId="37" xfId="11" applyFont="1" applyFill="1" applyBorder="1" applyAlignment="1" applyProtection="1">
      <alignment horizontal="center" vertical="center" wrapText="1"/>
      <protection locked="0"/>
    </xf>
    <xf numFmtId="0" fontId="11" fillId="0" borderId="6" xfId="0" applyFont="1" applyBorder="1" applyAlignment="1">
      <alignment vertical="center"/>
    </xf>
    <xf numFmtId="0" fontId="0" fillId="0" borderId="7" xfId="0" applyBorder="1" applyAlignment="1">
      <alignment vertical="center"/>
    </xf>
    <xf numFmtId="0" fontId="0" fillId="0" borderId="8" xfId="0" applyBorder="1"/>
    <xf numFmtId="169" fontId="0" fillId="0" borderId="1" xfId="22" applyFont="1" applyBorder="1"/>
    <xf numFmtId="0" fontId="0" fillId="0" borderId="1" xfId="0" applyBorder="1"/>
    <xf numFmtId="169" fontId="0" fillId="0" borderId="20" xfId="22" applyFont="1" applyBorder="1"/>
    <xf numFmtId="169" fontId="0" fillId="0" borderId="20" xfId="22" applyFont="1" applyFill="1" applyBorder="1"/>
    <xf numFmtId="0" fontId="0" fillId="0" borderId="18" xfId="0" applyBorder="1"/>
    <xf numFmtId="49" fontId="4" fillId="0" borderId="0" xfId="12" applyFont="1" applyFill="1" applyBorder="1" applyAlignment="1" applyProtection="1">
      <alignment horizontal="center" vertical="center" wrapText="1"/>
      <protection locked="0"/>
    </xf>
    <xf numFmtId="0" fontId="0" fillId="0" borderId="19" xfId="0" applyBorder="1"/>
    <xf numFmtId="49" fontId="17" fillId="0" borderId="10" xfId="11" applyFill="1" applyBorder="1" applyAlignment="1">
      <alignment vertical="center" wrapText="1"/>
    </xf>
    <xf numFmtId="0" fontId="0" fillId="19" borderId="0" xfId="0" applyFill="1" applyProtection="1"/>
    <xf numFmtId="0" fontId="8" fillId="19" borderId="0" xfId="0" applyFont="1" applyFill="1" applyBorder="1" applyAlignment="1" applyProtection="1">
      <alignment horizontal="center" vertical="center" wrapText="1"/>
    </xf>
    <xf numFmtId="0" fontId="43" fillId="0" borderId="0" xfId="0" applyFont="1" applyFill="1" applyAlignment="1" applyProtection="1">
      <alignment horizontal="left"/>
    </xf>
    <xf numFmtId="0" fontId="8" fillId="0" borderId="10" xfId="0" applyFont="1" applyFill="1" applyBorder="1" applyAlignment="1" applyProtection="1">
      <alignment horizontal="center" vertical="center" wrapText="1"/>
    </xf>
    <xf numFmtId="0" fontId="10" fillId="0" borderId="10" xfId="14" applyBorder="1" applyProtection="1">
      <alignment horizontal="left" vertical="center" wrapText="1"/>
    </xf>
    <xf numFmtId="0" fontId="10" fillId="0" borderId="10" xfId="14" applyFill="1" applyBorder="1" applyProtection="1">
      <alignment horizontal="left" vertical="center" wrapText="1"/>
    </xf>
    <xf numFmtId="0" fontId="10" fillId="0" borderId="10" xfId="14" applyBorder="1">
      <alignment horizontal="left" vertical="center" wrapText="1"/>
    </xf>
    <xf numFmtId="0" fontId="0" fillId="0" borderId="10" xfId="0" applyFill="1" applyBorder="1"/>
    <xf numFmtId="0" fontId="0" fillId="0" borderId="10" xfId="0" applyFill="1" applyBorder="1" applyProtection="1"/>
    <xf numFmtId="0" fontId="44" fillId="0" borderId="0" xfId="0" applyFont="1" applyFill="1" applyBorder="1" applyAlignment="1" applyProtection="1">
      <alignment horizontal="left" vertical="top" wrapText="1"/>
      <protection locked="0"/>
    </xf>
    <xf numFmtId="0" fontId="0" fillId="0" borderId="0" xfId="0" applyFill="1" applyAlignment="1" applyProtection="1">
      <alignment vertical="top"/>
    </xf>
    <xf numFmtId="0" fontId="0" fillId="0" borderId="0" xfId="0" applyFill="1" applyAlignment="1" applyProtection="1">
      <alignment vertical="top" wrapText="1"/>
    </xf>
    <xf numFmtId="0" fontId="8" fillId="0" borderId="0" xfId="0" applyFont="1" applyFill="1" applyBorder="1" applyAlignment="1" applyProtection="1">
      <alignment horizontal="center" vertical="top" wrapText="1"/>
    </xf>
    <xf numFmtId="0" fontId="47" fillId="0" borderId="0" xfId="0" applyFont="1" applyFill="1" applyBorder="1" applyAlignment="1" applyProtection="1">
      <alignment horizontal="center" vertical="center" wrapText="1"/>
    </xf>
    <xf numFmtId="0" fontId="40" fillId="19" borderId="44" xfId="23" applyFont="1" applyFill="1" applyBorder="1" applyAlignment="1" applyProtection="1">
      <alignment horizontal="center" vertical="center" wrapText="1"/>
      <protection locked="0"/>
    </xf>
    <xf numFmtId="0" fontId="35" fillId="19" borderId="25" xfId="42" applyFont="1" applyFill="1" applyBorder="1" applyAlignment="1">
      <alignment horizontal="center" vertical="center" wrapText="1"/>
    </xf>
    <xf numFmtId="49" fontId="6" fillId="16" borderId="0" xfId="11" applyFont="1" applyFill="1" applyBorder="1" applyAlignment="1" applyProtection="1">
      <alignment horizontal="center" vertical="center"/>
      <protection locked="0"/>
    </xf>
    <xf numFmtId="49" fontId="6" fillId="16" borderId="18" xfId="11" applyFont="1" applyFill="1" applyBorder="1" applyAlignment="1" applyProtection="1">
      <alignment horizontal="center" vertical="center"/>
      <protection locked="0"/>
    </xf>
    <xf numFmtId="49" fontId="6" fillId="16" borderId="20" xfId="11" applyFont="1" applyFill="1" applyBorder="1" applyAlignment="1" applyProtection="1">
      <alignment horizontal="center" vertical="center"/>
      <protection locked="0"/>
    </xf>
    <xf numFmtId="49" fontId="6" fillId="16" borderId="3" xfId="11" applyFont="1" applyFill="1" applyBorder="1" applyAlignment="1" applyProtection="1">
      <alignment horizontal="center" vertical="center"/>
      <protection locked="0"/>
    </xf>
    <xf numFmtId="0" fontId="49" fillId="0" borderId="26" xfId="11" applyNumberFormat="1" applyFont="1" applyFill="1" applyBorder="1" applyAlignment="1" applyProtection="1">
      <alignment horizontal="center" vertical="center" wrapText="1"/>
      <protection locked="0"/>
    </xf>
    <xf numFmtId="0" fontId="50" fillId="0" borderId="26" xfId="11" applyNumberFormat="1" applyFont="1" applyFill="1" applyBorder="1" applyAlignment="1" applyProtection="1">
      <alignment horizontal="center" vertical="center" wrapText="1"/>
    </xf>
    <xf numFmtId="0" fontId="35" fillId="19" borderId="25" xfId="42" applyFont="1" applyFill="1" applyBorder="1" applyAlignment="1">
      <alignment horizontal="center" vertical="center" wrapText="1"/>
    </xf>
    <xf numFmtId="0" fontId="6" fillId="16" borderId="18" xfId="11" applyNumberFormat="1" applyFont="1" applyFill="1" applyBorder="1" applyAlignment="1" applyProtection="1">
      <alignment horizontal="center" vertical="center"/>
    </xf>
    <xf numFmtId="0" fontId="22" fillId="17" borderId="20" xfId="0" applyFont="1" applyFill="1" applyBorder="1" applyAlignment="1">
      <alignment horizontal="center" vertical="center"/>
    </xf>
    <xf numFmtId="0" fontId="51" fillId="23" borderId="1" xfId="11" applyNumberFormat="1" applyFont="1" applyFill="1" applyBorder="1" applyAlignment="1" applyProtection="1">
      <alignment horizontal="center" vertical="center" wrapText="1"/>
      <protection locked="0"/>
    </xf>
    <xf numFmtId="49" fontId="52" fillId="3" borderId="1" xfId="11" applyFont="1" applyFill="1" applyBorder="1" applyAlignment="1" applyProtection="1">
      <alignment horizontal="center" vertical="center" wrapText="1"/>
      <protection locked="0"/>
    </xf>
    <xf numFmtId="49" fontId="53" fillId="3" borderId="1" xfId="11" applyFont="1" applyFill="1" applyBorder="1" applyAlignment="1" applyProtection="1">
      <alignment horizontal="center" vertical="center" wrapText="1"/>
      <protection locked="0"/>
    </xf>
    <xf numFmtId="0" fontId="37" fillId="23" borderId="1" xfId="11" applyNumberFormat="1" applyFont="1" applyFill="1" applyBorder="1" applyAlignment="1" applyProtection="1">
      <alignment horizontal="center" vertical="center" wrapText="1"/>
    </xf>
    <xf numFmtId="0" fontId="37" fillId="0" borderId="26" xfId="11" applyNumberFormat="1" applyFont="1" applyFill="1" applyBorder="1" applyAlignment="1" applyProtection="1">
      <alignment horizontal="center" vertical="center" wrapText="1"/>
    </xf>
    <xf numFmtId="171" fontId="54" fillId="23" borderId="1" xfId="12" applyNumberFormat="1" applyFont="1" applyFill="1" applyBorder="1" applyAlignment="1" applyProtection="1">
      <alignment horizontal="center" vertical="center" wrapText="1"/>
      <protection locked="0"/>
    </xf>
    <xf numFmtId="0" fontId="54" fillId="23" borderId="20" xfId="6" applyFont="1" applyFill="1" applyBorder="1" applyAlignment="1" applyProtection="1">
      <alignment horizontal="center" vertical="center" wrapText="1"/>
      <protection locked="0"/>
    </xf>
    <xf numFmtId="172" fontId="7" fillId="0" borderId="0" xfId="13" applyNumberFormat="1" applyFont="1" applyFill="1" applyBorder="1" applyAlignment="1">
      <alignment horizontal="left" vertical="center" wrapText="1"/>
      <protection locked="0"/>
    </xf>
    <xf numFmtId="0" fontId="10" fillId="0" borderId="0" xfId="14" applyBorder="1">
      <alignment horizontal="left" vertical="center" wrapText="1"/>
    </xf>
    <xf numFmtId="0" fontId="0" fillId="0" borderId="45" xfId="0" applyBorder="1"/>
    <xf numFmtId="0" fontId="0" fillId="0" borderId="47" xfId="0" applyBorder="1"/>
    <xf numFmtId="0" fontId="10" fillId="0" borderId="47" xfId="14" applyBorder="1">
      <alignment horizontal="left" vertical="center" wrapText="1"/>
    </xf>
    <xf numFmtId="0" fontId="9" fillId="0" borderId="47" xfId="43" applyFont="1" applyBorder="1">
      <alignment horizontal="left" vertical="center" wrapText="1"/>
    </xf>
    <xf numFmtId="0" fontId="0" fillId="0" borderId="47" xfId="0" applyFill="1" applyBorder="1"/>
    <xf numFmtId="0" fontId="0" fillId="0" borderId="48" xfId="0" applyFill="1" applyBorder="1"/>
    <xf numFmtId="0" fontId="0" fillId="0" borderId="49" xfId="0" applyBorder="1"/>
    <xf numFmtId="0" fontId="0" fillId="0" borderId="50" xfId="0" applyFill="1" applyBorder="1"/>
    <xf numFmtId="0" fontId="9" fillId="0" borderId="0" xfId="43" applyFont="1" applyBorder="1">
      <alignment horizontal="left" vertical="center" wrapText="1"/>
    </xf>
    <xf numFmtId="0" fontId="0" fillId="0" borderId="51" xfId="0" applyBorder="1"/>
    <xf numFmtId="172" fontId="7" fillId="0" borderId="52" xfId="13" applyNumberFormat="1" applyFont="1" applyFill="1" applyBorder="1" applyAlignment="1">
      <alignment horizontal="left" vertical="center" wrapText="1"/>
      <protection locked="0"/>
    </xf>
    <xf numFmtId="172" fontId="14" fillId="0" borderId="52" xfId="13" applyNumberFormat="1" applyFont="1" applyFill="1" applyBorder="1" applyAlignment="1">
      <alignment horizontal="left" vertical="center" wrapText="1"/>
      <protection locked="0"/>
    </xf>
    <xf numFmtId="0" fontId="10" fillId="0" borderId="52" xfId="14" applyBorder="1">
      <alignment horizontal="left" vertical="center" wrapText="1"/>
    </xf>
    <xf numFmtId="0" fontId="0" fillId="0" borderId="52" xfId="0" applyBorder="1"/>
    <xf numFmtId="0" fontId="0" fillId="0" borderId="52" xfId="0" applyFill="1" applyBorder="1"/>
    <xf numFmtId="0" fontId="0" fillId="0" borderId="53" xfId="0" applyFill="1" applyBorder="1"/>
    <xf numFmtId="0" fontId="9" fillId="0" borderId="39" xfId="43" applyFont="1" applyBorder="1" applyAlignment="1" applyProtection="1">
      <alignment wrapText="1"/>
    </xf>
    <xf numFmtId="0" fontId="9" fillId="0" borderId="54" xfId="43" applyFont="1" applyBorder="1" applyAlignment="1" applyProtection="1">
      <alignment wrapText="1"/>
    </xf>
    <xf numFmtId="0" fontId="9" fillId="0" borderId="54" xfId="43" applyFont="1" applyBorder="1" applyAlignment="1" applyProtection="1">
      <alignment horizontal="left"/>
    </xf>
    <xf numFmtId="49" fontId="6" fillId="16" borderId="19" xfId="11" applyFont="1" applyFill="1" applyBorder="1" applyAlignment="1" applyProtection="1">
      <alignment horizontal="center" vertical="center"/>
    </xf>
    <xf numFmtId="49" fontId="6" fillId="16" borderId="1" xfId="11" applyFont="1" applyFill="1" applyBorder="1" applyAlignment="1" applyProtection="1">
      <alignment horizontal="center" vertical="center"/>
    </xf>
    <xf numFmtId="2" fontId="6" fillId="16" borderId="1" xfId="11" applyNumberFormat="1" applyFont="1" applyFill="1" applyBorder="1" applyAlignment="1" applyProtection="1">
      <alignment horizontal="center" vertical="center"/>
    </xf>
    <xf numFmtId="1" fontId="6" fillId="16" borderId="1" xfId="11" applyNumberFormat="1" applyFont="1" applyFill="1" applyBorder="1" applyAlignment="1" applyProtection="1">
      <alignment horizontal="center" vertical="center"/>
    </xf>
    <xf numFmtId="49" fontId="6" fillId="16" borderId="31" xfId="11" applyFont="1" applyFill="1" applyBorder="1" applyAlignment="1" applyProtection="1">
      <alignment horizontal="center" vertical="center"/>
    </xf>
    <xf numFmtId="2" fontId="6" fillId="16" borderId="32" xfId="11" applyNumberFormat="1" applyFont="1" applyFill="1" applyBorder="1" applyAlignment="1" applyProtection="1">
      <alignment horizontal="center" vertical="center"/>
    </xf>
    <xf numFmtId="49" fontId="55" fillId="20" borderId="1" xfId="11" applyFont="1" applyFill="1" applyBorder="1" applyAlignment="1" applyProtection="1">
      <alignment horizontal="center" vertical="center" wrapText="1"/>
      <protection locked="0"/>
    </xf>
    <xf numFmtId="0" fontId="59" fillId="0" borderId="0" xfId="0" applyFont="1"/>
    <xf numFmtId="0" fontId="61" fillId="0" borderId="0" xfId="0" applyFont="1"/>
    <xf numFmtId="0" fontId="62" fillId="0" borderId="0" xfId="0" applyFont="1"/>
    <xf numFmtId="0" fontId="59" fillId="0" borderId="0" xfId="0" applyFont="1" applyAlignment="1">
      <alignment horizontal="center"/>
    </xf>
    <xf numFmtId="0" fontId="59" fillId="0" borderId="0" xfId="0" applyFont="1" applyFill="1"/>
    <xf numFmtId="0" fontId="59" fillId="0" borderId="0" xfId="0" applyFont="1" applyFill="1" applyAlignment="1">
      <alignment horizontal="center"/>
    </xf>
    <xf numFmtId="0" fontId="59" fillId="0" borderId="0" xfId="0" applyFont="1" applyBorder="1"/>
    <xf numFmtId="0" fontId="59" fillId="0" borderId="0" xfId="0" applyFont="1" applyFill="1" applyAlignment="1">
      <alignment vertical="center" wrapText="1"/>
    </xf>
    <xf numFmtId="0" fontId="59" fillId="0" borderId="0" xfId="0" applyFont="1" applyFill="1" applyBorder="1"/>
    <xf numFmtId="0" fontId="59" fillId="0" borderId="66" xfId="0" applyFont="1" applyBorder="1"/>
    <xf numFmtId="0" fontId="59" fillId="0" borderId="71" xfId="0" applyFont="1" applyBorder="1"/>
    <xf numFmtId="0" fontId="59" fillId="0" borderId="0" xfId="0" applyFont="1" applyAlignment="1"/>
    <xf numFmtId="184" fontId="59" fillId="0" borderId="0" xfId="22" applyNumberFormat="1" applyFont="1" applyBorder="1" applyAlignment="1">
      <alignment horizontal="center" vertical="center"/>
    </xf>
    <xf numFmtId="184" fontId="59" fillId="0" borderId="63" xfId="22" applyNumberFormat="1" applyFont="1" applyBorder="1" applyAlignment="1">
      <alignment horizontal="center" vertical="center"/>
    </xf>
    <xf numFmtId="0" fontId="64" fillId="0" borderId="0" xfId="0" applyFont="1"/>
    <xf numFmtId="22" fontId="0" fillId="0" borderId="0" xfId="0" applyNumberFormat="1"/>
    <xf numFmtId="0" fontId="69" fillId="0" borderId="0" xfId="145" applyFont="1" applyAlignment="1" applyProtection="1">
      <alignment horizontal="left" wrapText="1"/>
    </xf>
    <xf numFmtId="0" fontId="64" fillId="0" borderId="0" xfId="143" applyFont="1" applyFill="1"/>
    <xf numFmtId="0" fontId="64" fillId="0" borderId="0" xfId="143" applyFont="1"/>
    <xf numFmtId="0" fontId="71" fillId="0" borderId="0" xfId="0" applyFont="1" applyAlignment="1"/>
    <xf numFmtId="0" fontId="64" fillId="0" borderId="0" xfId="143" applyFont="1" applyAlignment="1">
      <alignment horizontal="left"/>
    </xf>
    <xf numFmtId="14" fontId="63" fillId="0" borderId="0" xfId="146" applyNumberFormat="1" applyFont="1" applyFill="1" applyAlignment="1">
      <alignment horizontal="right"/>
    </xf>
    <xf numFmtId="169" fontId="63" fillId="0" borderId="0" xfId="146" applyFont="1" applyFill="1" applyAlignment="1">
      <alignment horizontal="right"/>
    </xf>
    <xf numFmtId="0" fontId="69" fillId="0" borderId="0" xfId="145" applyAlignment="1" applyProtection="1">
      <alignment horizontal="left" vertical="center"/>
    </xf>
    <xf numFmtId="169" fontId="63" fillId="0" borderId="0" xfId="146" applyFont="1" applyAlignment="1">
      <alignment horizontal="left"/>
    </xf>
    <xf numFmtId="0" fontId="63" fillId="0" borderId="0" xfId="143" applyFont="1"/>
    <xf numFmtId="169" fontId="63" fillId="0" borderId="0" xfId="146" applyFont="1" applyFill="1" applyAlignment="1"/>
    <xf numFmtId="169" fontId="63" fillId="0" borderId="0" xfId="22" applyFont="1" applyFill="1" applyBorder="1" applyAlignment="1">
      <alignment horizontal="center"/>
    </xf>
    <xf numFmtId="0" fontId="72" fillId="0" borderId="0" xfId="0" applyFont="1" applyAlignment="1">
      <alignment horizontal="left" vertical="center"/>
    </xf>
    <xf numFmtId="0" fontId="63" fillId="0" borderId="0" xfId="143" applyFont="1" applyAlignment="1">
      <alignment horizontal="left"/>
    </xf>
    <xf numFmtId="169" fontId="63" fillId="0" borderId="0" xfId="22" applyFont="1" applyFill="1" applyAlignment="1">
      <alignment horizontal="center"/>
    </xf>
    <xf numFmtId="169" fontId="63" fillId="0" borderId="69" xfId="146" applyFont="1" applyBorder="1" applyAlignment="1">
      <alignment horizontal="left"/>
    </xf>
    <xf numFmtId="0" fontId="64" fillId="0" borderId="69" xfId="143" applyFont="1" applyBorder="1" applyAlignment="1">
      <alignment horizontal="left"/>
    </xf>
    <xf numFmtId="169" fontId="63" fillId="0" borderId="69" xfId="146" applyFont="1" applyFill="1" applyBorder="1" applyAlignment="1"/>
    <xf numFmtId="169" fontId="63" fillId="0" borderId="69" xfId="22" applyFont="1" applyFill="1" applyBorder="1" applyAlignment="1">
      <alignment horizontal="right"/>
    </xf>
    <xf numFmtId="0" fontId="69" fillId="0" borderId="0" xfId="145" applyAlignment="1" applyProtection="1"/>
    <xf numFmtId="169" fontId="63" fillId="0" borderId="0" xfId="146" applyFont="1" applyBorder="1" applyAlignment="1">
      <alignment horizontal="left"/>
    </xf>
    <xf numFmtId="0" fontId="64" fillId="0" borderId="0" xfId="143" applyFont="1" applyBorder="1" applyAlignment="1">
      <alignment horizontal="left"/>
    </xf>
    <xf numFmtId="169" fontId="63" fillId="0" borderId="0" xfId="146" applyFont="1" applyFill="1" applyBorder="1" applyAlignment="1"/>
    <xf numFmtId="169" fontId="63" fillId="0" borderId="0" xfId="22" applyFont="1" applyFill="1" applyBorder="1" applyAlignment="1">
      <alignment horizontal="right"/>
    </xf>
    <xf numFmtId="0" fontId="73" fillId="0" borderId="0" xfId="0" applyFont="1" applyAlignment="1"/>
    <xf numFmtId="0" fontId="0" fillId="0" borderId="0" xfId="0" applyAlignment="1">
      <alignment horizontal="left" vertical="center"/>
    </xf>
    <xf numFmtId="0" fontId="74" fillId="0" borderId="0" xfId="147" applyNumberFormat="1" applyFont="1" applyFill="1" applyBorder="1" applyAlignment="1">
      <alignment horizontal="center"/>
    </xf>
    <xf numFmtId="0" fontId="73" fillId="0" borderId="0" xfId="0" applyFont="1" applyFill="1" applyAlignment="1"/>
    <xf numFmtId="169" fontId="76" fillId="0" borderId="0" xfId="147" applyFont="1" applyFill="1" applyBorder="1" applyAlignment="1"/>
    <xf numFmtId="169" fontId="64" fillId="0" borderId="0" xfId="146" applyFont="1"/>
    <xf numFmtId="0" fontId="78" fillId="0" borderId="0" xfId="148" applyFont="1" applyFill="1" applyAlignment="1">
      <alignment horizontal="center"/>
    </xf>
    <xf numFmtId="0" fontId="79" fillId="0" borderId="0" xfId="148" applyFont="1" applyFill="1" applyAlignment="1">
      <alignment horizontal="center"/>
    </xf>
    <xf numFmtId="169" fontId="80" fillId="0" borderId="0" xfId="146" applyFont="1" applyAlignment="1">
      <alignment horizontal="left"/>
    </xf>
    <xf numFmtId="0" fontId="62" fillId="0" borderId="82" xfId="0" applyFont="1" applyBorder="1" applyAlignment="1">
      <alignment horizontal="center" vertical="center" wrapText="1"/>
    </xf>
    <xf numFmtId="9" fontId="59" fillId="0" borderId="82" xfId="0" applyNumberFormat="1" applyFont="1" applyBorder="1" applyAlignment="1">
      <alignment horizontal="center" vertical="center" wrapText="1"/>
    </xf>
    <xf numFmtId="169" fontId="63" fillId="0" borderId="0" xfId="146" applyFont="1"/>
    <xf numFmtId="14" fontId="63" fillId="0" borderId="0" xfId="146" applyNumberFormat="1" applyFont="1"/>
    <xf numFmtId="169" fontId="63" fillId="0" borderId="0" xfId="22" applyFont="1" applyFill="1" applyAlignment="1">
      <alignment horizontal="right"/>
    </xf>
    <xf numFmtId="0" fontId="64" fillId="0" borderId="66" xfId="143" applyFont="1" applyBorder="1"/>
    <xf numFmtId="0" fontId="76" fillId="0" borderId="0" xfId="143" applyFont="1" applyAlignment="1">
      <alignment horizontal="justify" vertical="top" wrapText="1"/>
    </xf>
    <xf numFmtId="0" fontId="76" fillId="0" borderId="0" xfId="143" applyFont="1" applyFill="1"/>
    <xf numFmtId="0" fontId="63" fillId="0" borderId="0" xfId="143" applyFont="1" applyFill="1" applyAlignment="1">
      <alignment horizontal="center"/>
    </xf>
    <xf numFmtId="0" fontId="81" fillId="0" borderId="0" xfId="143" applyFont="1" applyFill="1"/>
    <xf numFmtId="0" fontId="82" fillId="0" borderId="0" xfId="143" applyFont="1" applyFill="1"/>
    <xf numFmtId="185" fontId="76" fillId="0" borderId="0" xfId="22" applyNumberFormat="1" applyFont="1" applyFill="1"/>
    <xf numFmtId="0" fontId="83" fillId="0" borderId="0" xfId="143" applyFont="1" applyFill="1"/>
    <xf numFmtId="185" fontId="76" fillId="0" borderId="0" xfId="22" applyNumberFormat="1" applyFont="1" applyFill="1" applyBorder="1"/>
    <xf numFmtId="0" fontId="87" fillId="0" borderId="0" xfId="149" applyFont="1" applyFill="1" applyBorder="1" applyAlignment="1">
      <alignment vertical="center" wrapText="1"/>
    </xf>
    <xf numFmtId="0" fontId="83" fillId="0" borderId="0" xfId="0" applyFont="1" applyAlignment="1">
      <alignment horizontal="justify"/>
    </xf>
    <xf numFmtId="0" fontId="76" fillId="0" borderId="0" xfId="143" applyFont="1" applyAlignment="1">
      <alignment vertical="top" wrapText="1"/>
    </xf>
    <xf numFmtId="0" fontId="76" fillId="0" borderId="0" xfId="143" applyFont="1" applyAlignment="1">
      <alignment vertical="top"/>
    </xf>
    <xf numFmtId="0" fontId="76" fillId="0" borderId="0" xfId="143" applyFont="1"/>
    <xf numFmtId="0" fontId="83" fillId="0" borderId="0" xfId="0" applyFont="1" applyAlignment="1">
      <alignment horizontal="left" vertical="center" wrapText="1"/>
    </xf>
    <xf numFmtId="0" fontId="71" fillId="0" borderId="0" xfId="0" applyFont="1" applyFill="1" applyAlignment="1">
      <alignment horizontal="left" vertical="center"/>
    </xf>
    <xf numFmtId="0" fontId="83" fillId="0" borderId="0" xfId="0" applyFont="1" applyFill="1" applyAlignment="1">
      <alignment horizontal="justify" vertical="center" wrapText="1"/>
    </xf>
    <xf numFmtId="0" fontId="81" fillId="0" borderId="0" xfId="143" applyFont="1" applyFill="1" applyAlignment="1">
      <alignment horizontal="center"/>
    </xf>
    <xf numFmtId="0" fontId="71" fillId="0" borderId="0" xfId="0" applyFont="1" applyFill="1" applyAlignment="1">
      <alignment horizontal="center" vertical="center"/>
    </xf>
    <xf numFmtId="9" fontId="76" fillId="0" borderId="0" xfId="141" applyFont="1" applyFill="1" applyAlignment="1">
      <alignment horizontal="center"/>
    </xf>
    <xf numFmtId="169" fontId="76" fillId="0" borderId="0" xfId="22" applyFont="1" applyFill="1" applyAlignment="1">
      <alignment horizontal="center"/>
    </xf>
    <xf numFmtId="169" fontId="83" fillId="0" borderId="0" xfId="22" applyFont="1" applyFill="1" applyAlignment="1">
      <alignment horizontal="center" vertical="center"/>
    </xf>
    <xf numFmtId="169" fontId="76" fillId="0" borderId="69" xfId="22" applyFont="1" applyFill="1" applyBorder="1" applyAlignment="1">
      <alignment horizontal="center"/>
    </xf>
    <xf numFmtId="169" fontId="83" fillId="0" borderId="69" xfId="22" applyFont="1" applyFill="1" applyBorder="1" applyAlignment="1">
      <alignment horizontal="center" vertical="center"/>
    </xf>
    <xf numFmtId="9" fontId="88" fillId="0" borderId="0" xfId="141" applyFont="1" applyFill="1" applyAlignment="1">
      <alignment horizontal="center"/>
    </xf>
    <xf numFmtId="9" fontId="76" fillId="0" borderId="0" xfId="141" applyFont="1" applyAlignment="1">
      <alignment horizontal="center"/>
    </xf>
    <xf numFmtId="4" fontId="69" fillId="0" borderId="0" xfId="145" applyNumberFormat="1" applyAlignment="1" applyProtection="1"/>
    <xf numFmtId="4" fontId="64" fillId="0" borderId="0" xfId="149" applyNumberFormat="1" applyFont="1"/>
    <xf numFmtId="186" fontId="64" fillId="0" borderId="0" xfId="149" applyNumberFormat="1" applyFont="1"/>
    <xf numFmtId="4" fontId="90" fillId="0" borderId="0" xfId="149" applyNumberFormat="1" applyFont="1"/>
    <xf numFmtId="4" fontId="64" fillId="0" borderId="0" xfId="149" applyNumberFormat="1" applyFont="1" applyFill="1"/>
    <xf numFmtId="4" fontId="63" fillId="0" borderId="0" xfId="149" applyNumberFormat="1" applyFont="1" applyFill="1" applyAlignment="1">
      <alignment horizontal="left"/>
    </xf>
    <xf numFmtId="4" fontId="63" fillId="0" borderId="0" xfId="149" applyNumberFormat="1" applyFont="1" applyFill="1" applyAlignment="1">
      <alignment horizontal="center"/>
    </xf>
    <xf numFmtId="4" fontId="64" fillId="0" borderId="0" xfId="149" applyNumberFormat="1" applyFont="1" applyFill="1" applyAlignment="1"/>
    <xf numFmtId="9" fontId="64" fillId="0" borderId="0" xfId="150" applyFont="1" applyFill="1" applyAlignment="1">
      <alignment horizontal="right"/>
    </xf>
    <xf numFmtId="4" fontId="90" fillId="0" borderId="0" xfId="149" applyNumberFormat="1" applyFont="1" applyFill="1"/>
    <xf numFmtId="9" fontId="64" fillId="0" borderId="0" xfId="150" applyFont="1" applyFill="1"/>
    <xf numFmtId="4" fontId="64" fillId="0" borderId="0" xfId="149" applyNumberFormat="1" applyFont="1" applyBorder="1"/>
    <xf numFmtId="186" fontId="64" fillId="0" borderId="0" xfId="149" applyNumberFormat="1" applyFont="1" applyBorder="1"/>
    <xf numFmtId="0" fontId="64" fillId="0" borderId="62" xfId="149" applyFont="1" applyBorder="1"/>
    <xf numFmtId="4" fontId="63" fillId="0" borderId="0" xfId="149" applyNumberFormat="1" applyFont="1" applyBorder="1" applyAlignment="1">
      <alignment horizontal="center"/>
    </xf>
    <xf numFmtId="186" fontId="63" fillId="0" borderId="89" xfId="143" applyNumberFormat="1" applyFont="1" applyFill="1" applyBorder="1" applyAlignment="1">
      <alignment horizontal="center" wrapText="1"/>
    </xf>
    <xf numFmtId="186" fontId="63" fillId="0" borderId="90" xfId="149" applyNumberFormat="1" applyFont="1" applyFill="1" applyBorder="1" applyAlignment="1">
      <alignment horizontal="center" wrapText="1"/>
    </xf>
    <xf numFmtId="186" fontId="64" fillId="0" borderId="0" xfId="149" applyNumberFormat="1" applyFont="1" applyFill="1" applyBorder="1" applyAlignment="1"/>
    <xf numFmtId="186" fontId="63" fillId="0" borderId="90" xfId="149" applyNumberFormat="1" applyFont="1" applyFill="1" applyBorder="1" applyAlignment="1"/>
    <xf numFmtId="4" fontId="64" fillId="0" borderId="0" xfId="149" applyNumberFormat="1" applyFont="1" applyFill="1" applyAlignment="1">
      <alignment horizontal="left"/>
    </xf>
    <xf numFmtId="4" fontId="64" fillId="0" borderId="0" xfId="149" applyNumberFormat="1" applyFont="1" applyFill="1" applyAlignment="1">
      <alignment horizontal="right"/>
    </xf>
    <xf numFmtId="10" fontId="64" fillId="0" borderId="0" xfId="150" applyNumberFormat="1" applyFont="1" applyFill="1" applyAlignment="1">
      <alignment horizontal="right"/>
    </xf>
    <xf numFmtId="186" fontId="64" fillId="0" borderId="89" xfId="149" applyNumberFormat="1" applyFont="1" applyFill="1" applyBorder="1" applyAlignment="1"/>
    <xf numFmtId="4" fontId="63" fillId="25" borderId="62" xfId="149" applyNumberFormat="1" applyFont="1" applyFill="1" applyBorder="1"/>
    <xf numFmtId="4" fontId="63" fillId="25" borderId="0" xfId="149" applyNumberFormat="1" applyFont="1" applyFill="1" applyBorder="1"/>
    <xf numFmtId="186" fontId="63" fillId="25" borderId="89" xfId="149" applyNumberFormat="1" applyFont="1" applyFill="1" applyBorder="1"/>
    <xf numFmtId="186" fontId="63" fillId="25" borderId="90" xfId="149" applyNumberFormat="1" applyFont="1" applyFill="1" applyBorder="1"/>
    <xf numFmtId="4" fontId="63" fillId="0" borderId="62" xfId="149" applyNumberFormat="1" applyFont="1" applyFill="1" applyBorder="1"/>
    <xf numFmtId="4" fontId="64" fillId="0" borderId="0" xfId="149" applyNumberFormat="1" applyFont="1" applyFill="1" applyBorder="1"/>
    <xf numFmtId="186" fontId="63" fillId="0" borderId="89" xfId="149" applyNumberFormat="1" applyFont="1" applyBorder="1" applyAlignment="1"/>
    <xf numFmtId="186" fontId="63" fillId="0" borderId="63" xfId="149" applyNumberFormat="1" applyFont="1" applyFill="1" applyBorder="1" applyAlignment="1"/>
    <xf numFmtId="4" fontId="64" fillId="0" borderId="62" xfId="149" applyNumberFormat="1" applyFont="1" applyFill="1" applyBorder="1"/>
    <xf numFmtId="4" fontId="63" fillId="0" borderId="0" xfId="149" applyNumberFormat="1" applyFont="1" applyFill="1" applyBorder="1"/>
    <xf numFmtId="186" fontId="64" fillId="0" borderId="89" xfId="149" applyNumberFormat="1" applyFont="1" applyBorder="1" applyAlignment="1"/>
    <xf numFmtId="186" fontId="63" fillId="0" borderId="63" xfId="149" applyNumberFormat="1" applyFont="1" applyBorder="1" applyAlignment="1"/>
    <xf numFmtId="4" fontId="64" fillId="0" borderId="62" xfId="143" quotePrefix="1" applyNumberFormat="1" applyFont="1" applyFill="1" applyBorder="1"/>
    <xf numFmtId="4" fontId="91" fillId="27" borderId="62" xfId="149" applyNumberFormat="1" applyFont="1" applyFill="1" applyBorder="1"/>
    <xf numFmtId="4" fontId="91" fillId="27" borderId="0" xfId="149" applyNumberFormat="1" applyFont="1" applyFill="1" applyBorder="1"/>
    <xf numFmtId="186" fontId="91" fillId="27" borderId="89" xfId="149" applyNumberFormat="1" applyFont="1" applyFill="1" applyBorder="1"/>
    <xf numFmtId="186" fontId="91" fillId="27" borderId="63" xfId="149" applyNumberFormat="1" applyFont="1" applyFill="1" applyBorder="1"/>
    <xf numFmtId="4" fontId="60" fillId="0" borderId="0" xfId="149" applyNumberFormat="1" applyFont="1" applyFill="1"/>
    <xf numFmtId="4" fontId="91" fillId="0" borderId="62" xfId="149" applyNumberFormat="1" applyFont="1" applyFill="1" applyBorder="1"/>
    <xf numFmtId="4" fontId="91" fillId="0" borderId="0" xfId="149" applyNumberFormat="1" applyFont="1" applyFill="1" applyBorder="1"/>
    <xf numFmtId="186" fontId="91" fillId="0" borderId="89" xfId="149" applyNumberFormat="1" applyFont="1" applyFill="1" applyBorder="1"/>
    <xf numFmtId="186" fontId="91" fillId="0" borderId="63" xfId="149" applyNumberFormat="1" applyFont="1" applyFill="1" applyBorder="1"/>
    <xf numFmtId="186" fontId="64" fillId="0" borderId="89" xfId="149" applyNumberFormat="1" applyFont="1" applyFill="1" applyBorder="1"/>
    <xf numFmtId="186" fontId="63" fillId="0" borderId="63" xfId="149" applyNumberFormat="1" applyFont="1" applyFill="1" applyBorder="1"/>
    <xf numFmtId="4" fontId="92" fillId="27" borderId="62" xfId="149" applyNumberFormat="1" applyFont="1" applyFill="1" applyBorder="1"/>
    <xf numFmtId="187" fontId="91" fillId="27" borderId="89" xfId="149" quotePrefix="1" applyNumberFormat="1" applyFont="1" applyFill="1" applyBorder="1" applyAlignment="1">
      <alignment horizontal="center"/>
    </xf>
    <xf numFmtId="170" fontId="91" fillId="27" borderId="63" xfId="149" applyNumberFormat="1" applyFont="1" applyFill="1" applyBorder="1" applyAlignment="1">
      <alignment horizontal="center"/>
    </xf>
    <xf numFmtId="4" fontId="70" fillId="0" borderId="0" xfId="149" applyNumberFormat="1" applyFont="1" applyFill="1"/>
    <xf numFmtId="15" fontId="60" fillId="0" borderId="0" xfId="149" quotePrefix="1" applyNumberFormat="1" applyFont="1" applyFill="1"/>
    <xf numFmtId="187" fontId="91" fillId="0" borderId="89" xfId="149" quotePrefix="1" applyNumberFormat="1" applyFont="1" applyFill="1" applyBorder="1" applyAlignment="1">
      <alignment horizontal="center"/>
    </xf>
    <xf numFmtId="186" fontId="91" fillId="0" borderId="63" xfId="149" applyNumberFormat="1" applyFont="1" applyFill="1" applyBorder="1" applyAlignment="1">
      <alignment horizontal="center"/>
    </xf>
    <xf numFmtId="4" fontId="60" fillId="0" borderId="0" xfId="149" quotePrefix="1" applyNumberFormat="1" applyFont="1" applyFill="1"/>
    <xf numFmtId="188" fontId="91" fillId="27" borderId="63" xfId="149" applyNumberFormat="1" applyFont="1" applyFill="1" applyBorder="1" applyAlignment="1">
      <alignment horizontal="center"/>
    </xf>
    <xf numFmtId="4" fontId="63" fillId="0" borderId="89" xfId="149" applyNumberFormat="1" applyFont="1" applyFill="1" applyBorder="1"/>
    <xf numFmtId="4" fontId="63" fillId="0" borderId="63" xfId="149" applyNumberFormat="1" applyFont="1" applyFill="1" applyBorder="1"/>
    <xf numFmtId="186" fontId="63" fillId="0" borderId="0" xfId="149" applyNumberFormat="1" applyFont="1" applyFill="1" applyBorder="1"/>
    <xf numFmtId="186" fontId="63" fillId="0" borderId="90" xfId="149" applyNumberFormat="1" applyFont="1" applyFill="1" applyBorder="1"/>
    <xf numFmtId="4" fontId="63" fillId="0" borderId="0" xfId="149" applyNumberFormat="1" applyFont="1" applyFill="1" applyBorder="1" applyAlignment="1">
      <alignment horizontal="center"/>
    </xf>
    <xf numFmtId="186" fontId="63" fillId="0" borderId="90" xfId="149" applyNumberFormat="1" applyFont="1" applyBorder="1" applyAlignment="1"/>
    <xf numFmtId="4" fontId="64" fillId="0" borderId="62" xfId="143" applyNumberFormat="1" applyFont="1" applyFill="1" applyBorder="1"/>
    <xf numFmtId="4" fontId="68" fillId="0" borderId="0" xfId="149" applyNumberFormat="1" applyFont="1" applyFill="1" applyAlignment="1">
      <alignment horizontal="center"/>
    </xf>
    <xf numFmtId="4" fontId="93" fillId="0" borderId="0" xfId="149" applyNumberFormat="1" applyFont="1" applyFill="1"/>
    <xf numFmtId="4" fontId="94" fillId="0" borderId="0" xfId="149" applyNumberFormat="1" applyFont="1" applyFill="1"/>
    <xf numFmtId="9" fontId="60" fillId="0" borderId="0" xfId="150" applyFont="1" applyFill="1" applyAlignment="1">
      <alignment horizontal="right"/>
    </xf>
    <xf numFmtId="4" fontId="95" fillId="0" borderId="0" xfId="149" applyNumberFormat="1" applyFont="1" applyFill="1"/>
    <xf numFmtId="9" fontId="64" fillId="0" borderId="0" xfId="150" applyNumberFormat="1" applyFont="1" applyFill="1"/>
    <xf numFmtId="9" fontId="60" fillId="0" borderId="0" xfId="150" applyFont="1" applyFill="1"/>
    <xf numFmtId="4" fontId="64" fillId="0" borderId="65" xfId="149" quotePrefix="1" applyNumberFormat="1" applyFont="1" applyFill="1" applyBorder="1"/>
    <xf numFmtId="4" fontId="64" fillId="0" borderId="66" xfId="149" applyNumberFormat="1" applyFont="1" applyFill="1" applyBorder="1"/>
    <xf numFmtId="186" fontId="63" fillId="0" borderId="66" xfId="149" quotePrefix="1" applyNumberFormat="1" applyFont="1" applyBorder="1" applyAlignment="1">
      <alignment horizontal="left"/>
    </xf>
    <xf numFmtId="186" fontId="63" fillId="0" borderId="92" xfId="149" quotePrefix="1" applyNumberFormat="1" applyFont="1" applyBorder="1" applyAlignment="1">
      <alignment horizontal="center"/>
    </xf>
    <xf numFmtId="4" fontId="64" fillId="0" borderId="0" xfId="149" applyNumberFormat="1" applyFont="1" applyFill="1" applyAlignment="1">
      <alignment horizontal="center"/>
    </xf>
    <xf numFmtId="4" fontId="96" fillId="0" borderId="0" xfId="149" applyNumberFormat="1" applyFont="1" applyFill="1"/>
    <xf numFmtId="4" fontId="97" fillId="0" borderId="0" xfId="149" applyNumberFormat="1" applyFont="1" applyFill="1"/>
    <xf numFmtId="4" fontId="63" fillId="0" borderId="0" xfId="149" applyNumberFormat="1" applyFont="1" applyFill="1"/>
    <xf numFmtId="0" fontId="91" fillId="0" borderId="0" xfId="0" applyFont="1"/>
    <xf numFmtId="169" fontId="63" fillId="0" borderId="66" xfId="146" applyFont="1" applyBorder="1"/>
    <xf numFmtId="169" fontId="63" fillId="0" borderId="66" xfId="22" applyFont="1" applyFill="1" applyBorder="1" applyAlignment="1">
      <alignment horizontal="right"/>
    </xf>
    <xf numFmtId="169" fontId="63" fillId="0" borderId="0" xfId="146" applyFont="1" applyAlignment="1">
      <alignment horizontal="center"/>
    </xf>
    <xf numFmtId="169" fontId="64" fillId="0" borderId="0" xfId="146" applyFont="1" applyFill="1" applyBorder="1" applyAlignment="1">
      <alignment vertical="top" wrapText="1"/>
    </xf>
    <xf numFmtId="0" fontId="64" fillId="0" borderId="0" xfId="151" applyFont="1" applyFill="1" applyBorder="1" applyAlignment="1"/>
    <xf numFmtId="0" fontId="64" fillId="0" borderId="100" xfId="151" applyFont="1" applyFill="1" applyBorder="1" applyAlignment="1"/>
    <xf numFmtId="169" fontId="63" fillId="0" borderId="0" xfId="22" applyFont="1"/>
    <xf numFmtId="0" fontId="90" fillId="0" borderId="0" xfId="0" applyFont="1"/>
    <xf numFmtId="0" fontId="59" fillId="0" borderId="0" xfId="0" applyNumberFormat="1" applyFont="1" applyFill="1" applyAlignment="1">
      <alignment horizontal="center"/>
    </xf>
    <xf numFmtId="0" fontId="90" fillId="0" borderId="0" xfId="0" applyFont="1" applyFill="1"/>
    <xf numFmtId="0" fontId="98" fillId="0" borderId="0" xfId="0" applyFont="1" applyAlignment="1">
      <alignment wrapText="1"/>
    </xf>
    <xf numFmtId="169" fontId="59" fillId="0" borderId="69" xfId="0" applyNumberFormat="1" applyFont="1" applyBorder="1"/>
    <xf numFmtId="169" fontId="62" fillId="0" borderId="93" xfId="0" applyNumberFormat="1" applyFont="1" applyBorder="1"/>
    <xf numFmtId="169" fontId="64" fillId="0" borderId="0" xfId="146" applyFont="1" applyAlignment="1"/>
    <xf numFmtId="0" fontId="19" fillId="0" borderId="0" xfId="0" applyFont="1" applyFill="1" applyBorder="1" applyAlignment="1">
      <alignment horizontal="center" vertical="top"/>
    </xf>
    <xf numFmtId="0" fontId="62" fillId="0" borderId="0" xfId="0" applyFont="1" applyAlignment="1">
      <alignment horizontal="center" wrapText="1"/>
    </xf>
    <xf numFmtId="0" fontId="62" fillId="0" borderId="0" xfId="0" applyFont="1" applyBorder="1" applyAlignment="1">
      <alignment horizontal="center" vertical="top" wrapText="1"/>
    </xf>
    <xf numFmtId="0" fontId="100" fillId="0" borderId="66" xfId="0" applyFont="1" applyBorder="1" applyAlignment="1">
      <alignment vertical="top"/>
    </xf>
    <xf numFmtId="0" fontId="101" fillId="0" borderId="66" xfId="0" applyFont="1" applyBorder="1" applyAlignment="1">
      <alignment horizontal="center" vertical="top"/>
    </xf>
    <xf numFmtId="0" fontId="101" fillId="0" borderId="0" xfId="0" applyFont="1" applyBorder="1" applyAlignment="1">
      <alignment horizontal="center" vertical="top"/>
    </xf>
    <xf numFmtId="0" fontId="0" fillId="0" borderId="0" xfId="0" applyBorder="1" applyAlignment="1">
      <alignment vertical="top"/>
    </xf>
    <xf numFmtId="22" fontId="59" fillId="0" borderId="0" xfId="0" applyNumberFormat="1" applyFont="1"/>
    <xf numFmtId="169" fontId="0" fillId="0" borderId="0" xfId="22" applyFont="1"/>
    <xf numFmtId="0" fontId="103" fillId="0" borderId="76" xfId="0" applyFont="1" applyBorder="1" applyAlignment="1">
      <alignment vertical="top"/>
    </xf>
    <xf numFmtId="169" fontId="0" fillId="0" borderId="0" xfId="22" applyFont="1" applyBorder="1" applyAlignment="1">
      <alignment vertical="top"/>
    </xf>
    <xf numFmtId="169" fontId="0" fillId="0" borderId="89" xfId="22" applyFont="1" applyBorder="1" applyAlignment="1">
      <alignment vertical="top"/>
    </xf>
    <xf numFmtId="0" fontId="0" fillId="0" borderId="76" xfId="0" applyBorder="1" applyAlignment="1">
      <alignment vertical="top"/>
    </xf>
    <xf numFmtId="169" fontId="103" fillId="0" borderId="0" xfId="22" applyFont="1" applyBorder="1" applyAlignment="1">
      <alignment vertical="top"/>
    </xf>
    <xf numFmtId="169" fontId="103" fillId="0" borderId="89" xfId="22" applyFont="1" applyBorder="1" applyAlignment="1">
      <alignment vertical="top"/>
    </xf>
    <xf numFmtId="0" fontId="102" fillId="0" borderId="76" xfId="0" applyFont="1" applyBorder="1" applyAlignment="1">
      <alignment vertical="top"/>
    </xf>
    <xf numFmtId="0" fontId="64" fillId="28" borderId="0" xfId="0" applyFont="1" applyFill="1"/>
    <xf numFmtId="0" fontId="59" fillId="0" borderId="82" xfId="0" applyFont="1" applyBorder="1"/>
    <xf numFmtId="0" fontId="62" fillId="0" borderId="74" xfId="0" applyFont="1" applyBorder="1" applyAlignment="1">
      <alignment horizontal="center" wrapText="1"/>
    </xf>
    <xf numFmtId="0" fontId="62" fillId="0" borderId="82" xfId="0" applyFont="1" applyBorder="1" applyAlignment="1">
      <alignment horizontal="center" wrapText="1"/>
    </xf>
    <xf numFmtId="0" fontId="62" fillId="0" borderId="81" xfId="0" applyFont="1" applyBorder="1" applyAlignment="1">
      <alignment horizontal="center" wrapText="1"/>
    </xf>
    <xf numFmtId="0" fontId="59" fillId="0" borderId="104" xfId="0" applyFont="1" applyBorder="1"/>
    <xf numFmtId="0" fontId="59" fillId="0" borderId="83" xfId="0" applyFont="1" applyBorder="1"/>
    <xf numFmtId="0" fontId="59" fillId="0" borderId="105" xfId="0" applyFont="1" applyBorder="1"/>
    <xf numFmtId="0" fontId="59" fillId="0" borderId="84" xfId="0" applyFont="1" applyBorder="1"/>
    <xf numFmtId="0" fontId="62" fillId="0" borderId="104" xfId="0" applyFont="1" applyBorder="1"/>
    <xf numFmtId="169" fontId="59" fillId="0" borderId="85" xfId="22" applyFont="1" applyBorder="1"/>
    <xf numFmtId="169" fontId="59" fillId="0" borderId="106" xfId="22" applyFont="1" applyBorder="1"/>
    <xf numFmtId="169" fontId="59" fillId="0" borderId="69" xfId="22" applyFont="1" applyBorder="1"/>
    <xf numFmtId="169" fontId="59" fillId="0" borderId="86" xfId="22" applyFont="1" applyBorder="1"/>
    <xf numFmtId="0" fontId="62" fillId="0" borderId="82" xfId="0" applyFont="1" applyBorder="1"/>
    <xf numFmtId="10" fontId="62" fillId="0" borderId="107" xfId="141" applyNumberFormat="1" applyFont="1" applyBorder="1"/>
    <xf numFmtId="0" fontId="62" fillId="0" borderId="0" xfId="0" applyFont="1" applyAlignment="1">
      <alignment horizontal="center"/>
    </xf>
    <xf numFmtId="0" fontId="63" fillId="0" borderId="0" xfId="142" applyNumberFormat="1" applyFont="1" applyFill="1" applyBorder="1"/>
    <xf numFmtId="0" fontId="64" fillId="0" borderId="0" xfId="142" applyNumberFormat="1" applyFont="1" applyFill="1" applyBorder="1"/>
    <xf numFmtId="0" fontId="64" fillId="0" borderId="0" xfId="142" applyNumberFormat="1" applyFont="1" applyFill="1" applyBorder="1" applyAlignment="1">
      <alignment horizontal="left"/>
    </xf>
    <xf numFmtId="0" fontId="90" fillId="0" borderId="0" xfId="142" applyNumberFormat="1" applyFont="1" applyFill="1" applyBorder="1"/>
    <xf numFmtId="0" fontId="59" fillId="0" borderId="0" xfId="0" applyFont="1" applyFill="1" applyBorder="1" applyAlignment="1"/>
    <xf numFmtId="168" fontId="62" fillId="0" borderId="0" xfId="140" applyFont="1" applyFill="1" applyBorder="1" applyAlignment="1"/>
    <xf numFmtId="168" fontId="62" fillId="0" borderId="0" xfId="140" applyFont="1" applyBorder="1"/>
    <xf numFmtId="168" fontId="62" fillId="0" borderId="0" xfId="140" applyFont="1" applyFill="1" applyBorder="1"/>
    <xf numFmtId="168" fontId="59" fillId="0" borderId="0" xfId="140" applyFont="1" applyFill="1" applyBorder="1" applyAlignment="1">
      <alignment horizontal="center"/>
    </xf>
    <xf numFmtId="14" fontId="64" fillId="0" borderId="0" xfId="22" applyNumberFormat="1" applyFont="1" applyFill="1" applyBorder="1"/>
    <xf numFmtId="168" fontId="64" fillId="0" borderId="0" xfId="140" applyFont="1" applyFill="1" applyBorder="1" applyAlignment="1"/>
    <xf numFmtId="168" fontId="64" fillId="0" borderId="0" xfId="140" applyFont="1" applyFill="1" applyBorder="1"/>
    <xf numFmtId="168" fontId="59" fillId="0" borderId="0" xfId="140" applyFont="1" applyFill="1" applyAlignment="1"/>
    <xf numFmtId="169" fontId="64" fillId="0" borderId="0" xfId="22" applyFont="1" applyFill="1" applyBorder="1" applyAlignment="1"/>
    <xf numFmtId="0" fontId="69" fillId="0" borderId="0" xfId="145" applyFont="1" applyAlignment="1" applyProtection="1"/>
    <xf numFmtId="169" fontId="59" fillId="0" borderId="0" xfId="22" applyFont="1"/>
    <xf numFmtId="169" fontId="59" fillId="0" borderId="0" xfId="0" applyNumberFormat="1" applyFont="1"/>
    <xf numFmtId="0" fontId="63" fillId="0" borderId="0" xfId="22" applyNumberFormat="1" applyFont="1" applyFill="1" applyBorder="1" applyAlignment="1">
      <alignment horizontal="center"/>
    </xf>
    <xf numFmtId="169" fontId="62" fillId="0" borderId="74" xfId="0" applyNumberFormat="1" applyFont="1" applyBorder="1"/>
    <xf numFmtId="169" fontId="64" fillId="0" borderId="0" xfId="22" applyFont="1" applyFill="1" applyBorder="1" applyAlignment="1">
      <alignment horizontal="center"/>
    </xf>
    <xf numFmtId="169" fontId="64" fillId="0" borderId="0" xfId="22" applyFont="1" applyFill="1" applyBorder="1" applyAlignment="1">
      <alignment horizontal="left"/>
    </xf>
    <xf numFmtId="0" fontId="59" fillId="0" borderId="0" xfId="0" applyNumberFormat="1" applyFont="1" applyFill="1" applyBorder="1" applyAlignment="1">
      <alignment horizontal="left"/>
    </xf>
    <xf numFmtId="0" fontId="64" fillId="0" borderId="62" xfId="0" applyFont="1" applyBorder="1" applyAlignment="1">
      <alignment vertical="center"/>
    </xf>
    <xf numFmtId="0" fontId="76" fillId="17" borderId="0" xfId="143" applyFont="1" applyFill="1"/>
    <xf numFmtId="0" fontId="81" fillId="17" borderId="0" xfId="143" applyFont="1" applyFill="1"/>
    <xf numFmtId="169" fontId="64" fillId="17" borderId="0" xfId="22" applyNumberFormat="1" applyFont="1" applyFill="1" applyBorder="1"/>
    <xf numFmtId="169" fontId="59" fillId="17" borderId="0" xfId="0" applyNumberFormat="1" applyFont="1" applyFill="1"/>
    <xf numFmtId="169" fontId="64" fillId="17" borderId="69" xfId="22" applyNumberFormat="1" applyFont="1" applyFill="1" applyBorder="1"/>
    <xf numFmtId="10" fontId="64" fillId="17" borderId="76" xfId="141" applyNumberFormat="1" applyFont="1" applyFill="1" applyBorder="1"/>
    <xf numFmtId="10" fontId="64" fillId="17" borderId="104" xfId="141" applyNumberFormat="1" applyFont="1" applyFill="1" applyBorder="1"/>
    <xf numFmtId="10" fontId="64" fillId="17" borderId="0" xfId="141" applyNumberFormat="1" applyFont="1" applyFill="1" applyBorder="1"/>
    <xf numFmtId="10" fontId="64" fillId="17" borderId="89" xfId="141" applyNumberFormat="1" applyFont="1" applyFill="1" applyBorder="1"/>
    <xf numFmtId="9" fontId="64" fillId="17" borderId="0" xfId="141" applyFont="1" applyFill="1" applyBorder="1" applyAlignment="1">
      <alignment horizontal="center"/>
    </xf>
    <xf numFmtId="168" fontId="59" fillId="17" borderId="0" xfId="140" applyFont="1" applyFill="1" applyBorder="1" applyAlignment="1"/>
    <xf numFmtId="14" fontId="64" fillId="17" borderId="0" xfId="22" applyNumberFormat="1" applyFont="1" applyFill="1" applyBorder="1"/>
    <xf numFmtId="168" fontId="64" fillId="17" borderId="0" xfId="140" applyFont="1" applyFill="1" applyBorder="1" applyAlignment="1"/>
    <xf numFmtId="168" fontId="59" fillId="17" borderId="0" xfId="140" applyFont="1" applyFill="1" applyAlignment="1"/>
    <xf numFmtId="169" fontId="64" fillId="17" borderId="0" xfId="22" applyFont="1" applyFill="1" applyBorder="1"/>
    <xf numFmtId="0" fontId="59" fillId="0" borderId="0" xfId="0" applyFont="1" applyAlignment="1">
      <alignment vertical="center"/>
    </xf>
    <xf numFmtId="0" fontId="59" fillId="0" borderId="0" xfId="0" applyFont="1" applyFill="1" applyAlignment="1">
      <alignment vertical="center"/>
    </xf>
    <xf numFmtId="184" fontId="59" fillId="0" borderId="0" xfId="22" applyNumberFormat="1" applyFont="1" applyAlignment="1">
      <alignment horizontal="center" vertical="center"/>
    </xf>
    <xf numFmtId="0" fontId="61" fillId="0" borderId="0" xfId="0" applyFont="1" applyAlignment="1">
      <alignment vertical="center"/>
    </xf>
    <xf numFmtId="0" fontId="62" fillId="0" borderId="0" xfId="0" applyFont="1" applyAlignment="1">
      <alignment vertical="center"/>
    </xf>
    <xf numFmtId="184" fontId="62" fillId="0" borderId="0" xfId="140" applyNumberFormat="1" applyFont="1" applyAlignment="1">
      <alignment vertical="center"/>
    </xf>
    <xf numFmtId="184" fontId="62" fillId="0" borderId="0" xfId="140" applyNumberFormat="1" applyFont="1" applyFill="1" applyAlignment="1">
      <alignment vertical="center"/>
    </xf>
    <xf numFmtId="0" fontId="59" fillId="0" borderId="0" xfId="0" applyFont="1" applyAlignment="1">
      <alignment horizontal="left" vertical="center"/>
    </xf>
    <xf numFmtId="0" fontId="59" fillId="0" borderId="0" xfId="0" applyFont="1" applyAlignment="1">
      <alignment horizontal="center" vertical="center"/>
    </xf>
    <xf numFmtId="0" fontId="62" fillId="0" borderId="56" xfId="0" applyFont="1" applyBorder="1" applyAlignment="1">
      <alignment vertical="center"/>
    </xf>
    <xf numFmtId="14" fontId="63" fillId="3" borderId="57" xfId="0" applyNumberFormat="1" applyFont="1" applyFill="1" applyBorder="1" applyAlignment="1">
      <alignment horizontal="center" vertical="center"/>
    </xf>
    <xf numFmtId="0" fontId="64" fillId="0" borderId="0" xfId="0" applyFont="1" applyFill="1" applyAlignment="1">
      <alignment horizontal="left" vertical="center"/>
    </xf>
    <xf numFmtId="0" fontId="64" fillId="0" borderId="0" xfId="0" applyFont="1" applyFill="1" applyAlignment="1">
      <alignment horizontal="center" vertical="center"/>
    </xf>
    <xf numFmtId="0" fontId="65" fillId="0" borderId="60" xfId="0" applyFont="1" applyFill="1" applyBorder="1" applyAlignment="1">
      <alignment vertical="center"/>
    </xf>
    <xf numFmtId="0" fontId="59" fillId="0" borderId="61" xfId="0" applyFont="1" applyFill="1" applyBorder="1" applyAlignment="1">
      <alignment vertical="center"/>
    </xf>
    <xf numFmtId="0" fontId="59" fillId="0" borderId="62" xfId="0" applyFont="1" applyFill="1" applyBorder="1" applyAlignment="1">
      <alignment vertical="center"/>
    </xf>
    <xf numFmtId="0" fontId="59" fillId="0" borderId="63" xfId="0" applyFont="1" applyFill="1" applyBorder="1" applyAlignment="1">
      <alignment vertical="center"/>
    </xf>
    <xf numFmtId="0" fontId="60" fillId="0" borderId="0" xfId="0" applyFont="1" applyAlignment="1">
      <alignment horizontal="center" vertical="center"/>
    </xf>
    <xf numFmtId="0" fontId="62" fillId="0" borderId="62" xfId="0" applyFont="1" applyFill="1" applyBorder="1" applyAlignment="1">
      <alignment vertical="center"/>
    </xf>
    <xf numFmtId="184" fontId="59" fillId="0" borderId="0" xfId="22" applyNumberFormat="1" applyFont="1" applyFill="1" applyBorder="1" applyAlignment="1">
      <alignment horizontal="center" vertical="center"/>
    </xf>
    <xf numFmtId="0" fontId="64" fillId="17" borderId="63" xfId="142" applyNumberFormat="1" applyFont="1" applyFill="1" applyBorder="1" applyAlignment="1">
      <alignment horizontal="center" vertical="center"/>
    </xf>
    <xf numFmtId="14" fontId="64" fillId="17" borderId="63" xfId="142" applyNumberFormat="1" applyFont="1" applyFill="1" applyBorder="1" applyAlignment="1">
      <alignment horizontal="center" vertical="center"/>
    </xf>
    <xf numFmtId="169" fontId="59" fillId="0" borderId="63" xfId="22" applyNumberFormat="1" applyFont="1" applyFill="1" applyBorder="1" applyAlignment="1">
      <alignment horizontal="center" vertical="center"/>
    </xf>
    <xf numFmtId="0" fontId="59" fillId="0" borderId="0" xfId="0" applyFont="1" applyFill="1" applyAlignment="1">
      <alignment horizontal="center" vertical="center"/>
    </xf>
    <xf numFmtId="0" fontId="59" fillId="0" borderId="62" xfId="0" applyFont="1" applyBorder="1" applyAlignment="1">
      <alignment vertical="center"/>
    </xf>
    <xf numFmtId="0" fontId="59" fillId="0" borderId="0" xfId="0" applyFont="1" applyBorder="1" applyAlignment="1">
      <alignment vertical="center"/>
    </xf>
    <xf numFmtId="184" fontId="59" fillId="0" borderId="0" xfId="140" applyNumberFormat="1" applyFont="1" applyFill="1" applyAlignment="1">
      <alignment vertical="center"/>
    </xf>
    <xf numFmtId="0" fontId="59" fillId="0" borderId="0" xfId="0" applyFont="1" applyFill="1" applyBorder="1" applyAlignment="1">
      <alignment vertical="center"/>
    </xf>
    <xf numFmtId="0" fontId="59" fillId="0" borderId="65" xfId="0" applyFont="1" applyBorder="1" applyAlignment="1">
      <alignment vertical="center"/>
    </xf>
    <xf numFmtId="184" fontId="59" fillId="0" borderId="0" xfId="140" applyNumberFormat="1" applyFont="1" applyAlignment="1">
      <alignment vertical="center"/>
    </xf>
    <xf numFmtId="0" fontId="62" fillId="3" borderId="58" xfId="0" applyFont="1" applyFill="1" applyBorder="1" applyAlignment="1">
      <alignment vertical="center"/>
    </xf>
    <xf numFmtId="0" fontId="62" fillId="3" borderId="69" xfId="0" applyFont="1" applyFill="1" applyBorder="1" applyAlignment="1">
      <alignment vertical="center"/>
    </xf>
    <xf numFmtId="0" fontId="59" fillId="3" borderId="69" xfId="0" applyFont="1" applyFill="1" applyBorder="1" applyAlignment="1">
      <alignment vertical="center"/>
    </xf>
    <xf numFmtId="184" fontId="59" fillId="3" borderId="69" xfId="140" applyNumberFormat="1" applyFont="1" applyFill="1" applyBorder="1" applyAlignment="1">
      <alignment vertical="center"/>
    </xf>
    <xf numFmtId="184" fontId="59" fillId="3" borderId="69" xfId="22" applyNumberFormat="1" applyFont="1" applyFill="1" applyBorder="1" applyAlignment="1">
      <alignment horizontal="center" vertical="center"/>
    </xf>
    <xf numFmtId="184" fontId="59" fillId="3" borderId="59" xfId="22" applyNumberFormat="1" applyFont="1" applyFill="1" applyBorder="1" applyAlignment="1">
      <alignment horizontal="center" vertical="center"/>
    </xf>
    <xf numFmtId="0" fontId="59" fillId="0" borderId="63" xfId="0" applyFont="1" applyBorder="1" applyAlignment="1">
      <alignment vertical="center"/>
    </xf>
    <xf numFmtId="0" fontId="62" fillId="0" borderId="0" xfId="0" applyFont="1" applyBorder="1" applyAlignment="1">
      <alignment vertical="center"/>
    </xf>
    <xf numFmtId="0" fontId="62" fillId="0" borderId="0" xfId="0" applyFont="1" applyBorder="1" applyAlignment="1">
      <alignment horizontal="center" vertical="center"/>
    </xf>
    <xf numFmtId="184" fontId="62" fillId="0" borderId="0" xfId="140" applyNumberFormat="1" applyFont="1" applyBorder="1" applyAlignment="1">
      <alignment horizontal="center" vertical="center"/>
    </xf>
    <xf numFmtId="184" fontId="59" fillId="0" borderId="0" xfId="140" applyNumberFormat="1" applyFont="1" applyFill="1" applyBorder="1" applyAlignment="1">
      <alignment vertical="center"/>
    </xf>
    <xf numFmtId="0" fontId="59" fillId="17" borderId="0" xfId="0" applyFont="1" applyFill="1" applyBorder="1" applyAlignment="1">
      <alignment horizontal="center" vertical="center"/>
    </xf>
    <xf numFmtId="0" fontId="59" fillId="0" borderId="0" xfId="0" applyFont="1" applyBorder="1" applyAlignment="1">
      <alignment horizontal="center" vertical="center"/>
    </xf>
    <xf numFmtId="184" fontId="59" fillId="0" borderId="0" xfId="140" applyNumberFormat="1" applyFont="1" applyFill="1" applyBorder="1" applyAlignment="1">
      <alignment horizontal="center" vertical="center"/>
    </xf>
    <xf numFmtId="184" fontId="59" fillId="0" borderId="0" xfId="140" applyNumberFormat="1" applyFont="1" applyBorder="1" applyAlignment="1">
      <alignment horizontal="center" vertical="center"/>
    </xf>
    <xf numFmtId="0" fontId="59" fillId="0" borderId="67" xfId="0" applyFont="1" applyBorder="1" applyAlignment="1">
      <alignment vertical="center"/>
    </xf>
    <xf numFmtId="184" fontId="65" fillId="0" borderId="0" xfId="22" applyNumberFormat="1" applyFont="1" applyBorder="1" applyAlignment="1">
      <alignment horizontal="center" vertical="center"/>
    </xf>
    <xf numFmtId="0" fontId="59" fillId="0" borderId="0" xfId="22" applyNumberFormat="1" applyFont="1" applyBorder="1" applyAlignment="1">
      <alignment horizontal="left" vertical="center"/>
    </xf>
    <xf numFmtId="0" fontId="59" fillId="0" borderId="0" xfId="22" applyNumberFormat="1" applyFont="1" applyBorder="1" applyAlignment="1">
      <alignment horizontal="center" vertical="center"/>
    </xf>
    <xf numFmtId="0" fontId="59" fillId="0" borderId="63" xfId="22" applyNumberFormat="1" applyFont="1" applyBorder="1" applyAlignment="1">
      <alignment horizontal="center" vertical="center"/>
    </xf>
    <xf numFmtId="184" fontId="59" fillId="0" borderId="0" xfId="140" applyNumberFormat="1" applyFont="1" applyBorder="1" applyAlignment="1">
      <alignment vertical="center"/>
    </xf>
    <xf numFmtId="0" fontId="64" fillId="0" borderId="0" xfId="22" applyNumberFormat="1" applyFont="1" applyBorder="1" applyAlignment="1">
      <alignment horizontal="center" vertical="center"/>
    </xf>
    <xf numFmtId="0" fontId="64" fillId="0" borderId="63" xfId="22" applyNumberFormat="1" applyFont="1" applyBorder="1" applyAlignment="1">
      <alignment horizontal="center" vertical="center"/>
    </xf>
    <xf numFmtId="0" fontId="62" fillId="3" borderId="73" xfId="0" applyFont="1" applyFill="1" applyBorder="1" applyAlignment="1">
      <alignment vertical="center"/>
    </xf>
    <xf numFmtId="0" fontId="62" fillId="3" borderId="74" xfId="0" applyFont="1" applyFill="1" applyBorder="1" applyAlignment="1">
      <alignment vertical="center"/>
    </xf>
    <xf numFmtId="0" fontId="62" fillId="3" borderId="74" xfId="0" applyFont="1" applyFill="1" applyBorder="1" applyAlignment="1">
      <alignment horizontal="center" vertical="center"/>
    </xf>
    <xf numFmtId="184" fontId="62" fillId="3" borderId="74" xfId="140" applyNumberFormat="1" applyFont="1" applyFill="1" applyBorder="1" applyAlignment="1">
      <alignment horizontal="center" vertical="center"/>
    </xf>
    <xf numFmtId="184" fontId="62" fillId="3" borderId="74" xfId="22" applyNumberFormat="1" applyFont="1" applyFill="1" applyBorder="1" applyAlignment="1">
      <alignment horizontal="center" vertical="center"/>
    </xf>
    <xf numFmtId="184" fontId="62" fillId="3" borderId="75" xfId="22" applyNumberFormat="1" applyFont="1" applyFill="1" applyBorder="1" applyAlignment="1">
      <alignment horizontal="center" vertical="center"/>
    </xf>
    <xf numFmtId="168" fontId="59" fillId="17" borderId="0" xfId="140" applyFont="1" applyFill="1" applyBorder="1" applyAlignment="1">
      <alignment horizontal="left" vertical="center"/>
    </xf>
    <xf numFmtId="0" fontId="62" fillId="17" borderId="56" xfId="0" applyFont="1" applyFill="1" applyBorder="1" applyAlignment="1">
      <alignment horizontal="left" vertical="center"/>
    </xf>
    <xf numFmtId="0" fontId="62" fillId="17" borderId="68" xfId="0" applyFont="1" applyFill="1" applyBorder="1" applyAlignment="1">
      <alignment vertical="center"/>
    </xf>
    <xf numFmtId="184" fontId="62" fillId="17" borderId="68" xfId="140" applyNumberFormat="1" applyFont="1" applyFill="1" applyBorder="1" applyAlignment="1">
      <alignment vertical="center"/>
    </xf>
    <xf numFmtId="184" fontId="62" fillId="17" borderId="68" xfId="22" applyNumberFormat="1" applyFont="1" applyFill="1" applyBorder="1" applyAlignment="1">
      <alignment vertical="center"/>
    </xf>
    <xf numFmtId="184" fontId="62" fillId="17" borderId="57" xfId="22" applyNumberFormat="1" applyFont="1" applyFill="1" applyBorder="1" applyAlignment="1">
      <alignment vertical="center"/>
    </xf>
    <xf numFmtId="184" fontId="69" fillId="0" borderId="0" xfId="145" applyNumberFormat="1" applyFill="1" applyBorder="1" applyAlignment="1" applyProtection="1">
      <alignment vertical="center"/>
    </xf>
    <xf numFmtId="0" fontId="59" fillId="0" borderId="0" xfId="0" applyFont="1" applyFill="1" applyAlignment="1">
      <alignment horizontal="left" vertical="center"/>
    </xf>
    <xf numFmtId="0" fontId="60" fillId="0" borderId="0" xfId="22" applyNumberFormat="1" applyFont="1" applyBorder="1" applyAlignment="1">
      <alignment horizontal="left" vertical="center"/>
    </xf>
    <xf numFmtId="0" fontId="69" fillId="0" borderId="0" xfId="145" applyFill="1" applyAlignment="1" applyProtection="1">
      <alignment horizontal="left" vertical="center"/>
    </xf>
    <xf numFmtId="0" fontId="62" fillId="17" borderId="56" xfId="0" applyFont="1" applyFill="1" applyBorder="1" applyAlignment="1">
      <alignment vertical="center"/>
    </xf>
    <xf numFmtId="0" fontId="62" fillId="17" borderId="68" xfId="0" applyFont="1" applyFill="1" applyBorder="1" applyAlignment="1">
      <alignment horizontal="center" vertical="center"/>
    </xf>
    <xf numFmtId="184" fontId="62" fillId="17" borderId="68" xfId="140" applyNumberFormat="1" applyFont="1" applyFill="1" applyBorder="1" applyAlignment="1">
      <alignment horizontal="center" vertical="center"/>
    </xf>
    <xf numFmtId="184" fontId="62" fillId="17" borderId="68" xfId="22" applyNumberFormat="1" applyFont="1" applyFill="1" applyBorder="1" applyAlignment="1">
      <alignment horizontal="center" vertical="center"/>
    </xf>
    <xf numFmtId="184" fontId="62" fillId="17" borderId="57" xfId="22" applyNumberFormat="1" applyFont="1" applyFill="1" applyBorder="1" applyAlignment="1">
      <alignment horizontal="center" vertical="center"/>
    </xf>
    <xf numFmtId="184" fontId="62" fillId="0" borderId="0" xfId="140" applyNumberFormat="1" applyFont="1" applyFill="1" applyBorder="1" applyAlignment="1">
      <alignment horizontal="center" vertical="center"/>
    </xf>
    <xf numFmtId="0" fontId="59" fillId="0" borderId="0" xfId="0" applyFont="1" applyBorder="1" applyAlignment="1">
      <alignment horizontal="left" vertical="center"/>
    </xf>
    <xf numFmtId="0" fontId="62" fillId="17" borderId="68" xfId="0" applyFont="1" applyFill="1" applyBorder="1" applyAlignment="1">
      <alignment horizontal="left" vertical="center"/>
    </xf>
    <xf numFmtId="0" fontId="62" fillId="17" borderId="57" xfId="0" applyFont="1" applyFill="1" applyBorder="1" applyAlignment="1">
      <alignment horizontal="left" vertical="center"/>
    </xf>
    <xf numFmtId="184" fontId="59" fillId="17" borderId="0" xfId="140" applyNumberFormat="1" applyFont="1" applyFill="1" applyBorder="1" applyAlignment="1">
      <alignment horizontal="center" vertical="center"/>
    </xf>
    <xf numFmtId="184" fontId="62" fillId="0" borderId="0" xfId="22" applyNumberFormat="1" applyFont="1" applyBorder="1" applyAlignment="1">
      <alignment horizontal="center" vertical="center"/>
    </xf>
    <xf numFmtId="14" fontId="59" fillId="17" borderId="0" xfId="22" applyNumberFormat="1" applyFont="1" applyFill="1" applyBorder="1" applyAlignment="1">
      <alignment horizontal="center" vertical="center"/>
    </xf>
    <xf numFmtId="184" fontId="59" fillId="0" borderId="67" xfId="22" applyNumberFormat="1" applyFont="1" applyBorder="1" applyAlignment="1">
      <alignment horizontal="center" vertical="center"/>
    </xf>
    <xf numFmtId="0" fontId="59" fillId="0" borderId="76" xfId="0" applyFont="1" applyBorder="1" applyAlignment="1">
      <alignment vertical="center"/>
    </xf>
    <xf numFmtId="0" fontId="63" fillId="25" borderId="77" xfId="0" applyFont="1" applyFill="1" applyBorder="1" applyAlignment="1">
      <alignment horizontal="center" vertical="center"/>
    </xf>
    <xf numFmtId="0" fontId="63" fillId="25" borderId="78" xfId="0" applyFont="1" applyFill="1" applyBorder="1" applyAlignment="1">
      <alignment horizontal="center" vertical="center"/>
    </xf>
    <xf numFmtId="0" fontId="63" fillId="25" borderId="79" xfId="0" applyFont="1" applyFill="1" applyBorder="1" applyAlignment="1">
      <alignment horizontal="center" vertical="center"/>
    </xf>
    <xf numFmtId="0" fontId="62" fillId="25" borderId="60" xfId="0" applyFont="1" applyFill="1" applyBorder="1" applyAlignment="1">
      <alignment vertical="center"/>
    </xf>
    <xf numFmtId="0" fontId="62" fillId="25" borderId="64" xfId="0" applyFont="1" applyFill="1" applyBorder="1" applyAlignment="1">
      <alignment vertical="center"/>
    </xf>
    <xf numFmtId="0" fontId="62" fillId="25" borderId="64" xfId="0" applyFont="1" applyFill="1" applyBorder="1" applyAlignment="1">
      <alignment horizontal="center" vertical="center"/>
    </xf>
    <xf numFmtId="184" fontId="62" fillId="25" borderId="64" xfId="140" applyNumberFormat="1" applyFont="1" applyFill="1" applyBorder="1" applyAlignment="1">
      <alignment horizontal="center" vertical="center"/>
    </xf>
    <xf numFmtId="184" fontId="62" fillId="25" borderId="64" xfId="22" applyNumberFormat="1" applyFont="1" applyFill="1" applyBorder="1" applyAlignment="1">
      <alignment horizontal="center" vertical="center"/>
    </xf>
    <xf numFmtId="184" fontId="62" fillId="25" borderId="61" xfId="22" applyNumberFormat="1" applyFont="1" applyFill="1" applyBorder="1" applyAlignment="1">
      <alignment horizontal="center" vertical="center"/>
    </xf>
    <xf numFmtId="0" fontId="70" fillId="0" borderId="0" xfId="0" applyFont="1" applyBorder="1" applyAlignment="1">
      <alignment vertical="center"/>
    </xf>
    <xf numFmtId="0" fontId="64" fillId="25" borderId="0" xfId="0" applyFont="1" applyFill="1" applyBorder="1" applyAlignment="1">
      <alignment horizontal="center" vertical="center"/>
    </xf>
    <xf numFmtId="0" fontId="70" fillId="0" borderId="0" xfId="0" applyFont="1" applyFill="1" applyBorder="1" applyAlignment="1">
      <alignment horizontal="center" vertical="center"/>
    </xf>
    <xf numFmtId="184" fontId="63" fillId="17" borderId="68" xfId="22" applyNumberFormat="1" applyFont="1" applyFill="1" applyBorder="1" applyAlignment="1">
      <alignment horizontal="left" vertical="center"/>
    </xf>
    <xf numFmtId="0" fontId="70" fillId="0" borderId="0" xfId="0" applyFont="1" applyBorder="1" applyAlignment="1">
      <alignment horizontal="center" vertical="center"/>
    </xf>
    <xf numFmtId="184" fontId="70" fillId="0" borderId="0" xfId="140" applyNumberFormat="1" applyFont="1" applyFill="1" applyBorder="1" applyAlignment="1">
      <alignment horizontal="center" vertical="center"/>
    </xf>
    <xf numFmtId="184" fontId="59" fillId="0" borderId="68" xfId="140" applyNumberFormat="1" applyFont="1" applyBorder="1" applyAlignment="1">
      <alignment vertical="center"/>
    </xf>
    <xf numFmtId="184" fontId="59" fillId="0" borderId="68" xfId="140" applyNumberFormat="1" applyFont="1" applyFill="1" applyBorder="1" applyAlignment="1">
      <alignment vertical="center"/>
    </xf>
    <xf numFmtId="0" fontId="70" fillId="0" borderId="68" xfId="22" applyNumberFormat="1" applyFont="1" applyBorder="1" applyAlignment="1">
      <alignment horizontal="center" vertical="center"/>
    </xf>
    <xf numFmtId="0" fontId="70" fillId="0" borderId="57" xfId="22" applyNumberFormat="1" applyFont="1" applyBorder="1" applyAlignment="1">
      <alignment horizontal="center" vertical="center"/>
    </xf>
    <xf numFmtId="0" fontId="64" fillId="0" borderId="0" xfId="0" applyFont="1" applyAlignment="1">
      <alignment vertical="center"/>
    </xf>
    <xf numFmtId="0" fontId="63" fillId="17" borderId="56" xfId="0" applyFont="1" applyFill="1" applyBorder="1" applyAlignment="1">
      <alignment horizontal="left" vertical="center"/>
    </xf>
    <xf numFmtId="0" fontId="64" fillId="17" borderId="102" xfId="0" applyFont="1" applyFill="1" applyBorder="1" applyAlignment="1">
      <alignment horizontal="center" vertical="center"/>
    </xf>
    <xf numFmtId="0" fontId="64" fillId="0" borderId="82" xfId="0" applyFont="1" applyFill="1" applyBorder="1" applyAlignment="1">
      <alignment horizontal="center" vertical="center"/>
    </xf>
    <xf numFmtId="185" fontId="63" fillId="17" borderId="63" xfId="22" applyNumberFormat="1" applyFont="1" applyFill="1" applyBorder="1" applyAlignment="1">
      <alignment horizontal="center" vertical="center"/>
    </xf>
    <xf numFmtId="14" fontId="64" fillId="0" borderId="82" xfId="0" applyNumberFormat="1" applyFont="1" applyFill="1" applyBorder="1" applyAlignment="1">
      <alignment horizontal="center" vertical="center"/>
    </xf>
    <xf numFmtId="168" fontId="64" fillId="0" borderId="0" xfId="140" applyFont="1" applyFill="1" applyBorder="1" applyAlignment="1">
      <alignment horizontal="center" vertical="center"/>
    </xf>
    <xf numFmtId="168" fontId="64" fillId="0" borderId="63" xfId="140" applyFont="1" applyFill="1" applyBorder="1" applyAlignment="1">
      <alignment vertical="center"/>
    </xf>
    <xf numFmtId="0" fontId="62" fillId="0" borderId="112" xfId="0" applyFont="1" applyBorder="1" applyAlignment="1">
      <alignment vertical="center"/>
    </xf>
    <xf numFmtId="0" fontId="62" fillId="0" borderId="114" xfId="0" applyFont="1" applyBorder="1" applyAlignment="1">
      <alignment vertical="center"/>
    </xf>
    <xf numFmtId="0" fontId="59" fillId="0" borderId="117" xfId="0" applyFont="1" applyBorder="1" applyAlignment="1">
      <alignment vertical="center"/>
    </xf>
    <xf numFmtId="0" fontId="59" fillId="0" borderId="118" xfId="0" applyFont="1" applyBorder="1" applyAlignment="1">
      <alignment vertical="center"/>
    </xf>
    <xf numFmtId="0" fontId="59" fillId="0" borderId="118" xfId="0" applyFont="1" applyFill="1" applyBorder="1" applyAlignment="1">
      <alignment vertical="center"/>
    </xf>
    <xf numFmtId="0" fontId="59" fillId="0" borderId="119" xfId="0" applyFont="1" applyFill="1" applyBorder="1" applyAlignment="1">
      <alignment vertical="center"/>
    </xf>
    <xf numFmtId="184" fontId="62" fillId="0" borderId="81" xfId="22" applyNumberFormat="1" applyFont="1" applyBorder="1" applyAlignment="1">
      <alignment horizontal="left" vertical="center"/>
    </xf>
    <xf numFmtId="0" fontId="62" fillId="17" borderId="109" xfId="0" applyFont="1" applyFill="1" applyBorder="1" applyAlignment="1">
      <alignment vertical="center"/>
    </xf>
    <xf numFmtId="0" fontId="62" fillId="17" borderId="112" xfId="0" applyFont="1" applyFill="1" applyBorder="1" applyAlignment="1">
      <alignment vertical="center"/>
    </xf>
    <xf numFmtId="0" fontId="59" fillId="28" borderId="56" xfId="0" applyFont="1" applyFill="1" applyBorder="1" applyAlignment="1">
      <alignment vertical="center"/>
    </xf>
    <xf numFmtId="0" fontId="59" fillId="28" borderId="57" xfId="0" applyFont="1" applyFill="1" applyBorder="1" applyAlignment="1">
      <alignment vertical="center"/>
    </xf>
    <xf numFmtId="0" fontId="64" fillId="17" borderId="101" xfId="0" applyFont="1" applyFill="1" applyBorder="1" applyAlignment="1">
      <alignment horizontal="center" vertical="center"/>
    </xf>
    <xf numFmtId="0" fontId="64" fillId="17" borderId="108" xfId="0" applyFont="1" applyFill="1" applyBorder="1" applyAlignment="1">
      <alignment horizontal="center" vertical="center"/>
    </xf>
    <xf numFmtId="0" fontId="64" fillId="0" borderId="0" xfId="143" applyFill="1" applyAlignment="1">
      <alignment vertical="center"/>
    </xf>
    <xf numFmtId="0" fontId="65" fillId="0" borderId="0" xfId="0" applyFont="1" applyFill="1" applyBorder="1" applyAlignment="1">
      <alignment vertical="center"/>
    </xf>
    <xf numFmtId="185" fontId="64" fillId="0" borderId="0" xfId="22" applyNumberFormat="1" applyFont="1" applyFill="1" applyBorder="1" applyAlignment="1">
      <alignment horizontal="center" vertical="center"/>
    </xf>
    <xf numFmtId="0" fontId="64" fillId="0" borderId="0" xfId="142" applyNumberFormat="1" applyFont="1" applyFill="1" applyBorder="1" applyAlignment="1">
      <alignment horizontal="center" vertical="center"/>
    </xf>
    <xf numFmtId="14" fontId="64" fillId="0" borderId="0" xfId="142" applyNumberFormat="1" applyFont="1" applyFill="1" applyBorder="1" applyAlignment="1">
      <alignment horizontal="center" vertical="center"/>
    </xf>
    <xf numFmtId="184" fontId="60" fillId="0" borderId="0" xfId="22" applyNumberFormat="1" applyFont="1" applyAlignment="1">
      <alignment horizontal="center" vertical="center"/>
    </xf>
    <xf numFmtId="0" fontId="64" fillId="0" borderId="0" xfId="0" applyFont="1" applyAlignment="1">
      <alignment horizontal="left" vertical="center"/>
    </xf>
    <xf numFmtId="0" fontId="63" fillId="17" borderId="68" xfId="0" applyFont="1" applyFill="1" applyBorder="1" applyAlignment="1">
      <alignment horizontal="center" vertical="center"/>
    </xf>
    <xf numFmtId="0" fontId="63" fillId="17" borderId="57" xfId="0" applyFont="1" applyFill="1" applyBorder="1" applyAlignment="1">
      <alignment horizontal="center" vertical="center"/>
    </xf>
    <xf numFmtId="184" fontId="59" fillId="0" borderId="0" xfId="22" applyNumberFormat="1" applyFont="1" applyFill="1" applyAlignment="1">
      <alignment horizontal="center" vertical="center"/>
    </xf>
    <xf numFmtId="0" fontId="109" fillId="0" borderId="0" xfId="0" applyFont="1" applyAlignment="1">
      <alignment horizontal="left" vertical="center"/>
    </xf>
    <xf numFmtId="0" fontId="110" fillId="0" borderId="68" xfId="0" applyFont="1" applyBorder="1" applyAlignment="1">
      <alignment vertical="center"/>
    </xf>
    <xf numFmtId="0" fontId="64" fillId="0" borderId="56" xfId="0" applyFont="1" applyBorder="1" applyAlignment="1">
      <alignment vertical="center"/>
    </xf>
    <xf numFmtId="4" fontId="64" fillId="0" borderId="0" xfId="149" applyNumberFormat="1" applyFont="1" applyAlignment="1">
      <alignment horizontal="left"/>
    </xf>
    <xf numFmtId="4" fontId="89" fillId="0" borderId="0" xfId="149" applyNumberFormat="1" applyFont="1" applyAlignment="1">
      <alignment horizontal="left"/>
    </xf>
    <xf numFmtId="169" fontId="62" fillId="0" borderId="93" xfId="0" applyNumberFormat="1" applyFont="1" applyBorder="1"/>
    <xf numFmtId="0" fontId="62" fillId="0" borderId="0" xfId="0" applyFont="1" applyAlignment="1">
      <alignment horizontal="right"/>
    </xf>
    <xf numFmtId="0" fontId="62" fillId="0" borderId="71" xfId="0" applyFont="1" applyBorder="1"/>
    <xf numFmtId="169" fontId="59" fillId="0" borderId="0" xfId="0" applyNumberFormat="1" applyFont="1"/>
    <xf numFmtId="169" fontId="62" fillId="0" borderId="69" xfId="0" applyNumberFormat="1" applyFont="1" applyBorder="1"/>
    <xf numFmtId="9" fontId="59" fillId="0" borderId="0" xfId="0" applyNumberFormat="1" applyFont="1" applyAlignment="1">
      <alignment horizontal="center"/>
    </xf>
    <xf numFmtId="18" fontId="62" fillId="0" borderId="0" xfId="0" applyNumberFormat="1" applyFont="1"/>
    <xf numFmtId="9" fontId="59" fillId="0" borderId="0" xfId="141" applyFont="1" applyAlignment="1">
      <alignment horizontal="center"/>
    </xf>
    <xf numFmtId="169" fontId="64" fillId="0" borderId="0" xfId="22" applyFont="1" applyFill="1" applyBorder="1"/>
    <xf numFmtId="169" fontId="62" fillId="0" borderId="74" xfId="0" applyNumberFormat="1" applyFont="1" applyBorder="1"/>
    <xf numFmtId="169" fontId="62" fillId="0" borderId="74" xfId="0" applyNumberFormat="1" applyFont="1" applyFill="1" applyBorder="1"/>
    <xf numFmtId="17" fontId="59" fillId="0" borderId="0" xfId="0" applyNumberFormat="1" applyFont="1"/>
    <xf numFmtId="184" fontId="59" fillId="0" borderId="61" xfId="22" applyNumberFormat="1" applyFont="1" applyBorder="1" applyAlignment="1">
      <alignment horizontal="center" vertical="center"/>
    </xf>
    <xf numFmtId="0" fontId="63" fillId="28" borderId="0" xfId="143" applyFont="1" applyFill="1"/>
    <xf numFmtId="14" fontId="63" fillId="28" borderId="0" xfId="146" applyNumberFormat="1" applyFont="1" applyFill="1" applyAlignment="1">
      <alignment horizontal="right"/>
    </xf>
    <xf numFmtId="0" fontId="111" fillId="28" borderId="0" xfId="0" applyFont="1" applyFill="1"/>
    <xf numFmtId="184" fontId="59" fillId="0" borderId="0" xfId="22" applyNumberFormat="1" applyFont="1" applyAlignment="1">
      <alignment horizontal="left" vertical="center"/>
    </xf>
    <xf numFmtId="0" fontId="0" fillId="0" borderId="0" xfId="0" applyAlignment="1">
      <alignment horizontal="center"/>
    </xf>
    <xf numFmtId="0" fontId="112" fillId="0" borderId="0" xfId="0" applyNumberFormat="1" applyFont="1" applyFill="1" applyBorder="1" applyAlignment="1" applyProtection="1"/>
    <xf numFmtId="0" fontId="113" fillId="25" borderId="71" xfId="0" applyNumberFormat="1" applyFont="1" applyFill="1" applyBorder="1" applyAlignment="1" applyProtection="1">
      <alignment wrapText="1"/>
    </xf>
    <xf numFmtId="0" fontId="113" fillId="25" borderId="84" xfId="0" applyNumberFormat="1" applyFont="1" applyFill="1" applyBorder="1" applyAlignment="1" applyProtection="1">
      <alignment wrapText="1"/>
    </xf>
    <xf numFmtId="0" fontId="114" fillId="0" borderId="0" xfId="0" applyNumberFormat="1" applyFont="1" applyFill="1" applyBorder="1" applyAlignment="1" applyProtection="1"/>
    <xf numFmtId="0" fontId="114" fillId="0" borderId="89" xfId="0" applyNumberFormat="1" applyFont="1" applyFill="1" applyBorder="1" applyAlignment="1" applyProtection="1"/>
    <xf numFmtId="0" fontId="113" fillId="25" borderId="89" xfId="0" applyNumberFormat="1" applyFont="1" applyFill="1" applyBorder="1" applyAlignment="1" applyProtection="1">
      <alignment wrapText="1"/>
    </xf>
    <xf numFmtId="0" fontId="113" fillId="25" borderId="0" xfId="0" applyNumberFormat="1" applyFont="1" applyFill="1" applyBorder="1" applyAlignment="1" applyProtection="1">
      <alignment wrapText="1"/>
    </xf>
    <xf numFmtId="0" fontId="112" fillId="0" borderId="69" xfId="0" applyNumberFormat="1" applyFont="1" applyFill="1" applyBorder="1" applyAlignment="1" applyProtection="1">
      <alignment vertical="center"/>
    </xf>
    <xf numFmtId="0" fontId="114" fillId="0" borderId="69" xfId="0" applyNumberFormat="1" applyFont="1" applyFill="1" applyBorder="1" applyAlignment="1" applyProtection="1">
      <alignment vertical="center"/>
    </xf>
    <xf numFmtId="0" fontId="112" fillId="0" borderId="0" xfId="0" applyNumberFormat="1" applyFont="1" applyFill="1" applyBorder="1" applyAlignment="1" applyProtection="1">
      <alignment wrapText="1"/>
    </xf>
    <xf numFmtId="0" fontId="112" fillId="0" borderId="0" xfId="0" applyNumberFormat="1" applyFont="1" applyFill="1" applyBorder="1" applyAlignment="1" applyProtection="1">
      <alignment vertical="center"/>
    </xf>
    <xf numFmtId="0" fontId="114" fillId="0" borderId="0" xfId="0" applyNumberFormat="1" applyFont="1" applyFill="1" applyBorder="1" applyAlignment="1" applyProtection="1">
      <alignment horizontal="center" vertical="center"/>
    </xf>
    <xf numFmtId="0" fontId="112" fillId="0" borderId="76" xfId="0" applyNumberFormat="1" applyFont="1" applyFill="1" applyBorder="1" applyAlignment="1" applyProtection="1"/>
    <xf numFmtId="169" fontId="113" fillId="25" borderId="74" xfId="0" applyNumberFormat="1" applyFont="1" applyFill="1" applyBorder="1" applyAlignment="1" applyProtection="1">
      <alignment horizontal="right"/>
    </xf>
    <xf numFmtId="169" fontId="81" fillId="0" borderId="86" xfId="0" applyNumberFormat="1" applyFont="1" applyFill="1" applyBorder="1" applyAlignment="1" applyProtection="1">
      <alignment horizontal="center"/>
    </xf>
    <xf numFmtId="0" fontId="114" fillId="0" borderId="74" xfId="0" applyNumberFormat="1" applyFont="1" applyFill="1" applyBorder="1" applyAlignment="1" applyProtection="1"/>
    <xf numFmtId="0" fontId="112" fillId="26" borderId="71" xfId="0" applyNumberFormat="1" applyFont="1" applyFill="1" applyBorder="1" applyAlignment="1" applyProtection="1"/>
    <xf numFmtId="169" fontId="113" fillId="25" borderId="0" xfId="0" applyNumberFormat="1" applyFont="1" applyFill="1" applyBorder="1" applyAlignment="1" applyProtection="1">
      <alignment horizontal="center"/>
    </xf>
    <xf numFmtId="0" fontId="112" fillId="26" borderId="0" xfId="0" applyNumberFormat="1" applyFont="1" applyFill="1" applyBorder="1" applyAlignment="1" applyProtection="1"/>
    <xf numFmtId="9" fontId="114" fillId="0" borderId="0" xfId="141" applyFont="1" applyFill="1" applyBorder="1" applyAlignment="1" applyProtection="1">
      <alignment horizontal="center" vertical="center"/>
    </xf>
    <xf numFmtId="9" fontId="112" fillId="26" borderId="69" xfId="141" applyFont="1" applyFill="1" applyBorder="1" applyAlignment="1" applyProtection="1"/>
    <xf numFmtId="9" fontId="0" fillId="0" borderId="0" xfId="141" applyFont="1"/>
    <xf numFmtId="0" fontId="112" fillId="0" borderId="69" xfId="0" applyNumberFormat="1" applyFont="1" applyFill="1" applyBorder="1" applyAlignment="1" applyProtection="1"/>
    <xf numFmtId="0" fontId="115" fillId="25" borderId="74" xfId="0" applyNumberFormat="1" applyFont="1" applyFill="1" applyBorder="1" applyAlignment="1" applyProtection="1">
      <alignment wrapText="1"/>
    </xf>
    <xf numFmtId="0" fontId="114" fillId="0" borderId="0" xfId="0" applyNumberFormat="1" applyFont="1" applyFill="1" applyBorder="1" applyAlignment="1" applyProtection="1">
      <alignment horizontal="center"/>
    </xf>
    <xf numFmtId="0" fontId="115" fillId="25" borderId="81" xfId="0" applyNumberFormat="1" applyFont="1" applyFill="1" applyBorder="1" applyAlignment="1" applyProtection="1">
      <alignment wrapText="1"/>
    </xf>
    <xf numFmtId="0" fontId="116" fillId="0" borderId="105" xfId="0" applyNumberFormat="1" applyFont="1" applyFill="1" applyBorder="1" applyAlignment="1" applyProtection="1">
      <alignment vertical="top" wrapText="1"/>
    </xf>
    <xf numFmtId="0" fontId="116" fillId="0" borderId="71" xfId="0" applyNumberFormat="1" applyFont="1" applyFill="1" applyBorder="1" applyAlignment="1" applyProtection="1">
      <alignment vertical="top" wrapText="1"/>
    </xf>
    <xf numFmtId="0" fontId="116" fillId="0" borderId="84" xfId="0" applyNumberFormat="1" applyFont="1" applyFill="1" applyBorder="1" applyAlignment="1" applyProtection="1">
      <alignment vertical="top" wrapText="1"/>
    </xf>
    <xf numFmtId="0" fontId="116" fillId="0" borderId="82" xfId="0" applyNumberFormat="1" applyFont="1" applyFill="1" applyBorder="1" applyAlignment="1" applyProtection="1">
      <alignment vertical="top" wrapText="1"/>
    </xf>
    <xf numFmtId="0" fontId="116" fillId="0" borderId="74" xfId="0" applyNumberFormat="1" applyFont="1" applyFill="1" applyBorder="1" applyAlignment="1" applyProtection="1">
      <alignment vertical="top" wrapText="1"/>
    </xf>
    <xf numFmtId="0" fontId="116" fillId="0" borderId="81" xfId="0" applyNumberFormat="1" applyFont="1" applyFill="1" applyBorder="1" applyAlignment="1" applyProtection="1">
      <alignment vertical="top" wrapText="1"/>
    </xf>
    <xf numFmtId="0" fontId="114" fillId="0" borderId="76" xfId="0" applyNumberFormat="1" applyFont="1" applyFill="1" applyBorder="1" applyAlignment="1" applyProtection="1"/>
    <xf numFmtId="0" fontId="114" fillId="0" borderId="0" xfId="0" applyNumberFormat="1" applyFont="1" applyFill="1" applyBorder="1" applyAlignment="1" applyProtection="1">
      <alignment vertical="center"/>
    </xf>
    <xf numFmtId="0" fontId="116" fillId="0" borderId="82" xfId="0" applyNumberFormat="1" applyFont="1" applyFill="1" applyBorder="1" applyAlignment="1" applyProtection="1">
      <alignment vertical="center" wrapText="1"/>
      <protection locked="0"/>
    </xf>
    <xf numFmtId="0" fontId="116" fillId="0" borderId="80" xfId="0" applyNumberFormat="1" applyFont="1" applyFill="1" applyBorder="1" applyAlignment="1" applyProtection="1">
      <alignment vertical="top" wrapText="1"/>
    </xf>
    <xf numFmtId="0" fontId="113" fillId="17" borderId="80" xfId="0" applyNumberFormat="1" applyFont="1" applyFill="1" applyBorder="1" applyAlignment="1" applyProtection="1">
      <alignment vertical="top" wrapText="1"/>
    </xf>
    <xf numFmtId="169" fontId="76" fillId="17" borderId="82" xfId="0" applyNumberFormat="1" applyFont="1" applyFill="1" applyBorder="1" applyAlignment="1" applyProtection="1">
      <alignment horizontal="left"/>
    </xf>
    <xf numFmtId="169" fontId="76" fillId="17" borderId="82" xfId="0" applyNumberFormat="1" applyFont="1" applyFill="1" applyBorder="1" applyAlignment="1" applyProtection="1"/>
    <xf numFmtId="14" fontId="113" fillId="17" borderId="82" xfId="0" applyNumberFormat="1" applyFont="1" applyFill="1" applyBorder="1" applyAlignment="1" applyProtection="1">
      <alignment horizontal="center"/>
    </xf>
    <xf numFmtId="169" fontId="113" fillId="17" borderId="82" xfId="0" applyNumberFormat="1" applyFont="1" applyFill="1" applyBorder="1" applyAlignment="1" applyProtection="1">
      <alignment horizontal="center"/>
    </xf>
    <xf numFmtId="0" fontId="81" fillId="17" borderId="82" xfId="0" applyNumberFormat="1" applyFont="1" applyFill="1" applyBorder="1" applyAlignment="1" applyProtection="1">
      <alignment wrapText="1"/>
    </xf>
    <xf numFmtId="0" fontId="76" fillId="17" borderId="80" xfId="0" applyNumberFormat="1" applyFont="1" applyFill="1" applyBorder="1" applyAlignment="1" applyProtection="1">
      <alignment vertical="top" wrapText="1"/>
    </xf>
    <xf numFmtId="0" fontId="81" fillId="17" borderId="80" xfId="0" applyNumberFormat="1" applyFont="1" applyFill="1" applyBorder="1" applyAlignment="1" applyProtection="1">
      <alignment horizontal="center" vertical="center" wrapText="1"/>
    </xf>
    <xf numFmtId="0" fontId="81" fillId="17" borderId="82" xfId="0" applyNumberFormat="1" applyFont="1" applyFill="1" applyBorder="1" applyAlignment="1" applyProtection="1">
      <alignment horizontal="center" vertical="center" wrapText="1"/>
    </xf>
    <xf numFmtId="0" fontId="116" fillId="0" borderId="82" xfId="0" applyNumberFormat="1" applyFont="1" applyFill="1" applyBorder="1" applyAlignment="1" applyProtection="1">
      <alignment horizontal="center" vertical="center" wrapText="1"/>
    </xf>
    <xf numFmtId="0" fontId="116" fillId="0" borderId="105" xfId="0" applyNumberFormat="1" applyFont="1" applyFill="1" applyBorder="1" applyAlignment="1" applyProtection="1">
      <alignment horizontal="center" vertical="center" wrapText="1"/>
    </xf>
    <xf numFmtId="0" fontId="0" fillId="0" borderId="82" xfId="0" applyBorder="1" applyAlignment="1">
      <alignment horizontal="center" vertical="center"/>
    </xf>
    <xf numFmtId="0" fontId="116" fillId="0" borderId="82" xfId="0" applyNumberFormat="1" applyFont="1" applyFill="1" applyBorder="1" applyAlignment="1" applyProtection="1">
      <alignment horizontal="left" vertical="center"/>
    </xf>
    <xf numFmtId="169" fontId="76" fillId="17" borderId="81" xfId="0" applyNumberFormat="1" applyFont="1" applyFill="1" applyBorder="1" applyAlignment="1" applyProtection="1">
      <alignment horizontal="center"/>
    </xf>
    <xf numFmtId="0" fontId="112" fillId="0" borderId="82" xfId="0" applyNumberFormat="1" applyFont="1" applyFill="1" applyBorder="1" applyAlignment="1" applyProtection="1"/>
    <xf numFmtId="0" fontId="81" fillId="0" borderId="82" xfId="0" applyNumberFormat="1" applyFont="1" applyFill="1" applyBorder="1" applyAlignment="1" applyProtection="1">
      <alignment vertical="center" wrapText="1"/>
    </xf>
    <xf numFmtId="169" fontId="81" fillId="0" borderId="82" xfId="0" applyNumberFormat="1" applyFont="1" applyFill="1" applyBorder="1" applyAlignment="1" applyProtection="1">
      <alignment horizontal="left"/>
    </xf>
    <xf numFmtId="0" fontId="76" fillId="0" borderId="0" xfId="0" applyNumberFormat="1" applyFont="1" applyFill="1" applyBorder="1" applyAlignment="1" applyProtection="1"/>
    <xf numFmtId="0" fontId="117" fillId="0" borderId="0" xfId="0" applyFont="1"/>
    <xf numFmtId="0" fontId="81" fillId="0" borderId="0" xfId="0" applyNumberFormat="1" applyFont="1" applyFill="1" applyBorder="1" applyAlignment="1" applyProtection="1"/>
    <xf numFmtId="0" fontId="59" fillId="0" borderId="63" xfId="22" applyNumberFormat="1" applyFont="1" applyBorder="1" applyAlignment="1">
      <alignment horizontal="left" vertical="center"/>
    </xf>
    <xf numFmtId="0" fontId="0" fillId="16" borderId="1" xfId="0" quotePrefix="1" applyFill="1" applyBorder="1" applyAlignment="1">
      <alignment vertical="center"/>
    </xf>
    <xf numFmtId="49" fontId="118" fillId="0" borderId="26" xfId="0" applyNumberFormat="1" applyFont="1" applyBorder="1" applyAlignment="1">
      <alignment vertical="center"/>
    </xf>
    <xf numFmtId="49" fontId="119" fillId="0" borderId="26" xfId="0" applyNumberFormat="1" applyFont="1" applyBorder="1" applyAlignment="1">
      <alignment vertical="center"/>
    </xf>
    <xf numFmtId="49" fontId="120" fillId="0" borderId="26" xfId="0" applyNumberFormat="1" applyFont="1" applyBorder="1" applyAlignment="1">
      <alignment horizontal="left" vertical="center" indent="1"/>
    </xf>
    <xf numFmtId="49" fontId="120" fillId="0" borderId="26" xfId="0" applyNumberFormat="1" applyFont="1" applyBorder="1" applyAlignment="1">
      <alignment horizontal="left" vertical="center" indent="2"/>
    </xf>
    <xf numFmtId="49" fontId="121" fillId="0" borderId="26" xfId="0" applyNumberFormat="1" applyFont="1" applyBorder="1" applyAlignment="1">
      <alignment horizontal="left" vertical="center" indent="3"/>
    </xf>
    <xf numFmtId="189" fontId="121" fillId="0" borderId="26" xfId="100" applyNumberFormat="1" applyFont="1" applyBorder="1" applyAlignment="1">
      <alignment vertical="center"/>
    </xf>
    <xf numFmtId="189" fontId="120" fillId="0" borderId="26" xfId="100" applyNumberFormat="1" applyFont="1" applyBorder="1" applyAlignment="1">
      <alignment vertical="center"/>
    </xf>
    <xf numFmtId="49" fontId="121" fillId="0" borderId="26" xfId="0" applyNumberFormat="1" applyFont="1" applyBorder="1" applyAlignment="1">
      <alignment vertical="center"/>
    </xf>
    <xf numFmtId="49" fontId="121" fillId="0" borderId="26" xfId="0" applyNumberFormat="1" applyFont="1" applyBorder="1" applyAlignment="1">
      <alignment horizontal="left" vertical="center" indent="2"/>
    </xf>
    <xf numFmtId="49" fontId="121" fillId="0" borderId="26" xfId="0" applyNumberFormat="1" applyFont="1" applyBorder="1" applyAlignment="1">
      <alignment horizontal="left" vertical="center" indent="1"/>
    </xf>
    <xf numFmtId="49" fontId="120" fillId="0" borderId="26" xfId="0" applyNumberFormat="1" applyFont="1" applyBorder="1" applyAlignment="1">
      <alignment horizontal="left" vertical="center" indent="3"/>
    </xf>
    <xf numFmtId="0" fontId="2" fillId="3" borderId="1" xfId="28" applyProtection="1">
      <alignment horizontal="center" vertical="center" wrapText="1"/>
      <protection locked="0"/>
    </xf>
    <xf numFmtId="0" fontId="39" fillId="19" borderId="1" xfId="105" applyProtection="1">
      <alignment horizontal="center" vertical="center" wrapText="1"/>
      <protection locked="0"/>
    </xf>
    <xf numFmtId="0" fontId="0" fillId="0" borderId="0" xfId="0" applyAlignment="1">
      <alignment wrapText="1"/>
    </xf>
    <xf numFmtId="0" fontId="0" fillId="28" borderId="0" xfId="0" applyFill="1" applyBorder="1"/>
    <xf numFmtId="0" fontId="10" fillId="28" borderId="0" xfId="3" applyFill="1" applyBorder="1">
      <alignment horizontal="left" vertical="center" wrapText="1"/>
    </xf>
    <xf numFmtId="0" fontId="10" fillId="0" borderId="0" xfId="3">
      <alignment horizontal="left" vertical="center" wrapText="1"/>
    </xf>
    <xf numFmtId="0" fontId="0" fillId="0" borderId="0" xfId="0" applyAlignment="1">
      <alignment horizontal="left" wrapText="1"/>
    </xf>
    <xf numFmtId="0" fontId="10" fillId="3" borderId="1" xfId="24" applyNumberFormat="1">
      <alignment horizontal="center" vertical="center" wrapText="1"/>
      <protection locked="0"/>
    </xf>
    <xf numFmtId="49" fontId="122" fillId="0" borderId="1" xfId="23" applyNumberFormat="1" applyFont="1" applyFill="1" applyBorder="1" applyAlignment="1" applyProtection="1">
      <alignment horizontal="center" vertical="center" wrapText="1"/>
      <protection locked="0"/>
    </xf>
    <xf numFmtId="0" fontId="10" fillId="3" borderId="1" xfId="44" applyNumberFormat="1" applyProtection="1">
      <alignment horizontal="center" vertical="center" wrapText="1"/>
    </xf>
    <xf numFmtId="0" fontId="10" fillId="28" borderId="0" xfId="44" applyNumberFormat="1" applyFill="1" applyBorder="1" applyProtection="1">
      <alignment horizontal="center" vertical="center" wrapText="1"/>
    </xf>
    <xf numFmtId="0" fontId="0" fillId="0" borderId="0" xfId="0" applyAlignment="1">
      <alignment wrapText="1"/>
    </xf>
    <xf numFmtId="0" fontId="0" fillId="0" borderId="122" xfId="0" applyBorder="1"/>
    <xf numFmtId="0" fontId="0" fillId="0" borderId="12" xfId="0" applyBorder="1"/>
    <xf numFmtId="0" fontId="0" fillId="0" borderId="123" xfId="0" applyBorder="1"/>
    <xf numFmtId="0" fontId="10" fillId="3" borderId="1" xfId="13">
      <alignment horizontal="center" vertical="center" wrapText="1"/>
      <protection locked="0"/>
    </xf>
    <xf numFmtId="0" fontId="0" fillId="0" borderId="14" xfId="0" applyBorder="1"/>
    <xf numFmtId="0" fontId="9" fillId="2" borderId="1" xfId="131">
      <alignment horizontal="center" vertical="center" wrapText="1"/>
    </xf>
    <xf numFmtId="0" fontId="2" fillId="0" borderId="126" xfId="42" applyBorder="1">
      <alignment horizontal="center" vertical="center" wrapText="1"/>
    </xf>
    <xf numFmtId="0" fontId="2" fillId="0" borderId="127" xfId="42" applyBorder="1">
      <alignment horizontal="center" vertical="center" wrapText="1"/>
    </xf>
    <xf numFmtId="0" fontId="2" fillId="0" borderId="128" xfId="42" applyBorder="1">
      <alignment horizontal="center" vertical="center" wrapText="1"/>
    </xf>
    <xf numFmtId="173" fontId="10" fillId="2" borderId="1" xfId="38" applyBorder="1">
      <alignment vertical="center"/>
    </xf>
    <xf numFmtId="173" fontId="10" fillId="3" borderId="1" xfId="35">
      <alignment vertical="center"/>
      <protection locked="0"/>
    </xf>
    <xf numFmtId="49" fontId="10" fillId="3" borderId="17" xfId="34">
      <alignment vertical="center"/>
      <protection locked="0"/>
    </xf>
    <xf numFmtId="174" fontId="10" fillId="2" borderId="1" xfId="31" applyBorder="1">
      <alignment vertical="center"/>
    </xf>
    <xf numFmtId="0" fontId="2" fillId="0" borderId="0" xfId="9" applyBorder="1">
      <alignment horizontal="left" vertical="center" wrapText="1"/>
    </xf>
    <xf numFmtId="0" fontId="0" fillId="0" borderId="2" xfId="0" applyBorder="1" applyAlignment="1"/>
    <xf numFmtId="0" fontId="4" fillId="0" borderId="127" xfId="0" applyFont="1" applyFill="1" applyBorder="1" applyAlignment="1">
      <alignment horizontal="left" vertical="center" wrapText="1"/>
    </xf>
    <xf numFmtId="0" fontId="2" fillId="0" borderId="133" xfId="42" applyBorder="1">
      <alignment horizontal="center" vertical="center" wrapText="1"/>
    </xf>
    <xf numFmtId="0" fontId="2" fillId="0" borderId="127" xfId="42" applyFill="1" applyBorder="1">
      <alignment horizontal="center" vertical="center" wrapText="1"/>
    </xf>
    <xf numFmtId="0" fontId="4" fillId="0" borderId="0" xfId="0" applyFont="1" applyFill="1" applyBorder="1" applyAlignment="1">
      <alignment horizontal="left" vertical="center" wrapText="1"/>
    </xf>
    <xf numFmtId="0" fontId="2" fillId="0" borderId="0" xfId="42" applyBorder="1">
      <alignment horizontal="center" vertical="center" wrapText="1"/>
    </xf>
    <xf numFmtId="0" fontId="2" fillId="0" borderId="0" xfId="42" quotePrefix="1" applyBorder="1">
      <alignment horizontal="center" vertical="center" wrapText="1"/>
    </xf>
    <xf numFmtId="10" fontId="10" fillId="0" borderId="0" xfId="20" applyFill="1" applyBorder="1">
      <alignment horizontal="center" vertical="center"/>
      <protection locked="0"/>
    </xf>
    <xf numFmtId="10" fontId="10" fillId="3" borderId="1" xfId="20" applyBorder="1">
      <alignment horizontal="center" vertical="center"/>
      <protection locked="0"/>
    </xf>
    <xf numFmtId="173" fontId="10" fillId="3" borderId="1" xfId="35" applyBorder="1">
      <alignment vertical="center"/>
      <protection locked="0"/>
    </xf>
    <xf numFmtId="10" fontId="10" fillId="2" borderId="1" xfId="17" applyBorder="1">
      <alignment horizontal="center" vertical="center" wrapText="1"/>
    </xf>
    <xf numFmtId="49" fontId="10" fillId="0" borderId="17" xfId="34" applyFill="1">
      <alignment vertical="center"/>
      <protection locked="0"/>
    </xf>
    <xf numFmtId="0" fontId="0" fillId="0" borderId="137" xfId="0" applyBorder="1"/>
    <xf numFmtId="0" fontId="0" fillId="0" borderId="138" xfId="0" applyBorder="1"/>
    <xf numFmtId="0" fontId="10" fillId="0" borderId="0" xfId="14" applyBorder="1">
      <alignment horizontal="left" vertical="center" wrapText="1"/>
    </xf>
    <xf numFmtId="0" fontId="0" fillId="0" borderId="0" xfId="0" applyFill="1" applyBorder="1" applyAlignment="1">
      <alignment horizontal="center" vertical="center" shrinkToFit="1"/>
    </xf>
    <xf numFmtId="14" fontId="10" fillId="3" borderId="1" xfId="26" applyBorder="1">
      <alignment horizontal="center" vertical="center"/>
      <protection locked="0"/>
    </xf>
    <xf numFmtId="1" fontId="10" fillId="3" borderId="1" xfId="39" applyBorder="1">
      <alignment horizontal="center" vertical="center"/>
      <protection locked="0"/>
    </xf>
    <xf numFmtId="0" fontId="0" fillId="0" borderId="0" xfId="14" applyFont="1" applyBorder="1" applyAlignment="1">
      <alignment vertical="center" wrapText="1"/>
    </xf>
    <xf numFmtId="0" fontId="0" fillId="0" borderId="0" xfId="0" applyBorder="1" applyAlignment="1">
      <alignment wrapText="1"/>
    </xf>
    <xf numFmtId="0" fontId="2" fillId="0" borderId="0" xfId="9" applyBorder="1">
      <alignment horizontal="left" vertical="center" wrapText="1"/>
    </xf>
    <xf numFmtId="173" fontId="10" fillId="2" borderId="1" xfId="38">
      <alignment vertical="center"/>
    </xf>
    <xf numFmtId="174" fontId="10" fillId="2" borderId="1" xfId="31">
      <alignment vertical="center"/>
    </xf>
    <xf numFmtId="0" fontId="56" fillId="3" borderId="0" xfId="23" applyFill="1"/>
    <xf numFmtId="49" fontId="10" fillId="3" borderId="17" xfId="34" applyFill="1">
      <alignment vertical="center"/>
      <protection locked="0"/>
    </xf>
    <xf numFmtId="49" fontId="22" fillId="0" borderId="26" xfId="0" applyNumberFormat="1" applyFont="1" applyBorder="1" applyAlignment="1">
      <alignment horizontal="left" vertical="center"/>
    </xf>
    <xf numFmtId="177" fontId="22" fillId="0" borderId="26" xfId="0" applyNumberFormat="1" applyFont="1" applyBorder="1" applyAlignment="1">
      <alignment horizontal="left" vertical="center"/>
    </xf>
    <xf numFmtId="177" fontId="27" fillId="0" borderId="26" xfId="0" applyNumberFormat="1" applyFont="1" applyBorder="1" applyAlignment="1">
      <alignment horizontal="left" vertical="center"/>
    </xf>
    <xf numFmtId="0" fontId="0" fillId="0" borderId="26" xfId="0" applyBorder="1" applyAlignment="1">
      <alignment vertical="center"/>
    </xf>
    <xf numFmtId="49" fontId="6" fillId="16" borderId="30" xfId="11" applyFont="1" applyFill="1" applyBorder="1" applyAlignment="1" applyProtection="1">
      <alignment horizontal="center" vertical="center"/>
    </xf>
    <xf numFmtId="49" fontId="6" fillId="16" borderId="29" xfId="11" applyFont="1" applyFill="1" applyBorder="1" applyAlignment="1" applyProtection="1">
      <alignment horizontal="center" vertical="center"/>
    </xf>
    <xf numFmtId="2" fontId="6" fillId="16" borderId="29" xfId="11" applyNumberFormat="1" applyFont="1" applyFill="1" applyBorder="1" applyAlignment="1" applyProtection="1">
      <alignment horizontal="center" vertical="center"/>
    </xf>
    <xf numFmtId="1" fontId="6" fillId="16" borderId="29" xfId="11" applyNumberFormat="1" applyFont="1" applyFill="1" applyBorder="1" applyAlignment="1" applyProtection="1">
      <alignment horizontal="center" vertical="center"/>
    </xf>
    <xf numFmtId="49" fontId="6" fillId="16" borderId="20" xfId="11" applyFont="1" applyFill="1" applyBorder="1" applyAlignment="1" applyProtection="1">
      <alignment horizontal="center" vertical="center"/>
    </xf>
    <xf numFmtId="0" fontId="6" fillId="16" borderId="20" xfId="11" applyNumberFormat="1" applyFont="1" applyFill="1" applyBorder="1" applyAlignment="1" applyProtection="1">
      <alignment horizontal="center" vertical="center"/>
    </xf>
    <xf numFmtId="2" fontId="6" fillId="16" borderId="20" xfId="11" applyNumberFormat="1" applyFont="1" applyFill="1" applyBorder="1" applyAlignment="1" applyProtection="1">
      <alignment horizontal="center" vertical="center"/>
    </xf>
    <xf numFmtId="171" fontId="54" fillId="23" borderId="20" xfId="12" applyNumberFormat="1" applyFont="1" applyFill="1" applyBorder="1" applyAlignment="1" applyProtection="1">
      <alignment horizontal="center" vertical="center" wrapText="1"/>
      <protection locked="0"/>
    </xf>
    <xf numFmtId="0" fontId="51" fillId="23" borderId="26" xfId="11" applyNumberFormat="1" applyFont="1" applyFill="1" applyBorder="1" applyAlignment="1" applyProtection="1">
      <alignment horizontal="center" vertical="center" wrapText="1"/>
      <protection locked="0"/>
    </xf>
    <xf numFmtId="0" fontId="37" fillId="23" borderId="26" xfId="11" applyNumberFormat="1" applyFont="1" applyFill="1" applyBorder="1" applyAlignment="1" applyProtection="1">
      <alignment horizontal="center" vertical="center" wrapText="1"/>
    </xf>
    <xf numFmtId="169" fontId="4" fillId="3" borderId="26" xfId="100" applyFont="1" applyFill="1" applyBorder="1" applyAlignment="1" applyProtection="1">
      <alignment horizontal="center" vertical="center" wrapText="1"/>
      <protection locked="0"/>
    </xf>
    <xf numFmtId="49" fontId="4" fillId="3" borderId="24" xfId="12" applyFont="1" applyFill="1" applyBorder="1" applyAlignment="1" applyProtection="1">
      <alignment horizontal="center" vertical="center" wrapText="1"/>
      <protection locked="0"/>
    </xf>
    <xf numFmtId="49" fontId="3" fillId="3" borderId="24" xfId="12" applyFont="1" applyFill="1" applyBorder="1" applyAlignment="1" applyProtection="1">
      <alignment horizontal="center" vertical="center" wrapText="1"/>
      <protection locked="0"/>
    </xf>
    <xf numFmtId="14" fontId="3" fillId="3" borderId="24" xfId="12" applyNumberFormat="1" applyFont="1" applyFill="1" applyBorder="1" applyAlignment="1" applyProtection="1">
      <alignment horizontal="center" vertical="center" wrapText="1"/>
      <protection locked="0"/>
    </xf>
    <xf numFmtId="49" fontId="52" fillId="3" borderId="24" xfId="11" applyFont="1" applyFill="1" applyBorder="1" applyAlignment="1" applyProtection="1">
      <alignment horizontal="center" vertical="center" wrapText="1"/>
      <protection locked="0"/>
    </xf>
    <xf numFmtId="49" fontId="53" fillId="3" borderId="24" xfId="11" applyFont="1" applyFill="1" applyBorder="1" applyAlignment="1" applyProtection="1">
      <alignment horizontal="center" vertical="center" wrapText="1"/>
      <protection locked="0"/>
    </xf>
    <xf numFmtId="0" fontId="10" fillId="3" borderId="1" xfId="24" applyNumberFormat="1">
      <alignment horizontal="center" vertical="center" wrapText="1"/>
      <protection locked="0"/>
    </xf>
    <xf numFmtId="0" fontId="0" fillId="0" borderId="48" xfId="0" applyBorder="1"/>
    <xf numFmtId="0" fontId="2" fillId="0" borderId="140" xfId="42" applyBorder="1">
      <alignment horizontal="center" vertical="center" wrapText="1"/>
    </xf>
    <xf numFmtId="0" fontId="0" fillId="0" borderId="50" xfId="0" applyBorder="1"/>
    <xf numFmtId="0" fontId="10" fillId="3" borderId="1" xfId="6" applyBorder="1">
      <alignment vertical="center" wrapText="1"/>
      <protection locked="0"/>
    </xf>
    <xf numFmtId="49" fontId="10" fillId="3" borderId="1" xfId="21" applyBorder="1">
      <alignment horizontal="center" vertical="center" wrapText="1"/>
      <protection locked="0"/>
    </xf>
    <xf numFmtId="0" fontId="0" fillId="0" borderId="53" xfId="0" applyBorder="1"/>
    <xf numFmtId="49" fontId="10" fillId="3" borderId="1" xfId="21">
      <alignment horizontal="center" vertical="center" wrapText="1"/>
      <protection locked="0"/>
    </xf>
    <xf numFmtId="49" fontId="17" fillId="0" borderId="0" xfId="11" applyBorder="1" applyAlignment="1">
      <alignment vertical="center" wrapText="1"/>
    </xf>
    <xf numFmtId="49" fontId="17" fillId="0" borderId="12" xfId="11" applyBorder="1">
      <alignment vertical="center" wrapText="1"/>
    </xf>
    <xf numFmtId="0" fontId="2" fillId="0" borderId="141" xfId="9" applyBorder="1" applyAlignment="1">
      <alignment horizontal="left"/>
    </xf>
    <xf numFmtId="0" fontId="2" fillId="0" borderId="0" xfId="9" applyBorder="1" applyAlignment="1">
      <alignment horizontal="left" vertical="center" wrapText="1"/>
    </xf>
    <xf numFmtId="0" fontId="2" fillId="0" borderId="0" xfId="9">
      <alignment horizontal="left" vertical="center" wrapText="1"/>
    </xf>
    <xf numFmtId="0" fontId="56" fillId="0" borderId="0" xfId="23" applyFill="1"/>
    <xf numFmtId="0" fontId="0" fillId="0" borderId="0" xfId="0" applyAlignment="1"/>
    <xf numFmtId="0" fontId="10" fillId="3" borderId="1" xfId="13" applyBorder="1">
      <alignment horizontal="center" vertical="center" wrapText="1"/>
      <protection locked="0"/>
    </xf>
    <xf numFmtId="0" fontId="2" fillId="0" borderId="0" xfId="9" applyBorder="1" applyAlignment="1">
      <alignment horizontal="right" vertical="center"/>
    </xf>
    <xf numFmtId="0" fontId="2" fillId="0" borderId="0" xfId="9" applyNumberFormat="1">
      <alignment horizontal="left" vertical="center" wrapText="1"/>
    </xf>
    <xf numFmtId="0" fontId="2" fillId="0" borderId="145" xfId="42" applyBorder="1">
      <alignment horizontal="center" vertical="center" wrapText="1"/>
    </xf>
    <xf numFmtId="0" fontId="0" fillId="0" borderId="149" xfId="0" applyBorder="1"/>
    <xf numFmtId="181" fontId="10" fillId="2" borderId="1" xfId="115" applyBorder="1">
      <alignment horizontal="center" vertical="center" wrapText="1"/>
    </xf>
    <xf numFmtId="0" fontId="2" fillId="0" borderId="0" xfId="9" applyBorder="1" applyAlignment="1">
      <alignment horizontal="center"/>
    </xf>
    <xf numFmtId="49" fontId="17" fillId="0" borderId="122" xfId="11" applyBorder="1" applyAlignment="1">
      <alignment vertical="center" wrapText="1"/>
    </xf>
    <xf numFmtId="49" fontId="17" fillId="0" borderId="12" xfId="11" applyBorder="1" applyAlignment="1">
      <alignment vertical="center" wrapText="1"/>
    </xf>
    <xf numFmtId="0" fontId="10" fillId="3" borderId="1" xfId="6">
      <alignment vertical="center" wrapText="1"/>
      <protection locked="0"/>
    </xf>
    <xf numFmtId="0" fontId="0" fillId="0" borderId="0" xfId="0" applyBorder="1" applyAlignment="1"/>
    <xf numFmtId="0" fontId="0" fillId="0" borderId="0" xfId="0" applyAlignment="1">
      <alignment wrapText="1"/>
    </xf>
    <xf numFmtId="0" fontId="10" fillId="3" borderId="1" xfId="44">
      <alignment horizontal="center" vertical="center" wrapText="1"/>
    </xf>
    <xf numFmtId="49" fontId="122" fillId="0" borderId="1" xfId="152" applyNumberFormat="1" applyFont="1" applyFill="1" applyBorder="1" applyAlignment="1" applyProtection="1">
      <alignment horizontal="center" vertical="center" wrapText="1"/>
      <protection locked="0"/>
    </xf>
    <xf numFmtId="0" fontId="0" fillId="0" borderId="0" xfId="0" applyProtection="1">
      <protection locked="0"/>
    </xf>
    <xf numFmtId="0" fontId="21" fillId="0" borderId="0" xfId="0" applyFont="1" applyProtection="1">
      <protection locked="0"/>
    </xf>
    <xf numFmtId="169" fontId="0" fillId="0" borderId="2" xfId="22" applyFont="1" applyBorder="1"/>
    <xf numFmtId="169" fontId="0" fillId="0" borderId="0" xfId="22" applyFont="1" applyProtection="1">
      <protection locked="0"/>
    </xf>
    <xf numFmtId="169" fontId="21" fillId="0" borderId="151" xfId="22" applyFont="1" applyBorder="1" applyProtection="1">
      <protection locked="0"/>
    </xf>
    <xf numFmtId="0" fontId="0" fillId="0" borderId="151" xfId="0" applyBorder="1" applyProtection="1">
      <protection locked="0"/>
    </xf>
    <xf numFmtId="0" fontId="21" fillId="0" borderId="151" xfId="0" applyFont="1" applyBorder="1" applyProtection="1">
      <protection locked="0"/>
    </xf>
    <xf numFmtId="0" fontId="21" fillId="0" borderId="152" xfId="0" applyFont="1" applyBorder="1" applyProtection="1">
      <protection locked="0"/>
    </xf>
    <xf numFmtId="169" fontId="21" fillId="0" borderId="152" xfId="22" applyFont="1" applyBorder="1" applyProtection="1">
      <protection locked="0"/>
    </xf>
    <xf numFmtId="169" fontId="64" fillId="0" borderId="0" xfId="22" applyFont="1"/>
    <xf numFmtId="169" fontId="64" fillId="0" borderId="0" xfId="22" applyFont="1" applyAlignment="1"/>
    <xf numFmtId="169" fontId="59" fillId="0" borderId="66" xfId="22" applyFont="1" applyBorder="1"/>
    <xf numFmtId="169" fontId="62" fillId="0" borderId="0" xfId="22" applyFont="1" applyAlignment="1">
      <alignment horizontal="center" wrapText="1"/>
    </xf>
    <xf numFmtId="169" fontId="100" fillId="0" borderId="66" xfId="22" applyFont="1" applyBorder="1" applyAlignment="1">
      <alignment horizontal="center" vertical="top"/>
    </xf>
    <xf numFmtId="169" fontId="101" fillId="0" borderId="66" xfId="22" applyFont="1" applyBorder="1" applyAlignment="1">
      <alignment horizontal="center" vertical="top"/>
    </xf>
    <xf numFmtId="0" fontId="10" fillId="3" borderId="1" xfId="44">
      <alignment horizontal="center" vertical="center" wrapText="1"/>
    </xf>
    <xf numFmtId="0" fontId="0" fillId="0" borderId="0" xfId="0" applyAlignment="1">
      <alignment wrapText="1"/>
    </xf>
    <xf numFmtId="0" fontId="125" fillId="0" borderId="0" xfId="0" applyFont="1" applyProtection="1">
      <protection locked="0"/>
    </xf>
    <xf numFmtId="169" fontId="21" fillId="0" borderId="0" xfId="22" applyFont="1" applyProtection="1">
      <protection locked="0"/>
    </xf>
    <xf numFmtId="173" fontId="10" fillId="3" borderId="1" xfId="35" applyFill="1" applyBorder="1">
      <alignment vertical="center"/>
      <protection locked="0"/>
    </xf>
    <xf numFmtId="0" fontId="56" fillId="0" borderId="0" xfId="23"/>
    <xf numFmtId="0" fontId="56" fillId="0" borderId="64" xfId="23" applyBorder="1" applyAlignment="1"/>
    <xf numFmtId="184" fontId="59" fillId="0" borderId="0" xfId="22" applyNumberFormat="1" applyFont="1" applyBorder="1" applyAlignment="1">
      <alignment horizontal="left" vertical="center"/>
    </xf>
    <xf numFmtId="184" fontId="59" fillId="0" borderId="63" xfId="22" applyNumberFormat="1" applyFont="1" applyBorder="1" applyAlignment="1">
      <alignment horizontal="left" vertical="center"/>
    </xf>
    <xf numFmtId="0" fontId="59" fillId="0" borderId="0" xfId="22" applyNumberFormat="1" applyFont="1" applyBorder="1" applyAlignment="1">
      <alignment horizontal="left" vertical="center"/>
    </xf>
    <xf numFmtId="0" fontId="59" fillId="0" borderId="63" xfId="22" applyNumberFormat="1" applyFont="1" applyBorder="1" applyAlignment="1">
      <alignment horizontal="left" vertical="center"/>
    </xf>
    <xf numFmtId="0" fontId="56" fillId="0" borderId="0" xfId="23" applyAlignment="1">
      <alignment horizontal="left"/>
    </xf>
    <xf numFmtId="0" fontId="106" fillId="0" borderId="0" xfId="144" applyFont="1" applyBorder="1" applyAlignment="1" applyProtection="1">
      <alignment horizontal="left" vertical="center"/>
    </xf>
    <xf numFmtId="0" fontId="59" fillId="0" borderId="0" xfId="0" applyFont="1" applyFill="1" applyBorder="1" applyAlignment="1">
      <alignment vertical="center"/>
    </xf>
    <xf numFmtId="0" fontId="60" fillId="0" borderId="0" xfId="0" applyFont="1"/>
    <xf numFmtId="0" fontId="56" fillId="0" borderId="0" xfId="23" applyAlignment="1"/>
    <xf numFmtId="0" fontId="64" fillId="0" borderId="0" xfId="22" applyNumberFormat="1" applyFont="1" applyBorder="1" applyAlignment="1">
      <alignment horizontal="left" vertical="center"/>
    </xf>
    <xf numFmtId="0" fontId="64" fillId="0" borderId="63" xfId="22" applyNumberFormat="1" applyFont="1" applyBorder="1" applyAlignment="1">
      <alignment horizontal="left" vertical="center"/>
    </xf>
    <xf numFmtId="0" fontId="56" fillId="0" borderId="0" xfId="23" applyAlignment="1">
      <alignment horizontal="left"/>
    </xf>
    <xf numFmtId="0" fontId="59" fillId="31" borderId="0" xfId="0" applyFont="1" applyFill="1"/>
    <xf numFmtId="0" fontId="56" fillId="0" borderId="0" xfId="23" applyAlignment="1">
      <alignment horizontal="left"/>
    </xf>
    <xf numFmtId="0" fontId="64" fillId="0" borderId="0" xfId="22" applyNumberFormat="1" applyFont="1" applyBorder="1" applyAlignment="1">
      <alignment horizontal="left" vertical="center"/>
    </xf>
    <xf numFmtId="0" fontId="64" fillId="0" borderId="63" xfId="22" applyNumberFormat="1" applyFont="1" applyBorder="1" applyAlignment="1">
      <alignment horizontal="left" vertical="center"/>
    </xf>
    <xf numFmtId="0" fontId="126" fillId="0" borderId="0" xfId="0" applyFont="1"/>
    <xf numFmtId="0" fontId="0" fillId="31" borderId="0" xfId="0" applyFill="1"/>
    <xf numFmtId="184" fontId="62" fillId="0" borderId="0" xfId="22" applyNumberFormat="1" applyFont="1" applyFill="1" applyBorder="1" applyAlignment="1">
      <alignment horizontal="center" vertical="center"/>
    </xf>
    <xf numFmtId="184" fontId="65" fillId="0" borderId="0" xfId="22" applyNumberFormat="1" applyFont="1" applyBorder="1" applyAlignment="1">
      <alignment horizontal="center" vertical="center"/>
    </xf>
    <xf numFmtId="184" fontId="65" fillId="0" borderId="63" xfId="22" applyNumberFormat="1" applyFont="1" applyBorder="1" applyAlignment="1">
      <alignment horizontal="center" vertical="center"/>
    </xf>
    <xf numFmtId="0" fontId="64" fillId="0" borderId="0" xfId="22" applyNumberFormat="1" applyFont="1" applyBorder="1" applyAlignment="1">
      <alignment horizontal="left" vertical="center"/>
    </xf>
    <xf numFmtId="0" fontId="64" fillId="0" borderId="63" xfId="22" applyNumberFormat="1" applyFont="1" applyBorder="1" applyAlignment="1">
      <alignment horizontal="left" vertical="center"/>
    </xf>
    <xf numFmtId="0" fontId="0" fillId="0" borderId="76" xfId="0" applyBorder="1" applyAlignment="1">
      <alignment horizontal="center"/>
    </xf>
    <xf numFmtId="0" fontId="0" fillId="0" borderId="0" xfId="0" applyBorder="1" applyAlignment="1">
      <alignment horizontal="center"/>
    </xf>
    <xf numFmtId="0" fontId="0" fillId="0" borderId="63" xfId="0" applyBorder="1" applyAlignment="1">
      <alignment horizontal="center"/>
    </xf>
    <xf numFmtId="0" fontId="0" fillId="0" borderId="121" xfId="0" applyBorder="1" applyAlignment="1">
      <alignment horizontal="center"/>
    </xf>
    <xf numFmtId="0" fontId="0" fillId="0" borderId="66" xfId="0" applyBorder="1" applyAlignment="1">
      <alignment horizontal="center"/>
    </xf>
    <xf numFmtId="0" fontId="0" fillId="0" borderId="67" xfId="0" applyBorder="1" applyAlignment="1">
      <alignment horizontal="center"/>
    </xf>
    <xf numFmtId="184" fontId="59" fillId="0" borderId="60" xfId="22" applyNumberFormat="1" applyFont="1" applyBorder="1" applyAlignment="1">
      <alignment horizontal="left" vertical="center"/>
    </xf>
    <xf numFmtId="184" fontId="59" fillId="0" borderId="64" xfId="22" applyNumberFormat="1" applyFont="1" applyBorder="1" applyAlignment="1">
      <alignment horizontal="left" vertical="center"/>
    </xf>
    <xf numFmtId="184" fontId="59" fillId="0" borderId="87" xfId="22" applyNumberFormat="1" applyFont="1" applyBorder="1" applyAlignment="1">
      <alignment horizontal="left" vertical="center"/>
    </xf>
    <xf numFmtId="184" fontId="59" fillId="0" borderId="62" xfId="22" applyNumberFormat="1" applyFont="1" applyBorder="1" applyAlignment="1">
      <alignment horizontal="left" vertical="center"/>
    </xf>
    <xf numFmtId="184" fontId="59" fillId="0" borderId="0" xfId="22" applyNumberFormat="1" applyFont="1" applyBorder="1" applyAlignment="1">
      <alignment horizontal="left" vertical="center"/>
    </xf>
    <xf numFmtId="184" fontId="59" fillId="0" borderId="89" xfId="22" applyNumberFormat="1" applyFont="1" applyBorder="1" applyAlignment="1">
      <alignment horizontal="left" vertical="center"/>
    </xf>
    <xf numFmtId="0" fontId="59" fillId="0" borderId="62" xfId="0" applyFont="1" applyBorder="1" applyAlignment="1">
      <alignment horizontal="left" vertical="center"/>
    </xf>
    <xf numFmtId="0" fontId="59" fillId="0" borderId="0" xfId="0" applyFont="1" applyBorder="1" applyAlignment="1">
      <alignment horizontal="left" vertical="center"/>
    </xf>
    <xf numFmtId="0" fontId="59" fillId="0" borderId="65" xfId="0" applyFont="1" applyBorder="1" applyAlignment="1">
      <alignment horizontal="left" vertical="center"/>
    </xf>
    <xf numFmtId="0" fontId="59" fillId="0" borderId="66" xfId="0" applyFont="1" applyBorder="1" applyAlignment="1">
      <alignment horizontal="left" vertical="center"/>
    </xf>
    <xf numFmtId="0" fontId="59" fillId="0" borderId="70" xfId="0" applyFont="1" applyBorder="1" applyAlignment="1">
      <alignment horizontal="center" vertical="center"/>
    </xf>
    <xf numFmtId="0" fontId="59" fillId="0" borderId="71" xfId="0" applyFont="1" applyBorder="1" applyAlignment="1">
      <alignment horizontal="center" vertical="center"/>
    </xf>
    <xf numFmtId="0" fontId="59" fillId="0" borderId="72" xfId="0" applyFont="1" applyBorder="1" applyAlignment="1">
      <alignment horizontal="center" vertical="center"/>
    </xf>
    <xf numFmtId="184" fontId="59" fillId="0" borderId="63" xfId="22" applyNumberFormat="1" applyFont="1" applyBorder="1" applyAlignment="1">
      <alignment horizontal="left" vertical="center"/>
    </xf>
    <xf numFmtId="184" fontId="65" fillId="0" borderId="0" xfId="22" applyNumberFormat="1" applyFont="1" applyBorder="1" applyAlignment="1">
      <alignment horizontal="left" vertical="center"/>
    </xf>
    <xf numFmtId="184" fontId="65" fillId="0" borderId="63" xfId="22" applyNumberFormat="1" applyFont="1" applyBorder="1" applyAlignment="1">
      <alignment horizontal="left" vertical="center"/>
    </xf>
    <xf numFmtId="0" fontId="59" fillId="0" borderId="0" xfId="22" applyNumberFormat="1" applyFont="1" applyBorder="1" applyAlignment="1">
      <alignment horizontal="left" vertical="center"/>
    </xf>
    <xf numFmtId="0" fontId="59" fillId="0" borderId="63" xfId="22" applyNumberFormat="1" applyFont="1" applyBorder="1" applyAlignment="1">
      <alignment horizontal="left" vertical="center"/>
    </xf>
    <xf numFmtId="184" fontId="62" fillId="17" borderId="58" xfId="22" applyNumberFormat="1" applyFont="1" applyFill="1" applyBorder="1" applyAlignment="1">
      <alignment horizontal="center" vertical="center"/>
    </xf>
    <xf numFmtId="184" fontId="62" fillId="17" borderId="59" xfId="22" applyNumberFormat="1" applyFont="1" applyFill="1" applyBorder="1" applyAlignment="1">
      <alignment horizontal="center" vertical="center"/>
    </xf>
    <xf numFmtId="0" fontId="64" fillId="17" borderId="82" xfId="0" applyFont="1" applyFill="1" applyBorder="1" applyAlignment="1">
      <alignment horizontal="center" vertical="center"/>
    </xf>
    <xf numFmtId="0" fontId="64" fillId="17" borderId="113" xfId="0" applyFont="1" applyFill="1" applyBorder="1" applyAlignment="1">
      <alignment horizontal="center" vertical="center"/>
    </xf>
    <xf numFmtId="0" fontId="64" fillId="0" borderId="80" xfId="0" applyFont="1" applyFill="1" applyBorder="1" applyAlignment="1">
      <alignment horizontal="center" vertical="center"/>
    </xf>
    <xf numFmtId="0" fontId="64" fillId="0" borderId="74" xfId="0" applyFont="1" applyFill="1" applyBorder="1" applyAlignment="1">
      <alignment horizontal="center" vertical="center"/>
    </xf>
    <xf numFmtId="0" fontId="64" fillId="0" borderId="75" xfId="0" applyFont="1" applyFill="1" applyBorder="1" applyAlignment="1">
      <alignment horizontal="center" vertical="center"/>
    </xf>
    <xf numFmtId="0" fontId="59" fillId="28" borderId="62" xfId="0" applyFont="1" applyFill="1" applyBorder="1" applyAlignment="1">
      <alignment vertical="center"/>
    </xf>
    <xf numFmtId="0" fontId="59" fillId="28" borderId="63" xfId="0" applyFont="1" applyFill="1" applyBorder="1" applyAlignment="1">
      <alignment vertical="center"/>
    </xf>
    <xf numFmtId="0" fontId="59" fillId="28" borderId="65" xfId="0" applyFont="1" applyFill="1" applyBorder="1" applyAlignment="1">
      <alignment vertical="center"/>
    </xf>
    <xf numFmtId="0" fontId="59" fillId="28" borderId="67" xfId="0" applyFont="1" applyFill="1" applyBorder="1" applyAlignment="1">
      <alignment vertical="center"/>
    </xf>
    <xf numFmtId="0" fontId="64" fillId="0" borderId="82" xfId="0" applyFont="1" applyFill="1" applyBorder="1" applyAlignment="1">
      <alignment horizontal="center" vertical="center"/>
    </xf>
    <xf numFmtId="0" fontId="64" fillId="0" borderId="113" xfId="0" applyFont="1" applyFill="1" applyBorder="1" applyAlignment="1">
      <alignment horizontal="center" vertical="center"/>
    </xf>
    <xf numFmtId="0" fontId="65" fillId="0" borderId="62" xfId="0" applyFont="1" applyFill="1" applyBorder="1" applyAlignment="1">
      <alignment horizontal="center" vertical="center"/>
    </xf>
    <xf numFmtId="0" fontId="65" fillId="0" borderId="63" xfId="0" applyFont="1" applyFill="1" applyBorder="1" applyAlignment="1">
      <alignment horizontal="center" vertical="center"/>
    </xf>
    <xf numFmtId="0" fontId="64" fillId="0" borderId="115" xfId="0" applyFont="1" applyFill="1" applyBorder="1" applyAlignment="1">
      <alignment horizontal="center" vertical="center"/>
    </xf>
    <xf numFmtId="0" fontId="64" fillId="0" borderId="116" xfId="0" applyFont="1" applyFill="1" applyBorder="1" applyAlignment="1">
      <alignment horizontal="center" vertical="center"/>
    </xf>
    <xf numFmtId="0" fontId="62" fillId="0" borderId="0" xfId="0" applyFont="1" applyFill="1" applyAlignment="1">
      <alignment horizontal="center" vertical="center"/>
    </xf>
    <xf numFmtId="184" fontId="59" fillId="0" borderId="66" xfId="22" applyNumberFormat="1" applyFont="1" applyBorder="1" applyAlignment="1">
      <alignment horizontal="center" vertical="center"/>
    </xf>
    <xf numFmtId="0" fontId="59" fillId="0" borderId="66" xfId="0" applyFont="1" applyBorder="1" applyAlignment="1">
      <alignment horizontal="center" vertical="center"/>
    </xf>
    <xf numFmtId="0" fontId="64" fillId="17" borderId="110" xfId="0" applyFont="1" applyFill="1" applyBorder="1" applyAlignment="1">
      <alignment horizontal="center" vertical="center"/>
    </xf>
    <xf numFmtId="0" fontId="64" fillId="17" borderId="111" xfId="0" applyFont="1" applyFill="1" applyBorder="1" applyAlignment="1">
      <alignment horizontal="center" vertical="center"/>
    </xf>
    <xf numFmtId="184" fontId="59" fillId="0" borderId="65" xfId="22" applyNumberFormat="1" applyFont="1" applyBorder="1" applyAlignment="1">
      <alignment horizontal="left" vertical="center"/>
    </xf>
    <xf numFmtId="184" fontId="59" fillId="0" borderId="66" xfId="22" applyNumberFormat="1" applyFont="1" applyBorder="1" applyAlignment="1">
      <alignment horizontal="left" vertical="center"/>
    </xf>
    <xf numFmtId="184" fontId="59" fillId="0" borderId="91" xfId="22" applyNumberFormat="1" applyFont="1" applyBorder="1" applyAlignment="1">
      <alignment horizontal="left" vertical="center"/>
    </xf>
    <xf numFmtId="0" fontId="59" fillId="0" borderId="60" xfId="0" applyFont="1" applyBorder="1" applyAlignment="1">
      <alignment horizontal="left" vertical="center"/>
    </xf>
    <xf numFmtId="0" fontId="59" fillId="0" borderId="64" xfId="0" applyFont="1" applyBorder="1" applyAlignment="1">
      <alignment horizontal="left" vertical="center"/>
    </xf>
    <xf numFmtId="0" fontId="63" fillId="17" borderId="56" xfId="0" applyFont="1" applyFill="1" applyBorder="1" applyAlignment="1">
      <alignment horizontal="center" vertical="center"/>
    </xf>
    <xf numFmtId="0" fontId="63" fillId="17" borderId="68" xfId="0" applyFont="1" applyFill="1" applyBorder="1" applyAlignment="1">
      <alignment horizontal="center" vertical="center"/>
    </xf>
    <xf numFmtId="0" fontId="63" fillId="17" borderId="57" xfId="0" applyFont="1" applyFill="1" applyBorder="1" applyAlignment="1">
      <alignment horizontal="center" vertical="center"/>
    </xf>
    <xf numFmtId="0" fontId="56" fillId="0" borderId="76" xfId="23" applyBorder="1" applyAlignment="1">
      <alignment horizontal="center"/>
    </xf>
    <xf numFmtId="0" fontId="56" fillId="0" borderId="0" xfId="23" applyAlignment="1">
      <alignment horizontal="center"/>
    </xf>
    <xf numFmtId="0" fontId="56" fillId="0" borderId="63" xfId="23" applyBorder="1" applyAlignment="1">
      <alignment horizontal="center"/>
    </xf>
    <xf numFmtId="0" fontId="56" fillId="0" borderId="120" xfId="23" applyBorder="1" applyAlignment="1">
      <alignment horizontal="center"/>
    </xf>
    <xf numFmtId="0" fontId="0" fillId="0" borderId="64" xfId="0" applyBorder="1" applyAlignment="1">
      <alignment horizontal="center"/>
    </xf>
    <xf numFmtId="0" fontId="0" fillId="0" borderId="61" xfId="0" applyBorder="1" applyAlignment="1">
      <alignment horizontal="center"/>
    </xf>
    <xf numFmtId="184" fontId="59" fillId="0" borderId="69" xfId="22" applyNumberFormat="1" applyFont="1" applyBorder="1" applyAlignment="1">
      <alignment horizontal="left" vertical="center"/>
    </xf>
    <xf numFmtId="184" fontId="59" fillId="0" borderId="59" xfId="22" applyNumberFormat="1" applyFont="1" applyBorder="1" applyAlignment="1">
      <alignment horizontal="left" vertical="center"/>
    </xf>
    <xf numFmtId="0" fontId="66" fillId="0" borderId="62" xfId="0" applyFont="1" applyBorder="1" applyAlignment="1">
      <alignment horizontal="left" vertical="center"/>
    </xf>
    <xf numFmtId="0" fontId="66" fillId="0" borderId="0" xfId="0" applyFont="1" applyBorder="1" applyAlignment="1">
      <alignment horizontal="left" vertical="center"/>
    </xf>
    <xf numFmtId="0" fontId="105" fillId="0" borderId="62" xfId="23" applyFont="1" applyFill="1" applyBorder="1" applyAlignment="1" applyProtection="1">
      <alignment horizontal="left" vertical="center"/>
    </xf>
    <xf numFmtId="0" fontId="105" fillId="0" borderId="0" xfId="23" applyFont="1" applyFill="1" applyBorder="1" applyAlignment="1" applyProtection="1">
      <alignment horizontal="left" vertical="center"/>
    </xf>
    <xf numFmtId="0" fontId="105" fillId="0" borderId="62" xfId="23" applyFont="1" applyBorder="1" applyAlignment="1" applyProtection="1">
      <alignment horizontal="left" vertical="center"/>
    </xf>
    <xf numFmtId="0" fontId="105" fillId="0" borderId="0" xfId="23" applyFont="1" applyBorder="1" applyAlignment="1" applyProtection="1">
      <alignment horizontal="left" vertical="center"/>
    </xf>
    <xf numFmtId="0" fontId="56" fillId="0" borderId="0" xfId="23" applyAlignment="1">
      <alignment horizontal="left"/>
    </xf>
    <xf numFmtId="0" fontId="106" fillId="0" borderId="62" xfId="144" applyFont="1" applyBorder="1" applyAlignment="1" applyProtection="1">
      <alignment horizontal="left" vertical="center"/>
    </xf>
    <xf numFmtId="0" fontId="106" fillId="0" borderId="0" xfId="144" applyFont="1" applyBorder="1" applyAlignment="1" applyProtection="1">
      <alignment horizontal="left" vertical="center"/>
    </xf>
    <xf numFmtId="0" fontId="64" fillId="0" borderId="0" xfId="22" applyNumberFormat="1" applyFont="1" applyBorder="1" applyAlignment="1">
      <alignment horizontal="left" vertical="center" wrapText="1"/>
    </xf>
    <xf numFmtId="0" fontId="64" fillId="0" borderId="63" xfId="22" applyNumberFormat="1" applyFont="1" applyBorder="1" applyAlignment="1">
      <alignment horizontal="left" vertical="center" wrapText="1"/>
    </xf>
    <xf numFmtId="0" fontId="69" fillId="0" borderId="65" xfId="145" applyFont="1" applyBorder="1" applyAlignment="1" applyProtection="1">
      <alignment vertical="center"/>
    </xf>
    <xf numFmtId="0" fontId="69" fillId="0" borderId="66" xfId="145" applyFont="1" applyBorder="1" applyAlignment="1" applyProtection="1">
      <alignment vertical="center"/>
    </xf>
    <xf numFmtId="184" fontId="65" fillId="0" borderId="71" xfId="22" applyNumberFormat="1" applyFont="1" applyBorder="1" applyAlignment="1">
      <alignment horizontal="left" vertical="center"/>
    </xf>
    <xf numFmtId="184" fontId="65" fillId="0" borderId="72" xfId="22" applyNumberFormat="1" applyFont="1" applyBorder="1" applyAlignment="1">
      <alignment horizontal="left" vertical="center"/>
    </xf>
    <xf numFmtId="0" fontId="59" fillId="0" borderId="66" xfId="22" applyNumberFormat="1" applyFont="1" applyBorder="1" applyAlignment="1">
      <alignment horizontal="left" vertical="center"/>
    </xf>
    <xf numFmtId="0" fontId="59" fillId="0" borderId="67" xfId="22" applyNumberFormat="1" applyFont="1" applyBorder="1" applyAlignment="1">
      <alignment horizontal="left" vertical="center"/>
    </xf>
    <xf numFmtId="0" fontId="59" fillId="0" borderId="58" xfId="0" applyFont="1" applyBorder="1" applyAlignment="1">
      <alignment vertical="center"/>
    </xf>
    <xf numFmtId="0" fontId="59" fillId="0" borderId="69" xfId="0" applyFont="1" applyBorder="1" applyAlignment="1">
      <alignment vertical="center"/>
    </xf>
    <xf numFmtId="0" fontId="66" fillId="0" borderId="70" xfId="0" applyFont="1" applyBorder="1" applyAlignment="1">
      <alignment vertical="center"/>
    </xf>
    <xf numFmtId="0" fontId="66" fillId="0" borderId="71" xfId="0" applyFont="1" applyBorder="1" applyAlignment="1">
      <alignment vertical="center"/>
    </xf>
    <xf numFmtId="0" fontId="59" fillId="0" borderId="62" xfId="0" applyFont="1" applyBorder="1" applyAlignment="1">
      <alignment vertical="center"/>
    </xf>
    <xf numFmtId="0" fontId="59" fillId="0" borderId="0" xfId="0" applyFont="1" applyBorder="1" applyAlignment="1">
      <alignment vertical="center"/>
    </xf>
    <xf numFmtId="0" fontId="59" fillId="0" borderId="62" xfId="0" applyFont="1" applyFill="1" applyBorder="1" applyAlignment="1">
      <alignment vertical="center"/>
    </xf>
    <xf numFmtId="0" fontId="59" fillId="0" borderId="0" xfId="0" applyFont="1" applyFill="1" applyBorder="1" applyAlignment="1">
      <alignment vertical="center"/>
    </xf>
    <xf numFmtId="0" fontId="64" fillId="0" borderId="64" xfId="22" applyNumberFormat="1" applyFont="1" applyBorder="1" applyAlignment="1">
      <alignment horizontal="left" vertical="center"/>
    </xf>
    <xf numFmtId="0" fontId="64" fillId="0" borderId="61" xfId="22" applyNumberFormat="1" applyFont="1" applyBorder="1" applyAlignment="1">
      <alignment horizontal="left" vertical="center"/>
    </xf>
    <xf numFmtId="184" fontId="64" fillId="0" borderId="0" xfId="145" applyNumberFormat="1" applyFont="1" applyFill="1" applyBorder="1" applyAlignment="1" applyProtection="1">
      <alignment horizontal="left" vertical="center"/>
    </xf>
    <xf numFmtId="184" fontId="64" fillId="0" borderId="63" xfId="145" applyNumberFormat="1" applyFont="1" applyFill="1" applyBorder="1" applyAlignment="1" applyProtection="1">
      <alignment horizontal="left" vertical="center"/>
    </xf>
    <xf numFmtId="0" fontId="60" fillId="0" borderId="0" xfId="22" applyNumberFormat="1" applyFont="1" applyBorder="1" applyAlignment="1">
      <alignment horizontal="left" vertical="center"/>
    </xf>
    <xf numFmtId="0" fontId="60" fillId="0" borderId="63" xfId="22" applyNumberFormat="1" applyFont="1" applyBorder="1" applyAlignment="1">
      <alignment horizontal="left" vertical="center"/>
    </xf>
    <xf numFmtId="184" fontId="59" fillId="0" borderId="67" xfId="22" applyNumberFormat="1" applyFont="1" applyBorder="1" applyAlignment="1">
      <alignment horizontal="left" vertical="center"/>
    </xf>
    <xf numFmtId="184" fontId="69" fillId="0" borderId="64" xfId="145" applyNumberFormat="1" applyFill="1" applyBorder="1" applyAlignment="1" applyProtection="1">
      <alignment horizontal="left" vertical="center"/>
    </xf>
    <xf numFmtId="184" fontId="69" fillId="0" borderId="61" xfId="145" applyNumberFormat="1" applyFill="1" applyBorder="1" applyAlignment="1" applyProtection="1">
      <alignment horizontal="left" vertical="center"/>
    </xf>
    <xf numFmtId="0" fontId="59" fillId="0" borderId="65" xfId="0" applyFont="1" applyBorder="1" applyAlignment="1">
      <alignment horizontal="center" vertical="center"/>
    </xf>
    <xf numFmtId="0" fontId="59" fillId="0" borderId="67" xfId="0" applyFont="1" applyBorder="1" applyAlignment="1">
      <alignment horizontal="center" vertical="center"/>
    </xf>
    <xf numFmtId="0" fontId="64" fillId="0" borderId="60" xfId="0" applyFont="1" applyBorder="1" applyAlignment="1">
      <alignment horizontal="left" vertical="center"/>
    </xf>
    <xf numFmtId="0" fontId="64" fillId="0" borderId="61" xfId="0" applyFont="1" applyBorder="1" applyAlignment="1">
      <alignment horizontal="left" vertical="center"/>
    </xf>
    <xf numFmtId="0" fontId="64" fillId="0" borderId="62" xfId="0" applyFont="1" applyBorder="1" applyAlignment="1">
      <alignment horizontal="left" vertical="center"/>
    </xf>
    <xf numFmtId="0" fontId="64" fillId="0" borderId="63" xfId="0" applyFont="1" applyBorder="1" applyAlignment="1">
      <alignment horizontal="left" vertical="center"/>
    </xf>
    <xf numFmtId="0" fontId="64" fillId="0" borderId="65" xfId="0" applyFont="1" applyBorder="1" applyAlignment="1">
      <alignment horizontal="left" vertical="center"/>
    </xf>
    <xf numFmtId="0" fontId="64" fillId="0" borderId="67" xfId="0" applyFont="1" applyBorder="1" applyAlignment="1">
      <alignment horizontal="left" vertical="center"/>
    </xf>
    <xf numFmtId="0" fontId="59" fillId="0" borderId="64" xfId="22" applyNumberFormat="1" applyFont="1" applyBorder="1" applyAlignment="1">
      <alignment horizontal="left" vertical="center"/>
    </xf>
    <xf numFmtId="0" fontId="59" fillId="0" borderId="61" xfId="22" applyNumberFormat="1" applyFont="1" applyBorder="1" applyAlignment="1">
      <alignment horizontal="left" vertical="center"/>
    </xf>
    <xf numFmtId="169" fontId="113" fillId="25" borderId="74" xfId="0" applyNumberFormat="1" applyFont="1" applyFill="1" applyBorder="1" applyAlignment="1" applyProtection="1">
      <alignment horizontal="right"/>
    </xf>
    <xf numFmtId="0" fontId="76" fillId="17" borderId="0" xfId="0" applyNumberFormat="1" applyFont="1" applyFill="1" applyBorder="1" applyAlignment="1" applyProtection="1">
      <alignment horizontal="center" wrapText="1"/>
    </xf>
    <xf numFmtId="14" fontId="76" fillId="17" borderId="0" xfId="0" applyNumberFormat="1" applyFont="1" applyFill="1" applyBorder="1" applyAlignment="1" applyProtection="1">
      <alignment horizontal="center" wrapText="1"/>
    </xf>
    <xf numFmtId="0" fontId="112" fillId="0" borderId="0" xfId="0" applyNumberFormat="1" applyFont="1" applyFill="1" applyBorder="1" applyAlignment="1" applyProtection="1">
      <alignment horizontal="left" wrapText="1"/>
    </xf>
    <xf numFmtId="0" fontId="115" fillId="25" borderId="71" xfId="0" applyNumberFormat="1" applyFont="1" applyFill="1" applyBorder="1" applyAlignment="1" applyProtection="1">
      <alignment horizontal="center" vertical="center" wrapText="1"/>
    </xf>
    <xf numFmtId="169" fontId="113" fillId="25" borderId="74" xfId="0" applyNumberFormat="1" applyFont="1" applyFill="1" applyBorder="1" applyAlignment="1" applyProtection="1">
      <alignment horizontal="center"/>
    </xf>
    <xf numFmtId="0" fontId="112" fillId="0" borderId="76" xfId="0" applyNumberFormat="1" applyFont="1" applyFill="1" applyBorder="1" applyAlignment="1" applyProtection="1"/>
    <xf numFmtId="0" fontId="112" fillId="0" borderId="0" xfId="0" applyNumberFormat="1" applyFont="1" applyFill="1" applyBorder="1" applyAlignment="1" applyProtection="1"/>
    <xf numFmtId="169" fontId="81" fillId="17" borderId="80" xfId="0" applyNumberFormat="1" applyFont="1" applyFill="1" applyBorder="1" applyAlignment="1" applyProtection="1">
      <alignment horizontal="center"/>
    </xf>
    <xf numFmtId="169" fontId="81" fillId="17" borderId="74" xfId="0" applyNumberFormat="1" applyFont="1" applyFill="1" applyBorder="1" applyAlignment="1" applyProtection="1">
      <alignment horizontal="center"/>
    </xf>
    <xf numFmtId="169" fontId="81" fillId="17" borderId="81" xfId="0" applyNumberFormat="1" applyFont="1" applyFill="1" applyBorder="1" applyAlignment="1" applyProtection="1">
      <alignment horizontal="center"/>
    </xf>
    <xf numFmtId="9" fontId="102" fillId="23" borderId="80" xfId="141" applyFont="1" applyFill="1" applyBorder="1" applyAlignment="1" applyProtection="1">
      <alignment horizontal="left" vertical="center" wrapText="1"/>
    </xf>
    <xf numFmtId="9" fontId="102" fillId="23" borderId="74" xfId="141" applyFont="1" applyFill="1" applyBorder="1" applyAlignment="1" applyProtection="1">
      <alignment horizontal="left" vertical="center" wrapText="1"/>
    </xf>
    <xf numFmtId="9" fontId="102" fillId="23" borderId="81" xfId="141" applyFont="1" applyFill="1" applyBorder="1" applyAlignment="1" applyProtection="1">
      <alignment horizontal="left" vertical="center" wrapText="1"/>
    </xf>
    <xf numFmtId="9" fontId="102" fillId="23" borderId="80" xfId="141" applyFont="1" applyFill="1" applyBorder="1" applyAlignment="1" applyProtection="1">
      <alignment horizontal="center" vertical="center" wrapText="1"/>
    </xf>
    <xf numFmtId="9" fontId="102" fillId="23" borderId="74" xfId="141" applyFont="1" applyFill="1" applyBorder="1" applyAlignment="1" applyProtection="1">
      <alignment horizontal="center" vertical="center" wrapText="1"/>
    </xf>
    <xf numFmtId="9" fontId="102" fillId="23" borderId="81" xfId="141" applyFont="1" applyFill="1" applyBorder="1" applyAlignment="1" applyProtection="1">
      <alignment horizontal="center" vertical="center" wrapText="1"/>
    </xf>
    <xf numFmtId="0" fontId="116" fillId="0" borderId="80" xfId="0" applyNumberFormat="1" applyFont="1" applyFill="1" applyBorder="1" applyAlignment="1" applyProtection="1">
      <alignment horizontal="left" vertical="center" wrapText="1"/>
    </xf>
    <xf numFmtId="0" fontId="0" fillId="0" borderId="81" xfId="0" applyBorder="1" applyAlignment="1">
      <alignment horizontal="left" vertical="center" wrapText="1"/>
    </xf>
    <xf numFmtId="0" fontId="81" fillId="17" borderId="80" xfId="0" applyNumberFormat="1" applyFont="1" applyFill="1" applyBorder="1" applyAlignment="1" applyProtection="1">
      <alignment horizontal="center" vertical="center" wrapText="1"/>
    </xf>
    <xf numFmtId="0" fontId="81" fillId="17" borderId="81" xfId="0" applyNumberFormat="1" applyFont="1" applyFill="1" applyBorder="1" applyAlignment="1" applyProtection="1">
      <alignment horizontal="center" vertical="center" wrapText="1"/>
    </xf>
    <xf numFmtId="0" fontId="116" fillId="0" borderId="80" xfId="0" applyNumberFormat="1" applyFont="1" applyFill="1" applyBorder="1" applyAlignment="1" applyProtection="1">
      <alignment horizontal="left" vertical="center" wrapText="1"/>
      <protection locked="0"/>
    </xf>
    <xf numFmtId="0" fontId="116" fillId="0" borderId="81" xfId="0" applyNumberFormat="1" applyFont="1" applyFill="1" applyBorder="1" applyAlignment="1" applyProtection="1">
      <alignment horizontal="left" vertical="center" wrapText="1"/>
      <protection locked="0"/>
    </xf>
    <xf numFmtId="0" fontId="116" fillId="0" borderId="82" xfId="0" applyNumberFormat="1" applyFont="1" applyFill="1" applyBorder="1" applyAlignment="1" applyProtection="1">
      <alignment horizontal="center" vertical="center" wrapText="1"/>
      <protection locked="0"/>
    </xf>
    <xf numFmtId="0" fontId="116" fillId="0" borderId="82" xfId="0" applyNumberFormat="1" applyFont="1" applyFill="1" applyBorder="1" applyAlignment="1" applyProtection="1">
      <alignment horizontal="left" vertical="center" wrapText="1"/>
      <protection locked="0"/>
    </xf>
    <xf numFmtId="0" fontId="116" fillId="0" borderId="82" xfId="0" applyNumberFormat="1" applyFont="1" applyFill="1" applyBorder="1" applyAlignment="1" applyProtection="1">
      <alignment horizontal="left" vertical="center"/>
    </xf>
    <xf numFmtId="0" fontId="116" fillId="0" borderId="80" xfId="0" applyNumberFormat="1" applyFont="1" applyFill="1" applyBorder="1" applyAlignment="1" applyProtection="1">
      <alignment horizontal="center" vertical="top" wrapText="1"/>
    </xf>
    <xf numFmtId="0" fontId="116" fillId="0" borderId="74" xfId="0" applyNumberFormat="1" applyFont="1" applyFill="1" applyBorder="1" applyAlignment="1" applyProtection="1">
      <alignment horizontal="center" vertical="top" wrapText="1"/>
    </xf>
    <xf numFmtId="0" fontId="116" fillId="0" borderId="81" xfId="0" applyNumberFormat="1" applyFont="1" applyFill="1" applyBorder="1" applyAlignment="1" applyProtection="1">
      <alignment horizontal="center" vertical="top" wrapText="1"/>
    </xf>
    <xf numFmtId="0" fontId="81" fillId="17" borderId="83" xfId="0" applyNumberFormat="1" applyFont="1" applyFill="1" applyBorder="1" applyAlignment="1" applyProtection="1">
      <alignment horizontal="center" wrapText="1"/>
    </xf>
    <xf numFmtId="0" fontId="81" fillId="17" borderId="71" xfId="0" applyNumberFormat="1" applyFont="1" applyFill="1" applyBorder="1" applyAlignment="1" applyProtection="1">
      <alignment horizontal="center" wrapText="1"/>
    </xf>
    <xf numFmtId="0" fontId="116" fillId="0" borderId="105" xfId="0" applyNumberFormat="1" applyFont="1" applyFill="1" applyBorder="1" applyAlignment="1" applyProtection="1">
      <alignment horizontal="left" vertical="center" wrapText="1"/>
      <protection locked="0"/>
    </xf>
    <xf numFmtId="0" fontId="116" fillId="0" borderId="104" xfId="0" applyNumberFormat="1" applyFont="1" applyFill="1" applyBorder="1" applyAlignment="1" applyProtection="1">
      <alignment horizontal="left" vertical="center" wrapText="1"/>
      <protection locked="0"/>
    </xf>
    <xf numFmtId="0" fontId="116" fillId="0" borderId="106" xfId="0" applyNumberFormat="1" applyFont="1" applyFill="1" applyBorder="1" applyAlignment="1" applyProtection="1">
      <alignment horizontal="left" vertical="center" wrapText="1"/>
      <protection locked="0"/>
    </xf>
    <xf numFmtId="169" fontId="76" fillId="0" borderId="0" xfId="147" applyFont="1" applyFill="1" applyBorder="1" applyAlignment="1">
      <alignment horizontal="justify" vertical="top"/>
    </xf>
    <xf numFmtId="169" fontId="76" fillId="0" borderId="0" xfId="147" applyFont="1" applyFill="1" applyBorder="1" applyAlignment="1">
      <alignment horizontal="center" vertical="top"/>
    </xf>
    <xf numFmtId="169" fontId="76" fillId="0" borderId="0" xfId="147" applyFont="1" applyFill="1" applyBorder="1" applyAlignment="1">
      <alignment horizontal="center"/>
    </xf>
    <xf numFmtId="169" fontId="76" fillId="0" borderId="0" xfId="147" applyFont="1" applyFill="1" applyBorder="1" applyAlignment="1">
      <alignment horizontal="left" vertical="top"/>
    </xf>
    <xf numFmtId="169" fontId="75" fillId="0" borderId="0" xfId="147" applyFont="1" applyFill="1" applyBorder="1" applyAlignment="1">
      <alignment horizontal="left"/>
    </xf>
    <xf numFmtId="169" fontId="76" fillId="0" borderId="0" xfId="147" applyFont="1" applyFill="1" applyBorder="1" applyAlignment="1">
      <alignment horizontal="left" vertical="top" wrapText="1"/>
    </xf>
    <xf numFmtId="0" fontId="71" fillId="0" borderId="0" xfId="0" applyFont="1" applyAlignment="1">
      <alignment horizontal="center"/>
    </xf>
    <xf numFmtId="0" fontId="63" fillId="17" borderId="80" xfId="143" applyFont="1" applyFill="1" applyBorder="1" applyAlignment="1">
      <alignment horizontal="center" wrapText="1"/>
    </xf>
    <xf numFmtId="0" fontId="63" fillId="17" borderId="74" xfId="143" applyFont="1" applyFill="1" applyBorder="1" applyAlignment="1">
      <alignment horizontal="center" wrapText="1"/>
    </xf>
    <xf numFmtId="0" fontId="63" fillId="17" borderId="81" xfId="143" applyFont="1" applyFill="1" applyBorder="1" applyAlignment="1">
      <alignment horizontal="center" wrapText="1"/>
    </xf>
    <xf numFmtId="0" fontId="76" fillId="0" borderId="0" xfId="143" applyFont="1" applyFill="1" applyAlignment="1">
      <alignment horizontal="justify" wrapText="1"/>
    </xf>
    <xf numFmtId="0" fontId="76" fillId="0" borderId="0" xfId="143" applyFont="1" applyAlignment="1">
      <alignment horizontal="justify" wrapText="1"/>
    </xf>
    <xf numFmtId="0" fontId="76" fillId="0" borderId="0" xfId="143" applyFont="1" applyFill="1" applyAlignment="1">
      <alignment horizontal="center"/>
    </xf>
    <xf numFmtId="0" fontId="64" fillId="26" borderId="0" xfId="143" applyFont="1" applyFill="1" applyAlignment="1">
      <alignment horizontal="center" vertical="center" wrapText="1"/>
    </xf>
    <xf numFmtId="0" fontId="83" fillId="0" borderId="0" xfId="0" applyFont="1" applyAlignment="1">
      <alignment horizontal="left" vertical="center" wrapText="1"/>
    </xf>
    <xf numFmtId="0" fontId="83" fillId="0" borderId="0" xfId="0" applyFont="1" applyFill="1" applyAlignment="1">
      <alignment horizontal="justify" vertical="center"/>
    </xf>
    <xf numFmtId="0" fontId="83" fillId="0" borderId="0" xfId="0" applyFont="1" applyFill="1" applyAlignment="1">
      <alignment horizontal="justify" vertical="center" wrapText="1"/>
    </xf>
    <xf numFmtId="0" fontId="62" fillId="0" borderId="80" xfId="0" applyFont="1" applyBorder="1" applyAlignment="1">
      <alignment horizontal="center" vertical="center" wrapText="1"/>
    </xf>
    <xf numFmtId="0" fontId="62" fillId="0" borderId="81" xfId="0" applyFont="1" applyBorder="1" applyAlignment="1">
      <alignment horizontal="center" vertical="center" wrapText="1"/>
    </xf>
    <xf numFmtId="9" fontId="59" fillId="0" borderId="80" xfId="0" applyNumberFormat="1" applyFont="1" applyBorder="1" applyAlignment="1">
      <alignment horizontal="center" vertical="center" wrapText="1"/>
    </xf>
    <xf numFmtId="9" fontId="59" fillId="0" borderId="81" xfId="0" applyNumberFormat="1" applyFont="1" applyBorder="1" applyAlignment="1">
      <alignment horizontal="center" vertical="center" wrapText="1"/>
    </xf>
    <xf numFmtId="0" fontId="84" fillId="0" borderId="0" xfId="147" applyNumberFormat="1" applyFont="1" applyFill="1" applyBorder="1" applyAlignment="1">
      <alignment horizontal="left"/>
    </xf>
    <xf numFmtId="0" fontId="86" fillId="0" borderId="0" xfId="149" applyFont="1" applyFill="1" applyBorder="1" applyAlignment="1">
      <alignment horizontal="left" vertical="center" wrapText="1"/>
    </xf>
    <xf numFmtId="0" fontId="76" fillId="0" borderId="0" xfId="143" applyFont="1" applyAlignment="1">
      <alignment horizontal="justify" vertical="top" wrapText="1"/>
    </xf>
    <xf numFmtId="0" fontId="76" fillId="0" borderId="0" xfId="143" applyFont="1" applyAlignment="1">
      <alignment horizontal="left" vertical="top" wrapText="1"/>
    </xf>
    <xf numFmtId="0" fontId="62" fillId="0" borderId="83" xfId="0" applyFont="1" applyBorder="1" applyAlignment="1">
      <alignment horizontal="center" vertical="center" wrapText="1"/>
    </xf>
    <xf numFmtId="0" fontId="62" fillId="0" borderId="84" xfId="0" applyFont="1" applyBorder="1" applyAlignment="1">
      <alignment horizontal="center" vertical="center" wrapText="1"/>
    </xf>
    <xf numFmtId="0" fontId="62" fillId="0" borderId="85" xfId="0" applyFont="1" applyBorder="1" applyAlignment="1">
      <alignment horizontal="center" vertical="center" wrapText="1"/>
    </xf>
    <xf numFmtId="0" fontId="62" fillId="0" borderId="86" xfId="0" applyFont="1" applyBorder="1" applyAlignment="1">
      <alignment horizontal="center" vertical="center" wrapText="1"/>
    </xf>
    <xf numFmtId="0" fontId="62" fillId="0" borderId="82" xfId="0" applyFont="1" applyBorder="1" applyAlignment="1">
      <alignment horizontal="center" vertical="center" wrapText="1"/>
    </xf>
    <xf numFmtId="0" fontId="63" fillId="26" borderId="0" xfId="143" applyFont="1" applyFill="1" applyAlignment="1">
      <alignment horizontal="center"/>
    </xf>
    <xf numFmtId="4" fontId="60" fillId="26" borderId="0" xfId="149" applyNumberFormat="1" applyFont="1" applyFill="1" applyAlignment="1">
      <alignment horizontal="center"/>
    </xf>
    <xf numFmtId="0" fontId="84" fillId="0" borderId="0" xfId="22" applyNumberFormat="1" applyFont="1" applyFill="1" applyAlignment="1"/>
    <xf numFmtId="0" fontId="90" fillId="27" borderId="60" xfId="149" applyFont="1" applyFill="1" applyBorder="1" applyAlignment="1">
      <alignment horizontal="center"/>
    </xf>
    <xf numFmtId="0" fontId="90" fillId="27" borderId="64" xfId="149" applyFont="1" applyFill="1" applyBorder="1" applyAlignment="1">
      <alignment horizontal="center"/>
    </xf>
    <xf numFmtId="0" fontId="90" fillId="27" borderId="87" xfId="149" applyFont="1" applyFill="1" applyBorder="1" applyAlignment="1">
      <alignment horizontal="center"/>
    </xf>
    <xf numFmtId="0" fontId="90" fillId="27" borderId="62" xfId="149" applyFont="1" applyFill="1" applyBorder="1" applyAlignment="1">
      <alignment horizontal="center"/>
    </xf>
    <xf numFmtId="0" fontId="90" fillId="27" borderId="0" xfId="149" applyFont="1" applyFill="1" applyBorder="1" applyAlignment="1">
      <alignment horizontal="center"/>
    </xf>
    <xf numFmtId="0" fontId="90" fillId="27" borderId="89" xfId="149" applyFont="1" applyFill="1" applyBorder="1" applyAlignment="1">
      <alignment horizontal="center"/>
    </xf>
    <xf numFmtId="0" fontId="90" fillId="27" borderId="65" xfId="149" applyFont="1" applyFill="1" applyBorder="1" applyAlignment="1">
      <alignment horizontal="center"/>
    </xf>
    <xf numFmtId="0" fontId="90" fillId="27" borderId="66" xfId="149" applyFont="1" applyFill="1" applyBorder="1" applyAlignment="1">
      <alignment horizontal="center"/>
    </xf>
    <xf numFmtId="0" fontId="90" fillId="27" borderId="91" xfId="149" applyFont="1" applyFill="1" applyBorder="1" applyAlignment="1">
      <alignment horizontal="center"/>
    </xf>
    <xf numFmtId="186" fontId="91" fillId="27" borderId="88" xfId="149" applyNumberFormat="1" applyFont="1" applyFill="1" applyBorder="1" applyAlignment="1">
      <alignment horizontal="center" vertical="center" wrapText="1"/>
    </xf>
    <xf numFmtId="186" fontId="91" fillId="27" borderId="90" xfId="149" applyNumberFormat="1" applyFont="1" applyFill="1" applyBorder="1" applyAlignment="1">
      <alignment horizontal="center" vertical="center" wrapText="1"/>
    </xf>
    <xf numFmtId="186" fontId="91" fillId="27" borderId="92" xfId="149" applyNumberFormat="1" applyFont="1" applyFill="1" applyBorder="1" applyAlignment="1">
      <alignment horizontal="center" vertical="center" wrapText="1"/>
    </xf>
    <xf numFmtId="0" fontId="9" fillId="2" borderId="0" xfId="30" applyAlignment="1">
      <alignment vertical="center" wrapText="1"/>
    </xf>
    <xf numFmtId="0" fontId="0" fillId="0" borderId="0" xfId="0" applyAlignment="1">
      <alignment vertical="center" wrapText="1"/>
    </xf>
    <xf numFmtId="0" fontId="13" fillId="3" borderId="18" xfId="19" applyFont="1" applyBorder="1" applyAlignment="1" applyProtection="1">
      <alignment horizontal="left" vertical="center" wrapText="1"/>
      <protection locked="0"/>
    </xf>
    <xf numFmtId="0" fontId="13" fillId="3" borderId="17" xfId="19" applyFont="1" applyBorder="1" applyAlignment="1" applyProtection="1">
      <alignment horizontal="left" vertical="center" wrapText="1"/>
      <protection locked="0"/>
    </xf>
    <xf numFmtId="0" fontId="9" fillId="0" borderId="46" xfId="43" applyFont="1" applyBorder="1" applyAlignment="1">
      <alignment horizontal="left" vertical="center" wrapText="1"/>
    </xf>
    <xf numFmtId="0" fontId="0" fillId="0" borderId="46" xfId="0" applyBorder="1" applyAlignment="1">
      <alignment horizontal="left" vertical="center" wrapText="1"/>
    </xf>
    <xf numFmtId="0" fontId="9" fillId="0" borderId="39" xfId="43" applyFont="1" applyBorder="1" applyAlignment="1">
      <alignment horizontal="left" vertical="center" wrapText="1"/>
    </xf>
    <xf numFmtId="0" fontId="0" fillId="0" borderId="39" xfId="0" applyBorder="1" applyAlignment="1">
      <alignment horizontal="left" vertical="center" wrapText="1"/>
    </xf>
    <xf numFmtId="0" fontId="13" fillId="3" borderId="19" xfId="19" applyFont="1" applyBorder="1" applyAlignment="1" applyProtection="1">
      <alignment horizontal="left" vertical="center" wrapText="1"/>
      <protection locked="0"/>
    </xf>
    <xf numFmtId="0" fontId="48" fillId="22" borderId="0" xfId="0" applyFont="1" applyFill="1" applyBorder="1" applyAlignment="1" applyProtection="1">
      <alignment horizontal="center" vertical="center"/>
    </xf>
    <xf numFmtId="0" fontId="45" fillId="0" borderId="0" xfId="0" applyFont="1" applyFill="1" applyAlignment="1" applyProtection="1">
      <alignment horizontal="left"/>
    </xf>
    <xf numFmtId="0" fontId="9" fillId="0" borderId="17" xfId="43" applyFont="1" applyBorder="1" applyAlignment="1" applyProtection="1">
      <alignment horizontal="left" wrapText="1"/>
    </xf>
    <xf numFmtId="0" fontId="37" fillId="19" borderId="38" xfId="0" applyFont="1" applyFill="1" applyBorder="1" applyAlignment="1" applyProtection="1">
      <alignment horizontal="center" vertical="center" wrapText="1"/>
      <protection locked="0"/>
    </xf>
    <xf numFmtId="0" fontId="37" fillId="19" borderId="0" xfId="0" applyFont="1" applyFill="1" applyBorder="1" applyAlignment="1" applyProtection="1">
      <alignment horizontal="center" vertical="center" wrapText="1"/>
      <protection locked="0"/>
    </xf>
    <xf numFmtId="0" fontId="9" fillId="0" borderId="39" xfId="43" applyFont="1" applyBorder="1" applyAlignment="1" applyProtection="1">
      <alignment horizontal="left" wrapText="1"/>
    </xf>
    <xf numFmtId="0" fontId="9" fillId="2" borderId="0" xfId="30" applyBorder="1" applyAlignment="1" applyProtection="1">
      <alignment horizontal="center" vertical="center" wrapText="1"/>
    </xf>
    <xf numFmtId="0" fontId="46" fillId="0" borderId="0" xfId="0" applyFont="1" applyAlignment="1">
      <alignment horizontal="left" vertical="top" wrapText="1"/>
    </xf>
    <xf numFmtId="0" fontId="13" fillId="0" borderId="41" xfId="19" applyFont="1" applyFill="1" applyBorder="1" applyAlignment="1" applyProtection="1">
      <alignment horizontal="left" vertical="center" wrapText="1"/>
    </xf>
    <xf numFmtId="170" fontId="13" fillId="3" borderId="18" xfId="33" applyFont="1" applyBorder="1" applyAlignment="1" applyProtection="1">
      <alignment horizontal="left" vertical="center"/>
      <protection locked="0"/>
    </xf>
    <xf numFmtId="170" fontId="13" fillId="3" borderId="17" xfId="33" applyFont="1" applyBorder="1" applyAlignment="1" applyProtection="1">
      <alignment horizontal="left" vertical="center"/>
      <protection locked="0"/>
    </xf>
    <xf numFmtId="170" fontId="13" fillId="3" borderId="19" xfId="33" applyFont="1" applyBorder="1" applyAlignment="1" applyProtection="1">
      <alignment horizontal="left" vertical="center"/>
      <protection locked="0"/>
    </xf>
    <xf numFmtId="0" fontId="9" fillId="0" borderId="40" xfId="43" applyFont="1" applyBorder="1" applyAlignment="1" applyProtection="1">
      <alignment horizontal="left" wrapText="1"/>
    </xf>
    <xf numFmtId="0" fontId="9" fillId="0" borderId="17" xfId="43" applyFont="1" applyBorder="1" applyAlignment="1" applyProtection="1">
      <alignment wrapText="1"/>
    </xf>
    <xf numFmtId="0" fontId="9" fillId="2" borderId="10" xfId="30" applyBorder="1" applyAlignment="1">
      <alignment horizontal="center" vertical="center" wrapText="1"/>
    </xf>
    <xf numFmtId="0" fontId="13" fillId="3" borderId="36" xfId="19" applyFont="1" applyBorder="1" applyAlignment="1" applyProtection="1">
      <alignment horizontal="left" vertical="center" wrapText="1"/>
      <protection locked="0"/>
    </xf>
    <xf numFmtId="0" fontId="13" fillId="3" borderId="0" xfId="19" applyFont="1" applyBorder="1" applyAlignment="1" applyProtection="1">
      <alignment horizontal="left" vertical="center" wrapText="1"/>
      <protection locked="0"/>
    </xf>
    <xf numFmtId="0" fontId="9" fillId="0" borderId="0" xfId="43" applyFont="1" applyAlignment="1">
      <alignment horizontal="left" wrapText="1"/>
    </xf>
    <xf numFmtId="0" fontId="9" fillId="2" borderId="10" xfId="30" applyBorder="1" applyAlignment="1" applyProtection="1">
      <alignment horizontal="center" vertical="center" wrapText="1"/>
    </xf>
    <xf numFmtId="0" fontId="9" fillId="0" borderId="40" xfId="43" applyFont="1" applyBorder="1" applyAlignment="1">
      <alignment horizontal="left" wrapText="1"/>
    </xf>
    <xf numFmtId="179" fontId="13" fillId="3" borderId="18" xfId="22" applyNumberFormat="1" applyFont="1" applyFill="1" applyBorder="1" applyAlignment="1" applyProtection="1">
      <alignment horizontal="left" vertical="center" wrapText="1"/>
      <protection locked="0"/>
    </xf>
    <xf numFmtId="179" fontId="13" fillId="3" borderId="17" xfId="22" applyNumberFormat="1" applyFont="1" applyFill="1" applyBorder="1" applyAlignment="1" applyProtection="1">
      <alignment horizontal="left" vertical="center" wrapText="1"/>
      <protection locked="0"/>
    </xf>
    <xf numFmtId="0" fontId="13" fillId="0" borderId="42" xfId="19" applyFont="1" applyFill="1" applyBorder="1" applyAlignment="1" applyProtection="1">
      <alignment horizontal="left" vertical="center" wrapText="1"/>
    </xf>
    <xf numFmtId="0" fontId="9" fillId="0" borderId="0" xfId="43" applyFont="1" applyBorder="1" applyAlignment="1" applyProtection="1">
      <alignment horizontal="left" wrapText="1"/>
    </xf>
    <xf numFmtId="0" fontId="13" fillId="0" borderId="43" xfId="19" applyFont="1" applyFill="1" applyBorder="1" applyAlignment="1" applyProtection="1">
      <alignment horizontal="left" vertical="center" wrapText="1"/>
    </xf>
    <xf numFmtId="49" fontId="17" fillId="2" borderId="9" xfId="52" applyBorder="1" applyAlignment="1">
      <alignment horizontal="center" vertical="center" wrapText="1"/>
    </xf>
    <xf numFmtId="49" fontId="17" fillId="2" borderId="10" xfId="52" applyBorder="1" applyAlignment="1">
      <alignment horizontal="center" vertical="center" wrapText="1"/>
    </xf>
    <xf numFmtId="49" fontId="17" fillId="2" borderId="11" xfId="52" applyBorder="1" applyAlignment="1">
      <alignment horizontal="center" vertical="center" wrapText="1"/>
    </xf>
    <xf numFmtId="0" fontId="33" fillId="3" borderId="1" xfId="0" applyFont="1" applyFill="1" applyBorder="1" applyAlignment="1">
      <alignment horizontal="center" vertical="center" wrapText="1"/>
    </xf>
    <xf numFmtId="0" fontId="32" fillId="3" borderId="1" xfId="0" applyFont="1" applyFill="1" applyBorder="1" applyAlignment="1">
      <alignment horizontal="center" vertical="center" wrapText="1"/>
    </xf>
    <xf numFmtId="0" fontId="35" fillId="19" borderId="25" xfId="42" applyFont="1" applyFill="1" applyBorder="1" applyAlignment="1">
      <alignment horizontal="center" vertical="center" wrapText="1"/>
    </xf>
    <xf numFmtId="0" fontId="31" fillId="19" borderId="0" xfId="0" applyFont="1" applyFill="1" applyBorder="1" applyAlignment="1">
      <alignment horizontal="center" vertical="center" wrapText="1"/>
    </xf>
    <xf numFmtId="0" fontId="63" fillId="0" borderId="97" xfId="146" applyNumberFormat="1" applyFont="1" applyFill="1" applyBorder="1" applyAlignment="1">
      <alignment vertical="top" wrapText="1"/>
    </xf>
    <xf numFmtId="0" fontId="63" fillId="0" borderId="98" xfId="146" applyNumberFormat="1" applyFont="1" applyFill="1" applyBorder="1" applyAlignment="1">
      <alignment vertical="top" wrapText="1"/>
    </xf>
    <xf numFmtId="0" fontId="63" fillId="0" borderId="94" xfId="146" applyNumberFormat="1" applyFont="1" applyFill="1" applyBorder="1" applyAlignment="1">
      <alignment vertical="top" wrapText="1"/>
    </xf>
    <xf numFmtId="0" fontId="63" fillId="0" borderId="95" xfId="146" applyNumberFormat="1" applyFont="1" applyFill="1" applyBorder="1" applyAlignment="1">
      <alignment vertical="top" wrapText="1"/>
    </xf>
    <xf numFmtId="0" fontId="63" fillId="30" borderId="98" xfId="151" applyFont="1" applyFill="1" applyBorder="1" applyAlignment="1">
      <alignment horizontal="center" wrapText="1"/>
    </xf>
    <xf numFmtId="0" fontId="63" fillId="30" borderId="99" xfId="151" applyFont="1" applyFill="1" applyBorder="1" applyAlignment="1">
      <alignment horizontal="center" wrapText="1"/>
    </xf>
    <xf numFmtId="0" fontId="63" fillId="30" borderId="95" xfId="151" applyFont="1" applyFill="1" applyBorder="1" applyAlignment="1">
      <alignment horizontal="center" wrapText="1"/>
    </xf>
    <xf numFmtId="0" fontId="63" fillId="30" borderId="96" xfId="151" applyFont="1" applyFill="1" applyBorder="1" applyAlignment="1">
      <alignment horizontal="center" wrapText="1"/>
    </xf>
    <xf numFmtId="169" fontId="63" fillId="0" borderId="97" xfId="146" applyFont="1" applyFill="1" applyBorder="1" applyAlignment="1">
      <alignment horizontal="left" vertical="top" wrapText="1"/>
    </xf>
    <xf numFmtId="169" fontId="63" fillId="0" borderId="98" xfId="146" applyFont="1" applyFill="1" applyBorder="1" applyAlignment="1">
      <alignment horizontal="left" vertical="top" wrapText="1"/>
    </xf>
    <xf numFmtId="169" fontId="63" fillId="0" borderId="85" xfId="146" applyFont="1" applyFill="1" applyBorder="1" applyAlignment="1">
      <alignment horizontal="left" vertical="top" wrapText="1"/>
    </xf>
    <xf numFmtId="169" fontId="63" fillId="0" borderId="69" xfId="146" applyFont="1" applyFill="1" applyBorder="1" applyAlignment="1">
      <alignment horizontal="left" vertical="top" wrapText="1"/>
    </xf>
    <xf numFmtId="0" fontId="63" fillId="30" borderId="98" xfId="151" applyFont="1" applyFill="1" applyBorder="1" applyAlignment="1">
      <alignment horizontal="left"/>
    </xf>
    <xf numFmtId="0" fontId="63" fillId="30" borderId="99" xfId="151" applyFont="1" applyFill="1" applyBorder="1" applyAlignment="1">
      <alignment horizontal="left"/>
    </xf>
    <xf numFmtId="0" fontId="63" fillId="30" borderId="69" xfId="151" applyFont="1" applyFill="1" applyBorder="1" applyAlignment="1">
      <alignment horizontal="left"/>
    </xf>
    <xf numFmtId="0" fontId="63" fillId="30" borderId="86" xfId="151" applyFont="1" applyFill="1" applyBorder="1" applyAlignment="1">
      <alignment horizontal="left"/>
    </xf>
    <xf numFmtId="169" fontId="63" fillId="0" borderId="97" xfId="146" applyFont="1" applyFill="1" applyBorder="1" applyAlignment="1">
      <alignment vertical="top" wrapText="1"/>
    </xf>
    <xf numFmtId="169" fontId="63" fillId="0" borderId="98" xfId="146" applyFont="1" applyFill="1" applyBorder="1" applyAlignment="1">
      <alignment vertical="top" wrapText="1"/>
    </xf>
    <xf numFmtId="169" fontId="63" fillId="0" borderId="94" xfId="146" applyFont="1" applyFill="1" applyBorder="1" applyAlignment="1">
      <alignment vertical="top" wrapText="1"/>
    </xf>
    <xf numFmtId="169" fontId="63" fillId="0" borderId="95" xfId="146" applyFont="1" applyFill="1" applyBorder="1" applyAlignment="1">
      <alignment vertical="top" wrapText="1"/>
    </xf>
    <xf numFmtId="0" fontId="63" fillId="30" borderId="98" xfId="151" applyFont="1" applyFill="1" applyBorder="1" applyAlignment="1">
      <alignment horizontal="center"/>
    </xf>
    <xf numFmtId="0" fontId="63" fillId="30" borderId="99" xfId="151" applyFont="1" applyFill="1" applyBorder="1" applyAlignment="1">
      <alignment horizontal="center"/>
    </xf>
    <xf numFmtId="0" fontId="63" fillId="30" borderId="95" xfId="151" applyFont="1" applyFill="1" applyBorder="1" applyAlignment="1">
      <alignment horizontal="center"/>
    </xf>
    <xf numFmtId="0" fontId="63" fillId="30" borderId="96" xfId="151" applyFont="1" applyFill="1" applyBorder="1" applyAlignment="1">
      <alignment horizontal="center"/>
    </xf>
    <xf numFmtId="0" fontId="63" fillId="0" borderId="98" xfId="151" applyFont="1" applyFill="1" applyBorder="1" applyAlignment="1">
      <alignment horizontal="center"/>
    </xf>
    <xf numFmtId="0" fontId="63" fillId="0" borderId="99" xfId="151" applyFont="1" applyFill="1" applyBorder="1" applyAlignment="1">
      <alignment horizontal="center"/>
    </xf>
    <xf numFmtId="0" fontId="63" fillId="0" borderId="95" xfId="151" applyFont="1" applyFill="1" applyBorder="1" applyAlignment="1">
      <alignment horizontal="center"/>
    </xf>
    <xf numFmtId="0" fontId="63" fillId="0" borderId="96" xfId="151" applyFont="1" applyFill="1" applyBorder="1" applyAlignment="1">
      <alignment horizontal="center"/>
    </xf>
    <xf numFmtId="169" fontId="63" fillId="26" borderId="97" xfId="146" applyFont="1" applyFill="1" applyBorder="1" applyAlignment="1">
      <alignment vertical="top" wrapText="1"/>
    </xf>
    <xf numFmtId="169" fontId="63" fillId="26" borderId="98" xfId="146" applyFont="1" applyFill="1" applyBorder="1" applyAlignment="1">
      <alignment vertical="top" wrapText="1"/>
    </xf>
    <xf numFmtId="169" fontId="63" fillId="26" borderId="94" xfId="146" applyFont="1" applyFill="1" applyBorder="1" applyAlignment="1">
      <alignment vertical="top" wrapText="1"/>
    </xf>
    <xf numFmtId="169" fontId="63" fillId="26" borderId="95" xfId="146" applyFont="1" applyFill="1" applyBorder="1" applyAlignment="1">
      <alignment vertical="top" wrapText="1"/>
    </xf>
    <xf numFmtId="0" fontId="63" fillId="0" borderId="98" xfId="151" applyFont="1" applyFill="1" applyBorder="1" applyAlignment="1">
      <alignment horizontal="center" vertical="center"/>
    </xf>
    <xf numFmtId="0" fontId="63" fillId="0" borderId="99" xfId="151" applyFont="1" applyFill="1" applyBorder="1" applyAlignment="1">
      <alignment horizontal="center" vertical="center"/>
    </xf>
    <xf numFmtId="0" fontId="63" fillId="0" borderId="95" xfId="151" applyFont="1" applyFill="1" applyBorder="1" applyAlignment="1">
      <alignment horizontal="center" vertical="center"/>
    </xf>
    <xf numFmtId="0" fontId="63" fillId="0" borderId="96" xfId="151" applyFont="1" applyFill="1" applyBorder="1" applyAlignment="1">
      <alignment horizontal="center" vertical="center"/>
    </xf>
    <xf numFmtId="0" fontId="63" fillId="0" borderId="98" xfId="151" applyFont="1" applyFill="1" applyBorder="1" applyAlignment="1">
      <alignment horizontal="center" wrapText="1"/>
    </xf>
    <xf numFmtId="0" fontId="63" fillId="0" borderId="99" xfId="151" applyFont="1" applyFill="1" applyBorder="1" applyAlignment="1">
      <alignment horizontal="center" wrapText="1"/>
    </xf>
    <xf numFmtId="0" fontId="63" fillId="0" borderId="95" xfId="151" applyFont="1" applyFill="1" applyBorder="1" applyAlignment="1">
      <alignment horizontal="center" wrapText="1"/>
    </xf>
    <xf numFmtId="0" fontId="63" fillId="0" borderId="96" xfId="151" applyFont="1" applyFill="1" applyBorder="1" applyAlignment="1">
      <alignment horizontal="center" wrapText="1"/>
    </xf>
    <xf numFmtId="169" fontId="81" fillId="17" borderId="82" xfId="146" applyFont="1" applyFill="1" applyBorder="1" applyAlignment="1">
      <alignment horizontal="center"/>
    </xf>
    <xf numFmtId="0" fontId="81" fillId="17" borderId="82" xfId="151" applyFont="1" applyFill="1" applyBorder="1" applyAlignment="1">
      <alignment horizontal="center"/>
    </xf>
    <xf numFmtId="169" fontId="63" fillId="0" borderId="83" xfId="146" applyFont="1" applyFill="1" applyBorder="1" applyAlignment="1">
      <alignment vertical="top" wrapText="1"/>
    </xf>
    <xf numFmtId="169" fontId="63" fillId="0" borderId="71" xfId="146" applyFont="1" applyFill="1" applyBorder="1" applyAlignment="1">
      <alignment vertical="top" wrapText="1"/>
    </xf>
    <xf numFmtId="0" fontId="63" fillId="0" borderId="71" xfId="151" applyFont="1" applyFill="1" applyBorder="1" applyAlignment="1">
      <alignment horizontal="center"/>
    </xf>
    <xf numFmtId="0" fontId="63" fillId="0" borderId="84" xfId="151" applyFont="1" applyFill="1" applyBorder="1" applyAlignment="1">
      <alignment horizontal="center"/>
    </xf>
    <xf numFmtId="0" fontId="64" fillId="26" borderId="101" xfId="0" applyFont="1" applyFill="1" applyBorder="1" applyAlignment="1">
      <alignment horizontal="center" vertical="center" wrapText="1"/>
    </xf>
    <xf numFmtId="0" fontId="64" fillId="26" borderId="102" xfId="0" applyFont="1" applyFill="1" applyBorder="1" applyAlignment="1">
      <alignment horizontal="center" vertical="center" wrapText="1"/>
    </xf>
    <xf numFmtId="0" fontId="64" fillId="26" borderId="103" xfId="0" applyFont="1" applyFill="1" applyBorder="1" applyAlignment="1">
      <alignment horizontal="center" vertical="center" wrapText="1"/>
    </xf>
    <xf numFmtId="0" fontId="56" fillId="0" borderId="0" xfId="23" applyFill="1" applyAlignment="1">
      <alignment horizontal="center"/>
    </xf>
    <xf numFmtId="49" fontId="17" fillId="0" borderId="0" xfId="11" applyBorder="1" applyAlignment="1">
      <alignment vertical="center" wrapText="1"/>
    </xf>
    <xf numFmtId="0" fontId="0" fillId="0" borderId="0" xfId="0" applyBorder="1" applyAlignment="1">
      <alignment wrapText="1"/>
    </xf>
    <xf numFmtId="0" fontId="2" fillId="0" borderId="126" xfId="42" applyBorder="1">
      <alignment horizontal="center" vertical="center" wrapText="1"/>
    </xf>
    <xf numFmtId="0" fontId="2" fillId="0" borderId="128" xfId="42" applyBorder="1">
      <alignment horizontal="center" vertical="center" wrapText="1"/>
    </xf>
    <xf numFmtId="0" fontId="21" fillId="0" borderId="69" xfId="0" applyFont="1" applyBorder="1" applyAlignment="1" applyProtection="1">
      <alignment horizontal="center"/>
      <protection locked="0"/>
    </xf>
    <xf numFmtId="0" fontId="5" fillId="0" borderId="0" xfId="37" applyBorder="1">
      <alignment vertical="center" wrapText="1"/>
      <protection locked="0"/>
    </xf>
    <xf numFmtId="0" fontId="5" fillId="0" borderId="2" xfId="37" applyBorder="1">
      <alignment vertical="center" wrapText="1"/>
      <protection locked="0"/>
    </xf>
    <xf numFmtId="0" fontId="13" fillId="3" borderId="1" xfId="2">
      <alignment horizontal="left" vertical="center" wrapText="1"/>
    </xf>
    <xf numFmtId="0" fontId="10" fillId="3" borderId="1" xfId="44">
      <alignment horizontal="center" vertical="center" wrapText="1"/>
    </xf>
    <xf numFmtId="14" fontId="10" fillId="3" borderId="18" xfId="15" applyBorder="1" applyAlignment="1">
      <alignment horizontal="center" vertical="center" wrapText="1"/>
    </xf>
    <xf numFmtId="0" fontId="0" fillId="0" borderId="19" xfId="0" applyBorder="1" applyAlignment="1">
      <alignment horizontal="center" vertical="center" wrapText="1"/>
    </xf>
    <xf numFmtId="170" fontId="13" fillId="3" borderId="1" xfId="1">
      <alignment horizontal="left" vertical="center" wrapText="1"/>
    </xf>
    <xf numFmtId="0" fontId="59" fillId="0" borderId="0" xfId="0" applyFont="1" applyFill="1" applyAlignment="1">
      <alignment horizontal="center"/>
    </xf>
    <xf numFmtId="0" fontId="99" fillId="23" borderId="0" xfId="0" applyFont="1" applyFill="1" applyBorder="1" applyAlignment="1">
      <alignment horizontal="center" vertical="top"/>
    </xf>
    <xf numFmtId="0" fontId="59" fillId="25" borderId="0" xfId="0" applyFont="1" applyFill="1" applyAlignment="1">
      <alignment horizontal="center" wrapText="1"/>
    </xf>
    <xf numFmtId="0" fontId="59" fillId="0" borderId="0" xfId="0" applyFont="1" applyAlignment="1">
      <alignment horizontal="center"/>
    </xf>
    <xf numFmtId="0" fontId="56" fillId="0" borderId="0" xfId="23" quotePrefix="1" applyFill="1" applyAlignment="1">
      <alignment horizontal="center"/>
    </xf>
    <xf numFmtId="0" fontId="99" fillId="17" borderId="0" xfId="0" applyFont="1" applyFill="1" applyBorder="1" applyAlignment="1">
      <alignment horizontal="center" vertical="top"/>
    </xf>
    <xf numFmtId="0" fontId="64" fillId="17" borderId="0" xfId="142" applyNumberFormat="1" applyFont="1" applyFill="1" applyBorder="1" applyAlignment="1">
      <alignment horizontal="left"/>
    </xf>
    <xf numFmtId="0" fontId="59" fillId="17" borderId="0" xfId="0" applyFont="1" applyFill="1" applyAlignment="1">
      <alignment horizontal="left"/>
    </xf>
    <xf numFmtId="0" fontId="56" fillId="3" borderId="17" xfId="23" applyFill="1" applyBorder="1" applyAlignment="1">
      <alignment horizontal="center"/>
    </xf>
    <xf numFmtId="0" fontId="0" fillId="0" borderId="0" xfId="0" applyAlignment="1">
      <alignment horizontal="left" wrapText="1"/>
    </xf>
    <xf numFmtId="14" fontId="10" fillId="3" borderId="17" xfId="15" applyBorder="1" applyAlignment="1">
      <alignment horizontal="center" vertical="center" wrapText="1"/>
    </xf>
    <xf numFmtId="14" fontId="10" fillId="3" borderId="19" xfId="15" applyBorder="1" applyAlignment="1">
      <alignment horizontal="center" vertical="center" wrapText="1"/>
    </xf>
    <xf numFmtId="49" fontId="17" fillId="0" borderId="0" xfId="11" applyAlignment="1">
      <alignment vertical="center" wrapText="1"/>
    </xf>
    <xf numFmtId="0" fontId="0" fillId="0" borderId="0" xfId="0" applyAlignment="1">
      <alignment wrapText="1"/>
    </xf>
    <xf numFmtId="0" fontId="10" fillId="3" borderId="18" xfId="24" applyNumberFormat="1" applyBorder="1" applyAlignment="1">
      <alignment horizontal="center" vertical="center" wrapText="1"/>
      <protection locked="0"/>
    </xf>
    <xf numFmtId="0" fontId="10" fillId="3" borderId="17" xfId="24" applyNumberFormat="1" applyBorder="1" applyAlignment="1">
      <alignment horizontal="center" vertical="center" wrapText="1"/>
      <protection locked="0"/>
    </xf>
    <xf numFmtId="0" fontId="10" fillId="3" borderId="19" xfId="24" applyNumberFormat="1" applyBorder="1" applyAlignment="1">
      <alignment horizontal="center" vertical="center" wrapText="1"/>
      <protection locked="0"/>
    </xf>
    <xf numFmtId="0" fontId="2" fillId="0" borderId="127" xfId="42" applyBorder="1">
      <alignment horizontal="center" vertical="center" wrapText="1"/>
    </xf>
    <xf numFmtId="0" fontId="2" fillId="0" borderId="126" xfId="42" applyBorder="1" applyAlignment="1">
      <alignment horizontal="center" vertical="center" wrapText="1"/>
    </xf>
    <xf numFmtId="0" fontId="0" fillId="0" borderId="128" xfId="0" applyBorder="1" applyAlignment="1">
      <alignment horizontal="center" vertical="center" wrapText="1"/>
    </xf>
    <xf numFmtId="0" fontId="10" fillId="0" borderId="0" xfId="14" applyBorder="1" applyAlignment="1">
      <alignment horizontal="left" vertical="center" wrapText="1"/>
    </xf>
    <xf numFmtId="0" fontId="0" fillId="0" borderId="0" xfId="0" applyAlignment="1">
      <alignment horizontal="left" vertical="center" wrapText="1"/>
    </xf>
    <xf numFmtId="49" fontId="57" fillId="0" borderId="0" xfId="11" applyFont="1" applyAlignment="1">
      <alignment vertical="center" wrapText="1"/>
    </xf>
    <xf numFmtId="0" fontId="21" fillId="0" borderId="0" xfId="0" applyFont="1" applyAlignment="1">
      <alignment wrapText="1"/>
    </xf>
    <xf numFmtId="0" fontId="9" fillId="2" borderId="1" xfId="136">
      <alignment vertical="center" wrapText="1"/>
    </xf>
    <xf numFmtId="0" fontId="10" fillId="0" borderId="2" xfId="14" applyBorder="1" applyAlignment="1">
      <alignment horizontal="left" vertical="center" wrapText="1"/>
    </xf>
    <xf numFmtId="0" fontId="0" fillId="0" borderId="2" xfId="0" applyBorder="1" applyAlignment="1">
      <alignment wrapText="1"/>
    </xf>
    <xf numFmtId="0" fontId="0" fillId="0" borderId="124" xfId="0" applyBorder="1" applyAlignment="1">
      <alignment wrapText="1"/>
    </xf>
    <xf numFmtId="0" fontId="10" fillId="0" borderId="12" xfId="14" applyBorder="1" applyAlignment="1">
      <alignment horizontal="left" vertical="center" wrapText="1"/>
    </xf>
    <xf numFmtId="0" fontId="0" fillId="0" borderId="12" xfId="0" applyBorder="1" applyAlignment="1">
      <alignment wrapText="1"/>
    </xf>
    <xf numFmtId="0" fontId="0" fillId="0" borderId="125" xfId="0" applyBorder="1" applyAlignment="1">
      <alignment wrapText="1"/>
    </xf>
    <xf numFmtId="0" fontId="2" fillId="0" borderId="0" xfId="9" applyBorder="1" applyAlignment="1">
      <alignment horizontal="left" vertical="center" wrapText="1"/>
    </xf>
    <xf numFmtId="0" fontId="2" fillId="0" borderId="130" xfId="42" applyBorder="1" applyAlignment="1">
      <alignment horizontal="center" vertical="center" wrapText="1"/>
    </xf>
    <xf numFmtId="0" fontId="0" fillId="0" borderId="131" xfId="0" applyBorder="1" applyAlignment="1">
      <alignment horizontal="center" vertical="center" wrapText="1"/>
    </xf>
    <xf numFmtId="0" fontId="0" fillId="0" borderId="132" xfId="0" applyBorder="1" applyAlignment="1">
      <alignment horizontal="center" vertical="center" wrapText="1"/>
    </xf>
    <xf numFmtId="0" fontId="2" fillId="0" borderId="126" xfId="135" applyBorder="1">
      <alignment horizontal="left" vertical="center" wrapText="1"/>
    </xf>
    <xf numFmtId="0" fontId="2" fillId="0" borderId="127" xfId="135" applyBorder="1">
      <alignment horizontal="left" vertical="center" wrapText="1"/>
    </xf>
    <xf numFmtId="0" fontId="10" fillId="0" borderId="0" xfId="7" applyBorder="1">
      <alignment horizontal="left" vertical="center" wrapText="1"/>
    </xf>
    <xf numFmtId="0" fontId="10" fillId="3" borderId="1" xfId="6" applyBorder="1">
      <alignment vertical="center" wrapText="1"/>
      <protection locked="0"/>
    </xf>
    <xf numFmtId="0" fontId="123" fillId="2" borderId="134" xfId="6" applyFont="1" applyFill="1" applyBorder="1" applyAlignment="1">
      <alignment vertical="center" wrapText="1"/>
      <protection locked="0"/>
    </xf>
    <xf numFmtId="0" fontId="117" fillId="2" borderId="135" xfId="0" applyFont="1" applyFill="1" applyBorder="1" applyAlignment="1">
      <alignment vertical="center" wrapText="1"/>
    </xf>
    <xf numFmtId="0" fontId="117" fillId="2" borderId="136" xfId="0" applyFont="1" applyFill="1" applyBorder="1" applyAlignment="1">
      <alignment vertical="center" wrapText="1"/>
    </xf>
    <xf numFmtId="0" fontId="10" fillId="3" borderId="129" xfId="6" applyBorder="1" applyAlignment="1">
      <alignment vertical="center" wrapText="1"/>
      <protection locked="0"/>
    </xf>
    <xf numFmtId="0" fontId="2" fillId="0" borderId="122" xfId="42" applyBorder="1">
      <alignment horizontal="center" vertical="center" wrapText="1"/>
    </xf>
    <xf numFmtId="0" fontId="2" fillId="0" borderId="12" xfId="42" applyBorder="1">
      <alignment horizontal="center" vertical="center" wrapText="1"/>
    </xf>
    <xf numFmtId="0" fontId="10" fillId="0" borderId="0" xfId="14" applyBorder="1">
      <alignment horizontal="left" vertical="center" wrapText="1"/>
    </xf>
    <xf numFmtId="49" fontId="10" fillId="3" borderId="1" xfId="12" applyBorder="1">
      <alignment vertical="center" wrapText="1"/>
      <protection locked="0"/>
    </xf>
    <xf numFmtId="0" fontId="0" fillId="0" borderId="0" xfId="0" applyFill="1" applyBorder="1" applyAlignment="1">
      <alignment horizontal="center" vertical="center" shrinkToFit="1"/>
    </xf>
    <xf numFmtId="0" fontId="2" fillId="0" borderId="0" xfId="9" applyBorder="1">
      <alignment horizontal="left" vertical="center" wrapText="1"/>
    </xf>
    <xf numFmtId="0" fontId="10" fillId="3" borderId="2" xfId="6" applyBorder="1" applyAlignment="1">
      <alignment vertical="center" wrapText="1"/>
      <protection locked="0"/>
    </xf>
    <xf numFmtId="0" fontId="2" fillId="0" borderId="139" xfId="42" applyBorder="1">
      <alignment horizontal="center" vertical="center" wrapText="1"/>
    </xf>
    <xf numFmtId="0" fontId="10" fillId="3" borderId="0" xfId="14" applyFill="1" applyBorder="1" applyAlignment="1">
      <alignment horizontal="center" vertical="center" wrapText="1"/>
    </xf>
    <xf numFmtId="0" fontId="10" fillId="3" borderId="1" xfId="24" applyNumberFormat="1">
      <alignment horizontal="center" vertical="center" wrapText="1"/>
      <protection locked="0"/>
    </xf>
    <xf numFmtId="0" fontId="0" fillId="0" borderId="128" xfId="0" applyBorder="1" applyAlignment="1">
      <alignment vertical="center" wrapText="1"/>
    </xf>
    <xf numFmtId="49" fontId="17" fillId="0" borderId="0" xfId="11" applyBorder="1">
      <alignment vertical="center" wrapText="1"/>
    </xf>
    <xf numFmtId="49" fontId="10" fillId="3" borderId="1" xfId="12">
      <alignment vertical="center" wrapText="1"/>
      <protection locked="0"/>
    </xf>
    <xf numFmtId="0" fontId="2" fillId="0" borderId="0" xfId="9">
      <alignment horizontal="left" vertical="center" wrapText="1"/>
    </xf>
    <xf numFmtId="0" fontId="56" fillId="3" borderId="39" xfId="23" applyFill="1" applyBorder="1" applyAlignment="1">
      <alignment horizontal="center"/>
    </xf>
    <xf numFmtId="0" fontId="56" fillId="3" borderId="17" xfId="23" applyFill="1" applyBorder="1" applyAlignment="1">
      <alignment horizontal="center" wrapText="1"/>
    </xf>
    <xf numFmtId="0" fontId="10" fillId="3" borderId="1" xfId="6">
      <alignment vertical="center" wrapText="1"/>
      <protection locked="0"/>
    </xf>
    <xf numFmtId="10" fontId="10" fillId="3" borderId="1" xfId="20" applyBorder="1">
      <alignment horizontal="center" vertical="center"/>
      <protection locked="0"/>
    </xf>
    <xf numFmtId="0" fontId="10" fillId="0" borderId="40" xfId="14" applyBorder="1" applyAlignment="1">
      <alignment horizontal="left" vertical="center" wrapText="1"/>
    </xf>
    <xf numFmtId="0" fontId="0" fillId="0" borderId="40" xfId="0" applyBorder="1" applyAlignment="1">
      <alignment wrapText="1"/>
    </xf>
    <xf numFmtId="0" fontId="0" fillId="0" borderId="141" xfId="0" applyBorder="1" applyAlignment="1">
      <alignment wrapText="1"/>
    </xf>
    <xf numFmtId="0" fontId="2" fillId="0" borderId="0" xfId="9" applyBorder="1" applyAlignment="1">
      <alignment horizontal="right" vertical="center" wrapText="1"/>
    </xf>
    <xf numFmtId="0" fontId="0" fillId="0" borderId="150" xfId="0" applyBorder="1" applyAlignment="1">
      <alignment wrapText="1"/>
    </xf>
    <xf numFmtId="0" fontId="10" fillId="0" borderId="39" xfId="14" applyBorder="1" applyAlignment="1">
      <alignment horizontal="left" vertical="center" wrapText="1"/>
    </xf>
    <xf numFmtId="0" fontId="0" fillId="0" borderId="39" xfId="0" applyBorder="1" applyAlignment="1">
      <alignment wrapText="1"/>
    </xf>
    <xf numFmtId="49" fontId="2" fillId="0" borderId="0" xfId="137" applyBorder="1">
      <alignment horizontal="right" vertical="center" wrapText="1"/>
    </xf>
    <xf numFmtId="0" fontId="2" fillId="0" borderId="148" xfId="42" applyBorder="1" applyAlignment="1">
      <alignment horizontal="center" vertical="center" wrapText="1"/>
    </xf>
    <xf numFmtId="0" fontId="0" fillId="0" borderId="145" xfId="0" applyBorder="1" applyAlignment="1">
      <alignment horizontal="center" vertical="center" wrapText="1"/>
    </xf>
    <xf numFmtId="0" fontId="0" fillId="0" borderId="150" xfId="0" applyBorder="1" applyAlignment="1">
      <alignment horizontal="left" vertical="center" wrapText="1"/>
    </xf>
    <xf numFmtId="0" fontId="0" fillId="0" borderId="2" xfId="0" applyBorder="1" applyAlignment="1">
      <alignment horizontal="left" vertical="center" wrapText="1"/>
    </xf>
    <xf numFmtId="0" fontId="0" fillId="0" borderId="124" xfId="0" applyBorder="1" applyAlignment="1">
      <alignment horizontal="left" vertical="center" wrapText="1"/>
    </xf>
    <xf numFmtId="0" fontId="10" fillId="0" borderId="143" xfId="14" applyBorder="1" applyAlignment="1">
      <alignment horizontal="left" vertical="center" wrapText="1"/>
    </xf>
    <xf numFmtId="0" fontId="0" fillId="0" borderId="143" xfId="0" applyBorder="1" applyAlignment="1">
      <alignment horizontal="left" vertical="center" wrapText="1"/>
    </xf>
    <xf numFmtId="0" fontId="0" fillId="0" borderId="144" xfId="0" applyBorder="1" applyAlignment="1">
      <alignment horizontal="left" vertical="center" wrapText="1"/>
    </xf>
    <xf numFmtId="0" fontId="10" fillId="0" borderId="145" xfId="14" applyBorder="1" applyAlignment="1">
      <alignment horizontal="left" vertical="center" wrapText="1"/>
    </xf>
    <xf numFmtId="0" fontId="0" fillId="0" borderId="145" xfId="0" applyBorder="1" applyAlignment="1">
      <alignment horizontal="left" vertical="center" wrapText="1"/>
    </xf>
    <xf numFmtId="0" fontId="0" fillId="0" borderId="146" xfId="0" applyBorder="1" applyAlignment="1">
      <alignment horizontal="left" vertical="center" wrapText="1"/>
    </xf>
    <xf numFmtId="0" fontId="10" fillId="0" borderId="47" xfId="14" applyBorder="1" applyAlignment="1">
      <alignment horizontal="left" vertical="center" wrapText="1"/>
    </xf>
    <xf numFmtId="0" fontId="0" fillId="0" borderId="47" xfId="0" applyBorder="1" applyAlignment="1">
      <alignment horizontal="left" vertical="center" wrapText="1"/>
    </xf>
    <xf numFmtId="0" fontId="0" fillId="0" borderId="147" xfId="0" applyBorder="1" applyAlignment="1">
      <alignment horizontal="left" vertical="center" wrapText="1"/>
    </xf>
    <xf numFmtId="0" fontId="13" fillId="3" borderId="18" xfId="2" applyBorder="1" applyAlignment="1">
      <alignment horizontal="left" vertical="center" wrapText="1"/>
    </xf>
    <xf numFmtId="0" fontId="0" fillId="0" borderId="19" xfId="0" applyBorder="1" applyAlignment="1">
      <alignment horizontal="left" vertical="center" wrapText="1"/>
    </xf>
    <xf numFmtId="0" fontId="10" fillId="3" borderId="36" xfId="44" applyBorder="1" applyAlignment="1">
      <alignment horizontal="center" vertical="center" wrapText="1"/>
    </xf>
    <xf numFmtId="0" fontId="10" fillId="3" borderId="0" xfId="44" applyBorder="1" applyAlignment="1">
      <alignment horizontal="center" vertical="center" wrapText="1"/>
    </xf>
    <xf numFmtId="14" fontId="10" fillId="3" borderId="142" xfId="15" applyBorder="1" applyAlignment="1">
      <alignment horizontal="center" vertical="center" wrapText="1"/>
    </xf>
    <xf numFmtId="14" fontId="10" fillId="3" borderId="40" xfId="15" applyBorder="1" applyAlignment="1">
      <alignment horizontal="center" vertical="center" wrapText="1"/>
    </xf>
    <xf numFmtId="0" fontId="64" fillId="29" borderId="82" xfId="142" applyNumberFormat="1" applyFont="1" applyFill="1" applyBorder="1" applyAlignment="1">
      <alignment horizontal="center"/>
    </xf>
    <xf numFmtId="0" fontId="62" fillId="0" borderId="0" xfId="0" applyFont="1" applyAlignment="1">
      <alignment horizontal="center" wrapText="1"/>
    </xf>
  </cellXfs>
  <cellStyles count="153">
    <cellStyle name="20% - Accent1 2" xfId="54" xr:uid="{00000000-0005-0000-0000-000000000000}"/>
    <cellStyle name="20% - Accent2 2" xfId="56" xr:uid="{00000000-0005-0000-0000-000001000000}"/>
    <cellStyle name="20% - Accent3 2" xfId="58" xr:uid="{00000000-0005-0000-0000-000002000000}"/>
    <cellStyle name="20% - Accent4 2" xfId="60" xr:uid="{00000000-0005-0000-0000-000003000000}"/>
    <cellStyle name="20% - Accent5 2" xfId="62" xr:uid="{00000000-0005-0000-0000-000004000000}"/>
    <cellStyle name="20% - Accent6 2" xfId="64" xr:uid="{00000000-0005-0000-0000-000005000000}"/>
    <cellStyle name="40% - Accent1 2" xfId="55" xr:uid="{00000000-0005-0000-0000-000006000000}"/>
    <cellStyle name="40% - Accent2 2" xfId="57" xr:uid="{00000000-0005-0000-0000-000007000000}"/>
    <cellStyle name="40% - Accent3 2" xfId="59" xr:uid="{00000000-0005-0000-0000-000008000000}"/>
    <cellStyle name="40% - Accent4 2" xfId="61" xr:uid="{00000000-0005-0000-0000-000009000000}"/>
    <cellStyle name="40% - Accent5 2" xfId="63" xr:uid="{00000000-0005-0000-0000-00000A000000}"/>
    <cellStyle name="40% - Accent6 2" xfId="65" xr:uid="{00000000-0005-0000-0000-00000B000000}"/>
    <cellStyle name="Blank %" xfId="8" xr:uid="{00000000-0005-0000-0000-00000C000000}"/>
    <cellStyle name="Blank % Bold" xfId="106" xr:uid="{00000000-0005-0000-0000-00000D000000}"/>
    <cellStyle name="Blank Bold" xfId="107" xr:uid="{00000000-0005-0000-0000-00000E000000}"/>
    <cellStyle name="Blank Bold Center" xfId="108" xr:uid="{00000000-0005-0000-0000-00000F000000}"/>
    <cellStyle name="Blank Date" xfId="27" xr:uid="{00000000-0005-0000-0000-000010000000}"/>
    <cellStyle name="Blank Text" xfId="7" xr:uid="{00000000-0005-0000-0000-000011000000}"/>
    <cellStyle name="BlankDate" xfId="109" xr:uid="{00000000-0005-0000-0000-000012000000}"/>
    <cellStyle name="Client Contact" xfId="74" xr:uid="{00000000-0005-0000-0000-000013000000}"/>
    <cellStyle name="Comma" xfId="22" builtinId="3" customBuiltin="1"/>
    <cellStyle name="Comma 2" xfId="69" xr:uid="{00000000-0005-0000-0000-000015000000}"/>
    <cellStyle name="Comma 2 2" xfId="80" xr:uid="{00000000-0005-0000-0000-000016000000}"/>
    <cellStyle name="Comma 2 2 2" xfId="100" xr:uid="{00000000-0005-0000-0000-000017000000}"/>
    <cellStyle name="Comma 2 2 3" xfId="147" xr:uid="{00000000-0005-0000-0000-000018000000}"/>
    <cellStyle name="Comma 2 3" xfId="90" xr:uid="{00000000-0005-0000-0000-000019000000}"/>
    <cellStyle name="Comma 3" xfId="75" xr:uid="{00000000-0005-0000-0000-00001A000000}"/>
    <cellStyle name="Comma 3 2" xfId="95" xr:uid="{00000000-0005-0000-0000-00001B000000}"/>
    <cellStyle name="Comma 3 3" xfId="142" xr:uid="{00000000-0005-0000-0000-00001C000000}"/>
    <cellStyle name="Comma 4" xfId="85" xr:uid="{00000000-0005-0000-0000-00001D000000}"/>
    <cellStyle name="Comma 4 2" xfId="146" xr:uid="{00000000-0005-0000-0000-00001E000000}"/>
    <cellStyle name="Currency" xfId="140" builtinId="4"/>
    <cellStyle name="DataField" xfId="6" xr:uid="{00000000-0005-0000-0000-000020000000}"/>
    <cellStyle name="DataField Bold Center" xfId="110" xr:uid="{00000000-0005-0000-0000-000021000000}"/>
    <cellStyle name="DataField Center" xfId="13" xr:uid="{00000000-0005-0000-0000-000022000000}"/>
    <cellStyle name="DataField Center Bold" xfId="28" xr:uid="{00000000-0005-0000-0000-000023000000}"/>
    <cellStyle name="DataField Date" xfId="26" xr:uid="{00000000-0005-0000-0000-000024000000}"/>
    <cellStyle name="DataField Text" xfId="12" xr:uid="{00000000-0005-0000-0000-000025000000}"/>
    <cellStyle name="DataField Text Center" xfId="21" xr:uid="{00000000-0005-0000-0000-000026000000}"/>
    <cellStyle name="DataField#" xfId="39" xr:uid="{00000000-0005-0000-0000-000027000000}"/>
    <cellStyle name="DataField# 1" xfId="111" xr:uid="{00000000-0005-0000-0000-000028000000}"/>
    <cellStyle name="DataField$" xfId="35" xr:uid="{00000000-0005-0000-0000-000029000000}"/>
    <cellStyle name="DataField$Round" xfId="36" xr:uid="{00000000-0005-0000-0000-00002A000000}"/>
    <cellStyle name="DataField$Round 2" xfId="66" xr:uid="{00000000-0005-0000-0000-00002B000000}"/>
    <cellStyle name="DataField$Round 2 2" xfId="71" xr:uid="{00000000-0005-0000-0000-00002C000000}"/>
    <cellStyle name="DataField$Round 2 2 2" xfId="82" xr:uid="{00000000-0005-0000-0000-00002D000000}"/>
    <cellStyle name="DataField$Round 2 2 2 2" xfId="102" xr:uid="{00000000-0005-0000-0000-00002E000000}"/>
    <cellStyle name="DataField$Round 2 2 3" xfId="92" xr:uid="{00000000-0005-0000-0000-00002F000000}"/>
    <cellStyle name="DataField$Round 2 3" xfId="77" xr:uid="{00000000-0005-0000-0000-000030000000}"/>
    <cellStyle name="DataField$Round 2 3 2" xfId="97" xr:uid="{00000000-0005-0000-0000-000031000000}"/>
    <cellStyle name="DataField$Round 2 4" xfId="87" xr:uid="{00000000-0005-0000-0000-000032000000}"/>
    <cellStyle name="DataField%" xfId="20" xr:uid="{00000000-0005-0000-0000-000033000000}"/>
    <cellStyle name="DataField% 1" xfId="112" xr:uid="{00000000-0005-0000-0000-000034000000}"/>
    <cellStyle name="DataField% 2" xfId="113" xr:uid="{00000000-0005-0000-0000-000035000000}"/>
    <cellStyle name="Formula" xfId="114" xr:uid="{00000000-0005-0000-0000-000036000000}"/>
    <cellStyle name="Formula #" xfId="4" xr:uid="{00000000-0005-0000-0000-000037000000}"/>
    <cellStyle name="Formula # 1" xfId="115" xr:uid="{00000000-0005-0000-0000-000038000000}"/>
    <cellStyle name="Formula # 2" xfId="116" xr:uid="{00000000-0005-0000-0000-000039000000}"/>
    <cellStyle name="Formula # 3" xfId="117" xr:uid="{00000000-0005-0000-0000-00003A000000}"/>
    <cellStyle name="Formula # 4" xfId="118" xr:uid="{00000000-0005-0000-0000-00003B000000}"/>
    <cellStyle name="Formula Date" xfId="40" xr:uid="{00000000-0005-0000-0000-00003C000000}"/>
    <cellStyle name="Formula Text" xfId="119" xr:uid="{00000000-0005-0000-0000-00003D000000}"/>
    <cellStyle name="Formula Text Center" xfId="120" xr:uid="{00000000-0005-0000-0000-00003E000000}"/>
    <cellStyle name="Formula Year" xfId="121" xr:uid="{00000000-0005-0000-0000-00003F000000}"/>
    <cellStyle name="Formula$" xfId="38" xr:uid="{00000000-0005-0000-0000-000040000000}"/>
    <cellStyle name="Formula$ Center" xfId="122" xr:uid="{00000000-0005-0000-0000-000041000000}"/>
    <cellStyle name="Formula$Round" xfId="41" xr:uid="{00000000-0005-0000-0000-000042000000}"/>
    <cellStyle name="Formula$Round 2" xfId="67" xr:uid="{00000000-0005-0000-0000-000043000000}"/>
    <cellStyle name="Formula$Round 2 2" xfId="72" xr:uid="{00000000-0005-0000-0000-000044000000}"/>
    <cellStyle name="Formula$Round 2 2 2" xfId="83" xr:uid="{00000000-0005-0000-0000-000045000000}"/>
    <cellStyle name="Formula$Round 2 2 2 2" xfId="103" xr:uid="{00000000-0005-0000-0000-000046000000}"/>
    <cellStyle name="Formula$Round 2 2 3" xfId="93" xr:uid="{00000000-0005-0000-0000-000047000000}"/>
    <cellStyle name="Formula$Round 2 3" xfId="78" xr:uid="{00000000-0005-0000-0000-000048000000}"/>
    <cellStyle name="Formula$Round 2 3 2" xfId="98" xr:uid="{00000000-0005-0000-0000-000049000000}"/>
    <cellStyle name="Formula$Round 2 4" xfId="88" xr:uid="{00000000-0005-0000-0000-00004A000000}"/>
    <cellStyle name="Formula$Round LightGrey" xfId="123" xr:uid="{00000000-0005-0000-0000-00004B000000}"/>
    <cellStyle name="Formula%" xfId="17" xr:uid="{00000000-0005-0000-0000-00004C000000}"/>
    <cellStyle name="Formula% 2" xfId="124" xr:uid="{00000000-0005-0000-0000-00004D000000}"/>
    <cellStyle name="Formula% 3" xfId="125" xr:uid="{00000000-0005-0000-0000-00004E000000}"/>
    <cellStyle name="HomePage Date" xfId="33" xr:uid="{00000000-0005-0000-0000-00004F000000}"/>
    <cellStyle name="HomePage Text" xfId="43" xr:uid="{00000000-0005-0000-0000-000050000000}"/>
    <cellStyle name="HomePage Text Bold" xfId="19" xr:uid="{00000000-0005-0000-0000-000051000000}"/>
    <cellStyle name="Hyperlink" xfId="23" builtinId="8" customBuiltin="1"/>
    <cellStyle name="Hyperlink 2" xfId="126" xr:uid="{00000000-0005-0000-0000-000053000000}"/>
    <cellStyle name="Hyperlink 2 2" xfId="145" xr:uid="{00000000-0005-0000-0000-000054000000}"/>
    <cellStyle name="Hyperlink 3" xfId="144" xr:uid="{00000000-0005-0000-0000-000055000000}"/>
    <cellStyle name="Hyperlink 4" xfId="152" xr:uid="{61A809BD-47FE-486A-82B5-29F2F888003D}"/>
    <cellStyle name="Index" xfId="105" xr:uid="{00000000-0005-0000-0000-000056000000}"/>
    <cellStyle name="Index Information" xfId="52" xr:uid="{00000000-0005-0000-0000-000057000000}"/>
    <cellStyle name="Information" xfId="11" xr:uid="{00000000-0005-0000-0000-000058000000}"/>
    <cellStyle name="Information #" xfId="48" xr:uid="{00000000-0005-0000-0000-000059000000}"/>
    <cellStyle name="Information # 2" xfId="10" xr:uid="{00000000-0005-0000-0000-00005A000000}"/>
    <cellStyle name="Information # 3" xfId="127" xr:uid="{00000000-0005-0000-0000-00005B000000}"/>
    <cellStyle name="Information # 4" xfId="51" xr:uid="{00000000-0005-0000-0000-00005C000000}"/>
    <cellStyle name="Information $" xfId="45" xr:uid="{00000000-0005-0000-0000-00005D000000}"/>
    <cellStyle name="Information $ 2" xfId="70" xr:uid="{00000000-0005-0000-0000-00005E000000}"/>
    <cellStyle name="Information $ 2 2" xfId="81" xr:uid="{00000000-0005-0000-0000-00005F000000}"/>
    <cellStyle name="Information $ 2 2 2" xfId="101" xr:uid="{00000000-0005-0000-0000-000060000000}"/>
    <cellStyle name="Information $ 2 3" xfId="91" xr:uid="{00000000-0005-0000-0000-000061000000}"/>
    <cellStyle name="Information $ 3" xfId="76" xr:uid="{00000000-0005-0000-0000-000062000000}"/>
    <cellStyle name="Information $ 3 2" xfId="96" xr:uid="{00000000-0005-0000-0000-000063000000}"/>
    <cellStyle name="Information $ 4" xfId="86" xr:uid="{00000000-0005-0000-0000-000064000000}"/>
    <cellStyle name="Information %" xfId="46" xr:uid="{00000000-0005-0000-0000-000065000000}"/>
    <cellStyle name="Information % 1" xfId="47" xr:uid="{00000000-0005-0000-0000-000066000000}"/>
    <cellStyle name="Information % 2" xfId="50" xr:uid="{00000000-0005-0000-0000-000067000000}"/>
    <cellStyle name="Information 3" xfId="29" xr:uid="{00000000-0005-0000-0000-000068000000}"/>
    <cellStyle name="Information Bold" xfId="128" xr:uid="{00000000-0005-0000-0000-000069000000}"/>
    <cellStyle name="Information Date" xfId="49" xr:uid="{00000000-0005-0000-0000-00006A000000}"/>
    <cellStyle name="Normal" xfId="0" builtinId="0" customBuiltin="1"/>
    <cellStyle name="Normal 2" xfId="143" xr:uid="{00000000-0005-0000-0000-00006C000000}"/>
    <cellStyle name="Normal 7 2" xfId="149" xr:uid="{00000000-0005-0000-0000-00006D000000}"/>
    <cellStyle name="Normal_trust 6" xfId="148" xr:uid="{00000000-0005-0000-0000-00006E000000}"/>
    <cellStyle name="Normal_working papers for carried forward points sheet" xfId="151" xr:uid="{00000000-0005-0000-0000-00006F000000}"/>
    <cellStyle name="Notes" xfId="34" xr:uid="{00000000-0005-0000-0000-000070000000}"/>
    <cellStyle name="Page Title" xfId="37" xr:uid="{00000000-0005-0000-0000-000071000000}"/>
    <cellStyle name="Page Title Center" xfId="129" xr:uid="{00000000-0005-0000-0000-000072000000}"/>
    <cellStyle name="Page Title Date" xfId="130" xr:uid="{00000000-0005-0000-0000-000073000000}"/>
    <cellStyle name="Percent" xfId="141" builtinId="5"/>
    <cellStyle name="Percent 3 2" xfId="150" xr:uid="{00000000-0005-0000-0000-000075000000}"/>
    <cellStyle name="Rollup" xfId="131" xr:uid="{00000000-0005-0000-0000-000076000000}"/>
    <cellStyle name="Sheet Title" xfId="42" xr:uid="{00000000-0005-0000-0000-000077000000}"/>
    <cellStyle name="Sheet Title $" xfId="132" xr:uid="{00000000-0005-0000-0000-000078000000}"/>
    <cellStyle name="Sheet Title $ 2" xfId="133" xr:uid="{00000000-0005-0000-0000-000079000000}"/>
    <cellStyle name="Sheet Title Date" xfId="134" xr:uid="{00000000-0005-0000-0000-00007A000000}"/>
    <cellStyle name="Sheet Title Left" xfId="135" xr:uid="{00000000-0005-0000-0000-00007B000000}"/>
    <cellStyle name="Subtotal$" xfId="31" xr:uid="{00000000-0005-0000-0000-00007C000000}"/>
    <cellStyle name="Subtotal$Round" xfId="18" xr:uid="{00000000-0005-0000-0000-00007D000000}"/>
    <cellStyle name="Subtotal$Round 2" xfId="68" xr:uid="{00000000-0005-0000-0000-00007E000000}"/>
    <cellStyle name="Subtotal$Round 2 2" xfId="73" xr:uid="{00000000-0005-0000-0000-00007F000000}"/>
    <cellStyle name="Subtotal$Round 2 2 2" xfId="84" xr:uid="{00000000-0005-0000-0000-000080000000}"/>
    <cellStyle name="Subtotal$Round 2 2 2 2" xfId="104" xr:uid="{00000000-0005-0000-0000-000081000000}"/>
    <cellStyle name="Subtotal$Round 2 2 3" xfId="94" xr:uid="{00000000-0005-0000-0000-000082000000}"/>
    <cellStyle name="Subtotal$Round 2 3" xfId="79" xr:uid="{00000000-0005-0000-0000-000083000000}"/>
    <cellStyle name="Subtotal$Round 2 3 2" xfId="99" xr:uid="{00000000-0005-0000-0000-000084000000}"/>
    <cellStyle name="Subtotal$Round 2 4" xfId="89" xr:uid="{00000000-0005-0000-0000-000085000000}"/>
    <cellStyle name="Tab Name" xfId="30" xr:uid="{00000000-0005-0000-0000-000086000000}"/>
    <cellStyle name="Tab Name 2" xfId="136" xr:uid="{00000000-0005-0000-0000-000087000000}"/>
    <cellStyle name="TextNoLine" xfId="14" xr:uid="{00000000-0005-0000-0000-000088000000}"/>
    <cellStyle name="TextNoLine Center" xfId="16" xr:uid="{00000000-0005-0000-0000-000089000000}"/>
    <cellStyle name="TextNoLine Right" xfId="25" xr:uid="{00000000-0005-0000-0000-00008A000000}"/>
    <cellStyle name="TextNoLineBold" xfId="9" xr:uid="{00000000-0005-0000-0000-00008B000000}"/>
    <cellStyle name="TextNoLineBold 3" xfId="32" xr:uid="{00000000-0005-0000-0000-00008C000000}"/>
    <cellStyle name="TextNoLineBold Center" xfId="5" xr:uid="{00000000-0005-0000-0000-00008D000000}"/>
    <cellStyle name="TextNoLineBoldRight" xfId="137" xr:uid="{00000000-0005-0000-0000-00008E000000}"/>
    <cellStyle name="Title" xfId="53" builtinId="15" customBuiltin="1"/>
    <cellStyle name="Warning" xfId="138" xr:uid="{00000000-0005-0000-0000-000090000000}"/>
    <cellStyle name="web" xfId="139" xr:uid="{00000000-0005-0000-0000-000091000000}"/>
    <cellStyle name="WP Client" xfId="2" xr:uid="{00000000-0005-0000-0000-000092000000}"/>
    <cellStyle name="WP Client Date" xfId="1" xr:uid="{00000000-0005-0000-0000-000093000000}"/>
    <cellStyle name="WP Ref" xfId="44" xr:uid="{00000000-0005-0000-0000-000094000000}"/>
    <cellStyle name="WP Ref Date" xfId="15" xr:uid="{00000000-0005-0000-0000-000095000000}"/>
    <cellStyle name="WP Ref Head" xfId="3" xr:uid="{00000000-0005-0000-0000-000096000000}"/>
    <cellStyle name="WP Ref Text" xfId="24" xr:uid="{00000000-0005-0000-0000-000097000000}"/>
  </cellStyles>
  <dxfs count="464">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theme="5" tint="-0.24994659260841701"/>
      </font>
    </dxf>
    <dxf>
      <font>
        <b/>
        <i val="0"/>
        <color theme="8" tint="-0.499984740745262"/>
      </font>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theme="5" tint="-0.24994659260841701"/>
      </font>
    </dxf>
    <dxf>
      <font>
        <b/>
        <i val="0"/>
        <color theme="8" tint="-0.499984740745262"/>
      </font>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theme="5" tint="-0.24994659260841701"/>
      </font>
    </dxf>
    <dxf>
      <font>
        <b/>
        <i val="0"/>
        <color theme="8" tint="-0.499984740745262"/>
      </font>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theme="5" tint="-0.24994659260841701"/>
      </font>
    </dxf>
    <dxf>
      <font>
        <b/>
        <i val="0"/>
        <color theme="8" tint="-0.499984740745262"/>
      </font>
    </dxf>
    <dxf>
      <font>
        <color theme="0" tint="-0.14996795556505021"/>
      </font>
    </dxf>
    <dxf>
      <font>
        <color theme="0" tint="-0.14996795556505021"/>
      </font>
    </dxf>
    <dxf>
      <font>
        <color theme="0" tint="-0.14996795556505021"/>
      </font>
    </dxf>
    <dxf>
      <fill>
        <patternFill>
          <bgColor rgb="FFFF0000"/>
        </patternFill>
      </fill>
      <border>
        <left style="thin">
          <color theme="0"/>
        </left>
        <right style="thin">
          <color theme="0"/>
        </right>
        <top style="thin">
          <color theme="0"/>
        </top>
        <bottom style="thin">
          <color theme="0"/>
        </bottom>
        <vertical/>
        <horizontal/>
      </border>
    </dxf>
    <dxf>
      <fill>
        <patternFill>
          <bgColor rgb="FFFF0000"/>
        </patternFill>
      </fill>
      <border>
        <left style="thin">
          <color theme="0"/>
        </left>
        <right style="thin">
          <color theme="0"/>
        </right>
        <top style="thin">
          <color theme="0"/>
        </top>
        <bottom style="thin">
          <color theme="0"/>
        </bottom>
        <vertical/>
        <horizontal/>
      </border>
    </dxf>
    <dxf>
      <fill>
        <patternFill>
          <bgColor rgb="FFFF0000"/>
        </patternFill>
      </fill>
      <border>
        <left style="thin">
          <color theme="0"/>
        </left>
        <right style="thin">
          <color theme="0"/>
        </right>
        <top style="thin">
          <color theme="0"/>
        </top>
        <bottom style="thin">
          <color theme="0"/>
        </bottom>
        <vertical/>
        <horizontal/>
      </border>
    </dxf>
    <dxf>
      <fill>
        <patternFill>
          <bgColor rgb="FFFF0000"/>
        </patternFill>
      </fill>
      <border>
        <left style="thin">
          <color theme="0"/>
        </left>
        <right style="thin">
          <color theme="0"/>
        </right>
        <top style="thin">
          <color theme="0"/>
        </top>
        <bottom style="thin">
          <color theme="0"/>
        </bottom>
        <vertical/>
        <horizontal/>
      </border>
    </dxf>
    <dxf>
      <fill>
        <patternFill>
          <bgColor rgb="FFFF0000"/>
        </patternFill>
      </fill>
      <border>
        <left style="thin">
          <color theme="0"/>
        </left>
        <right style="thin">
          <color theme="0"/>
        </right>
        <top style="thin">
          <color theme="0"/>
        </top>
        <bottom style="thin">
          <color theme="0"/>
        </bottom>
        <vertical/>
        <horizontal/>
      </border>
    </dxf>
    <dxf>
      <fill>
        <patternFill>
          <bgColor rgb="FFFF0000"/>
        </patternFill>
      </fill>
      <border>
        <left style="thin">
          <color theme="0"/>
        </left>
        <right style="thin">
          <color theme="0"/>
        </right>
        <top style="thin">
          <color theme="0"/>
        </top>
        <bottom style="thin">
          <color theme="0"/>
        </bottom>
        <vertical/>
        <horizontal/>
      </border>
    </dxf>
    <dxf>
      <fill>
        <patternFill>
          <bgColor rgb="FFFF0000"/>
        </patternFill>
      </fill>
      <border>
        <left style="thin">
          <color theme="0"/>
        </left>
        <right style="thin">
          <color theme="0"/>
        </right>
        <top style="thin">
          <color theme="0"/>
        </top>
        <bottom style="thin">
          <color theme="0"/>
        </bottom>
        <vertical/>
        <horizontal/>
      </border>
    </dxf>
    <dxf>
      <fill>
        <patternFill>
          <bgColor rgb="FFFF0000"/>
        </patternFill>
      </fill>
      <border>
        <left style="thin">
          <color theme="0"/>
        </left>
        <right style="thin">
          <color theme="0"/>
        </right>
        <top style="thin">
          <color theme="0"/>
        </top>
        <bottom style="thin">
          <color theme="0"/>
        </bottom>
        <vertical/>
        <horizontal/>
      </border>
    </dxf>
    <dxf>
      <fill>
        <patternFill>
          <bgColor rgb="FFFF0000"/>
        </patternFill>
      </fill>
      <border>
        <left style="thin">
          <color theme="0"/>
        </left>
        <right style="thin">
          <color theme="0"/>
        </right>
        <top style="thin">
          <color theme="0"/>
        </top>
        <bottom style="thin">
          <color theme="0"/>
        </bottom>
        <vertical/>
        <horizontal/>
      </border>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theme="5" tint="-0.24994659260841701"/>
      </font>
    </dxf>
    <dxf>
      <font>
        <b/>
        <i val="0"/>
        <color theme="8" tint="-0.499984740745262"/>
      </font>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ont>
        <color theme="0"/>
      </font>
      <fill>
        <patternFill patternType="none">
          <bgColor auto="1"/>
        </patternFill>
      </fill>
      <border>
        <top style="thin">
          <color theme="0" tint="-4.9989318521683403E-2"/>
        </top>
      </border>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color theme="0"/>
      </font>
      <fill>
        <patternFill patternType="none">
          <bgColor auto="1"/>
        </patternFill>
      </fill>
      <border>
        <top style="thin">
          <color theme="0" tint="-4.9989318521683403E-2"/>
        </top>
      </border>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theme="0"/>
      </font>
      <fill>
        <patternFill>
          <bgColor rgb="FFFF0000"/>
        </patternFill>
      </fill>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color rgb="FF00ACD4"/>
      </font>
    </dxf>
    <dxf>
      <font>
        <color rgb="FFFF0000"/>
      </font>
    </dxf>
    <dxf>
      <font>
        <color theme="0"/>
      </font>
      <fill>
        <gradientFill degree="45">
          <stop position="0">
            <color rgb="FFCFE7F5"/>
          </stop>
          <stop position="1">
            <color rgb="FF00ACD4"/>
          </stop>
        </gradientFill>
      </fill>
    </dxf>
    <dxf>
      <font>
        <color theme="0"/>
      </font>
      <fill>
        <patternFill>
          <bgColor rgb="FFFF0000"/>
        </patternFill>
      </fill>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b/>
        <i val="0"/>
        <color rgb="FF5D8527"/>
      </font>
    </dxf>
    <dxf>
      <font>
        <color rgb="FFFF0000"/>
      </font>
    </dxf>
    <dxf>
      <font>
        <color theme="8"/>
      </font>
    </dxf>
    <dxf>
      <font>
        <color theme="9" tint="-0.499984740745262"/>
      </font>
    </dxf>
    <dxf>
      <font>
        <color theme="7" tint="-0.24994659260841701"/>
      </font>
    </dxf>
    <dxf>
      <font>
        <color theme="4" tint="-0.24994659260841701"/>
      </font>
    </dxf>
    <dxf>
      <font>
        <color theme="9" tint="0.79998168889431442"/>
      </font>
      <fill>
        <patternFill>
          <bgColor theme="0" tint="-4.9989318521683403E-2"/>
        </patternFill>
      </fill>
      <border>
        <left/>
        <right/>
        <top style="thin">
          <color theme="9" tint="-0.24994659260841701"/>
        </top>
        <bottom style="thin">
          <color theme="9" tint="-0.24994659260841701"/>
        </bottom>
      </border>
    </dxf>
    <dxf>
      <border>
        <left style="thin">
          <color theme="9" tint="-0.24994659260841701"/>
        </left>
        <vertical/>
        <horizontal/>
      </border>
    </dxf>
    <dxf>
      <border>
        <right style="thin">
          <color theme="9" tint="-0.24994659260841701"/>
        </right>
        <vertical/>
        <horizontal/>
      </border>
    </dxf>
    <dxf>
      <font>
        <color theme="0"/>
      </font>
      <fill>
        <patternFill>
          <bgColor rgb="FFFF0000"/>
        </patternFill>
      </fill>
    </dxf>
    <dxf>
      <font>
        <color theme="0"/>
      </font>
      <fill>
        <patternFill patternType="none">
          <bgColor auto="1"/>
        </patternFill>
      </fill>
      <border>
        <top style="thin">
          <color theme="0" tint="-4.9989318521683403E-2"/>
        </top>
      </border>
    </dxf>
    <dxf>
      <fill>
        <gradientFill degree="45">
          <stop position="0">
            <color theme="4" tint="0.59999389629810485"/>
          </stop>
          <stop position="1">
            <color rgb="FF55ABDE"/>
          </stop>
        </gradientFill>
      </fill>
    </dxf>
    <dxf>
      <fill>
        <gradientFill degree="45">
          <stop position="0">
            <color theme="9" tint="0.40000610370189521"/>
          </stop>
          <stop position="1">
            <color theme="9" tint="-0.25098422193060094"/>
          </stop>
        </gradientFill>
      </fill>
    </dxf>
    <dxf>
      <fill>
        <patternFill>
          <bgColor rgb="FFFF0000"/>
        </patternFill>
      </fill>
    </dxf>
    <dxf>
      <font>
        <color rgb="FF55ABDE"/>
      </font>
      <fill>
        <patternFill patternType="solid">
          <fgColor auto="1"/>
          <bgColor theme="0" tint="-0.14996795556505021"/>
        </patternFill>
      </fill>
      <border>
        <top style="thin">
          <color theme="0"/>
        </top>
        <bottom style="thin">
          <color theme="0"/>
        </bottom>
      </border>
    </dxf>
    <dxf>
      <font>
        <color theme="0"/>
      </font>
      <fill>
        <patternFill>
          <bgColor rgb="FFFF0000"/>
        </patternFill>
      </fill>
    </dxf>
    <dxf>
      <font>
        <color theme="0"/>
      </font>
      <fill>
        <gradientFill degree="45">
          <stop position="0">
            <color theme="9" tint="0.40000610370189521"/>
          </stop>
          <stop position="1">
            <color theme="9" tint="-0.25098422193060094"/>
          </stop>
        </gradientFill>
      </fill>
    </dxf>
    <dxf>
      <font>
        <color theme="0"/>
      </font>
      <fill>
        <patternFill patternType="none">
          <bgColor auto="1"/>
        </patternFill>
      </fill>
      <border>
        <top style="thin">
          <color theme="0" tint="-4.9989318521683403E-2"/>
        </top>
      </border>
    </dxf>
    <dxf>
      <font>
        <color theme="9" tint="-0.24994659260841701"/>
      </font>
      <fill>
        <patternFill>
          <bgColor theme="0" tint="-4.9989318521683403E-2"/>
        </patternFill>
      </fill>
    </dxf>
    <dxf>
      <font>
        <color theme="0"/>
      </font>
      <fill>
        <patternFill patternType="solid">
          <bgColor theme="0" tint="-0.24994659260841701"/>
        </patternFill>
      </fill>
    </dxf>
    <dxf>
      <font>
        <color theme="1" tint="0.24994659260841701"/>
      </font>
    </dxf>
    <dxf>
      <font>
        <strike/>
        <color auto="1"/>
      </font>
      <fill>
        <patternFill>
          <bgColor theme="0" tint="-0.34998626667073579"/>
        </patternFill>
      </fill>
    </dxf>
    <dxf>
      <font>
        <strike/>
        <color auto="1"/>
      </font>
      <fill>
        <patternFill>
          <bgColor theme="0" tint="-0.34998626667073579"/>
        </patternFill>
      </fill>
    </dxf>
    <dxf>
      <font>
        <strike/>
        <color auto="1"/>
      </font>
      <fill>
        <patternFill>
          <bgColor theme="0" tint="-0.34998626667073579"/>
        </patternFill>
      </fill>
    </dxf>
    <dxf>
      <font>
        <strike/>
        <color auto="1"/>
      </font>
      <fill>
        <patternFill>
          <bgColor theme="0" tint="-0.34998626667073579"/>
        </patternFill>
      </fill>
    </dxf>
    <dxf>
      <font>
        <strike/>
      </font>
      <fill>
        <patternFill>
          <bgColor theme="0" tint="-0.34998626667073579"/>
        </patternFill>
      </fill>
    </dxf>
    <dxf>
      <fill>
        <patternFill>
          <bgColor rgb="FFFF5050"/>
        </patternFill>
      </fill>
    </dxf>
    <dxf>
      <font>
        <strike/>
        <color auto="1"/>
      </font>
      <fill>
        <patternFill>
          <bgColor theme="0" tint="-0.34998626667073579"/>
        </patternFill>
      </fill>
    </dxf>
    <dxf>
      <fill>
        <patternFill>
          <bgColor rgb="FFFF5050"/>
        </patternFill>
      </fill>
    </dxf>
    <dxf>
      <fill>
        <patternFill>
          <bgColor rgb="FFFF5050"/>
        </patternFill>
      </fill>
    </dxf>
    <dxf>
      <fill>
        <patternFill>
          <bgColor rgb="FFFF5050"/>
        </patternFill>
      </fill>
    </dxf>
    <dxf>
      <fill>
        <patternFill>
          <bgColor rgb="FFFF5050"/>
        </patternFill>
      </fill>
    </dxf>
    <dxf>
      <fill>
        <patternFill>
          <bgColor rgb="FFFF5050"/>
        </patternFill>
      </fill>
    </dxf>
    <dxf>
      <font>
        <strike/>
        <color auto="1"/>
      </font>
      <fill>
        <patternFill>
          <bgColor theme="0" tint="-0.34998626667073579"/>
        </patternFill>
      </fill>
    </dxf>
    <dxf>
      <fill>
        <patternFill>
          <bgColor rgb="FFFF5050"/>
        </patternFill>
      </fill>
    </dxf>
    <dxf>
      <fill>
        <patternFill>
          <bgColor rgb="FFFF5050"/>
        </patternFill>
      </fill>
    </dxf>
    <dxf>
      <font>
        <strike/>
        <color auto="1"/>
      </font>
      <fill>
        <patternFill>
          <bgColor theme="0" tint="-0.34998626667073579"/>
        </patternFill>
      </fill>
    </dxf>
    <dxf>
      <fill>
        <patternFill>
          <bgColor rgb="FFFF5050"/>
        </patternFill>
      </fill>
    </dxf>
    <dxf>
      <fill>
        <patternFill>
          <bgColor rgb="FFFF5050"/>
        </patternFill>
      </fill>
    </dxf>
    <dxf>
      <fill>
        <patternFill>
          <bgColor rgb="FFFF5050"/>
        </patternFill>
      </fill>
    </dxf>
    <dxf>
      <font>
        <strike/>
        <color auto="1"/>
      </font>
      <fill>
        <patternFill>
          <bgColor theme="0" tint="-0.34998626667073579"/>
        </patternFill>
      </fill>
    </dxf>
    <dxf>
      <font>
        <strike/>
        <color auto="1"/>
      </font>
      <fill>
        <patternFill>
          <bgColor theme="0" tint="-0.34998626667073579"/>
        </patternFill>
      </fill>
    </dxf>
    <dxf>
      <font>
        <strike/>
        <color auto="1"/>
      </font>
      <fill>
        <patternFill>
          <bgColor theme="0" tint="-0.34998626667073579"/>
        </patternFill>
      </fill>
    </dxf>
    <dxf>
      <font>
        <strike/>
        <color auto="1"/>
      </font>
      <fill>
        <patternFill>
          <bgColor theme="0" tint="-0.34998626667073579"/>
        </patternFill>
      </fill>
    </dxf>
    <dxf>
      <font>
        <strike/>
        <color auto="1"/>
      </font>
      <fill>
        <patternFill>
          <bgColor theme="0" tint="-0.34998626667073579"/>
        </patternFill>
      </fill>
    </dxf>
    <dxf>
      <font>
        <strike/>
        <color auto="1"/>
      </font>
      <fill>
        <patternFill>
          <bgColor theme="0" tint="-0.34998626667073579"/>
        </patternFill>
      </fill>
    </dxf>
  </dxfs>
  <tableStyles count="0" defaultTableStyle="TableStyleMedium2" defaultPivotStyle="PivotStyleLight16"/>
  <colors>
    <mruColors>
      <color rgb="FF8DC63F"/>
      <color rgb="FFFFCCCC"/>
      <color rgb="FFCFE7F5"/>
      <color rgb="FF00ACD4"/>
      <color rgb="FF56B900"/>
      <color rgb="FF008EB0"/>
      <color rgb="FFF9C705"/>
      <color rgb="FF55ABDE"/>
      <color rgb="FF333333"/>
      <color rgb="FF97EB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externalLink" Target="externalLinks/externalLink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externalLink" Target="externalLinks/externalLink3.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externalLink" Target="externalLinks/externalLink2.xml"/><Relationship Id="rId30" Type="http://schemas.openxmlformats.org/officeDocument/2006/relationships/theme" Target="theme/theme1.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8.emf"/></Relationships>
</file>

<file path=xl/drawings/_rels/drawing11.xml.rels><?xml version="1.0" encoding="UTF-8" standalone="yes"?>
<Relationships xmlns="http://schemas.openxmlformats.org/package/2006/relationships"><Relationship Id="rId2" Type="http://schemas.openxmlformats.org/officeDocument/2006/relationships/image" Target="../media/image13.png"/><Relationship Id="rId1" Type="http://schemas.openxmlformats.org/officeDocument/2006/relationships/image" Target="../media/image12.png"/></Relationships>
</file>

<file path=xl/drawings/_rels/drawing12.xml.rels><?xml version="1.0" encoding="UTF-8" standalone="yes"?>
<Relationships xmlns="http://schemas.openxmlformats.org/package/2006/relationships"><Relationship Id="rId1" Type="http://schemas.openxmlformats.org/officeDocument/2006/relationships/image" Target="../media/image8.emf"/></Relationships>
</file>

<file path=xl/drawings/_rels/drawing13.xml.rels><?xml version="1.0" encoding="UTF-8" standalone="yes"?>
<Relationships xmlns="http://schemas.openxmlformats.org/package/2006/relationships"><Relationship Id="rId1" Type="http://schemas.openxmlformats.org/officeDocument/2006/relationships/image" Target="../media/image8.emf"/></Relationships>
</file>

<file path=xl/drawings/_rels/drawing14.xml.rels><?xml version="1.0" encoding="UTF-8" standalone="yes"?>
<Relationships xmlns="http://schemas.openxmlformats.org/package/2006/relationships"><Relationship Id="rId1" Type="http://schemas.openxmlformats.org/officeDocument/2006/relationships/image" Target="../media/image8.emf"/></Relationships>
</file>

<file path=xl/drawings/_rels/drawing15.xml.rels><?xml version="1.0" encoding="UTF-8" standalone="yes"?>
<Relationships xmlns="http://schemas.openxmlformats.org/package/2006/relationships"><Relationship Id="rId1" Type="http://schemas.openxmlformats.org/officeDocument/2006/relationships/image" Target="../media/image8.emf"/></Relationships>
</file>

<file path=xl/drawings/_rels/drawing2.xml.rels><?xml version="1.0" encoding="UTF-8" standalone="yes"?>
<Relationships xmlns="http://schemas.openxmlformats.org/package/2006/relationships"><Relationship Id="rId2" Type="http://schemas.openxmlformats.org/officeDocument/2006/relationships/image" Target="../media/image3.svg"/><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4.png"/></Relationships>
</file>

<file path=xl/drawings/_rels/drawing7.xml.rels><?xml version="1.0" encoding="UTF-8" standalone="yes"?>
<Relationships xmlns="http://schemas.openxmlformats.org/package/2006/relationships"><Relationship Id="rId2" Type="http://schemas.openxmlformats.org/officeDocument/2006/relationships/image" Target="../media/image6.png"/><Relationship Id="rId1" Type="http://schemas.openxmlformats.org/officeDocument/2006/relationships/image" Target="../media/image5.png"/></Relationships>
</file>

<file path=xl/drawings/_rels/drawing8.xml.rels><?xml version="1.0" encoding="UTF-8" standalone="yes"?>
<Relationships xmlns="http://schemas.openxmlformats.org/package/2006/relationships"><Relationship Id="rId1" Type="http://schemas.openxmlformats.org/officeDocument/2006/relationships/image" Target="../media/image7.png"/></Relationships>
</file>

<file path=xl/drawings/_rels/drawing9.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emf"/><Relationship Id="rId4"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editAs="oneCell">
    <xdr:from>
      <xdr:col>7</xdr:col>
      <xdr:colOff>650122</xdr:colOff>
      <xdr:row>0</xdr:row>
      <xdr:rowOff>92225</xdr:rowOff>
    </xdr:from>
    <xdr:to>
      <xdr:col>8</xdr:col>
      <xdr:colOff>1849062</xdr:colOff>
      <xdr:row>3</xdr:row>
      <xdr:rowOff>45118</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stretch>
          <a:fillRect/>
        </a:stretch>
      </xdr:blipFill>
      <xdr:spPr>
        <a:xfrm>
          <a:off x="6777872" y="92225"/>
          <a:ext cx="2066773" cy="598476"/>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3</xdr:col>
      <xdr:colOff>876300</xdr:colOff>
      <xdr:row>0</xdr:row>
      <xdr:rowOff>57150</xdr:rowOff>
    </xdr:from>
    <xdr:to>
      <xdr:col>5</xdr:col>
      <xdr:colOff>894129</xdr:colOff>
      <xdr:row>4</xdr:row>
      <xdr:rowOff>28575</xdr:rowOff>
    </xdr:to>
    <xdr:pic>
      <xdr:nvPicPr>
        <xdr:cNvPr id="2" name="Picture 1">
          <a:extLst>
            <a:ext uri="{FF2B5EF4-FFF2-40B4-BE49-F238E27FC236}">
              <a16:creationId xmlns:a16="http://schemas.microsoft.com/office/drawing/2014/main" id="{00000000-0008-0000-0F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3724275" y="57150"/>
          <a:ext cx="2046654" cy="742950"/>
        </a:xfrm>
        <a:prstGeom prst="rect">
          <a:avLst/>
        </a:prstGeom>
        <a:noFill/>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57150</xdr:colOff>
      <xdr:row>24</xdr:row>
      <xdr:rowOff>200025</xdr:rowOff>
    </xdr:from>
    <xdr:to>
      <xdr:col>9</xdr:col>
      <xdr:colOff>203142</xdr:colOff>
      <xdr:row>31</xdr:row>
      <xdr:rowOff>114300</xdr:rowOff>
    </xdr:to>
    <xdr:pic>
      <xdr:nvPicPr>
        <xdr:cNvPr id="2" name="Picture 1">
          <a:extLst>
            <a:ext uri="{FF2B5EF4-FFF2-40B4-BE49-F238E27FC236}">
              <a16:creationId xmlns:a16="http://schemas.microsoft.com/office/drawing/2014/main" id="{00000000-0008-0000-1000-000002000000}"/>
            </a:ext>
          </a:extLst>
        </xdr:cNvPr>
        <xdr:cNvPicPr>
          <a:picLocks noChangeAspect="1"/>
        </xdr:cNvPicPr>
      </xdr:nvPicPr>
      <xdr:blipFill>
        <a:blip xmlns:r="http://schemas.openxmlformats.org/officeDocument/2006/relationships" r:embed="rId1"/>
        <a:stretch>
          <a:fillRect/>
        </a:stretch>
      </xdr:blipFill>
      <xdr:spPr>
        <a:xfrm>
          <a:off x="57150" y="5181600"/>
          <a:ext cx="8956617" cy="1447800"/>
        </a:xfrm>
        <a:prstGeom prst="rect">
          <a:avLst/>
        </a:prstGeom>
      </xdr:spPr>
    </xdr:pic>
    <xdr:clientData/>
  </xdr:twoCellAnchor>
  <xdr:twoCellAnchor editAs="oneCell">
    <xdr:from>
      <xdr:col>0</xdr:col>
      <xdr:colOff>95251</xdr:colOff>
      <xdr:row>32</xdr:row>
      <xdr:rowOff>123826</xdr:rowOff>
    </xdr:from>
    <xdr:to>
      <xdr:col>9</xdr:col>
      <xdr:colOff>152400</xdr:colOff>
      <xdr:row>39</xdr:row>
      <xdr:rowOff>115455</xdr:rowOff>
    </xdr:to>
    <xdr:pic>
      <xdr:nvPicPr>
        <xdr:cNvPr id="5" name="Picture 4">
          <a:extLst>
            <a:ext uri="{FF2B5EF4-FFF2-40B4-BE49-F238E27FC236}">
              <a16:creationId xmlns:a16="http://schemas.microsoft.com/office/drawing/2014/main" id="{00000000-0008-0000-1000-000005000000}"/>
            </a:ext>
          </a:extLst>
        </xdr:cNvPr>
        <xdr:cNvPicPr>
          <a:picLocks noChangeAspect="1"/>
        </xdr:cNvPicPr>
      </xdr:nvPicPr>
      <xdr:blipFill>
        <a:blip xmlns:r="http://schemas.openxmlformats.org/officeDocument/2006/relationships" r:embed="rId2"/>
        <a:stretch>
          <a:fillRect/>
        </a:stretch>
      </xdr:blipFill>
      <xdr:spPr>
        <a:xfrm>
          <a:off x="95251" y="6858001"/>
          <a:ext cx="8867774" cy="1525154"/>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14</xdr:col>
      <xdr:colOff>295275</xdr:colOff>
      <xdr:row>0</xdr:row>
      <xdr:rowOff>19050</xdr:rowOff>
    </xdr:from>
    <xdr:to>
      <xdr:col>19</xdr:col>
      <xdr:colOff>294054</xdr:colOff>
      <xdr:row>3</xdr:row>
      <xdr:rowOff>104775</xdr:rowOff>
    </xdr:to>
    <xdr:pic>
      <xdr:nvPicPr>
        <xdr:cNvPr id="2" name="Picture 1">
          <a:extLst>
            <a:ext uri="{FF2B5EF4-FFF2-40B4-BE49-F238E27FC236}">
              <a16:creationId xmlns:a16="http://schemas.microsoft.com/office/drawing/2014/main" id="{00000000-0008-0000-11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10163175" y="19050"/>
          <a:ext cx="2046654" cy="695325"/>
        </a:xfrm>
        <a:prstGeom prst="rect">
          <a:avLst/>
        </a:prstGeom>
        <a:noFill/>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6</xdr:col>
      <xdr:colOff>762000</xdr:colOff>
      <xdr:row>0</xdr:row>
      <xdr:rowOff>19051</xdr:rowOff>
    </xdr:from>
    <xdr:to>
      <xdr:col>9</xdr:col>
      <xdr:colOff>36879</xdr:colOff>
      <xdr:row>3</xdr:row>
      <xdr:rowOff>85470</xdr:rowOff>
    </xdr:to>
    <xdr:pic>
      <xdr:nvPicPr>
        <xdr:cNvPr id="2" name="Picture 1">
          <a:extLst>
            <a:ext uri="{FF2B5EF4-FFF2-40B4-BE49-F238E27FC236}">
              <a16:creationId xmlns:a16="http://schemas.microsoft.com/office/drawing/2014/main" id="{00000000-0008-0000-12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248400" y="19051"/>
          <a:ext cx="2018079" cy="676019"/>
        </a:xfrm>
        <a:prstGeom prst="rect">
          <a:avLst/>
        </a:prstGeom>
        <a:noFill/>
      </xdr:spPr>
    </xdr:pic>
    <xdr:clientData/>
  </xdr:twoCellAnchor>
</xdr:wsDr>
</file>

<file path=xl/drawings/drawing14.xml><?xml version="1.0" encoding="utf-8"?>
<xdr:wsDr xmlns:xdr="http://schemas.openxmlformats.org/drawingml/2006/spreadsheetDrawing" xmlns:a="http://schemas.openxmlformats.org/drawingml/2006/main">
  <xdr:twoCellAnchor editAs="oneCell">
    <xdr:from>
      <xdr:col>9</xdr:col>
      <xdr:colOff>854791</xdr:colOff>
      <xdr:row>0</xdr:row>
      <xdr:rowOff>38100</xdr:rowOff>
    </xdr:from>
    <xdr:to>
      <xdr:col>11</xdr:col>
      <xdr:colOff>920245</xdr:colOff>
      <xdr:row>4</xdr:row>
      <xdr:rowOff>0</xdr:rowOff>
    </xdr:to>
    <xdr:pic>
      <xdr:nvPicPr>
        <xdr:cNvPr id="2" name="Picture 1">
          <a:extLst>
            <a:ext uri="{FF2B5EF4-FFF2-40B4-BE49-F238E27FC236}">
              <a16:creationId xmlns:a16="http://schemas.microsoft.com/office/drawing/2014/main" id="{00000000-0008-0000-13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8312866" y="38100"/>
          <a:ext cx="2046654" cy="762000"/>
        </a:xfrm>
        <a:prstGeom prst="rect">
          <a:avLst/>
        </a:prstGeom>
        <a:noFill/>
      </xdr:spPr>
    </xdr:pic>
    <xdr:clientData/>
  </xdr:twoCellAnchor>
</xdr:wsDr>
</file>

<file path=xl/drawings/drawing15.xml><?xml version="1.0" encoding="utf-8"?>
<xdr:wsDr xmlns:xdr="http://schemas.openxmlformats.org/drawingml/2006/spreadsheetDrawing" xmlns:a="http://schemas.openxmlformats.org/drawingml/2006/main">
  <xdr:oneCellAnchor>
    <xdr:from>
      <xdr:col>6</xdr:col>
      <xdr:colOff>676275</xdr:colOff>
      <xdr:row>0</xdr:row>
      <xdr:rowOff>47625</xdr:rowOff>
    </xdr:from>
    <xdr:ext cx="2135554" cy="638174"/>
    <xdr:pic>
      <xdr:nvPicPr>
        <xdr:cNvPr id="2" name="Picture 1">
          <a:extLst>
            <a:ext uri="{FF2B5EF4-FFF2-40B4-BE49-F238E27FC236}">
              <a16:creationId xmlns:a16="http://schemas.microsoft.com/office/drawing/2014/main" id="{00000000-0008-0000-18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429375" y="47625"/>
          <a:ext cx="2135554" cy="638174"/>
        </a:xfrm>
        <a:prstGeom prst="rect">
          <a:avLst/>
        </a:prstGeom>
        <a:noFill/>
      </xdr:spPr>
    </xdr:pic>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xdr:col>
          <xdr:colOff>190500</xdr:colOff>
          <xdr:row>27</xdr:row>
          <xdr:rowOff>85725</xdr:rowOff>
        </xdr:from>
        <xdr:to>
          <xdr:col>3</xdr:col>
          <xdr:colOff>438150</xdr:colOff>
          <xdr:row>27</xdr:row>
          <xdr:rowOff>295275</xdr:rowOff>
        </xdr:to>
        <xdr:sp macro="" textlink="">
          <xdr:nvSpPr>
            <xdr:cNvPr id="19457" name="Check Box 1" hidden="1">
              <a:extLst>
                <a:ext uri="{63B3BB69-23CF-44E3-9099-C40C66FF867C}">
                  <a14:compatExt spid="_x0000_s19457"/>
                </a:ext>
                <a:ext uri="{FF2B5EF4-FFF2-40B4-BE49-F238E27FC236}">
                  <a16:creationId xmlns:a16="http://schemas.microsoft.com/office/drawing/2014/main" id="{00000000-0008-0000-0500-000001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190500</xdr:colOff>
          <xdr:row>28</xdr:row>
          <xdr:rowOff>85725</xdr:rowOff>
        </xdr:from>
        <xdr:to>
          <xdr:col>3</xdr:col>
          <xdr:colOff>438150</xdr:colOff>
          <xdr:row>28</xdr:row>
          <xdr:rowOff>295275</xdr:rowOff>
        </xdr:to>
        <xdr:sp macro="" textlink="">
          <xdr:nvSpPr>
            <xdr:cNvPr id="19458" name="Check Box 2" hidden="1">
              <a:extLst>
                <a:ext uri="{63B3BB69-23CF-44E3-9099-C40C66FF867C}">
                  <a14:compatExt spid="_x0000_s19458"/>
                </a:ext>
                <a:ext uri="{FF2B5EF4-FFF2-40B4-BE49-F238E27FC236}">
                  <a16:creationId xmlns:a16="http://schemas.microsoft.com/office/drawing/2014/main" id="{00000000-0008-0000-0500-000002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180975</xdr:colOff>
          <xdr:row>29</xdr:row>
          <xdr:rowOff>47625</xdr:rowOff>
        </xdr:from>
        <xdr:to>
          <xdr:col>3</xdr:col>
          <xdr:colOff>428625</xdr:colOff>
          <xdr:row>29</xdr:row>
          <xdr:rowOff>266700</xdr:rowOff>
        </xdr:to>
        <xdr:sp macro="" textlink="">
          <xdr:nvSpPr>
            <xdr:cNvPr id="19459" name="Check Box 3" hidden="1">
              <a:extLst>
                <a:ext uri="{63B3BB69-23CF-44E3-9099-C40C66FF867C}">
                  <a14:compatExt spid="_x0000_s19459"/>
                </a:ext>
                <a:ext uri="{FF2B5EF4-FFF2-40B4-BE49-F238E27FC236}">
                  <a16:creationId xmlns:a16="http://schemas.microsoft.com/office/drawing/2014/main" id="{00000000-0008-0000-0500-000003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180975</xdr:colOff>
          <xdr:row>30</xdr:row>
          <xdr:rowOff>85725</xdr:rowOff>
        </xdr:from>
        <xdr:to>
          <xdr:col>3</xdr:col>
          <xdr:colOff>428625</xdr:colOff>
          <xdr:row>30</xdr:row>
          <xdr:rowOff>295275</xdr:rowOff>
        </xdr:to>
        <xdr:sp macro="" textlink="">
          <xdr:nvSpPr>
            <xdr:cNvPr id="19460" name="Check Box 4" hidden="1">
              <a:extLst>
                <a:ext uri="{63B3BB69-23CF-44E3-9099-C40C66FF867C}">
                  <a14:compatExt spid="_x0000_s19460"/>
                </a:ext>
                <a:ext uri="{FF2B5EF4-FFF2-40B4-BE49-F238E27FC236}">
                  <a16:creationId xmlns:a16="http://schemas.microsoft.com/office/drawing/2014/main" id="{00000000-0008-0000-0500-000004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180975</xdr:colOff>
          <xdr:row>31</xdr:row>
          <xdr:rowOff>85725</xdr:rowOff>
        </xdr:from>
        <xdr:to>
          <xdr:col>3</xdr:col>
          <xdr:colOff>428625</xdr:colOff>
          <xdr:row>31</xdr:row>
          <xdr:rowOff>295275</xdr:rowOff>
        </xdr:to>
        <xdr:sp macro="" textlink="">
          <xdr:nvSpPr>
            <xdr:cNvPr id="19461" name="Check Box 5" hidden="1">
              <a:extLst>
                <a:ext uri="{63B3BB69-23CF-44E3-9099-C40C66FF867C}">
                  <a14:compatExt spid="_x0000_s19461"/>
                </a:ext>
                <a:ext uri="{FF2B5EF4-FFF2-40B4-BE49-F238E27FC236}">
                  <a16:creationId xmlns:a16="http://schemas.microsoft.com/office/drawing/2014/main" id="{00000000-0008-0000-0500-000005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180975</xdr:colOff>
          <xdr:row>32</xdr:row>
          <xdr:rowOff>85725</xdr:rowOff>
        </xdr:from>
        <xdr:to>
          <xdr:col>3</xdr:col>
          <xdr:colOff>428625</xdr:colOff>
          <xdr:row>32</xdr:row>
          <xdr:rowOff>295275</xdr:rowOff>
        </xdr:to>
        <xdr:sp macro="" textlink="">
          <xdr:nvSpPr>
            <xdr:cNvPr id="19462" name="Check Box 6" hidden="1">
              <a:extLst>
                <a:ext uri="{63B3BB69-23CF-44E3-9099-C40C66FF867C}">
                  <a14:compatExt spid="_x0000_s19462"/>
                </a:ext>
                <a:ext uri="{FF2B5EF4-FFF2-40B4-BE49-F238E27FC236}">
                  <a16:creationId xmlns:a16="http://schemas.microsoft.com/office/drawing/2014/main" id="{00000000-0008-0000-0500-000006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180975</xdr:colOff>
          <xdr:row>33</xdr:row>
          <xdr:rowOff>85725</xdr:rowOff>
        </xdr:from>
        <xdr:to>
          <xdr:col>3</xdr:col>
          <xdr:colOff>428625</xdr:colOff>
          <xdr:row>33</xdr:row>
          <xdr:rowOff>295275</xdr:rowOff>
        </xdr:to>
        <xdr:sp macro="" textlink="">
          <xdr:nvSpPr>
            <xdr:cNvPr id="19463" name="Check Box 7" hidden="1">
              <a:extLst>
                <a:ext uri="{63B3BB69-23CF-44E3-9099-C40C66FF867C}">
                  <a14:compatExt spid="_x0000_s19463"/>
                </a:ext>
                <a:ext uri="{FF2B5EF4-FFF2-40B4-BE49-F238E27FC236}">
                  <a16:creationId xmlns:a16="http://schemas.microsoft.com/office/drawing/2014/main" id="{00000000-0008-0000-0500-000007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180975</xdr:colOff>
          <xdr:row>34</xdr:row>
          <xdr:rowOff>85725</xdr:rowOff>
        </xdr:from>
        <xdr:to>
          <xdr:col>3</xdr:col>
          <xdr:colOff>428625</xdr:colOff>
          <xdr:row>34</xdr:row>
          <xdr:rowOff>295275</xdr:rowOff>
        </xdr:to>
        <xdr:sp macro="" textlink="">
          <xdr:nvSpPr>
            <xdr:cNvPr id="19464" name="Check Box 8" hidden="1">
              <a:extLst>
                <a:ext uri="{63B3BB69-23CF-44E3-9099-C40C66FF867C}">
                  <a14:compatExt spid="_x0000_s19464"/>
                </a:ext>
                <a:ext uri="{FF2B5EF4-FFF2-40B4-BE49-F238E27FC236}">
                  <a16:creationId xmlns:a16="http://schemas.microsoft.com/office/drawing/2014/main" id="{00000000-0008-0000-0500-0000084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3</xdr:col>
      <xdr:colOff>200025</xdr:colOff>
      <xdr:row>26</xdr:row>
      <xdr:rowOff>95250</xdr:rowOff>
    </xdr:from>
    <xdr:to>
      <xdr:col>3</xdr:col>
      <xdr:colOff>352425</xdr:colOff>
      <xdr:row>26</xdr:row>
      <xdr:rowOff>247650</xdr:rowOff>
    </xdr:to>
    <xdr:pic>
      <xdr:nvPicPr>
        <xdr:cNvPr id="10" name="Graphic 9" descr="Checkmark">
          <a:extLst>
            <a:ext uri="{FF2B5EF4-FFF2-40B4-BE49-F238E27FC236}">
              <a16:creationId xmlns:a16="http://schemas.microsoft.com/office/drawing/2014/main" id="{00000000-0008-0000-0500-00000A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 uri="{96DAC541-7B7A-43D3-8B79-37D633B846F1}">
              <asvg:svgBlip xmlns:asvg="http://schemas.microsoft.com/office/drawing/2016/SVG/main" r:embed="rId2"/>
            </a:ext>
          </a:extLst>
        </a:blip>
        <a:stretch>
          <a:fillRect/>
        </a:stretch>
      </xdr:blipFill>
      <xdr:spPr>
        <a:xfrm>
          <a:off x="6518275" y="5105400"/>
          <a:ext cx="152400" cy="1524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419100</xdr:colOff>
          <xdr:row>28</xdr:row>
          <xdr:rowOff>9525</xdr:rowOff>
        </xdr:from>
        <xdr:to>
          <xdr:col>1</xdr:col>
          <xdr:colOff>666750</xdr:colOff>
          <xdr:row>29</xdr:row>
          <xdr:rowOff>28575</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600-00000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419100</xdr:colOff>
          <xdr:row>30</xdr:row>
          <xdr:rowOff>161925</xdr:rowOff>
        </xdr:from>
        <xdr:to>
          <xdr:col>1</xdr:col>
          <xdr:colOff>666750</xdr:colOff>
          <xdr:row>32</xdr:row>
          <xdr:rowOff>28575</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600-00000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419100</xdr:colOff>
          <xdr:row>29</xdr:row>
          <xdr:rowOff>171450</xdr:rowOff>
        </xdr:from>
        <xdr:to>
          <xdr:col>1</xdr:col>
          <xdr:colOff>666750</xdr:colOff>
          <xdr:row>31</xdr:row>
          <xdr:rowOff>19050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600-00000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1</xdr:col>
          <xdr:colOff>419100</xdr:colOff>
          <xdr:row>28</xdr:row>
          <xdr:rowOff>200025</xdr:rowOff>
        </xdr:from>
        <xdr:to>
          <xdr:col>1</xdr:col>
          <xdr:colOff>666750</xdr:colOff>
          <xdr:row>30</xdr:row>
          <xdr:rowOff>28575</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600-00000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3</xdr:col>
      <xdr:colOff>2887133</xdr:colOff>
      <xdr:row>0</xdr:row>
      <xdr:rowOff>21166</xdr:rowOff>
    </xdr:from>
    <xdr:to>
      <xdr:col>5</xdr:col>
      <xdr:colOff>725609</xdr:colOff>
      <xdr:row>2</xdr:row>
      <xdr:rowOff>174681</xdr:rowOff>
    </xdr:to>
    <xdr:pic>
      <xdr:nvPicPr>
        <xdr:cNvPr id="3" name="Picture 2">
          <a:extLst>
            <a:ext uri="{FF2B5EF4-FFF2-40B4-BE49-F238E27FC236}">
              <a16:creationId xmlns:a16="http://schemas.microsoft.com/office/drawing/2014/main" id="{00000000-0008-0000-0700-000003000000}"/>
            </a:ext>
          </a:extLst>
        </xdr:cNvPr>
        <xdr:cNvPicPr>
          <a:picLocks noChangeAspect="1"/>
        </xdr:cNvPicPr>
      </xdr:nvPicPr>
      <xdr:blipFill>
        <a:blip xmlns:r="http://schemas.openxmlformats.org/officeDocument/2006/relationships" r:embed="rId1"/>
        <a:stretch>
          <a:fillRect/>
        </a:stretch>
      </xdr:blipFill>
      <xdr:spPr>
        <a:xfrm>
          <a:off x="3786716" y="21166"/>
          <a:ext cx="1913060" cy="56626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1098550</xdr:colOff>
      <xdr:row>0</xdr:row>
      <xdr:rowOff>0</xdr:rowOff>
    </xdr:from>
    <xdr:to>
      <xdr:col>7</xdr:col>
      <xdr:colOff>5943</xdr:colOff>
      <xdr:row>2</xdr:row>
      <xdr:rowOff>230272</xdr:rowOff>
    </xdr:to>
    <xdr:pic>
      <xdr:nvPicPr>
        <xdr:cNvPr id="4" name="Picture 3">
          <a:extLst>
            <a:ext uri="{FF2B5EF4-FFF2-40B4-BE49-F238E27FC236}">
              <a16:creationId xmlns:a16="http://schemas.microsoft.com/office/drawing/2014/main" id="{00000000-0008-0000-0800-000004000000}"/>
            </a:ext>
          </a:extLst>
        </xdr:cNvPr>
        <xdr:cNvPicPr>
          <a:picLocks noChangeAspect="1"/>
        </xdr:cNvPicPr>
      </xdr:nvPicPr>
      <xdr:blipFill>
        <a:blip xmlns:r="http://schemas.openxmlformats.org/officeDocument/2006/relationships" r:embed="rId1"/>
        <a:stretch>
          <a:fillRect/>
        </a:stretch>
      </xdr:blipFill>
      <xdr:spPr>
        <a:xfrm>
          <a:off x="4533900" y="0"/>
          <a:ext cx="2107793" cy="573172"/>
        </a:xfrm>
        <a:prstGeom prst="rect">
          <a:avLst/>
        </a:prstGeom>
      </xdr:spPr>
    </xdr:pic>
    <xdr:clientData/>
  </xdr:twoCellAnchor>
  <xdr:twoCellAnchor editAs="oneCell">
    <xdr:from>
      <xdr:col>4</xdr:col>
      <xdr:colOff>1111250</xdr:colOff>
      <xdr:row>14</xdr:row>
      <xdr:rowOff>177800</xdr:rowOff>
    </xdr:from>
    <xdr:to>
      <xdr:col>7</xdr:col>
      <xdr:colOff>18643</xdr:colOff>
      <xdr:row>16</xdr:row>
      <xdr:rowOff>268373</xdr:rowOff>
    </xdr:to>
    <xdr:pic>
      <xdr:nvPicPr>
        <xdr:cNvPr id="5" name="Picture 4">
          <a:extLst>
            <a:ext uri="{FF2B5EF4-FFF2-40B4-BE49-F238E27FC236}">
              <a16:creationId xmlns:a16="http://schemas.microsoft.com/office/drawing/2014/main" id="{00000000-0008-0000-0800-000005000000}"/>
            </a:ext>
          </a:extLst>
        </xdr:cNvPr>
        <xdr:cNvPicPr>
          <a:picLocks noChangeAspect="1"/>
        </xdr:cNvPicPr>
      </xdr:nvPicPr>
      <xdr:blipFill>
        <a:blip xmlns:r="http://schemas.openxmlformats.org/officeDocument/2006/relationships" r:embed="rId1"/>
        <a:stretch>
          <a:fillRect/>
        </a:stretch>
      </xdr:blipFill>
      <xdr:spPr>
        <a:xfrm>
          <a:off x="4546600" y="2832100"/>
          <a:ext cx="2107793" cy="57317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1745686</xdr:colOff>
      <xdr:row>3</xdr:row>
      <xdr:rowOff>64188</xdr:rowOff>
    </xdr:from>
    <xdr:to>
      <xdr:col>5</xdr:col>
      <xdr:colOff>28575</xdr:colOff>
      <xdr:row>6</xdr:row>
      <xdr:rowOff>104775</xdr:rowOff>
    </xdr:to>
    <xdr:pic>
      <xdr:nvPicPr>
        <xdr:cNvPr id="4" name="Picture 3">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431736" y="578538"/>
          <a:ext cx="1940489" cy="75496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6</xdr:col>
      <xdr:colOff>1400175</xdr:colOff>
      <xdr:row>1</xdr:row>
      <xdr:rowOff>114300</xdr:rowOff>
    </xdr:from>
    <xdr:to>
      <xdr:col>6</xdr:col>
      <xdr:colOff>2343152</xdr:colOff>
      <xdr:row>2</xdr:row>
      <xdr:rowOff>9525</xdr:rowOff>
    </xdr:to>
    <xdr:pic>
      <xdr:nvPicPr>
        <xdr:cNvPr id="3" name="Picture 2">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772025" y="209550"/>
          <a:ext cx="942977" cy="314325"/>
        </a:xfrm>
        <a:prstGeom prst="rect">
          <a:avLst/>
        </a:prstGeom>
      </xdr:spPr>
    </xdr:pic>
    <xdr:clientData/>
  </xdr:twoCellAnchor>
  <xdr:twoCellAnchor editAs="oneCell">
    <xdr:from>
      <xdr:col>7</xdr:col>
      <xdr:colOff>0</xdr:colOff>
      <xdr:row>1</xdr:row>
      <xdr:rowOff>9525</xdr:rowOff>
    </xdr:from>
    <xdr:to>
      <xdr:col>9</xdr:col>
      <xdr:colOff>9525</xdr:colOff>
      <xdr:row>4</xdr:row>
      <xdr:rowOff>9525</xdr:rowOff>
    </xdr:to>
    <xdr:pic>
      <xdr:nvPicPr>
        <xdr:cNvPr id="4" name="Picture 3">
          <a:extLst>
            <a:ext uri="{FF2B5EF4-FFF2-40B4-BE49-F238E27FC236}">
              <a16:creationId xmlns:a16="http://schemas.microsoft.com/office/drawing/2014/main" id="{00000000-0008-0000-0A00-000004000000}"/>
            </a:ext>
          </a:extLst>
        </xdr:cNvPr>
        <xdr:cNvPicPr>
          <a:picLocks noChangeAspect="1"/>
        </xdr:cNvPicPr>
      </xdr:nvPicPr>
      <xdr:blipFill>
        <a:blip xmlns:r="http://schemas.openxmlformats.org/officeDocument/2006/relationships" r:embed="rId2"/>
        <a:stretch>
          <a:fillRect/>
        </a:stretch>
      </xdr:blipFill>
      <xdr:spPr>
        <a:xfrm>
          <a:off x="5848350" y="104775"/>
          <a:ext cx="476250" cy="514350"/>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1</xdr:col>
      <xdr:colOff>60960</xdr:colOff>
      <xdr:row>4</xdr:row>
      <xdr:rowOff>9525</xdr:rowOff>
    </xdr:from>
    <xdr:to>
      <xdr:col>8</xdr:col>
      <xdr:colOff>744106</xdr:colOff>
      <xdr:row>6</xdr:row>
      <xdr:rowOff>280539</xdr:rowOff>
    </xdr:to>
    <xdr:pic>
      <xdr:nvPicPr>
        <xdr:cNvPr id="4" name="Picture 3">
          <a:extLst>
            <a:ext uri="{FF2B5EF4-FFF2-40B4-BE49-F238E27FC236}">
              <a16:creationId xmlns:a16="http://schemas.microsoft.com/office/drawing/2014/main" id="{00000000-0008-0000-0C00-000004000000}"/>
            </a:ext>
          </a:extLst>
        </xdr:cNvPr>
        <xdr:cNvPicPr>
          <a:picLocks noChangeAspect="1"/>
        </xdr:cNvPicPr>
      </xdr:nvPicPr>
      <xdr:blipFill>
        <a:blip xmlns:r="http://schemas.openxmlformats.org/officeDocument/2006/relationships" r:embed="rId1"/>
        <a:stretch>
          <a:fillRect/>
        </a:stretch>
      </xdr:blipFill>
      <xdr:spPr>
        <a:xfrm>
          <a:off x="194310" y="9525"/>
          <a:ext cx="749821" cy="756789"/>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9</xdr:col>
      <xdr:colOff>190500</xdr:colOff>
      <xdr:row>0</xdr:row>
      <xdr:rowOff>47625</xdr:rowOff>
    </xdr:from>
    <xdr:to>
      <xdr:col>11</xdr:col>
      <xdr:colOff>713154</xdr:colOff>
      <xdr:row>4</xdr:row>
      <xdr:rowOff>67689</xdr:rowOff>
    </xdr:to>
    <xdr:pic>
      <xdr:nvPicPr>
        <xdr:cNvPr id="2" name="Picture 2">
          <a:extLst>
            <a:ext uri="{FF2B5EF4-FFF2-40B4-BE49-F238E27FC236}">
              <a16:creationId xmlns:a16="http://schemas.microsoft.com/office/drawing/2014/main" id="{00000000-0008-0000-0D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7048500" y="47625"/>
          <a:ext cx="2046654" cy="820164"/>
        </a:xfrm>
        <a:prstGeom prst="rect">
          <a:avLst/>
        </a:prstGeom>
        <a:noFill/>
      </xdr:spPr>
    </xdr:pic>
    <xdr:clientData/>
  </xdr:twoCellAnchor>
  <xdr:twoCellAnchor editAs="oneCell">
    <xdr:from>
      <xdr:col>13</xdr:col>
      <xdr:colOff>0</xdr:colOff>
      <xdr:row>23</xdr:row>
      <xdr:rowOff>0</xdr:rowOff>
    </xdr:from>
    <xdr:to>
      <xdr:col>23</xdr:col>
      <xdr:colOff>113143</xdr:colOff>
      <xdr:row>60</xdr:row>
      <xdr:rowOff>113468</xdr:rowOff>
    </xdr:to>
    <xdr:pic>
      <xdr:nvPicPr>
        <xdr:cNvPr id="3" name="Picture 2">
          <a:extLst>
            <a:ext uri="{FF2B5EF4-FFF2-40B4-BE49-F238E27FC236}">
              <a16:creationId xmlns:a16="http://schemas.microsoft.com/office/drawing/2014/main" id="{00000000-0008-0000-0D00-000003000000}"/>
            </a:ext>
          </a:extLst>
        </xdr:cNvPr>
        <xdr:cNvPicPr>
          <a:picLocks noChangeAspect="1"/>
        </xdr:cNvPicPr>
      </xdr:nvPicPr>
      <xdr:blipFill>
        <a:blip xmlns:r="http://schemas.openxmlformats.org/officeDocument/2006/relationships" r:embed="rId2"/>
        <a:stretch>
          <a:fillRect/>
        </a:stretch>
      </xdr:blipFill>
      <xdr:spPr>
        <a:xfrm>
          <a:off x="9182100" y="4305300"/>
          <a:ext cx="9257143" cy="6657143"/>
        </a:xfrm>
        <a:prstGeom prst="rect">
          <a:avLst/>
        </a:prstGeom>
      </xdr:spPr>
    </xdr:pic>
    <xdr:clientData/>
  </xdr:twoCellAnchor>
  <xdr:twoCellAnchor editAs="oneCell">
    <xdr:from>
      <xdr:col>0</xdr:col>
      <xdr:colOff>0</xdr:colOff>
      <xdr:row>55</xdr:row>
      <xdr:rowOff>0</xdr:rowOff>
    </xdr:from>
    <xdr:to>
      <xdr:col>8</xdr:col>
      <xdr:colOff>304000</xdr:colOff>
      <xdr:row>69</xdr:row>
      <xdr:rowOff>104479</xdr:rowOff>
    </xdr:to>
    <xdr:pic>
      <xdr:nvPicPr>
        <xdr:cNvPr id="4" name="Picture 3">
          <a:extLst>
            <a:ext uri="{FF2B5EF4-FFF2-40B4-BE49-F238E27FC236}">
              <a16:creationId xmlns:a16="http://schemas.microsoft.com/office/drawing/2014/main" id="{00000000-0008-0000-0D00-000004000000}"/>
            </a:ext>
          </a:extLst>
        </xdr:cNvPr>
        <xdr:cNvPicPr>
          <a:picLocks noChangeAspect="1"/>
        </xdr:cNvPicPr>
      </xdr:nvPicPr>
      <xdr:blipFill>
        <a:blip xmlns:r="http://schemas.openxmlformats.org/officeDocument/2006/relationships" r:embed="rId3"/>
        <a:stretch>
          <a:fillRect/>
        </a:stretch>
      </xdr:blipFill>
      <xdr:spPr>
        <a:xfrm>
          <a:off x="0" y="10039350"/>
          <a:ext cx="6400000" cy="2371429"/>
        </a:xfrm>
        <a:prstGeom prst="rect">
          <a:avLst/>
        </a:prstGeom>
      </xdr:spPr>
    </xdr:pic>
    <xdr:clientData/>
  </xdr:twoCellAnchor>
  <xdr:twoCellAnchor editAs="oneCell">
    <xdr:from>
      <xdr:col>0</xdr:col>
      <xdr:colOff>0</xdr:colOff>
      <xdr:row>71</xdr:row>
      <xdr:rowOff>0</xdr:rowOff>
    </xdr:from>
    <xdr:to>
      <xdr:col>8</xdr:col>
      <xdr:colOff>723048</xdr:colOff>
      <xdr:row>94</xdr:row>
      <xdr:rowOff>161439</xdr:rowOff>
    </xdr:to>
    <xdr:pic>
      <xdr:nvPicPr>
        <xdr:cNvPr id="5" name="Picture 4">
          <a:extLst>
            <a:ext uri="{FF2B5EF4-FFF2-40B4-BE49-F238E27FC236}">
              <a16:creationId xmlns:a16="http://schemas.microsoft.com/office/drawing/2014/main" id="{00000000-0008-0000-0D00-000005000000}"/>
            </a:ext>
          </a:extLst>
        </xdr:cNvPr>
        <xdr:cNvPicPr>
          <a:picLocks noChangeAspect="1"/>
        </xdr:cNvPicPr>
      </xdr:nvPicPr>
      <xdr:blipFill>
        <a:blip xmlns:r="http://schemas.openxmlformats.org/officeDocument/2006/relationships" r:embed="rId4"/>
        <a:stretch>
          <a:fillRect/>
        </a:stretch>
      </xdr:blipFill>
      <xdr:spPr>
        <a:xfrm>
          <a:off x="0" y="12630150"/>
          <a:ext cx="6819048" cy="38857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AA%20Copy%20of%20Copy%20of%202017%20Class%20SMSF%20Workpapers%20Hickey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Copy%20of%20Copy%20of%202017%20Class%20SMSF%20Workpapers%20Hickey1"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KymPhillips\AppData\Local\Microsoft\Windows\INetCache\Content.Outlook\RYQDY5WF\Job%20Brief%20and%20De%20Brief%20Documen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CASERVER06\folderredirections$\AmandaWright\Desktop\Copy%20of%20class%202016%20superannuation%20workpapers.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NSW_StatusLog"/>
      <sheetName val="HNSW_ItemsCount"/>
      <sheetName val="Assignment To do"/>
      <sheetName val="Agenda &amp; Partner Points"/>
      <sheetName val="Pension Advice Schedule"/>
      <sheetName val="GST &amp; BAS Rec"/>
      <sheetName val="Tax Payment Sch"/>
      <sheetName val="Home"/>
      <sheetName val="Index"/>
      <sheetName val="Review Points"/>
      <sheetName val="Invoice Wording"/>
      <sheetName val="Prov for Income Tax"/>
      <sheetName val="Investments"/>
      <sheetName val="Investment Summary"/>
      <sheetName val="Interest Receivable"/>
      <sheetName val="Property CB &amp; MV"/>
      <sheetName val="Unlisted Unit Trust"/>
      <sheetName val="Loans"/>
      <sheetName val="CGT Relief"/>
      <sheetName val="Rep_Settings"/>
      <sheetName val="Rep_Status"/>
      <sheetName val="Howtohownow"/>
    </sheetNames>
    <sheetDataSet>
      <sheetData sheetId="0" refreshError="1"/>
      <sheetData sheetId="1" refreshError="1"/>
      <sheetData sheetId="2">
        <row r="4">
          <cell r="B4" t="str">
            <v>XYZ Superannuation Fund</v>
          </cell>
        </row>
      </sheetData>
      <sheetData sheetId="3"/>
      <sheetData sheetId="4"/>
      <sheetData sheetId="5"/>
      <sheetData sheetId="6"/>
      <sheetData sheetId="7">
        <row r="6">
          <cell r="K6" t="b">
            <v>1</v>
          </cell>
        </row>
        <row r="23">
          <cell r="G23">
            <v>42916</v>
          </cell>
        </row>
        <row r="55">
          <cell r="C55" t="str">
            <v>HIC03S1</v>
          </cell>
        </row>
        <row r="57">
          <cell r="C57" t="str">
            <v>A &amp; C Hickey Pty Ltd Superannuation Fund</v>
          </cell>
        </row>
        <row r="75">
          <cell r="C75">
            <v>0.01</v>
          </cell>
        </row>
      </sheetData>
      <sheetData sheetId="8">
        <row r="1">
          <cell r="C1" t="str">
            <v>SortId</v>
          </cell>
          <cell r="D1" t="str">
            <v>SortOrder</v>
          </cell>
          <cell r="E1" t="str">
            <v>Level</v>
          </cell>
          <cell r="F1" t="str">
            <v>Formatting</v>
          </cell>
          <cell r="G1" t="str">
            <v>Mode</v>
          </cell>
          <cell r="H1" t="str">
            <v>Commands</v>
          </cell>
          <cell r="I1" t="str">
            <v>AccountName</v>
          </cell>
          <cell r="J1" t="str">
            <v>Balance</v>
          </cell>
          <cell r="K1" t="str">
            <v>Comparatives</v>
          </cell>
          <cell r="L1" t="str">
            <v>Variance</v>
          </cell>
          <cell r="N1" t="str">
            <v>Links</v>
          </cell>
          <cell r="O1" t="str">
            <v>WPCount</v>
          </cell>
          <cell r="P1" t="str">
            <v>WPTag</v>
          </cell>
          <cell r="Q1" t="str">
            <v>WPType</v>
          </cell>
          <cell r="R1" t="str">
            <v>Ref</v>
          </cell>
          <cell r="S1" t="str">
            <v>Template</v>
          </cell>
          <cell r="T1" t="str">
            <v>RelatedBalance</v>
          </cell>
          <cell r="U1" t="str">
            <v>Reconcile</v>
          </cell>
          <cell r="V1" t="str">
            <v>Reconciled</v>
          </cell>
          <cell r="W1" t="str">
            <v>ReconciledStatus</v>
          </cell>
          <cell r="X1" t="str">
            <v>StatusOrder</v>
          </cell>
          <cell r="Y1" t="str">
            <v>HasChat</v>
          </cell>
          <cell r="Z1" t="str">
            <v>HasUnreadChat</v>
          </cell>
          <cell r="AA1" t="str">
            <v>HasUnresolvedItems</v>
          </cell>
          <cell r="AB1" t="str">
            <v>Items</v>
          </cell>
          <cell r="AC1" t="str">
            <v>Expanded</v>
          </cell>
          <cell r="AD1" t="str">
            <v>Notes</v>
          </cell>
          <cell r="AE1" t="str">
            <v>Flag</v>
          </cell>
          <cell r="AF1" t="str">
            <v>Chat</v>
          </cell>
          <cell r="AG1" t="str">
            <v>Items</v>
          </cell>
          <cell r="AH1" t="str">
            <v>Reconcile To</v>
          </cell>
          <cell r="AI1" t="str">
            <v>Status</v>
          </cell>
          <cell r="AJ1" t="str">
            <v>StatusUpdatedBy</v>
          </cell>
          <cell r="AK1" t="str">
            <v>StatusChangeDate</v>
          </cell>
          <cell r="AL1" t="str">
            <v>RollOver</v>
          </cell>
          <cell r="AM1" t="str">
            <v>Del</v>
          </cell>
        </row>
        <row r="9">
          <cell r="AI9">
            <v>0</v>
          </cell>
          <cell r="AJ9" t="b">
            <v>1</v>
          </cell>
          <cell r="AK9">
            <v>0</v>
          </cell>
          <cell r="AL9">
            <v>0</v>
          </cell>
          <cell r="AM9">
            <v>0</v>
          </cell>
        </row>
        <row r="32">
          <cell r="J32">
            <v>42916</v>
          </cell>
          <cell r="K32">
            <v>42551</v>
          </cell>
          <cell r="M32" t="str">
            <v>+</v>
          </cell>
          <cell r="N32" t="str">
            <v>-</v>
          </cell>
        </row>
        <row r="33">
          <cell r="C33" t="str">
            <v>Income</v>
          </cell>
          <cell r="D33">
            <v>1</v>
          </cell>
          <cell r="E33">
            <v>1</v>
          </cell>
          <cell r="F33" t="str">
            <v>Header_1</v>
          </cell>
          <cell r="G33" t="str">
            <v>AddE</v>
          </cell>
          <cell r="I33" t="str">
            <v>Income</v>
          </cell>
          <cell r="J33">
            <v>0</v>
          </cell>
          <cell r="K33">
            <v>0</v>
          </cell>
          <cell r="L33">
            <v>0</v>
          </cell>
          <cell r="M33">
            <v>0</v>
          </cell>
          <cell r="O33">
            <v>0</v>
          </cell>
          <cell r="V33" t="str">
            <v>NA</v>
          </cell>
          <cell r="X33">
            <v>0</v>
          </cell>
          <cell r="Y33" t="b">
            <v>0</v>
          </cell>
          <cell r="Z33" t="b">
            <v>0</v>
          </cell>
          <cell r="AA33" t="b">
            <v>0</v>
          </cell>
          <cell r="AB33">
            <v>0</v>
          </cell>
          <cell r="AC33" t="b">
            <v>1</v>
          </cell>
          <cell r="AE33" t="str">
            <v>P</v>
          </cell>
          <cell r="AF33">
            <v>0</v>
          </cell>
          <cell r="AG33">
            <v>0</v>
          </cell>
          <cell r="AI33">
            <v>0</v>
          </cell>
        </row>
        <row r="34">
          <cell r="C34" t="str">
            <v>investment_gains</v>
          </cell>
          <cell r="D34">
            <v>2</v>
          </cell>
          <cell r="E34">
            <v>2</v>
          </cell>
          <cell r="F34" t="str">
            <v>Header_2</v>
          </cell>
          <cell r="G34" t="str">
            <v>AddE</v>
          </cell>
          <cell r="I34" t="str">
            <v>Investment Gains</v>
          </cell>
          <cell r="J34">
            <v>0</v>
          </cell>
          <cell r="K34">
            <v>0</v>
          </cell>
          <cell r="L34">
            <v>0</v>
          </cell>
          <cell r="M34">
            <v>0</v>
          </cell>
          <cell r="O34">
            <v>0</v>
          </cell>
          <cell r="V34" t="str">
            <v>NA</v>
          </cell>
          <cell r="X34">
            <v>0</v>
          </cell>
          <cell r="Y34" t="b">
            <v>0</v>
          </cell>
          <cell r="Z34" t="b">
            <v>0</v>
          </cell>
          <cell r="AA34" t="b">
            <v>0</v>
          </cell>
          <cell r="AB34">
            <v>0</v>
          </cell>
          <cell r="AC34" t="b">
            <v>1</v>
          </cell>
          <cell r="AE34" t="str">
            <v>P</v>
          </cell>
          <cell r="AF34">
            <v>0</v>
          </cell>
          <cell r="AG34">
            <v>0</v>
          </cell>
          <cell r="AI34">
            <v>0</v>
          </cell>
        </row>
        <row r="35">
          <cell r="C35" t="str">
            <v>realised_capital_gains</v>
          </cell>
          <cell r="D35">
            <v>3</v>
          </cell>
          <cell r="E35">
            <v>3</v>
          </cell>
          <cell r="F35" t="str">
            <v>Header_3</v>
          </cell>
          <cell r="G35" t="str">
            <v>AddE</v>
          </cell>
          <cell r="I35" t="str">
            <v>Realised Capital Gains</v>
          </cell>
          <cell r="J35">
            <v>0</v>
          </cell>
          <cell r="K35">
            <v>0</v>
          </cell>
          <cell r="L35">
            <v>0</v>
          </cell>
          <cell r="M35">
            <v>0</v>
          </cell>
          <cell r="O35">
            <v>0</v>
          </cell>
          <cell r="V35" t="str">
            <v>NA</v>
          </cell>
          <cell r="X35">
            <v>0</v>
          </cell>
          <cell r="Y35" t="b">
            <v>0</v>
          </cell>
          <cell r="Z35" t="b">
            <v>0</v>
          </cell>
          <cell r="AA35" t="b">
            <v>0</v>
          </cell>
          <cell r="AB35">
            <v>0</v>
          </cell>
          <cell r="AC35" t="b">
            <v>1</v>
          </cell>
          <cell r="AE35" t="str">
            <v>P</v>
          </cell>
          <cell r="AF35">
            <v>0</v>
          </cell>
          <cell r="AG35">
            <v>0</v>
          </cell>
          <cell r="AI35">
            <v>0</v>
          </cell>
        </row>
        <row r="36">
          <cell r="C36" t="str">
            <v>realised_capital_gains.ListedShares</v>
          </cell>
          <cell r="D36">
            <v>4</v>
          </cell>
          <cell r="E36">
            <v>4</v>
          </cell>
          <cell r="F36" t="str">
            <v>Header_4</v>
          </cell>
          <cell r="G36" t="str">
            <v>AddE</v>
          </cell>
          <cell r="I36" t="str">
            <v>Shares in Listed Companies</v>
          </cell>
          <cell r="J36">
            <v>0</v>
          </cell>
          <cell r="K36">
            <v>0</v>
          </cell>
          <cell r="L36">
            <v>0</v>
          </cell>
          <cell r="M36">
            <v>0</v>
          </cell>
          <cell r="O36">
            <v>0</v>
          </cell>
          <cell r="V36" t="str">
            <v>NA</v>
          </cell>
          <cell r="X36">
            <v>0</v>
          </cell>
          <cell r="Y36" t="b">
            <v>0</v>
          </cell>
          <cell r="Z36" t="b">
            <v>0</v>
          </cell>
          <cell r="AA36" t="b">
            <v>0</v>
          </cell>
          <cell r="AB36">
            <v>0</v>
          </cell>
          <cell r="AC36" t="b">
            <v>1</v>
          </cell>
          <cell r="AE36" t="str">
            <v>P</v>
          </cell>
          <cell r="AF36">
            <v>0</v>
          </cell>
          <cell r="AG36">
            <v>0</v>
          </cell>
          <cell r="AI36">
            <v>0</v>
          </cell>
        </row>
        <row r="37">
          <cell r="C37" t="str">
            <v>realised_capital_gains.ListedShares.ea88510b-2578-4e3e-954a-a34881259d6d</v>
          </cell>
          <cell r="D37">
            <v>5</v>
          </cell>
          <cell r="E37">
            <v>5</v>
          </cell>
          <cell r="F37" t="str">
            <v>Line_5</v>
          </cell>
          <cell r="G37" t="str">
            <v>AddE</v>
          </cell>
          <cell r="I37" t="str">
            <v>South32 Limited</v>
          </cell>
          <cell r="J37">
            <v>20654.759999999998</v>
          </cell>
          <cell r="K37">
            <v>0</v>
          </cell>
          <cell r="L37">
            <v>20654.759999999998</v>
          </cell>
          <cell r="M37">
            <v>0</v>
          </cell>
          <cell r="N37" t="str">
            <v>Add</v>
          </cell>
          <cell r="O37">
            <v>0</v>
          </cell>
          <cell r="V37" t="str">
            <v>NA</v>
          </cell>
          <cell r="X37">
            <v>0</v>
          </cell>
          <cell r="Y37" t="b">
            <v>0</v>
          </cell>
          <cell r="Z37" t="b">
            <v>0</v>
          </cell>
          <cell r="AA37" t="b">
            <v>0</v>
          </cell>
          <cell r="AB37">
            <v>0</v>
          </cell>
          <cell r="AC37" t="b">
            <v>1</v>
          </cell>
          <cell r="AE37" t="str">
            <v>P</v>
          </cell>
          <cell r="AF37">
            <v>0</v>
          </cell>
          <cell r="AG37">
            <v>0</v>
          </cell>
          <cell r="AI37">
            <v>0</v>
          </cell>
        </row>
        <row r="38">
          <cell r="C38" t="str">
            <v>Totalrealised_capital_gains.ListedShares</v>
          </cell>
          <cell r="D38">
            <v>6</v>
          </cell>
          <cell r="E38">
            <v>4</v>
          </cell>
          <cell r="F38" t="str">
            <v>Total_4</v>
          </cell>
          <cell r="G38" t="str">
            <v>AddE</v>
          </cell>
          <cell r="I38" t="str">
            <v>Total Shares in Listed Companies</v>
          </cell>
          <cell r="J38">
            <v>20654.759999999998</v>
          </cell>
          <cell r="K38">
            <v>0</v>
          </cell>
          <cell r="L38">
            <v>20654.759999999998</v>
          </cell>
          <cell r="M38">
            <v>0</v>
          </cell>
          <cell r="N38" t="str">
            <v>Add</v>
          </cell>
          <cell r="O38">
            <v>0</v>
          </cell>
          <cell r="V38" t="str">
            <v>NA</v>
          </cell>
          <cell r="X38">
            <v>0</v>
          </cell>
          <cell r="Y38" t="b">
            <v>0</v>
          </cell>
          <cell r="Z38" t="b">
            <v>0</v>
          </cell>
          <cell r="AA38" t="b">
            <v>0</v>
          </cell>
          <cell r="AB38">
            <v>0</v>
          </cell>
          <cell r="AC38" t="b">
            <v>1</v>
          </cell>
          <cell r="AE38" t="str">
            <v>P</v>
          </cell>
          <cell r="AF38">
            <v>0</v>
          </cell>
          <cell r="AG38">
            <v>0</v>
          </cell>
          <cell r="AI38">
            <v>0</v>
          </cell>
        </row>
        <row r="39">
          <cell r="C39" t="str">
            <v>realised_capital_gains.ForeignListedShares</v>
          </cell>
          <cell r="D39">
            <v>7</v>
          </cell>
          <cell r="E39">
            <v>4</v>
          </cell>
          <cell r="F39" t="str">
            <v>Header_4</v>
          </cell>
          <cell r="G39" t="str">
            <v>AddE</v>
          </cell>
          <cell r="I39" t="str">
            <v>Shares in Listed Companies - Foreign</v>
          </cell>
          <cell r="J39">
            <v>0</v>
          </cell>
          <cell r="K39">
            <v>0</v>
          </cell>
          <cell r="L39">
            <v>0</v>
          </cell>
          <cell r="M39">
            <v>0</v>
          </cell>
          <cell r="O39">
            <v>0</v>
          </cell>
          <cell r="V39" t="str">
            <v>NA</v>
          </cell>
          <cell r="X39">
            <v>0</v>
          </cell>
          <cell r="Y39" t="b">
            <v>0</v>
          </cell>
          <cell r="Z39" t="b">
            <v>0</v>
          </cell>
          <cell r="AA39" t="b">
            <v>0</v>
          </cell>
          <cell r="AB39">
            <v>0</v>
          </cell>
          <cell r="AC39" t="b">
            <v>1</v>
          </cell>
          <cell r="AE39" t="str">
            <v>P</v>
          </cell>
          <cell r="AF39">
            <v>0</v>
          </cell>
          <cell r="AG39">
            <v>0</v>
          </cell>
          <cell r="AI39">
            <v>0</v>
          </cell>
        </row>
        <row r="40">
          <cell r="C40" t="str">
            <v>realised_capital_gains.ForeignListedShares.fb5a4a86-f3c8-43ca-8e78-c9c07fb47132</v>
          </cell>
          <cell r="D40">
            <v>8</v>
          </cell>
          <cell r="E40">
            <v>5</v>
          </cell>
          <cell r="F40" t="str">
            <v>Line_5</v>
          </cell>
          <cell r="G40" t="str">
            <v>AddE</v>
          </cell>
          <cell r="I40" t="str">
            <v>Adesto Technologies Corp</v>
          </cell>
          <cell r="J40">
            <v>-1613.96</v>
          </cell>
          <cell r="K40">
            <v>0</v>
          </cell>
          <cell r="L40">
            <v>-1613.96</v>
          </cell>
          <cell r="M40">
            <v>0</v>
          </cell>
          <cell r="N40" t="str">
            <v>Add</v>
          </cell>
          <cell r="O40">
            <v>0</v>
          </cell>
          <cell r="V40" t="str">
            <v>NA</v>
          </cell>
          <cell r="X40">
            <v>0</v>
          </cell>
          <cell r="Y40" t="b">
            <v>0</v>
          </cell>
          <cell r="Z40" t="b">
            <v>0</v>
          </cell>
          <cell r="AA40" t="b">
            <v>0</v>
          </cell>
          <cell r="AB40">
            <v>0</v>
          </cell>
          <cell r="AC40" t="b">
            <v>1</v>
          </cell>
          <cell r="AE40" t="str">
            <v>P</v>
          </cell>
          <cell r="AF40">
            <v>0</v>
          </cell>
          <cell r="AG40">
            <v>0</v>
          </cell>
          <cell r="AI40">
            <v>0</v>
          </cell>
        </row>
        <row r="41">
          <cell r="C41" t="str">
            <v>realised_capital_gains.ForeignListedShares.36446962-3293-4091-a138-5bb5e7dce627</v>
          </cell>
          <cell r="D41">
            <v>9</v>
          </cell>
          <cell r="E41">
            <v>5</v>
          </cell>
          <cell r="F41" t="str">
            <v>Line_5</v>
          </cell>
          <cell r="G41" t="str">
            <v>AddE</v>
          </cell>
          <cell r="I41" t="str">
            <v>Imprivata Inc</v>
          </cell>
          <cell r="J41">
            <v>1167.0899999999999</v>
          </cell>
          <cell r="K41">
            <v>0</v>
          </cell>
          <cell r="L41">
            <v>1167.0899999999999</v>
          </cell>
          <cell r="M41">
            <v>0</v>
          </cell>
          <cell r="N41" t="str">
            <v>Add</v>
          </cell>
          <cell r="O41">
            <v>0</v>
          </cell>
          <cell r="V41" t="str">
            <v>NA</v>
          </cell>
          <cell r="X41">
            <v>0</v>
          </cell>
          <cell r="Y41" t="b">
            <v>0</v>
          </cell>
          <cell r="Z41" t="b">
            <v>0</v>
          </cell>
          <cell r="AA41" t="b">
            <v>0</v>
          </cell>
          <cell r="AB41">
            <v>0</v>
          </cell>
          <cell r="AC41" t="b">
            <v>1</v>
          </cell>
          <cell r="AE41" t="str">
            <v>P</v>
          </cell>
          <cell r="AF41">
            <v>0</v>
          </cell>
          <cell r="AG41">
            <v>0</v>
          </cell>
          <cell r="AI41">
            <v>0</v>
          </cell>
        </row>
        <row r="42">
          <cell r="C42" t="str">
            <v>Totalrealised_capital_gains.ForeignListedShares</v>
          </cell>
          <cell r="D42">
            <v>10</v>
          </cell>
          <cell r="E42">
            <v>4</v>
          </cell>
          <cell r="F42" t="str">
            <v>Total_4</v>
          </cell>
          <cell r="G42" t="str">
            <v>AddE</v>
          </cell>
          <cell r="I42" t="str">
            <v>Total Shares in Listed Companies - Foreign</v>
          </cell>
          <cell r="J42">
            <v>-446.87</v>
          </cell>
          <cell r="K42">
            <v>0</v>
          </cell>
          <cell r="L42">
            <v>-446.87</v>
          </cell>
          <cell r="M42">
            <v>0</v>
          </cell>
          <cell r="N42" t="str">
            <v>Add</v>
          </cell>
          <cell r="O42">
            <v>0</v>
          </cell>
          <cell r="V42" t="str">
            <v>NA</v>
          </cell>
          <cell r="X42">
            <v>0</v>
          </cell>
          <cell r="Y42" t="b">
            <v>0</v>
          </cell>
          <cell r="Z42" t="b">
            <v>0</v>
          </cell>
          <cell r="AA42" t="b">
            <v>0</v>
          </cell>
          <cell r="AB42">
            <v>0</v>
          </cell>
          <cell r="AC42" t="b">
            <v>1</v>
          </cell>
          <cell r="AE42" t="str">
            <v>P</v>
          </cell>
          <cell r="AF42">
            <v>0</v>
          </cell>
          <cell r="AG42">
            <v>0</v>
          </cell>
          <cell r="AI42">
            <v>0</v>
          </cell>
        </row>
        <row r="43">
          <cell r="C43" t="str">
            <v>realised_capital_gains.UnitTrusts</v>
          </cell>
          <cell r="D43">
            <v>11</v>
          </cell>
          <cell r="E43">
            <v>4</v>
          </cell>
          <cell r="F43" t="str">
            <v>Header_4</v>
          </cell>
          <cell r="G43" t="str">
            <v>AddE</v>
          </cell>
          <cell r="I43" t="str">
            <v>Units In Listed Unit Trusts</v>
          </cell>
          <cell r="J43">
            <v>0</v>
          </cell>
          <cell r="K43">
            <v>0</v>
          </cell>
          <cell r="L43">
            <v>0</v>
          </cell>
          <cell r="M43">
            <v>0</v>
          </cell>
          <cell r="O43">
            <v>0</v>
          </cell>
          <cell r="V43" t="str">
            <v>NA</v>
          </cell>
          <cell r="X43">
            <v>0</v>
          </cell>
          <cell r="Y43" t="b">
            <v>0</v>
          </cell>
          <cell r="Z43" t="b">
            <v>0</v>
          </cell>
          <cell r="AA43" t="b">
            <v>0</v>
          </cell>
          <cell r="AB43">
            <v>0</v>
          </cell>
          <cell r="AC43" t="b">
            <v>1</v>
          </cell>
          <cell r="AE43" t="str">
            <v>P</v>
          </cell>
          <cell r="AF43">
            <v>0</v>
          </cell>
          <cell r="AG43">
            <v>0</v>
          </cell>
          <cell r="AI43">
            <v>0</v>
          </cell>
        </row>
        <row r="44">
          <cell r="C44" t="str">
            <v>realised_capital_gains.UnitTrusts.585f5263-8705-4fe9-a474-8235212ecee1</v>
          </cell>
          <cell r="D44">
            <v>12</v>
          </cell>
          <cell r="E44">
            <v>5</v>
          </cell>
          <cell r="F44" t="str">
            <v>Line_5</v>
          </cell>
          <cell r="G44" t="str">
            <v>AddE</v>
          </cell>
          <cell r="I44" t="str">
            <v>Vanguard Us Total Market Shares Index ETF - CDI's 1:1</v>
          </cell>
          <cell r="J44">
            <v>1549.2</v>
          </cell>
          <cell r="K44">
            <v>0</v>
          </cell>
          <cell r="L44">
            <v>1549.2</v>
          </cell>
          <cell r="M44">
            <v>0</v>
          </cell>
          <cell r="N44" t="str">
            <v>Add</v>
          </cell>
          <cell r="O44">
            <v>0</v>
          </cell>
          <cell r="V44" t="str">
            <v>NA</v>
          </cell>
          <cell r="X44">
            <v>0</v>
          </cell>
          <cell r="Y44" t="b">
            <v>0</v>
          </cell>
          <cell r="Z44" t="b">
            <v>0</v>
          </cell>
          <cell r="AA44" t="b">
            <v>0</v>
          </cell>
          <cell r="AB44">
            <v>0</v>
          </cell>
          <cell r="AC44" t="b">
            <v>1</v>
          </cell>
          <cell r="AE44" t="str">
            <v>P</v>
          </cell>
          <cell r="AF44">
            <v>0</v>
          </cell>
          <cell r="AG44">
            <v>0</v>
          </cell>
          <cell r="AI44">
            <v>0</v>
          </cell>
        </row>
        <row r="45">
          <cell r="C45" t="str">
            <v>Totalrealised_capital_gains.UnitTrusts</v>
          </cell>
          <cell r="D45">
            <v>13</v>
          </cell>
          <cell r="E45">
            <v>4</v>
          </cell>
          <cell r="F45" t="str">
            <v>Total_4</v>
          </cell>
          <cell r="G45" t="str">
            <v>AddE</v>
          </cell>
          <cell r="I45" t="str">
            <v>Total Units In Listed Unit Trusts</v>
          </cell>
          <cell r="J45">
            <v>1549.2</v>
          </cell>
          <cell r="K45">
            <v>0</v>
          </cell>
          <cell r="L45">
            <v>1549.2</v>
          </cell>
          <cell r="M45">
            <v>0</v>
          </cell>
          <cell r="N45" t="str">
            <v>Add</v>
          </cell>
          <cell r="O45">
            <v>0</v>
          </cell>
          <cell r="V45" t="str">
            <v>NA</v>
          </cell>
          <cell r="X45">
            <v>0</v>
          </cell>
          <cell r="Y45" t="b">
            <v>0</v>
          </cell>
          <cell r="Z45" t="b">
            <v>0</v>
          </cell>
          <cell r="AA45" t="b">
            <v>0</v>
          </cell>
          <cell r="AB45">
            <v>0</v>
          </cell>
          <cell r="AC45" t="b">
            <v>1</v>
          </cell>
          <cell r="AE45" t="str">
            <v>P</v>
          </cell>
          <cell r="AF45">
            <v>0</v>
          </cell>
          <cell r="AG45">
            <v>0</v>
          </cell>
          <cell r="AI45">
            <v>0</v>
          </cell>
        </row>
        <row r="46">
          <cell r="C46" t="str">
            <v>Totalrealised_capital_gains</v>
          </cell>
          <cell r="D46">
            <v>14</v>
          </cell>
          <cell r="E46">
            <v>3</v>
          </cell>
          <cell r="F46" t="str">
            <v>Total_3</v>
          </cell>
          <cell r="G46" t="str">
            <v>AddE</v>
          </cell>
          <cell r="I46" t="str">
            <v>Total Realised Capital Gains</v>
          </cell>
          <cell r="J46">
            <v>21757.09</v>
          </cell>
          <cell r="K46">
            <v>0</v>
          </cell>
          <cell r="L46">
            <v>21757.09</v>
          </cell>
          <cell r="M46">
            <v>0</v>
          </cell>
          <cell r="N46" t="str">
            <v>Add</v>
          </cell>
          <cell r="O46">
            <v>0</v>
          </cell>
          <cell r="V46" t="str">
            <v>NA</v>
          </cell>
          <cell r="X46">
            <v>0</v>
          </cell>
          <cell r="Y46" t="b">
            <v>0</v>
          </cell>
          <cell r="Z46" t="b">
            <v>0</v>
          </cell>
          <cell r="AA46" t="b">
            <v>0</v>
          </cell>
          <cell r="AB46">
            <v>0</v>
          </cell>
          <cell r="AC46" t="b">
            <v>1</v>
          </cell>
          <cell r="AE46" t="str">
            <v>P</v>
          </cell>
          <cell r="AF46">
            <v>0</v>
          </cell>
          <cell r="AG46">
            <v>0</v>
          </cell>
          <cell r="AI46">
            <v>0</v>
          </cell>
        </row>
        <row r="47">
          <cell r="C47" t="str">
            <v>Totalinvestment_gains</v>
          </cell>
          <cell r="D47">
            <v>15</v>
          </cell>
          <cell r="E47">
            <v>2</v>
          </cell>
          <cell r="F47" t="str">
            <v>Total_2</v>
          </cell>
          <cell r="G47" t="str">
            <v>AddE</v>
          </cell>
          <cell r="I47" t="str">
            <v>Total Investment Gains</v>
          </cell>
          <cell r="J47">
            <v>21757.09</v>
          </cell>
          <cell r="K47">
            <v>0</v>
          </cell>
          <cell r="L47">
            <v>21757.09</v>
          </cell>
          <cell r="M47">
            <v>0</v>
          </cell>
          <cell r="N47" t="str">
            <v>Add</v>
          </cell>
          <cell r="O47">
            <v>0</v>
          </cell>
          <cell r="V47" t="str">
            <v>NA</v>
          </cell>
          <cell r="X47">
            <v>0</v>
          </cell>
          <cell r="Y47" t="b">
            <v>0</v>
          </cell>
          <cell r="Z47" t="b">
            <v>0</v>
          </cell>
          <cell r="AA47" t="b">
            <v>0</v>
          </cell>
          <cell r="AB47">
            <v>0</v>
          </cell>
          <cell r="AC47" t="b">
            <v>1</v>
          </cell>
          <cell r="AE47" t="str">
            <v>P</v>
          </cell>
          <cell r="AF47">
            <v>0</v>
          </cell>
          <cell r="AG47">
            <v>0</v>
          </cell>
          <cell r="AI47">
            <v>0</v>
          </cell>
        </row>
        <row r="48">
          <cell r="C48" t="str">
            <v>investment_income</v>
          </cell>
          <cell r="D48">
            <v>16</v>
          </cell>
          <cell r="E48">
            <v>2</v>
          </cell>
          <cell r="F48" t="str">
            <v>Header_2</v>
          </cell>
          <cell r="G48" t="str">
            <v>AddE</v>
          </cell>
          <cell r="I48" t="str">
            <v>Investment Income</v>
          </cell>
          <cell r="J48">
            <v>0</v>
          </cell>
          <cell r="K48">
            <v>0</v>
          </cell>
          <cell r="L48">
            <v>0</v>
          </cell>
          <cell r="M48">
            <v>0</v>
          </cell>
          <cell r="O48">
            <v>0</v>
          </cell>
          <cell r="V48" t="str">
            <v>NA</v>
          </cell>
          <cell r="X48">
            <v>0</v>
          </cell>
          <cell r="Y48" t="b">
            <v>0</v>
          </cell>
          <cell r="Z48" t="b">
            <v>0</v>
          </cell>
          <cell r="AA48" t="b">
            <v>0</v>
          </cell>
          <cell r="AB48">
            <v>0</v>
          </cell>
          <cell r="AC48" t="b">
            <v>1</v>
          </cell>
          <cell r="AE48" t="str">
            <v>P</v>
          </cell>
          <cell r="AF48">
            <v>0</v>
          </cell>
          <cell r="AG48">
            <v>0</v>
          </cell>
          <cell r="AI48">
            <v>0</v>
          </cell>
        </row>
        <row r="49">
          <cell r="C49" t="str">
            <v>distributions</v>
          </cell>
          <cell r="D49">
            <v>17</v>
          </cell>
          <cell r="E49">
            <v>3</v>
          </cell>
          <cell r="F49" t="str">
            <v>Header_3</v>
          </cell>
          <cell r="G49" t="str">
            <v>AddE</v>
          </cell>
          <cell r="I49" t="str">
            <v>Distributions</v>
          </cell>
          <cell r="J49">
            <v>0</v>
          </cell>
          <cell r="K49">
            <v>0</v>
          </cell>
          <cell r="L49">
            <v>0</v>
          </cell>
          <cell r="M49">
            <v>0</v>
          </cell>
          <cell r="O49">
            <v>0</v>
          </cell>
          <cell r="V49" t="str">
            <v>NA</v>
          </cell>
          <cell r="X49">
            <v>0</v>
          </cell>
          <cell r="Y49" t="b">
            <v>0</v>
          </cell>
          <cell r="Z49" t="b">
            <v>0</v>
          </cell>
          <cell r="AA49" t="b">
            <v>0</v>
          </cell>
          <cell r="AB49">
            <v>0</v>
          </cell>
          <cell r="AC49" t="b">
            <v>1</v>
          </cell>
          <cell r="AE49" t="str">
            <v>P</v>
          </cell>
          <cell r="AF49">
            <v>0</v>
          </cell>
          <cell r="AG49">
            <v>0</v>
          </cell>
          <cell r="AI49">
            <v>0</v>
          </cell>
        </row>
        <row r="50">
          <cell r="C50" t="str">
            <v>distributions.Stapled</v>
          </cell>
          <cell r="D50">
            <v>18</v>
          </cell>
          <cell r="E50">
            <v>4</v>
          </cell>
          <cell r="F50" t="str">
            <v>Header_4</v>
          </cell>
          <cell r="G50" t="str">
            <v>AddE</v>
          </cell>
          <cell r="I50" t="str">
            <v>Stapled Securities</v>
          </cell>
          <cell r="J50">
            <v>0</v>
          </cell>
          <cell r="K50">
            <v>0</v>
          </cell>
          <cell r="L50">
            <v>0</v>
          </cell>
          <cell r="M50">
            <v>0</v>
          </cell>
          <cell r="O50">
            <v>0</v>
          </cell>
          <cell r="V50" t="str">
            <v>NA</v>
          </cell>
          <cell r="X50">
            <v>0</v>
          </cell>
          <cell r="Y50" t="b">
            <v>0</v>
          </cell>
          <cell r="Z50" t="b">
            <v>0</v>
          </cell>
          <cell r="AA50" t="b">
            <v>0</v>
          </cell>
          <cell r="AB50">
            <v>0</v>
          </cell>
          <cell r="AC50" t="b">
            <v>1</v>
          </cell>
          <cell r="AE50" t="str">
            <v>P</v>
          </cell>
          <cell r="AF50">
            <v>0</v>
          </cell>
          <cell r="AG50">
            <v>0</v>
          </cell>
          <cell r="AI50">
            <v>0</v>
          </cell>
        </row>
        <row r="51">
          <cell r="C51" t="str">
            <v>distributions.Stapled.8e9a6fc7-bafd-4650-b416-d03fe7049f79</v>
          </cell>
          <cell r="D51">
            <v>19</v>
          </cell>
          <cell r="E51">
            <v>5</v>
          </cell>
          <cell r="F51" t="str">
            <v>Line_5</v>
          </cell>
          <cell r="G51" t="str">
            <v>AddE</v>
          </cell>
          <cell r="I51" t="str">
            <v>Scentre Group - Stapled Securities</v>
          </cell>
          <cell r="J51">
            <v>6752.05</v>
          </cell>
          <cell r="K51">
            <v>0</v>
          </cell>
          <cell r="L51">
            <v>6752.05</v>
          </cell>
          <cell r="M51">
            <v>0</v>
          </cell>
          <cell r="N51" t="str">
            <v>Add</v>
          </cell>
          <cell r="O51">
            <v>0</v>
          </cell>
          <cell r="V51" t="str">
            <v>NA</v>
          </cell>
          <cell r="X51">
            <v>0</v>
          </cell>
          <cell r="Y51" t="b">
            <v>0</v>
          </cell>
          <cell r="Z51" t="b">
            <v>0</v>
          </cell>
          <cell r="AA51" t="b">
            <v>0</v>
          </cell>
          <cell r="AB51">
            <v>0</v>
          </cell>
          <cell r="AC51" t="b">
            <v>1</v>
          </cell>
          <cell r="AE51" t="str">
            <v>P</v>
          </cell>
          <cell r="AF51">
            <v>0</v>
          </cell>
          <cell r="AG51">
            <v>0</v>
          </cell>
          <cell r="AI51">
            <v>0</v>
          </cell>
        </row>
        <row r="52">
          <cell r="C52" t="str">
            <v>distributions.Stapled.b8dc8ea2-cad6-47a7-854d-100beb381eae</v>
          </cell>
          <cell r="D52">
            <v>20</v>
          </cell>
          <cell r="E52">
            <v>5</v>
          </cell>
          <cell r="F52" t="str">
            <v>Line_5</v>
          </cell>
          <cell r="G52" t="str">
            <v>AddE</v>
          </cell>
          <cell r="I52" t="str">
            <v>Spark Infrastructure Group - Stapled $0.65 Loan Note And Unit Us Prohibited</v>
          </cell>
          <cell r="J52">
            <v>24990.76</v>
          </cell>
          <cell r="K52">
            <v>0</v>
          </cell>
          <cell r="L52">
            <v>24990.76</v>
          </cell>
          <cell r="M52">
            <v>0</v>
          </cell>
          <cell r="N52" t="str">
            <v>Add</v>
          </cell>
          <cell r="O52">
            <v>0</v>
          </cell>
          <cell r="V52" t="str">
            <v>NA</v>
          </cell>
          <cell r="X52">
            <v>0</v>
          </cell>
          <cell r="Y52" t="b">
            <v>0</v>
          </cell>
          <cell r="Z52" t="b">
            <v>0</v>
          </cell>
          <cell r="AA52" t="b">
            <v>0</v>
          </cell>
          <cell r="AB52">
            <v>0</v>
          </cell>
          <cell r="AC52" t="b">
            <v>1</v>
          </cell>
          <cell r="AE52" t="str">
            <v>P</v>
          </cell>
          <cell r="AF52">
            <v>0</v>
          </cell>
          <cell r="AG52">
            <v>0</v>
          </cell>
          <cell r="AI52">
            <v>0</v>
          </cell>
        </row>
        <row r="53">
          <cell r="C53" t="str">
            <v>distributions.Stapled.dcba5c26-922b-4e46-b526-e0abc4efb0a4</v>
          </cell>
          <cell r="D53">
            <v>21</v>
          </cell>
          <cell r="E53">
            <v>5</v>
          </cell>
          <cell r="F53" t="str">
            <v>Line_5</v>
          </cell>
          <cell r="G53" t="str">
            <v>AddE</v>
          </cell>
          <cell r="I53" t="str">
            <v>Westfield Corporation - Stapled Securities</v>
          </cell>
          <cell r="J53">
            <v>8890.9</v>
          </cell>
          <cell r="K53">
            <v>0</v>
          </cell>
          <cell r="L53">
            <v>8890.9</v>
          </cell>
          <cell r="M53">
            <v>0</v>
          </cell>
          <cell r="N53" t="str">
            <v>Add</v>
          </cell>
          <cell r="O53">
            <v>0</v>
          </cell>
          <cell r="V53" t="str">
            <v>NA</v>
          </cell>
          <cell r="X53">
            <v>0</v>
          </cell>
          <cell r="Y53" t="b">
            <v>0</v>
          </cell>
          <cell r="Z53" t="b">
            <v>0</v>
          </cell>
          <cell r="AA53" t="b">
            <v>0</v>
          </cell>
          <cell r="AB53">
            <v>0</v>
          </cell>
          <cell r="AC53" t="b">
            <v>1</v>
          </cell>
          <cell r="AE53" t="str">
            <v>P</v>
          </cell>
          <cell r="AF53">
            <v>0</v>
          </cell>
          <cell r="AG53">
            <v>0</v>
          </cell>
          <cell r="AI53">
            <v>0</v>
          </cell>
        </row>
        <row r="54">
          <cell r="C54" t="str">
            <v>Totaldistributions.Stapled</v>
          </cell>
          <cell r="D54">
            <v>22</v>
          </cell>
          <cell r="E54">
            <v>4</v>
          </cell>
          <cell r="F54" t="str">
            <v>Total_4</v>
          </cell>
          <cell r="G54" t="str">
            <v>AddE</v>
          </cell>
          <cell r="I54" t="str">
            <v>Total Stapled Securities</v>
          </cell>
          <cell r="J54">
            <v>40633.71</v>
          </cell>
          <cell r="K54">
            <v>0</v>
          </cell>
          <cell r="L54">
            <v>40633.71</v>
          </cell>
          <cell r="M54">
            <v>0</v>
          </cell>
          <cell r="N54" t="str">
            <v>Add</v>
          </cell>
          <cell r="O54">
            <v>0</v>
          </cell>
          <cell r="V54" t="str">
            <v>NA</v>
          </cell>
          <cell r="X54">
            <v>0</v>
          </cell>
          <cell r="Y54" t="b">
            <v>0</v>
          </cell>
          <cell r="Z54" t="b">
            <v>0</v>
          </cell>
          <cell r="AA54" t="b">
            <v>0</v>
          </cell>
          <cell r="AB54">
            <v>0</v>
          </cell>
          <cell r="AC54" t="b">
            <v>1</v>
          </cell>
          <cell r="AE54" t="str">
            <v>P</v>
          </cell>
          <cell r="AF54">
            <v>0</v>
          </cell>
          <cell r="AG54">
            <v>0</v>
          </cell>
          <cell r="AI54">
            <v>0</v>
          </cell>
        </row>
        <row r="55">
          <cell r="C55" t="str">
            <v>Totaldistributions</v>
          </cell>
          <cell r="D55">
            <v>23</v>
          </cell>
          <cell r="E55">
            <v>3</v>
          </cell>
          <cell r="F55" t="str">
            <v>Total_3</v>
          </cell>
          <cell r="G55" t="str">
            <v>AddE</v>
          </cell>
          <cell r="I55" t="str">
            <v>Total Distributions</v>
          </cell>
          <cell r="J55">
            <v>40633.71</v>
          </cell>
          <cell r="K55">
            <v>0</v>
          </cell>
          <cell r="L55">
            <v>40633.71</v>
          </cell>
          <cell r="M55">
            <v>0</v>
          </cell>
          <cell r="N55" t="str">
            <v>Add</v>
          </cell>
          <cell r="O55">
            <v>0</v>
          </cell>
          <cell r="V55" t="str">
            <v>NA</v>
          </cell>
          <cell r="X55">
            <v>0</v>
          </cell>
          <cell r="Y55" t="b">
            <v>0</v>
          </cell>
          <cell r="Z55" t="b">
            <v>0</v>
          </cell>
          <cell r="AA55" t="b">
            <v>0</v>
          </cell>
          <cell r="AB55">
            <v>0</v>
          </cell>
          <cell r="AC55" t="b">
            <v>1</v>
          </cell>
          <cell r="AE55" t="str">
            <v>P</v>
          </cell>
          <cell r="AF55">
            <v>0</v>
          </cell>
          <cell r="AG55">
            <v>0</v>
          </cell>
          <cell r="AI55">
            <v>0</v>
          </cell>
        </row>
        <row r="56">
          <cell r="C56" t="str">
            <v>dividends</v>
          </cell>
          <cell r="D56">
            <v>24</v>
          </cell>
          <cell r="E56">
            <v>3</v>
          </cell>
          <cell r="F56" t="str">
            <v>Header_3</v>
          </cell>
          <cell r="G56" t="str">
            <v>AddE</v>
          </cell>
          <cell r="I56" t="str">
            <v>Dividends</v>
          </cell>
          <cell r="J56">
            <v>0</v>
          </cell>
          <cell r="K56">
            <v>0</v>
          </cell>
          <cell r="L56">
            <v>0</v>
          </cell>
          <cell r="M56">
            <v>0</v>
          </cell>
          <cell r="O56">
            <v>0</v>
          </cell>
          <cell r="V56" t="str">
            <v>NA</v>
          </cell>
          <cell r="X56">
            <v>0</v>
          </cell>
          <cell r="Y56" t="b">
            <v>0</v>
          </cell>
          <cell r="Z56" t="b">
            <v>0</v>
          </cell>
          <cell r="AA56" t="b">
            <v>0</v>
          </cell>
          <cell r="AB56">
            <v>0</v>
          </cell>
          <cell r="AC56" t="b">
            <v>1</v>
          </cell>
          <cell r="AE56" t="str">
            <v>P</v>
          </cell>
          <cell r="AF56">
            <v>0</v>
          </cell>
          <cell r="AG56">
            <v>0</v>
          </cell>
          <cell r="AI56">
            <v>0</v>
          </cell>
        </row>
        <row r="57">
          <cell r="C57" t="str">
            <v>dividends.OtherFixedInterest</v>
          </cell>
          <cell r="D57">
            <v>25</v>
          </cell>
          <cell r="E57">
            <v>4</v>
          </cell>
          <cell r="F57" t="str">
            <v>Header_4</v>
          </cell>
          <cell r="G57" t="str">
            <v>AddE</v>
          </cell>
          <cell r="I57" t="str">
            <v>Other Fixed Interest Securities</v>
          </cell>
          <cell r="J57">
            <v>0</v>
          </cell>
          <cell r="K57">
            <v>0</v>
          </cell>
          <cell r="L57">
            <v>0</v>
          </cell>
          <cell r="M57">
            <v>0</v>
          </cell>
          <cell r="O57">
            <v>0</v>
          </cell>
          <cell r="V57" t="str">
            <v>NA</v>
          </cell>
          <cell r="X57">
            <v>0</v>
          </cell>
          <cell r="Y57" t="b">
            <v>0</v>
          </cell>
          <cell r="Z57" t="b">
            <v>0</v>
          </cell>
          <cell r="AA57" t="b">
            <v>0</v>
          </cell>
          <cell r="AB57">
            <v>0</v>
          </cell>
          <cell r="AC57" t="b">
            <v>1</v>
          </cell>
          <cell r="AE57" t="str">
            <v>P</v>
          </cell>
          <cell r="AF57">
            <v>0</v>
          </cell>
          <cell r="AG57">
            <v>0</v>
          </cell>
          <cell r="AI57">
            <v>0</v>
          </cell>
        </row>
        <row r="58">
          <cell r="C58" t="str">
            <v>dividends.OtherFixedInterest.8095f795-30a9-40b9-8e6f-d3cb26fb2897</v>
          </cell>
          <cell r="D58">
            <v>26</v>
          </cell>
          <cell r="E58">
            <v>5</v>
          </cell>
          <cell r="F58" t="str">
            <v>Line_5</v>
          </cell>
          <cell r="G58" t="str">
            <v>AddE</v>
          </cell>
          <cell r="I58" t="str">
            <v>NAB Ltd - Hybrid 3-Bbsw+1.25% Perp Sub Exch Non-Cum Stap</v>
          </cell>
          <cell r="J58">
            <v>613.89</v>
          </cell>
          <cell r="K58">
            <v>0</v>
          </cell>
          <cell r="L58">
            <v>613.89</v>
          </cell>
          <cell r="M58">
            <v>0</v>
          </cell>
          <cell r="N58" t="str">
            <v>Add</v>
          </cell>
          <cell r="O58">
            <v>0</v>
          </cell>
          <cell r="V58" t="str">
            <v>NA</v>
          </cell>
          <cell r="X58">
            <v>0</v>
          </cell>
          <cell r="Y58" t="b">
            <v>0</v>
          </cell>
          <cell r="Z58" t="b">
            <v>0</v>
          </cell>
          <cell r="AA58" t="b">
            <v>0</v>
          </cell>
          <cell r="AB58">
            <v>0</v>
          </cell>
          <cell r="AC58" t="b">
            <v>1</v>
          </cell>
          <cell r="AE58" t="str">
            <v>P</v>
          </cell>
          <cell r="AF58">
            <v>0</v>
          </cell>
          <cell r="AG58">
            <v>0</v>
          </cell>
          <cell r="AI58">
            <v>0</v>
          </cell>
        </row>
        <row r="59">
          <cell r="C59" t="str">
            <v>Totaldividends.OtherFixedInterest</v>
          </cell>
          <cell r="D59">
            <v>27</v>
          </cell>
          <cell r="E59">
            <v>4</v>
          </cell>
          <cell r="F59" t="str">
            <v>Total_4</v>
          </cell>
          <cell r="G59" t="str">
            <v>AddE</v>
          </cell>
          <cell r="I59" t="str">
            <v>Total Other Fixed Interest Securities</v>
          </cell>
          <cell r="J59">
            <v>613.89</v>
          </cell>
          <cell r="K59">
            <v>0</v>
          </cell>
          <cell r="L59">
            <v>613.89</v>
          </cell>
          <cell r="M59">
            <v>0</v>
          </cell>
          <cell r="N59" t="str">
            <v>Add</v>
          </cell>
          <cell r="O59">
            <v>0</v>
          </cell>
          <cell r="V59" t="str">
            <v>NA</v>
          </cell>
          <cell r="X59">
            <v>0</v>
          </cell>
          <cell r="Y59" t="b">
            <v>0</v>
          </cell>
          <cell r="Z59" t="b">
            <v>0</v>
          </cell>
          <cell r="AA59" t="b">
            <v>0</v>
          </cell>
          <cell r="AB59">
            <v>0</v>
          </cell>
          <cell r="AC59" t="b">
            <v>1</v>
          </cell>
          <cell r="AE59" t="str">
            <v>P</v>
          </cell>
          <cell r="AF59">
            <v>0</v>
          </cell>
          <cell r="AG59">
            <v>0</v>
          </cell>
          <cell r="AI59">
            <v>0</v>
          </cell>
        </row>
        <row r="60">
          <cell r="C60" t="str">
            <v>dividends.ListedShares</v>
          </cell>
          <cell r="D60">
            <v>28</v>
          </cell>
          <cell r="E60">
            <v>4</v>
          </cell>
          <cell r="F60" t="str">
            <v>Header_4</v>
          </cell>
          <cell r="G60" t="str">
            <v>AddE</v>
          </cell>
          <cell r="I60" t="str">
            <v>Shares in Listed Companies</v>
          </cell>
          <cell r="J60">
            <v>0</v>
          </cell>
          <cell r="K60">
            <v>0</v>
          </cell>
          <cell r="L60">
            <v>0</v>
          </cell>
          <cell r="M60">
            <v>0</v>
          </cell>
          <cell r="O60">
            <v>0</v>
          </cell>
          <cell r="V60" t="str">
            <v>NA</v>
          </cell>
          <cell r="X60">
            <v>0</v>
          </cell>
          <cell r="Y60" t="b">
            <v>0</v>
          </cell>
          <cell r="Z60" t="b">
            <v>0</v>
          </cell>
          <cell r="AA60" t="b">
            <v>0</v>
          </cell>
          <cell r="AB60">
            <v>0</v>
          </cell>
          <cell r="AC60" t="b">
            <v>1</v>
          </cell>
          <cell r="AE60" t="str">
            <v>P</v>
          </cell>
          <cell r="AF60">
            <v>0</v>
          </cell>
          <cell r="AG60">
            <v>0</v>
          </cell>
          <cell r="AI60">
            <v>0</v>
          </cell>
        </row>
        <row r="61">
          <cell r="C61" t="str">
            <v>dividends.ListedShares.ea7fe5a2-6a50-4e1c-b2bf-ab7ac3754bf6</v>
          </cell>
          <cell r="D61">
            <v>29</v>
          </cell>
          <cell r="E61">
            <v>5</v>
          </cell>
          <cell r="F61" t="str">
            <v>Line_5</v>
          </cell>
          <cell r="G61" t="str">
            <v>AddE</v>
          </cell>
          <cell r="I61" t="str">
            <v>ANZ Banking Group Ltd - Cnv Pref 6-Bbsw+3.10% Perp Sub Non-Cum T-09-19</v>
          </cell>
          <cell r="J61">
            <v>5261.86</v>
          </cell>
          <cell r="K61">
            <v>0</v>
          </cell>
          <cell r="L61">
            <v>5261.86</v>
          </cell>
          <cell r="M61">
            <v>0</v>
          </cell>
          <cell r="N61" t="str">
            <v>Add</v>
          </cell>
          <cell r="O61">
            <v>0</v>
          </cell>
          <cell r="V61" t="str">
            <v>NA</v>
          </cell>
          <cell r="X61">
            <v>0</v>
          </cell>
          <cell r="Y61" t="b">
            <v>0</v>
          </cell>
          <cell r="Z61" t="b">
            <v>0</v>
          </cell>
          <cell r="AA61" t="b">
            <v>0</v>
          </cell>
          <cell r="AB61">
            <v>0</v>
          </cell>
          <cell r="AC61" t="b">
            <v>1</v>
          </cell>
          <cell r="AE61" t="str">
            <v>P</v>
          </cell>
          <cell r="AF61">
            <v>0</v>
          </cell>
          <cell r="AG61">
            <v>0</v>
          </cell>
          <cell r="AI61">
            <v>0</v>
          </cell>
        </row>
        <row r="62">
          <cell r="C62" t="str">
            <v>dividends.ListedShares.c661fd1f-7227-4c8d-84cb-8704d5b3ff83</v>
          </cell>
          <cell r="D62">
            <v>30</v>
          </cell>
          <cell r="E62">
            <v>5</v>
          </cell>
          <cell r="F62" t="str">
            <v>Line_5</v>
          </cell>
          <cell r="G62" t="str">
            <v>AddE</v>
          </cell>
          <cell r="I62" t="str">
            <v>BHP Billiton Limited</v>
          </cell>
          <cell r="J62">
            <v>9966.07</v>
          </cell>
          <cell r="K62">
            <v>0</v>
          </cell>
          <cell r="L62">
            <v>9966.07</v>
          </cell>
          <cell r="M62">
            <v>0</v>
          </cell>
          <cell r="N62" t="str">
            <v>Add</v>
          </cell>
          <cell r="O62">
            <v>0</v>
          </cell>
          <cell r="V62" t="str">
            <v>NA</v>
          </cell>
          <cell r="X62">
            <v>0</v>
          </cell>
          <cell r="Y62" t="b">
            <v>0</v>
          </cell>
          <cell r="Z62" t="b">
            <v>0</v>
          </cell>
          <cell r="AA62" t="b">
            <v>0</v>
          </cell>
          <cell r="AB62">
            <v>0</v>
          </cell>
          <cell r="AC62" t="b">
            <v>1</v>
          </cell>
          <cell r="AE62" t="str">
            <v>P</v>
          </cell>
          <cell r="AF62">
            <v>0</v>
          </cell>
          <cell r="AG62">
            <v>0</v>
          </cell>
          <cell r="AI62">
            <v>0</v>
          </cell>
        </row>
        <row r="63">
          <cell r="C63" t="str">
            <v>dividends.ListedShares.1eaa5cbe-0ce4-470e-83e9-f0eda6d6e2da</v>
          </cell>
          <cell r="D63">
            <v>31</v>
          </cell>
          <cell r="E63">
            <v>5</v>
          </cell>
          <cell r="F63" t="str">
            <v>Line_5</v>
          </cell>
          <cell r="G63" t="str">
            <v>AddE</v>
          </cell>
          <cell r="I63" t="str">
            <v>Commonwealth Bank Of Australia.</v>
          </cell>
          <cell r="J63">
            <v>20105.759999999998</v>
          </cell>
          <cell r="K63">
            <v>0</v>
          </cell>
          <cell r="L63">
            <v>20105.759999999998</v>
          </cell>
          <cell r="M63">
            <v>0</v>
          </cell>
          <cell r="N63" t="str">
            <v>Add</v>
          </cell>
          <cell r="O63">
            <v>0</v>
          </cell>
          <cell r="V63" t="str">
            <v>NA</v>
          </cell>
          <cell r="X63">
            <v>0</v>
          </cell>
          <cell r="Y63" t="b">
            <v>0</v>
          </cell>
          <cell r="Z63" t="b">
            <v>0</v>
          </cell>
          <cell r="AA63" t="b">
            <v>0</v>
          </cell>
          <cell r="AB63">
            <v>0</v>
          </cell>
          <cell r="AC63" t="b">
            <v>1</v>
          </cell>
          <cell r="AE63" t="str">
            <v>P</v>
          </cell>
          <cell r="AF63">
            <v>0</v>
          </cell>
          <cell r="AG63">
            <v>0</v>
          </cell>
          <cell r="AI63">
            <v>0</v>
          </cell>
        </row>
        <row r="64">
          <cell r="C64" t="str">
            <v>dividends.ListedShares.24fef001-f628-4dc4-9bf6-8ee82dd62ed3</v>
          </cell>
          <cell r="D64">
            <v>32</v>
          </cell>
          <cell r="E64">
            <v>5</v>
          </cell>
          <cell r="F64" t="str">
            <v>Line_5</v>
          </cell>
          <cell r="G64" t="str">
            <v>AddE</v>
          </cell>
          <cell r="I64" t="str">
            <v>Lycopodium Limited</v>
          </cell>
          <cell r="J64">
            <v>7521.43</v>
          </cell>
          <cell r="K64">
            <v>0</v>
          </cell>
          <cell r="L64">
            <v>7521.43</v>
          </cell>
          <cell r="M64">
            <v>0</v>
          </cell>
          <cell r="N64" t="str">
            <v>Add</v>
          </cell>
          <cell r="O64">
            <v>0</v>
          </cell>
          <cell r="V64" t="str">
            <v>NA</v>
          </cell>
          <cell r="X64">
            <v>0</v>
          </cell>
          <cell r="Y64" t="b">
            <v>0</v>
          </cell>
          <cell r="Z64" t="b">
            <v>0</v>
          </cell>
          <cell r="AA64" t="b">
            <v>0</v>
          </cell>
          <cell r="AB64">
            <v>0</v>
          </cell>
          <cell r="AC64" t="b">
            <v>1</v>
          </cell>
          <cell r="AE64" t="str">
            <v>P</v>
          </cell>
          <cell r="AF64">
            <v>0</v>
          </cell>
          <cell r="AG64">
            <v>0</v>
          </cell>
          <cell r="AI64">
            <v>0</v>
          </cell>
        </row>
        <row r="65">
          <cell r="C65" t="str">
            <v>dividends.ListedShares.11031a76-c558-42b0-9844-9a11dee4c1e8</v>
          </cell>
          <cell r="D65">
            <v>33</v>
          </cell>
          <cell r="E65">
            <v>5</v>
          </cell>
          <cell r="F65" t="str">
            <v>Line_5</v>
          </cell>
          <cell r="G65" t="str">
            <v>AddE</v>
          </cell>
          <cell r="I65" t="str">
            <v>RCG Corporation Limited</v>
          </cell>
          <cell r="J65">
            <v>49696.72</v>
          </cell>
          <cell r="K65">
            <v>0</v>
          </cell>
          <cell r="L65">
            <v>49696.72</v>
          </cell>
          <cell r="M65">
            <v>0</v>
          </cell>
          <cell r="N65" t="str">
            <v>Add</v>
          </cell>
          <cell r="O65">
            <v>0</v>
          </cell>
          <cell r="V65" t="str">
            <v>NA</v>
          </cell>
          <cell r="X65">
            <v>0</v>
          </cell>
          <cell r="Y65" t="b">
            <v>0</v>
          </cell>
          <cell r="Z65" t="b">
            <v>0</v>
          </cell>
          <cell r="AA65" t="b">
            <v>0</v>
          </cell>
          <cell r="AB65">
            <v>0</v>
          </cell>
          <cell r="AC65" t="b">
            <v>1</v>
          </cell>
          <cell r="AE65" t="str">
            <v>P</v>
          </cell>
          <cell r="AF65">
            <v>0</v>
          </cell>
          <cell r="AG65">
            <v>0</v>
          </cell>
          <cell r="AI65">
            <v>0</v>
          </cell>
        </row>
        <row r="66">
          <cell r="C66" t="str">
            <v>dividends.ListedShares.ea88510b-2578-4e3e-954a-a34881259d6d</v>
          </cell>
          <cell r="D66">
            <v>34</v>
          </cell>
          <cell r="E66">
            <v>5</v>
          </cell>
          <cell r="F66" t="str">
            <v>Line_5</v>
          </cell>
          <cell r="G66" t="str">
            <v>AddE</v>
          </cell>
          <cell r="I66" t="str">
            <v>South32 Limited</v>
          </cell>
          <cell r="J66">
            <v>108.16</v>
          </cell>
          <cell r="K66">
            <v>0</v>
          </cell>
          <cell r="L66">
            <v>108.16</v>
          </cell>
          <cell r="M66">
            <v>0</v>
          </cell>
          <cell r="N66" t="str">
            <v>Add</v>
          </cell>
          <cell r="O66">
            <v>0</v>
          </cell>
          <cell r="V66" t="str">
            <v>NA</v>
          </cell>
          <cell r="X66">
            <v>0</v>
          </cell>
          <cell r="Y66" t="b">
            <v>0</v>
          </cell>
          <cell r="Z66" t="b">
            <v>0</v>
          </cell>
          <cell r="AA66" t="b">
            <v>0</v>
          </cell>
          <cell r="AB66">
            <v>0</v>
          </cell>
          <cell r="AC66" t="b">
            <v>1</v>
          </cell>
          <cell r="AE66" t="str">
            <v>P</v>
          </cell>
          <cell r="AF66">
            <v>0</v>
          </cell>
          <cell r="AG66">
            <v>0</v>
          </cell>
          <cell r="AI66">
            <v>0</v>
          </cell>
        </row>
        <row r="67">
          <cell r="C67" t="str">
            <v>dividends.ListedShares.70ba86ed-c44b-4771-b5a2-be7e62412e91</v>
          </cell>
          <cell r="D67">
            <v>35</v>
          </cell>
          <cell r="E67">
            <v>5</v>
          </cell>
          <cell r="F67" t="str">
            <v>Line_5</v>
          </cell>
          <cell r="G67" t="str">
            <v>AddE</v>
          </cell>
          <cell r="I67" t="str">
            <v>Wesfarmers Limited</v>
          </cell>
          <cell r="J67">
            <v>15059.32</v>
          </cell>
          <cell r="K67">
            <v>0</v>
          </cell>
          <cell r="L67">
            <v>15059.32</v>
          </cell>
          <cell r="M67">
            <v>0</v>
          </cell>
          <cell r="N67" t="str">
            <v>Add</v>
          </cell>
          <cell r="O67">
            <v>0</v>
          </cell>
          <cell r="V67" t="str">
            <v>NA</v>
          </cell>
          <cell r="X67">
            <v>0</v>
          </cell>
          <cell r="Y67" t="b">
            <v>0</v>
          </cell>
          <cell r="Z67" t="b">
            <v>0</v>
          </cell>
          <cell r="AA67" t="b">
            <v>0</v>
          </cell>
          <cell r="AB67">
            <v>0</v>
          </cell>
          <cell r="AC67" t="b">
            <v>1</v>
          </cell>
          <cell r="AE67" t="str">
            <v>P</v>
          </cell>
          <cell r="AF67">
            <v>0</v>
          </cell>
          <cell r="AG67">
            <v>0</v>
          </cell>
          <cell r="AI67">
            <v>0</v>
          </cell>
        </row>
        <row r="68">
          <cell r="C68" t="str">
            <v>Totaldividends.ListedShares</v>
          </cell>
          <cell r="D68">
            <v>36</v>
          </cell>
          <cell r="E68">
            <v>4</v>
          </cell>
          <cell r="F68" t="str">
            <v>Total_4</v>
          </cell>
          <cell r="G68" t="str">
            <v>AddE</v>
          </cell>
          <cell r="I68" t="str">
            <v>Total Shares in Listed Companies</v>
          </cell>
          <cell r="J68">
            <v>107719.32</v>
          </cell>
          <cell r="K68">
            <v>0</v>
          </cell>
          <cell r="L68">
            <v>107719.32</v>
          </cell>
          <cell r="M68">
            <v>0</v>
          </cell>
          <cell r="N68" t="str">
            <v>Add</v>
          </cell>
          <cell r="O68">
            <v>0</v>
          </cell>
          <cell r="V68" t="str">
            <v>NA</v>
          </cell>
          <cell r="X68">
            <v>0</v>
          </cell>
          <cell r="Y68" t="b">
            <v>0</v>
          </cell>
          <cell r="Z68" t="b">
            <v>0</v>
          </cell>
          <cell r="AA68" t="b">
            <v>0</v>
          </cell>
          <cell r="AB68">
            <v>0</v>
          </cell>
          <cell r="AC68" t="b">
            <v>1</v>
          </cell>
          <cell r="AE68" t="str">
            <v>P</v>
          </cell>
          <cell r="AF68">
            <v>0</v>
          </cell>
          <cell r="AG68">
            <v>0</v>
          </cell>
          <cell r="AI68">
            <v>0</v>
          </cell>
        </row>
        <row r="69">
          <cell r="C69" t="str">
            <v>Totaldividends</v>
          </cell>
          <cell r="D69">
            <v>37</v>
          </cell>
          <cell r="E69">
            <v>3</v>
          </cell>
          <cell r="F69" t="str">
            <v>Total_3</v>
          </cell>
          <cell r="G69" t="str">
            <v>AddE</v>
          </cell>
          <cell r="I69" t="str">
            <v>Total Dividends</v>
          </cell>
          <cell r="J69">
            <v>108333.21</v>
          </cell>
          <cell r="K69">
            <v>0</v>
          </cell>
          <cell r="L69">
            <v>108333.21</v>
          </cell>
          <cell r="M69">
            <v>0</v>
          </cell>
          <cell r="N69" t="str">
            <v>Add</v>
          </cell>
          <cell r="O69">
            <v>0</v>
          </cell>
          <cell r="V69" t="str">
            <v>NA</v>
          </cell>
          <cell r="X69">
            <v>0</v>
          </cell>
          <cell r="Y69" t="b">
            <v>0</v>
          </cell>
          <cell r="Z69" t="b">
            <v>0</v>
          </cell>
          <cell r="AA69" t="b">
            <v>0</v>
          </cell>
          <cell r="AB69">
            <v>0</v>
          </cell>
          <cell r="AC69" t="b">
            <v>1</v>
          </cell>
          <cell r="AE69" t="str">
            <v>P</v>
          </cell>
          <cell r="AF69">
            <v>0</v>
          </cell>
          <cell r="AG69">
            <v>0</v>
          </cell>
          <cell r="AI69">
            <v>0</v>
          </cell>
        </row>
        <row r="70">
          <cell r="C70" t="str">
            <v>foreign_income</v>
          </cell>
          <cell r="D70">
            <v>38</v>
          </cell>
          <cell r="E70">
            <v>3</v>
          </cell>
          <cell r="F70" t="str">
            <v>Header_3</v>
          </cell>
          <cell r="G70" t="str">
            <v>AddE</v>
          </cell>
          <cell r="I70" t="str">
            <v>Foreign Income</v>
          </cell>
          <cell r="J70">
            <v>0</v>
          </cell>
          <cell r="K70">
            <v>0</v>
          </cell>
          <cell r="L70">
            <v>0</v>
          </cell>
          <cell r="M70">
            <v>0</v>
          </cell>
          <cell r="O70">
            <v>0</v>
          </cell>
          <cell r="V70" t="str">
            <v>NA</v>
          </cell>
          <cell r="X70">
            <v>0</v>
          </cell>
          <cell r="Y70" t="b">
            <v>0</v>
          </cell>
          <cell r="Z70" t="b">
            <v>0</v>
          </cell>
          <cell r="AA70" t="b">
            <v>0</v>
          </cell>
          <cell r="AB70">
            <v>0</v>
          </cell>
          <cell r="AC70" t="b">
            <v>1</v>
          </cell>
          <cell r="AE70" t="str">
            <v>P</v>
          </cell>
          <cell r="AF70">
            <v>0</v>
          </cell>
          <cell r="AG70">
            <v>0</v>
          </cell>
          <cell r="AI70">
            <v>0</v>
          </cell>
        </row>
        <row r="71">
          <cell r="C71" t="str">
            <v>foreign_income.ForeignIncome.ForeignDividend</v>
          </cell>
          <cell r="D71">
            <v>39</v>
          </cell>
          <cell r="E71">
            <v>4</v>
          </cell>
          <cell r="F71" t="str">
            <v>Header_4</v>
          </cell>
          <cell r="G71" t="str">
            <v>AddE</v>
          </cell>
          <cell r="I71" t="str">
            <v>Foreign Dividend</v>
          </cell>
          <cell r="J71">
            <v>0</v>
          </cell>
          <cell r="K71">
            <v>0</v>
          </cell>
          <cell r="L71">
            <v>0</v>
          </cell>
          <cell r="M71">
            <v>0</v>
          </cell>
          <cell r="O71">
            <v>0</v>
          </cell>
          <cell r="V71" t="str">
            <v>NA</v>
          </cell>
          <cell r="X71">
            <v>0</v>
          </cell>
          <cell r="Y71" t="b">
            <v>0</v>
          </cell>
          <cell r="Z71" t="b">
            <v>0</v>
          </cell>
          <cell r="AA71" t="b">
            <v>0</v>
          </cell>
          <cell r="AB71">
            <v>0</v>
          </cell>
          <cell r="AC71" t="b">
            <v>1</v>
          </cell>
          <cell r="AE71" t="str">
            <v>P</v>
          </cell>
          <cell r="AF71">
            <v>0</v>
          </cell>
          <cell r="AG71">
            <v>0</v>
          </cell>
          <cell r="AI71">
            <v>0</v>
          </cell>
        </row>
        <row r="72">
          <cell r="C72" t="str">
            <v>foreign_income.ForeignIncome.ForeignDividend.UnitTrusts</v>
          </cell>
          <cell r="D72">
            <v>40</v>
          </cell>
          <cell r="E72">
            <v>5</v>
          </cell>
          <cell r="F72" t="str">
            <v>Header_5</v>
          </cell>
          <cell r="G72" t="str">
            <v>AddE</v>
          </cell>
          <cell r="I72" t="str">
            <v>Units In Listed Unit Trusts</v>
          </cell>
          <cell r="J72">
            <v>0</v>
          </cell>
          <cell r="K72">
            <v>0</v>
          </cell>
          <cell r="L72">
            <v>0</v>
          </cell>
          <cell r="M72">
            <v>0</v>
          </cell>
          <cell r="O72">
            <v>0</v>
          </cell>
          <cell r="V72" t="str">
            <v>NA</v>
          </cell>
          <cell r="X72">
            <v>0</v>
          </cell>
          <cell r="Y72" t="b">
            <v>0</v>
          </cell>
          <cell r="Z72" t="b">
            <v>0</v>
          </cell>
          <cell r="AA72" t="b">
            <v>0</v>
          </cell>
          <cell r="AB72">
            <v>0</v>
          </cell>
          <cell r="AC72" t="b">
            <v>1</v>
          </cell>
          <cell r="AE72" t="str">
            <v>P</v>
          </cell>
          <cell r="AF72">
            <v>0</v>
          </cell>
          <cell r="AG72">
            <v>0</v>
          </cell>
          <cell r="AI72">
            <v>0</v>
          </cell>
        </row>
        <row r="73">
          <cell r="C73" t="str">
            <v>foreign_income.ForeignIncome.ForeignDividend.UnitTrusts.585f5263-8705-4fe9-a474-8235212ecee1</v>
          </cell>
          <cell r="D73">
            <v>41</v>
          </cell>
          <cell r="E73">
            <v>6</v>
          </cell>
          <cell r="F73" t="str">
            <v>Line_6</v>
          </cell>
          <cell r="G73" t="str">
            <v>AddE</v>
          </cell>
          <cell r="I73" t="str">
            <v>Vanguard Us Total Market Shares Index ETF - CDI's 1:1</v>
          </cell>
          <cell r="J73">
            <v>178.51</v>
          </cell>
          <cell r="K73">
            <v>0</v>
          </cell>
          <cell r="L73">
            <v>178.51</v>
          </cell>
          <cell r="M73">
            <v>0</v>
          </cell>
          <cell r="N73" t="str">
            <v>Add</v>
          </cell>
          <cell r="O73">
            <v>0</v>
          </cell>
          <cell r="V73" t="str">
            <v>NA</v>
          </cell>
          <cell r="X73">
            <v>0</v>
          </cell>
          <cell r="Y73" t="b">
            <v>0</v>
          </cell>
          <cell r="Z73" t="b">
            <v>0</v>
          </cell>
          <cell r="AA73" t="b">
            <v>0</v>
          </cell>
          <cell r="AB73">
            <v>0</v>
          </cell>
          <cell r="AC73" t="b">
            <v>1</v>
          </cell>
          <cell r="AE73" t="str">
            <v>P</v>
          </cell>
          <cell r="AF73">
            <v>0</v>
          </cell>
          <cell r="AG73">
            <v>0</v>
          </cell>
          <cell r="AI73">
            <v>0</v>
          </cell>
        </row>
        <row r="74">
          <cell r="C74" t="str">
            <v>Totalforeign_income.ForeignIncome.ForeignDividend.UnitTrusts</v>
          </cell>
          <cell r="D74">
            <v>42</v>
          </cell>
          <cell r="E74">
            <v>5</v>
          </cell>
          <cell r="F74" t="str">
            <v>Total_5</v>
          </cell>
          <cell r="G74" t="str">
            <v>AddE</v>
          </cell>
          <cell r="I74" t="str">
            <v>Total Units In Listed Unit Trusts</v>
          </cell>
          <cell r="J74">
            <v>178.51</v>
          </cell>
          <cell r="K74">
            <v>0</v>
          </cell>
          <cell r="L74">
            <v>178.51</v>
          </cell>
          <cell r="M74">
            <v>0</v>
          </cell>
          <cell r="N74" t="str">
            <v>Add</v>
          </cell>
          <cell r="O74">
            <v>0</v>
          </cell>
          <cell r="V74" t="str">
            <v>NA</v>
          </cell>
          <cell r="X74">
            <v>0</v>
          </cell>
          <cell r="Y74" t="b">
            <v>0</v>
          </cell>
          <cell r="Z74" t="b">
            <v>0</v>
          </cell>
          <cell r="AA74" t="b">
            <v>0</v>
          </cell>
          <cell r="AB74">
            <v>0</v>
          </cell>
          <cell r="AC74" t="b">
            <v>1</v>
          </cell>
          <cell r="AE74" t="str">
            <v>P</v>
          </cell>
          <cell r="AF74">
            <v>0</v>
          </cell>
          <cell r="AG74">
            <v>0</v>
          </cell>
          <cell r="AI74">
            <v>0</v>
          </cell>
        </row>
        <row r="75">
          <cell r="C75" t="str">
            <v>Totalforeign_income.ForeignIncome.ForeignDividend</v>
          </cell>
          <cell r="D75">
            <v>43</v>
          </cell>
          <cell r="E75">
            <v>4</v>
          </cell>
          <cell r="F75" t="str">
            <v>Total_4</v>
          </cell>
          <cell r="G75" t="str">
            <v>AddE</v>
          </cell>
          <cell r="I75" t="str">
            <v>Total Foreign Dividend</v>
          </cell>
          <cell r="J75">
            <v>178.51</v>
          </cell>
          <cell r="K75">
            <v>0</v>
          </cell>
          <cell r="L75">
            <v>178.51</v>
          </cell>
          <cell r="M75">
            <v>0</v>
          </cell>
          <cell r="N75" t="str">
            <v>Add</v>
          </cell>
          <cell r="O75">
            <v>0</v>
          </cell>
          <cell r="V75" t="str">
            <v>NA</v>
          </cell>
          <cell r="X75">
            <v>0</v>
          </cell>
          <cell r="Y75" t="b">
            <v>0</v>
          </cell>
          <cell r="Z75" t="b">
            <v>0</v>
          </cell>
          <cell r="AA75" t="b">
            <v>0</v>
          </cell>
          <cell r="AB75">
            <v>0</v>
          </cell>
          <cell r="AC75" t="b">
            <v>1</v>
          </cell>
          <cell r="AE75" t="str">
            <v>P</v>
          </cell>
          <cell r="AF75">
            <v>0</v>
          </cell>
          <cell r="AG75">
            <v>0</v>
          </cell>
          <cell r="AI75">
            <v>0</v>
          </cell>
        </row>
        <row r="76">
          <cell r="C76" t="str">
            <v>Totalforeign_income</v>
          </cell>
          <cell r="D76">
            <v>44</v>
          </cell>
          <cell r="E76">
            <v>3</v>
          </cell>
          <cell r="F76" t="str">
            <v>Total_3</v>
          </cell>
          <cell r="G76" t="str">
            <v>AddE</v>
          </cell>
          <cell r="I76" t="str">
            <v>Total Foreign Income</v>
          </cell>
          <cell r="J76">
            <v>178.51</v>
          </cell>
          <cell r="K76">
            <v>0</v>
          </cell>
          <cell r="L76">
            <v>178.51</v>
          </cell>
          <cell r="M76">
            <v>0</v>
          </cell>
          <cell r="N76" t="str">
            <v>Add</v>
          </cell>
          <cell r="O76">
            <v>0</v>
          </cell>
          <cell r="V76" t="str">
            <v>NA</v>
          </cell>
          <cell r="X76">
            <v>0</v>
          </cell>
          <cell r="Y76" t="b">
            <v>0</v>
          </cell>
          <cell r="Z76" t="b">
            <v>0</v>
          </cell>
          <cell r="AA76" t="b">
            <v>0</v>
          </cell>
          <cell r="AB76">
            <v>0</v>
          </cell>
          <cell r="AC76" t="b">
            <v>1</v>
          </cell>
          <cell r="AE76" t="str">
            <v>P</v>
          </cell>
          <cell r="AF76">
            <v>0</v>
          </cell>
          <cell r="AG76">
            <v>0</v>
          </cell>
          <cell r="AI76">
            <v>0</v>
          </cell>
        </row>
        <row r="77">
          <cell r="C77" t="str">
            <v>interest</v>
          </cell>
          <cell r="D77">
            <v>45</v>
          </cell>
          <cell r="E77">
            <v>3</v>
          </cell>
          <cell r="F77" t="str">
            <v>Header_3</v>
          </cell>
          <cell r="G77" t="str">
            <v>AddE</v>
          </cell>
          <cell r="I77" t="str">
            <v>Interest</v>
          </cell>
          <cell r="J77">
            <v>0</v>
          </cell>
          <cell r="K77">
            <v>0</v>
          </cell>
          <cell r="L77">
            <v>0</v>
          </cell>
          <cell r="M77">
            <v>0</v>
          </cell>
          <cell r="O77">
            <v>0</v>
          </cell>
          <cell r="V77" t="str">
            <v>NA</v>
          </cell>
          <cell r="X77">
            <v>0</v>
          </cell>
          <cell r="Y77" t="b">
            <v>0</v>
          </cell>
          <cell r="Z77" t="b">
            <v>0</v>
          </cell>
          <cell r="AA77" t="b">
            <v>0</v>
          </cell>
          <cell r="AB77">
            <v>0</v>
          </cell>
          <cell r="AC77" t="b">
            <v>1</v>
          </cell>
          <cell r="AE77" t="str">
            <v>P</v>
          </cell>
          <cell r="AF77">
            <v>0</v>
          </cell>
          <cell r="AG77">
            <v>0</v>
          </cell>
          <cell r="AI77">
            <v>0</v>
          </cell>
        </row>
        <row r="78">
          <cell r="C78" t="str">
            <v>interest.Cash</v>
          </cell>
          <cell r="D78">
            <v>46</v>
          </cell>
          <cell r="E78">
            <v>4</v>
          </cell>
          <cell r="F78" t="str">
            <v>Header_4</v>
          </cell>
          <cell r="G78" t="str">
            <v>AddE</v>
          </cell>
          <cell r="I78" t="str">
            <v>Cash and Cash Equivalents</v>
          </cell>
          <cell r="J78">
            <v>0</v>
          </cell>
          <cell r="K78">
            <v>0</v>
          </cell>
          <cell r="L78">
            <v>0</v>
          </cell>
          <cell r="M78">
            <v>0</v>
          </cell>
          <cell r="O78">
            <v>0</v>
          </cell>
          <cell r="V78" t="str">
            <v>NA</v>
          </cell>
          <cell r="X78">
            <v>0</v>
          </cell>
          <cell r="Y78" t="b">
            <v>0</v>
          </cell>
          <cell r="Z78" t="b">
            <v>0</v>
          </cell>
          <cell r="AA78" t="b">
            <v>0</v>
          </cell>
          <cell r="AB78">
            <v>0</v>
          </cell>
          <cell r="AC78" t="b">
            <v>1</v>
          </cell>
          <cell r="AE78" t="str">
            <v>P</v>
          </cell>
          <cell r="AF78">
            <v>0</v>
          </cell>
          <cell r="AG78">
            <v>0</v>
          </cell>
          <cell r="AI78">
            <v>0</v>
          </cell>
        </row>
        <row r="79">
          <cell r="C79" t="str">
            <v>interest.Cash.9a1a4a8d-126a-4a73-82c7-f3888256c7d5</v>
          </cell>
          <cell r="D79">
            <v>47</v>
          </cell>
          <cell r="E79">
            <v>5</v>
          </cell>
          <cell r="F79" t="str">
            <v>Line_5</v>
          </cell>
          <cell r="G79" t="str">
            <v>AddE</v>
          </cell>
          <cell r="I79" t="str">
            <v>Term Deposit ING 84613066</v>
          </cell>
          <cell r="J79">
            <v>8643.41</v>
          </cell>
          <cell r="K79">
            <v>0</v>
          </cell>
          <cell r="L79">
            <v>8643.41</v>
          </cell>
          <cell r="M79">
            <v>0</v>
          </cell>
          <cell r="N79" t="str">
            <v>Add</v>
          </cell>
          <cell r="O79">
            <v>0</v>
          </cell>
          <cell r="V79" t="str">
            <v>NA</v>
          </cell>
          <cell r="X79">
            <v>0</v>
          </cell>
          <cell r="Y79" t="b">
            <v>0</v>
          </cell>
          <cell r="Z79" t="b">
            <v>0</v>
          </cell>
          <cell r="AA79" t="b">
            <v>0</v>
          </cell>
          <cell r="AB79">
            <v>0</v>
          </cell>
          <cell r="AC79" t="b">
            <v>1</v>
          </cell>
          <cell r="AE79" t="str">
            <v>P</v>
          </cell>
          <cell r="AF79">
            <v>0</v>
          </cell>
          <cell r="AG79">
            <v>0</v>
          </cell>
          <cell r="AI79">
            <v>0</v>
          </cell>
        </row>
        <row r="80">
          <cell r="C80" t="str">
            <v>interest.Cash.4f350160-46c5-4076-bb84-401c0a4fbb02</v>
          </cell>
          <cell r="D80">
            <v>48</v>
          </cell>
          <cell r="E80">
            <v>5</v>
          </cell>
          <cell r="F80" t="str">
            <v>Line_5</v>
          </cell>
          <cell r="G80" t="str">
            <v>AddE</v>
          </cell>
          <cell r="I80" t="str">
            <v>Term Deposit UBank</v>
          </cell>
          <cell r="J80">
            <v>46946.28</v>
          </cell>
          <cell r="K80">
            <v>0</v>
          </cell>
          <cell r="L80">
            <v>46946.28</v>
          </cell>
          <cell r="M80">
            <v>0</v>
          </cell>
          <cell r="N80" t="str">
            <v>Add</v>
          </cell>
          <cell r="O80">
            <v>0</v>
          </cell>
          <cell r="V80" t="str">
            <v>NA</v>
          </cell>
          <cell r="X80">
            <v>0</v>
          </cell>
          <cell r="Y80" t="b">
            <v>0</v>
          </cell>
          <cell r="Z80" t="b">
            <v>0</v>
          </cell>
          <cell r="AA80" t="b">
            <v>0</v>
          </cell>
          <cell r="AB80">
            <v>0</v>
          </cell>
          <cell r="AC80" t="b">
            <v>1</v>
          </cell>
          <cell r="AE80" t="str">
            <v>P</v>
          </cell>
          <cell r="AF80">
            <v>0</v>
          </cell>
          <cell r="AG80">
            <v>0</v>
          </cell>
          <cell r="AI80">
            <v>0</v>
          </cell>
        </row>
        <row r="81">
          <cell r="C81" t="str">
            <v>interest.Cash.2c8e0546-25be-49ff-aef4-a427b595b974</v>
          </cell>
          <cell r="D81">
            <v>49</v>
          </cell>
          <cell r="E81">
            <v>5</v>
          </cell>
          <cell r="F81" t="str">
            <v>Line_5</v>
          </cell>
          <cell r="G81" t="str">
            <v>AddE</v>
          </cell>
          <cell r="I81" t="str">
            <v>Westpac Term Deposit 344139</v>
          </cell>
          <cell r="J81">
            <v>39784.74</v>
          </cell>
          <cell r="K81">
            <v>0</v>
          </cell>
          <cell r="L81">
            <v>39784.74</v>
          </cell>
          <cell r="M81">
            <v>0</v>
          </cell>
          <cell r="N81" t="str">
            <v>Add</v>
          </cell>
          <cell r="O81">
            <v>0</v>
          </cell>
          <cell r="V81" t="str">
            <v>NA</v>
          </cell>
          <cell r="X81">
            <v>0</v>
          </cell>
          <cell r="Y81" t="b">
            <v>0</v>
          </cell>
          <cell r="Z81" t="b">
            <v>0</v>
          </cell>
          <cell r="AA81" t="b">
            <v>0</v>
          </cell>
          <cell r="AB81">
            <v>0</v>
          </cell>
          <cell r="AC81" t="b">
            <v>1</v>
          </cell>
          <cell r="AE81" t="str">
            <v>P</v>
          </cell>
          <cell r="AF81">
            <v>0</v>
          </cell>
          <cell r="AG81">
            <v>0</v>
          </cell>
          <cell r="AI81">
            <v>0</v>
          </cell>
        </row>
        <row r="82">
          <cell r="C82" t="str">
            <v>interest.Cash.31e47dab-4edc-46a3-b1fb-dc9e2e3fbf4e</v>
          </cell>
          <cell r="D82">
            <v>50</v>
          </cell>
          <cell r="E82">
            <v>5</v>
          </cell>
          <cell r="F82" t="str">
            <v>Line_5</v>
          </cell>
          <cell r="G82" t="str">
            <v>AddE</v>
          </cell>
          <cell r="I82" t="str">
            <v>Westpac Term Deposit 365028</v>
          </cell>
          <cell r="J82">
            <v>1325.81</v>
          </cell>
          <cell r="K82">
            <v>0</v>
          </cell>
          <cell r="L82">
            <v>1325.81</v>
          </cell>
          <cell r="M82">
            <v>0</v>
          </cell>
          <cell r="N82" t="str">
            <v>Add</v>
          </cell>
          <cell r="O82">
            <v>0</v>
          </cell>
          <cell r="V82" t="str">
            <v>NA</v>
          </cell>
          <cell r="X82">
            <v>0</v>
          </cell>
          <cell r="Y82" t="b">
            <v>0</v>
          </cell>
          <cell r="Z82" t="b">
            <v>0</v>
          </cell>
          <cell r="AA82" t="b">
            <v>0</v>
          </cell>
          <cell r="AB82">
            <v>0</v>
          </cell>
          <cell r="AC82" t="b">
            <v>1</v>
          </cell>
          <cell r="AE82" t="str">
            <v>P</v>
          </cell>
          <cell r="AF82">
            <v>0</v>
          </cell>
          <cell r="AG82">
            <v>0</v>
          </cell>
          <cell r="AI82">
            <v>0</v>
          </cell>
        </row>
        <row r="83">
          <cell r="C83" t="str">
            <v>interest.Cash.a8b2f80e-0607-4219-88b6-91dde001f434</v>
          </cell>
          <cell r="D83">
            <v>51</v>
          </cell>
          <cell r="E83">
            <v>5</v>
          </cell>
          <cell r="F83" t="str">
            <v>Line_5</v>
          </cell>
          <cell r="G83" t="str">
            <v>AddE</v>
          </cell>
          <cell r="I83" t="str">
            <v>Westpac Term Deposit 384413</v>
          </cell>
          <cell r="J83">
            <v>21871.14</v>
          </cell>
          <cell r="K83">
            <v>0</v>
          </cell>
          <cell r="L83">
            <v>21871.14</v>
          </cell>
          <cell r="M83">
            <v>0</v>
          </cell>
          <cell r="N83" t="str">
            <v>Add</v>
          </cell>
          <cell r="O83">
            <v>0</v>
          </cell>
          <cell r="V83" t="str">
            <v>NA</v>
          </cell>
          <cell r="X83">
            <v>0</v>
          </cell>
          <cell r="Y83" t="b">
            <v>0</v>
          </cell>
          <cell r="Z83" t="b">
            <v>0</v>
          </cell>
          <cell r="AA83" t="b">
            <v>0</v>
          </cell>
          <cell r="AB83">
            <v>0</v>
          </cell>
          <cell r="AC83" t="b">
            <v>1</v>
          </cell>
          <cell r="AE83" t="str">
            <v>P</v>
          </cell>
          <cell r="AF83">
            <v>0</v>
          </cell>
          <cell r="AG83">
            <v>0</v>
          </cell>
          <cell r="AI83">
            <v>0</v>
          </cell>
        </row>
        <row r="84">
          <cell r="C84" t="str">
            <v>Totalinterest.Cash</v>
          </cell>
          <cell r="D84">
            <v>52</v>
          </cell>
          <cell r="E84">
            <v>4</v>
          </cell>
          <cell r="F84" t="str">
            <v>Total_4</v>
          </cell>
          <cell r="G84" t="str">
            <v>AddE</v>
          </cell>
          <cell r="I84" t="str">
            <v>Total Cash and Cash Equivalents</v>
          </cell>
          <cell r="J84">
            <v>118571.38</v>
          </cell>
          <cell r="K84">
            <v>0</v>
          </cell>
          <cell r="L84">
            <v>118571.38</v>
          </cell>
          <cell r="M84">
            <v>0</v>
          </cell>
          <cell r="N84" t="str">
            <v>Add</v>
          </cell>
          <cell r="O84">
            <v>0</v>
          </cell>
          <cell r="V84" t="str">
            <v>NA</v>
          </cell>
          <cell r="X84">
            <v>0</v>
          </cell>
          <cell r="Y84" t="b">
            <v>0</v>
          </cell>
          <cell r="Z84" t="b">
            <v>0</v>
          </cell>
          <cell r="AA84" t="b">
            <v>0</v>
          </cell>
          <cell r="AB84">
            <v>0</v>
          </cell>
          <cell r="AC84" t="b">
            <v>1</v>
          </cell>
          <cell r="AE84" t="str">
            <v>P</v>
          </cell>
          <cell r="AF84">
            <v>0</v>
          </cell>
          <cell r="AG84">
            <v>0</v>
          </cell>
          <cell r="AI84">
            <v>0</v>
          </cell>
        </row>
        <row r="85">
          <cell r="C85" t="str">
            <v>interest.OtherAssets.CashAtBank</v>
          </cell>
          <cell r="D85">
            <v>53</v>
          </cell>
          <cell r="E85">
            <v>4</v>
          </cell>
          <cell r="F85" t="str">
            <v>Header_4</v>
          </cell>
          <cell r="G85" t="str">
            <v>AddE</v>
          </cell>
          <cell r="I85" t="str">
            <v>Cash At Bank</v>
          </cell>
          <cell r="J85">
            <v>0</v>
          </cell>
          <cell r="K85">
            <v>0</v>
          </cell>
          <cell r="L85">
            <v>0</v>
          </cell>
          <cell r="M85">
            <v>0</v>
          </cell>
          <cell r="O85">
            <v>0</v>
          </cell>
          <cell r="V85" t="str">
            <v>NA</v>
          </cell>
          <cell r="X85">
            <v>0</v>
          </cell>
          <cell r="Y85" t="b">
            <v>0</v>
          </cell>
          <cell r="Z85" t="b">
            <v>0</v>
          </cell>
          <cell r="AA85" t="b">
            <v>0</v>
          </cell>
          <cell r="AB85">
            <v>0</v>
          </cell>
          <cell r="AC85" t="b">
            <v>1</v>
          </cell>
          <cell r="AE85" t="str">
            <v>P</v>
          </cell>
          <cell r="AF85">
            <v>0</v>
          </cell>
          <cell r="AG85">
            <v>0</v>
          </cell>
          <cell r="AI85">
            <v>0</v>
          </cell>
        </row>
        <row r="86">
          <cell r="C86" t="str">
            <v>interest.OtherAssets.CashAtBank.7ffe9331-78e5-4460-9afe-2b7177093c72</v>
          </cell>
          <cell r="D86">
            <v>54</v>
          </cell>
          <cell r="E86">
            <v>5</v>
          </cell>
          <cell r="F86" t="str">
            <v>Line_5</v>
          </cell>
          <cell r="G86" t="str">
            <v>AddE</v>
          </cell>
          <cell r="I86" t="str">
            <v>ANZ E*Trade Account</v>
          </cell>
          <cell r="J86">
            <v>1871.03</v>
          </cell>
          <cell r="K86">
            <v>0</v>
          </cell>
          <cell r="L86">
            <v>1871.03</v>
          </cell>
          <cell r="M86">
            <v>0</v>
          </cell>
          <cell r="N86" t="str">
            <v>Add</v>
          </cell>
          <cell r="O86">
            <v>0</v>
          </cell>
          <cell r="V86" t="str">
            <v>NA</v>
          </cell>
          <cell r="X86">
            <v>0</v>
          </cell>
          <cell r="Y86" t="b">
            <v>0</v>
          </cell>
          <cell r="Z86" t="b">
            <v>0</v>
          </cell>
          <cell r="AA86" t="b">
            <v>0</v>
          </cell>
          <cell r="AB86">
            <v>0</v>
          </cell>
          <cell r="AC86" t="b">
            <v>1</v>
          </cell>
          <cell r="AE86" t="str">
            <v>P</v>
          </cell>
          <cell r="AF86">
            <v>0</v>
          </cell>
          <cell r="AG86">
            <v>0</v>
          </cell>
          <cell r="AI86">
            <v>0</v>
          </cell>
        </row>
        <row r="87">
          <cell r="C87" t="str">
            <v>interest.OtherAssets.CashAtBank.6d42be5e-0a5b-47d5-8489-fa3dd40ed86a</v>
          </cell>
          <cell r="D87">
            <v>55</v>
          </cell>
          <cell r="E87">
            <v>5</v>
          </cell>
          <cell r="F87" t="str">
            <v>Line_5</v>
          </cell>
          <cell r="G87" t="str">
            <v>AddE</v>
          </cell>
          <cell r="I87" t="str">
            <v>ING Term Deposit 84613066</v>
          </cell>
          <cell r="J87">
            <v>45868</v>
          </cell>
          <cell r="K87">
            <v>0</v>
          </cell>
          <cell r="L87">
            <v>45868</v>
          </cell>
          <cell r="M87">
            <v>0</v>
          </cell>
          <cell r="N87" t="str">
            <v>Add</v>
          </cell>
          <cell r="O87">
            <v>0</v>
          </cell>
          <cell r="V87" t="str">
            <v>NA</v>
          </cell>
          <cell r="X87">
            <v>0</v>
          </cell>
          <cell r="Y87" t="b">
            <v>0</v>
          </cell>
          <cell r="Z87" t="b">
            <v>0</v>
          </cell>
          <cell r="AA87" t="b">
            <v>0</v>
          </cell>
          <cell r="AB87">
            <v>0</v>
          </cell>
          <cell r="AC87" t="b">
            <v>1</v>
          </cell>
          <cell r="AE87" t="str">
            <v>P</v>
          </cell>
          <cell r="AF87">
            <v>0</v>
          </cell>
          <cell r="AG87">
            <v>0</v>
          </cell>
          <cell r="AI87">
            <v>0</v>
          </cell>
        </row>
        <row r="88">
          <cell r="C88" t="str">
            <v>interest.OtherAssets.CashAtBank.1a98a0aa-e515-4c2e-bb22-eee2d2d27856</v>
          </cell>
          <cell r="D88">
            <v>56</v>
          </cell>
          <cell r="E88">
            <v>5</v>
          </cell>
          <cell r="F88" t="str">
            <v>Line_5</v>
          </cell>
          <cell r="G88" t="str">
            <v>AddE</v>
          </cell>
          <cell r="I88" t="str">
            <v>Westpac Business Cash Reserve</v>
          </cell>
          <cell r="J88">
            <v>1633.66</v>
          </cell>
          <cell r="K88">
            <v>0</v>
          </cell>
          <cell r="L88">
            <v>1633.66</v>
          </cell>
          <cell r="M88">
            <v>0</v>
          </cell>
          <cell r="N88" t="str">
            <v>Add</v>
          </cell>
          <cell r="O88">
            <v>0</v>
          </cell>
          <cell r="V88" t="str">
            <v>NA</v>
          </cell>
          <cell r="X88">
            <v>0</v>
          </cell>
          <cell r="Y88" t="b">
            <v>0</v>
          </cell>
          <cell r="Z88" t="b">
            <v>0</v>
          </cell>
          <cell r="AA88" t="b">
            <v>0</v>
          </cell>
          <cell r="AB88">
            <v>0</v>
          </cell>
          <cell r="AC88" t="b">
            <v>1</v>
          </cell>
          <cell r="AE88" t="str">
            <v>P</v>
          </cell>
          <cell r="AF88">
            <v>0</v>
          </cell>
          <cell r="AG88">
            <v>0</v>
          </cell>
          <cell r="AI88">
            <v>0</v>
          </cell>
        </row>
        <row r="89">
          <cell r="C89" t="str">
            <v>Totalinterest.OtherAssets.CashAtBank</v>
          </cell>
          <cell r="D89">
            <v>57</v>
          </cell>
          <cell r="E89">
            <v>4</v>
          </cell>
          <cell r="F89" t="str">
            <v>Total_4</v>
          </cell>
          <cell r="G89" t="str">
            <v>AddE</v>
          </cell>
          <cell r="I89" t="str">
            <v>Total Cash At Bank</v>
          </cell>
          <cell r="J89">
            <v>49372.69</v>
          </cell>
          <cell r="K89">
            <v>0</v>
          </cell>
          <cell r="L89">
            <v>49372.69</v>
          </cell>
          <cell r="M89">
            <v>0</v>
          </cell>
          <cell r="N89" t="str">
            <v>Add</v>
          </cell>
          <cell r="O89">
            <v>0</v>
          </cell>
          <cell r="V89" t="str">
            <v>NA</v>
          </cell>
          <cell r="X89">
            <v>0</v>
          </cell>
          <cell r="Y89" t="b">
            <v>0</v>
          </cell>
          <cell r="Z89" t="b">
            <v>0</v>
          </cell>
          <cell r="AA89" t="b">
            <v>0</v>
          </cell>
          <cell r="AB89">
            <v>0</v>
          </cell>
          <cell r="AC89" t="b">
            <v>1</v>
          </cell>
          <cell r="AE89" t="str">
            <v>P</v>
          </cell>
          <cell r="AF89">
            <v>0</v>
          </cell>
          <cell r="AG89">
            <v>0</v>
          </cell>
          <cell r="AI89">
            <v>0</v>
          </cell>
        </row>
        <row r="90">
          <cell r="C90" t="str">
            <v>interest.OtherFixedInterest</v>
          </cell>
          <cell r="D90">
            <v>58</v>
          </cell>
          <cell r="E90">
            <v>4</v>
          </cell>
          <cell r="F90" t="str">
            <v>Header_4</v>
          </cell>
          <cell r="G90" t="str">
            <v>AddE</v>
          </cell>
          <cell r="I90" t="str">
            <v>Other Fixed Interest Securities</v>
          </cell>
          <cell r="J90">
            <v>0</v>
          </cell>
          <cell r="K90">
            <v>0</v>
          </cell>
          <cell r="L90">
            <v>0</v>
          </cell>
          <cell r="M90">
            <v>0</v>
          </cell>
          <cell r="O90">
            <v>0</v>
          </cell>
          <cell r="V90" t="str">
            <v>NA</v>
          </cell>
          <cell r="X90">
            <v>0</v>
          </cell>
          <cell r="Y90" t="b">
            <v>0</v>
          </cell>
          <cell r="Z90" t="b">
            <v>0</v>
          </cell>
          <cell r="AA90" t="b">
            <v>0</v>
          </cell>
          <cell r="AB90">
            <v>0</v>
          </cell>
          <cell r="AC90" t="b">
            <v>1</v>
          </cell>
          <cell r="AE90" t="str">
            <v>P</v>
          </cell>
          <cell r="AF90">
            <v>0</v>
          </cell>
          <cell r="AG90">
            <v>0</v>
          </cell>
          <cell r="AI90">
            <v>0</v>
          </cell>
        </row>
        <row r="91">
          <cell r="C91" t="str">
            <v>interest.OtherFixedInterest.fadeec77-42db-4e5e-85db-6bf9ece3a26c</v>
          </cell>
          <cell r="D91">
            <v>59</v>
          </cell>
          <cell r="E91">
            <v>5</v>
          </cell>
          <cell r="F91" t="str">
            <v>Line_5</v>
          </cell>
          <cell r="G91" t="str">
            <v>AddE</v>
          </cell>
          <cell r="I91" t="str">
            <v>AGL Energy Limited. - Hybrid 3-Bbsw+3.80% 08-06-39 Sub Step T-06-19</v>
          </cell>
          <cell r="J91">
            <v>5624.3</v>
          </cell>
          <cell r="K91">
            <v>0</v>
          </cell>
          <cell r="L91">
            <v>5624.3</v>
          </cell>
          <cell r="M91">
            <v>0</v>
          </cell>
          <cell r="N91" t="str">
            <v>Add</v>
          </cell>
          <cell r="O91">
            <v>0</v>
          </cell>
          <cell r="V91" t="str">
            <v>NA</v>
          </cell>
          <cell r="X91">
            <v>0</v>
          </cell>
          <cell r="Y91" t="b">
            <v>0</v>
          </cell>
          <cell r="Z91" t="b">
            <v>0</v>
          </cell>
          <cell r="AA91" t="b">
            <v>0</v>
          </cell>
          <cell r="AB91">
            <v>0</v>
          </cell>
          <cell r="AC91" t="b">
            <v>1</v>
          </cell>
          <cell r="AE91" t="str">
            <v>P</v>
          </cell>
          <cell r="AF91">
            <v>0</v>
          </cell>
          <cell r="AG91">
            <v>0</v>
          </cell>
          <cell r="AI91">
            <v>0</v>
          </cell>
        </row>
        <row r="92">
          <cell r="C92" t="str">
            <v>interest.OtherFixedInterest.f0f4db9a-7385-4541-ae22-c5c550e0f92e</v>
          </cell>
          <cell r="D92">
            <v>60</v>
          </cell>
          <cell r="E92">
            <v>5</v>
          </cell>
          <cell r="F92" t="str">
            <v>Line_5</v>
          </cell>
          <cell r="G92" t="str">
            <v>AddE</v>
          </cell>
          <cell r="I92" t="str">
            <v>Macquarie Bank Limited - Hybrid 3-Bbsw+1.70% Perp Sub Non-Cum Stap</v>
          </cell>
          <cell r="J92">
            <v>728.99</v>
          </cell>
          <cell r="K92">
            <v>0</v>
          </cell>
          <cell r="L92">
            <v>728.99</v>
          </cell>
          <cell r="M92">
            <v>0</v>
          </cell>
          <cell r="N92" t="str">
            <v>Add</v>
          </cell>
          <cell r="O92">
            <v>0</v>
          </cell>
          <cell r="V92" t="str">
            <v>NA</v>
          </cell>
          <cell r="X92">
            <v>0</v>
          </cell>
          <cell r="Y92" t="b">
            <v>0</v>
          </cell>
          <cell r="Z92" t="b">
            <v>0</v>
          </cell>
          <cell r="AA92" t="b">
            <v>0</v>
          </cell>
          <cell r="AB92">
            <v>0</v>
          </cell>
          <cell r="AC92" t="b">
            <v>1</v>
          </cell>
          <cell r="AE92" t="str">
            <v>P</v>
          </cell>
          <cell r="AF92">
            <v>0</v>
          </cell>
          <cell r="AG92">
            <v>0</v>
          </cell>
          <cell r="AI92">
            <v>0</v>
          </cell>
        </row>
        <row r="93">
          <cell r="C93" t="str">
            <v>interest.OtherFixedInterest.d8df9507-7f52-4c67-a6eb-65c956241327</v>
          </cell>
          <cell r="D93">
            <v>61</v>
          </cell>
          <cell r="E93">
            <v>5</v>
          </cell>
          <cell r="F93" t="str">
            <v>Line_5</v>
          </cell>
          <cell r="G93" t="str">
            <v>AddE</v>
          </cell>
          <cell r="I93" t="str">
            <v>Origin Energy Limited - Hybrid 3-Bbsw+4.00% 22-12-71 Sub Cum Red T-12-16</v>
          </cell>
          <cell r="J93">
            <v>2940</v>
          </cell>
          <cell r="K93">
            <v>0</v>
          </cell>
          <cell r="L93">
            <v>2940</v>
          </cell>
          <cell r="M93">
            <v>0</v>
          </cell>
          <cell r="N93" t="str">
            <v>Add</v>
          </cell>
          <cell r="O93">
            <v>0</v>
          </cell>
          <cell r="V93" t="str">
            <v>NA</v>
          </cell>
          <cell r="X93">
            <v>0</v>
          </cell>
          <cell r="Y93" t="b">
            <v>0</v>
          </cell>
          <cell r="Z93" t="b">
            <v>0</v>
          </cell>
          <cell r="AA93" t="b">
            <v>0</v>
          </cell>
          <cell r="AB93">
            <v>0</v>
          </cell>
          <cell r="AC93" t="b">
            <v>1</v>
          </cell>
          <cell r="AE93" t="str">
            <v>P</v>
          </cell>
          <cell r="AF93">
            <v>0</v>
          </cell>
          <cell r="AG93">
            <v>0</v>
          </cell>
          <cell r="AI93">
            <v>0</v>
          </cell>
        </row>
        <row r="94">
          <cell r="C94" t="str">
            <v>interest.OtherFixedInterest.919b1fa8-a96c-4861-942b-8aad5464e14d</v>
          </cell>
          <cell r="D94">
            <v>62</v>
          </cell>
          <cell r="E94">
            <v>5</v>
          </cell>
          <cell r="F94" t="str">
            <v>Line_5</v>
          </cell>
          <cell r="G94" t="str">
            <v>AddE</v>
          </cell>
          <cell r="I94" t="str">
            <v>Westpac Banking Corporation - Sub Bond 3-Bbsw+2.75% 23-8-22 Red T-08-17</v>
          </cell>
          <cell r="J94">
            <v>4564</v>
          </cell>
          <cell r="K94">
            <v>0</v>
          </cell>
          <cell r="L94">
            <v>4564</v>
          </cell>
          <cell r="M94">
            <v>0</v>
          </cell>
          <cell r="N94" t="str">
            <v>Add</v>
          </cell>
          <cell r="O94">
            <v>0</v>
          </cell>
          <cell r="V94" t="str">
            <v>NA</v>
          </cell>
          <cell r="X94">
            <v>0</v>
          </cell>
          <cell r="Y94" t="b">
            <v>0</v>
          </cell>
          <cell r="Z94" t="b">
            <v>0</v>
          </cell>
          <cell r="AA94" t="b">
            <v>0</v>
          </cell>
          <cell r="AB94">
            <v>0</v>
          </cell>
          <cell r="AC94" t="b">
            <v>1</v>
          </cell>
          <cell r="AE94" t="str">
            <v>P</v>
          </cell>
          <cell r="AF94">
            <v>0</v>
          </cell>
          <cell r="AG94">
            <v>0</v>
          </cell>
          <cell r="AI94">
            <v>0</v>
          </cell>
        </row>
        <row r="95">
          <cell r="C95" t="str">
            <v>Totalinterest.OtherFixedInterest</v>
          </cell>
          <cell r="D95">
            <v>63</v>
          </cell>
          <cell r="E95">
            <v>4</v>
          </cell>
          <cell r="F95" t="str">
            <v>Total_4</v>
          </cell>
          <cell r="G95" t="str">
            <v>AddE</v>
          </cell>
          <cell r="I95" t="str">
            <v>Total Other Fixed Interest Securities</v>
          </cell>
          <cell r="J95">
            <v>13857.29</v>
          </cell>
          <cell r="K95">
            <v>0</v>
          </cell>
          <cell r="L95">
            <v>13857.29</v>
          </cell>
          <cell r="M95">
            <v>0</v>
          </cell>
          <cell r="N95" t="str">
            <v>Add</v>
          </cell>
          <cell r="O95">
            <v>0</v>
          </cell>
          <cell r="V95" t="str">
            <v>NA</v>
          </cell>
          <cell r="X95">
            <v>0</v>
          </cell>
          <cell r="Y95" t="b">
            <v>0</v>
          </cell>
          <cell r="Z95" t="b">
            <v>0</v>
          </cell>
          <cell r="AA95" t="b">
            <v>0</v>
          </cell>
          <cell r="AB95">
            <v>0</v>
          </cell>
          <cell r="AC95" t="b">
            <v>1</v>
          </cell>
          <cell r="AE95" t="str">
            <v>P</v>
          </cell>
          <cell r="AF95">
            <v>0</v>
          </cell>
          <cell r="AG95">
            <v>0</v>
          </cell>
          <cell r="AI95">
            <v>0</v>
          </cell>
        </row>
        <row r="96">
          <cell r="C96" t="str">
            <v>Totalinterest</v>
          </cell>
          <cell r="D96">
            <v>64</v>
          </cell>
          <cell r="E96">
            <v>3</v>
          </cell>
          <cell r="F96" t="str">
            <v>Total_3</v>
          </cell>
          <cell r="G96" t="str">
            <v>AddE</v>
          </cell>
          <cell r="I96" t="str">
            <v>Total Interest</v>
          </cell>
          <cell r="J96">
            <v>181801.36</v>
          </cell>
          <cell r="K96">
            <v>0</v>
          </cell>
          <cell r="L96">
            <v>181801.36</v>
          </cell>
          <cell r="M96">
            <v>0</v>
          </cell>
          <cell r="N96" t="str">
            <v>Add</v>
          </cell>
          <cell r="O96">
            <v>0</v>
          </cell>
          <cell r="V96" t="str">
            <v>NA</v>
          </cell>
          <cell r="X96">
            <v>0</v>
          </cell>
          <cell r="Y96" t="b">
            <v>0</v>
          </cell>
          <cell r="Z96" t="b">
            <v>0</v>
          </cell>
          <cell r="AA96" t="b">
            <v>0</v>
          </cell>
          <cell r="AB96">
            <v>0</v>
          </cell>
          <cell r="AC96" t="b">
            <v>1</v>
          </cell>
          <cell r="AE96" t="str">
            <v>P</v>
          </cell>
          <cell r="AF96">
            <v>0</v>
          </cell>
          <cell r="AG96">
            <v>0</v>
          </cell>
          <cell r="AI96">
            <v>0</v>
          </cell>
        </row>
        <row r="97">
          <cell r="C97" t="str">
            <v>rent</v>
          </cell>
          <cell r="D97">
            <v>65</v>
          </cell>
          <cell r="E97">
            <v>3</v>
          </cell>
          <cell r="F97" t="str">
            <v>Header_3</v>
          </cell>
          <cell r="G97" t="str">
            <v>AddE</v>
          </cell>
          <cell r="I97" t="str">
            <v>Rent</v>
          </cell>
          <cell r="J97">
            <v>0</v>
          </cell>
          <cell r="K97">
            <v>0</v>
          </cell>
          <cell r="L97">
            <v>0</v>
          </cell>
          <cell r="M97">
            <v>0</v>
          </cell>
          <cell r="O97">
            <v>0</v>
          </cell>
          <cell r="V97" t="str">
            <v>NA</v>
          </cell>
          <cell r="X97">
            <v>0</v>
          </cell>
          <cell r="Y97" t="b">
            <v>0</v>
          </cell>
          <cell r="Z97" t="b">
            <v>0</v>
          </cell>
          <cell r="AA97" t="b">
            <v>0</v>
          </cell>
          <cell r="AB97">
            <v>0</v>
          </cell>
          <cell r="AC97" t="b">
            <v>1</v>
          </cell>
          <cell r="AE97" t="str">
            <v>P</v>
          </cell>
          <cell r="AF97">
            <v>0</v>
          </cell>
          <cell r="AG97">
            <v>0</v>
          </cell>
          <cell r="AI97">
            <v>0</v>
          </cell>
        </row>
        <row r="98">
          <cell r="C98" t="str">
            <v>rent.Property</v>
          </cell>
          <cell r="D98">
            <v>66</v>
          </cell>
          <cell r="E98">
            <v>4</v>
          </cell>
          <cell r="F98" t="str">
            <v>Header_4</v>
          </cell>
          <cell r="G98" t="str">
            <v>AddE</v>
          </cell>
          <cell r="I98" t="str">
            <v>Direct Property</v>
          </cell>
          <cell r="J98">
            <v>0</v>
          </cell>
          <cell r="K98">
            <v>0</v>
          </cell>
          <cell r="L98">
            <v>0</v>
          </cell>
          <cell r="M98">
            <v>0</v>
          </cell>
          <cell r="O98">
            <v>0</v>
          </cell>
          <cell r="V98" t="str">
            <v>NA</v>
          </cell>
          <cell r="X98">
            <v>0</v>
          </cell>
          <cell r="Y98" t="b">
            <v>0</v>
          </cell>
          <cell r="Z98" t="b">
            <v>0</v>
          </cell>
          <cell r="AA98" t="b">
            <v>0</v>
          </cell>
          <cell r="AB98">
            <v>0</v>
          </cell>
          <cell r="AC98" t="b">
            <v>1</v>
          </cell>
          <cell r="AE98" t="str">
            <v>P</v>
          </cell>
          <cell r="AF98">
            <v>0</v>
          </cell>
          <cell r="AG98">
            <v>0</v>
          </cell>
          <cell r="AI98">
            <v>0</v>
          </cell>
        </row>
        <row r="99">
          <cell r="C99" t="str">
            <v>rent.Property.cb4fb5de-b893-454a-af8c-39d2f9dd8591</v>
          </cell>
          <cell r="D99">
            <v>67</v>
          </cell>
          <cell r="E99">
            <v>5</v>
          </cell>
          <cell r="F99" t="str">
            <v>Line_5</v>
          </cell>
          <cell r="G99" t="str">
            <v>AddE</v>
          </cell>
          <cell r="H99" t="str">
            <v>Class.ImportProperty</v>
          </cell>
          <cell r="I99" t="str">
            <v>Unit 6004, The Peninsular, Mooloolaba</v>
          </cell>
          <cell r="J99">
            <v>82644.72</v>
          </cell>
          <cell r="K99">
            <v>0</v>
          </cell>
          <cell r="L99">
            <v>82644.72</v>
          </cell>
          <cell r="M99">
            <v>0</v>
          </cell>
          <cell r="N99" t="str">
            <v>Add</v>
          </cell>
          <cell r="O99">
            <v>0</v>
          </cell>
          <cell r="V99" t="str">
            <v>NA</v>
          </cell>
          <cell r="X99">
            <v>0</v>
          </cell>
          <cell r="Y99" t="b">
            <v>0</v>
          </cell>
          <cell r="Z99" t="b">
            <v>0</v>
          </cell>
          <cell r="AA99" t="b">
            <v>0</v>
          </cell>
          <cell r="AB99">
            <v>0</v>
          </cell>
          <cell r="AC99" t="b">
            <v>1</v>
          </cell>
          <cell r="AE99" t="str">
            <v>P</v>
          </cell>
          <cell r="AF99">
            <v>0</v>
          </cell>
          <cell r="AG99">
            <v>0</v>
          </cell>
          <cell r="AI99">
            <v>0</v>
          </cell>
        </row>
        <row r="100">
          <cell r="C100" t="str">
            <v>Totalrent.Property</v>
          </cell>
          <cell r="D100">
            <v>68</v>
          </cell>
          <cell r="E100">
            <v>4</v>
          </cell>
          <cell r="F100" t="str">
            <v>Total_4</v>
          </cell>
          <cell r="G100" t="str">
            <v>AddE</v>
          </cell>
          <cell r="I100" t="str">
            <v>Total Direct Property</v>
          </cell>
          <cell r="J100">
            <v>82644.72</v>
          </cell>
          <cell r="K100">
            <v>0</v>
          </cell>
          <cell r="L100">
            <v>82644.72</v>
          </cell>
          <cell r="M100">
            <v>0</v>
          </cell>
          <cell r="N100" t="str">
            <v>Add</v>
          </cell>
          <cell r="O100">
            <v>0</v>
          </cell>
          <cell r="V100" t="str">
            <v>NA</v>
          </cell>
          <cell r="X100">
            <v>0</v>
          </cell>
          <cell r="Y100" t="b">
            <v>0</v>
          </cell>
          <cell r="Z100" t="b">
            <v>0</v>
          </cell>
          <cell r="AA100" t="b">
            <v>0</v>
          </cell>
          <cell r="AB100">
            <v>0</v>
          </cell>
          <cell r="AC100" t="b">
            <v>1</v>
          </cell>
          <cell r="AE100" t="str">
            <v>P</v>
          </cell>
          <cell r="AF100">
            <v>0</v>
          </cell>
          <cell r="AG100">
            <v>0</v>
          </cell>
          <cell r="AI100">
            <v>0</v>
          </cell>
        </row>
        <row r="101">
          <cell r="C101" t="str">
            <v>Totalrent</v>
          </cell>
          <cell r="D101">
            <v>69</v>
          </cell>
          <cell r="E101">
            <v>3</v>
          </cell>
          <cell r="F101" t="str">
            <v>Total_3</v>
          </cell>
          <cell r="G101" t="str">
            <v>AddE</v>
          </cell>
          <cell r="I101" t="str">
            <v>Total Rent</v>
          </cell>
          <cell r="J101">
            <v>82644.72</v>
          </cell>
          <cell r="K101">
            <v>0</v>
          </cell>
          <cell r="L101">
            <v>82644.72</v>
          </cell>
          <cell r="M101">
            <v>0</v>
          </cell>
          <cell r="N101" t="str">
            <v>Add</v>
          </cell>
          <cell r="O101">
            <v>0</v>
          </cell>
          <cell r="V101" t="str">
            <v>NA</v>
          </cell>
          <cell r="X101">
            <v>0</v>
          </cell>
          <cell r="Y101" t="b">
            <v>0</v>
          </cell>
          <cell r="Z101" t="b">
            <v>0</v>
          </cell>
          <cell r="AA101" t="b">
            <v>0</v>
          </cell>
          <cell r="AB101">
            <v>0</v>
          </cell>
          <cell r="AC101" t="b">
            <v>1</v>
          </cell>
          <cell r="AE101" t="str">
            <v>P</v>
          </cell>
          <cell r="AF101">
            <v>0</v>
          </cell>
          <cell r="AG101">
            <v>0</v>
          </cell>
          <cell r="AI101">
            <v>0</v>
          </cell>
        </row>
        <row r="102">
          <cell r="C102" t="str">
            <v>Totalinvestment_income</v>
          </cell>
          <cell r="D102">
            <v>70</v>
          </cell>
          <cell r="E102">
            <v>2</v>
          </cell>
          <cell r="F102" t="str">
            <v>Total_2</v>
          </cell>
          <cell r="G102" t="str">
            <v>AddE</v>
          </cell>
          <cell r="I102" t="str">
            <v>Total Investment Income</v>
          </cell>
          <cell r="J102">
            <v>413591.51</v>
          </cell>
          <cell r="K102">
            <v>0</v>
          </cell>
          <cell r="L102">
            <v>413591.51</v>
          </cell>
          <cell r="M102">
            <v>0</v>
          </cell>
          <cell r="N102" t="str">
            <v>Add</v>
          </cell>
          <cell r="O102">
            <v>0</v>
          </cell>
          <cell r="V102" t="str">
            <v>NA</v>
          </cell>
          <cell r="X102">
            <v>0</v>
          </cell>
          <cell r="Y102" t="b">
            <v>0</v>
          </cell>
          <cell r="Z102" t="b">
            <v>0</v>
          </cell>
          <cell r="AA102" t="b">
            <v>0</v>
          </cell>
          <cell r="AB102">
            <v>0</v>
          </cell>
          <cell r="AC102" t="b">
            <v>1</v>
          </cell>
          <cell r="AE102" t="str">
            <v>P</v>
          </cell>
          <cell r="AF102">
            <v>0</v>
          </cell>
          <cell r="AG102">
            <v>0</v>
          </cell>
          <cell r="AI102">
            <v>0</v>
          </cell>
        </row>
        <row r="103">
          <cell r="C103" t="str">
            <v>TotalIncome</v>
          </cell>
          <cell r="D103">
            <v>71</v>
          </cell>
          <cell r="E103">
            <v>1</v>
          </cell>
          <cell r="F103" t="str">
            <v>Total_1</v>
          </cell>
          <cell r="G103" t="str">
            <v>AddE</v>
          </cell>
          <cell r="I103" t="str">
            <v>Total Income</v>
          </cell>
          <cell r="J103">
            <v>435348.6</v>
          </cell>
          <cell r="K103">
            <v>0</v>
          </cell>
          <cell r="L103">
            <v>435348.6</v>
          </cell>
          <cell r="M103">
            <v>0</v>
          </cell>
          <cell r="N103" t="str">
            <v>Add</v>
          </cell>
          <cell r="O103">
            <v>0</v>
          </cell>
          <cell r="V103" t="str">
            <v>NA</v>
          </cell>
          <cell r="X103">
            <v>0</v>
          </cell>
          <cell r="Y103" t="b">
            <v>0</v>
          </cell>
          <cell r="Z103" t="b">
            <v>0</v>
          </cell>
          <cell r="AA103" t="b">
            <v>0</v>
          </cell>
          <cell r="AB103">
            <v>0</v>
          </cell>
          <cell r="AC103" t="b">
            <v>1</v>
          </cell>
          <cell r="AE103" t="str">
            <v>P</v>
          </cell>
          <cell r="AF103">
            <v>0</v>
          </cell>
          <cell r="AG103">
            <v>0</v>
          </cell>
          <cell r="AI103">
            <v>0</v>
          </cell>
        </row>
        <row r="104">
          <cell r="C104" t="str">
            <v>Expense</v>
          </cell>
          <cell r="D104">
            <v>72</v>
          </cell>
          <cell r="E104">
            <v>1</v>
          </cell>
          <cell r="F104" t="str">
            <v>Header_1</v>
          </cell>
          <cell r="G104" t="str">
            <v>AddF</v>
          </cell>
          <cell r="I104" t="str">
            <v>Expense</v>
          </cell>
          <cell r="J104">
            <v>0</v>
          </cell>
          <cell r="K104">
            <v>0</v>
          </cell>
          <cell r="L104">
            <v>0</v>
          </cell>
          <cell r="M104">
            <v>0</v>
          </cell>
          <cell r="O104">
            <v>0</v>
          </cell>
          <cell r="V104" t="str">
            <v>NA</v>
          </cell>
          <cell r="X104">
            <v>0</v>
          </cell>
          <cell r="Y104" t="b">
            <v>0</v>
          </cell>
          <cell r="Z104" t="b">
            <v>0</v>
          </cell>
          <cell r="AA104" t="b">
            <v>0</v>
          </cell>
          <cell r="AB104">
            <v>0</v>
          </cell>
          <cell r="AC104" t="b">
            <v>1</v>
          </cell>
          <cell r="AE104" t="str">
            <v>P</v>
          </cell>
          <cell r="AF104">
            <v>0</v>
          </cell>
          <cell r="AG104">
            <v>0</v>
          </cell>
          <cell r="AI104">
            <v>0</v>
          </cell>
        </row>
        <row r="105">
          <cell r="C105" t="str">
            <v>member_payments</v>
          </cell>
          <cell r="D105">
            <v>73</v>
          </cell>
          <cell r="E105">
            <v>2</v>
          </cell>
          <cell r="F105" t="str">
            <v>Header_2</v>
          </cell>
          <cell r="G105" t="str">
            <v>AddF</v>
          </cell>
          <cell r="I105" t="str">
            <v>Member Payments</v>
          </cell>
          <cell r="J105">
            <v>0</v>
          </cell>
          <cell r="K105">
            <v>0</v>
          </cell>
          <cell r="L105">
            <v>0</v>
          </cell>
          <cell r="M105">
            <v>0</v>
          </cell>
          <cell r="O105">
            <v>0</v>
          </cell>
          <cell r="V105" t="str">
            <v>NA</v>
          </cell>
          <cell r="X105">
            <v>0</v>
          </cell>
          <cell r="Y105" t="b">
            <v>0</v>
          </cell>
          <cell r="Z105" t="b">
            <v>0</v>
          </cell>
          <cell r="AA105" t="b">
            <v>0</v>
          </cell>
          <cell r="AB105">
            <v>0</v>
          </cell>
          <cell r="AC105" t="b">
            <v>1</v>
          </cell>
          <cell r="AE105" t="str">
            <v>P</v>
          </cell>
          <cell r="AF105">
            <v>0</v>
          </cell>
          <cell r="AG105">
            <v>0</v>
          </cell>
          <cell r="AI105">
            <v>0</v>
          </cell>
        </row>
        <row r="106">
          <cell r="C106" t="str">
            <v>lump_sums_paid</v>
          </cell>
          <cell r="D106">
            <v>74</v>
          </cell>
          <cell r="E106">
            <v>3</v>
          </cell>
          <cell r="F106" t="str">
            <v>Header_3</v>
          </cell>
          <cell r="G106" t="str">
            <v>AddF</v>
          </cell>
          <cell r="I106" t="str">
            <v>Lump Sums Paid</v>
          </cell>
          <cell r="J106">
            <v>0</v>
          </cell>
          <cell r="K106">
            <v>0</v>
          </cell>
          <cell r="L106">
            <v>0</v>
          </cell>
          <cell r="M106">
            <v>0</v>
          </cell>
          <cell r="O106">
            <v>0</v>
          </cell>
          <cell r="V106" t="str">
            <v>NA</v>
          </cell>
          <cell r="X106">
            <v>0</v>
          </cell>
          <cell r="Y106" t="b">
            <v>0</v>
          </cell>
          <cell r="Z106" t="b">
            <v>0</v>
          </cell>
          <cell r="AA106" t="b">
            <v>0</v>
          </cell>
          <cell r="AB106">
            <v>0</v>
          </cell>
          <cell r="AC106" t="b">
            <v>1</v>
          </cell>
          <cell r="AE106" t="str">
            <v>P</v>
          </cell>
          <cell r="AF106">
            <v>0</v>
          </cell>
          <cell r="AG106">
            <v>0</v>
          </cell>
          <cell r="AI106">
            <v>0</v>
          </cell>
        </row>
        <row r="107">
          <cell r="C107" t="str">
            <v>lump_sums_paid.HICKEA0</v>
          </cell>
          <cell r="D107">
            <v>75</v>
          </cell>
          <cell r="E107">
            <v>4</v>
          </cell>
          <cell r="F107" t="str">
            <v>Header_4</v>
          </cell>
          <cell r="G107" t="str">
            <v>AddF</v>
          </cell>
          <cell r="I107" t="str">
            <v>Dr Andrew Hickey</v>
          </cell>
          <cell r="J107">
            <v>0</v>
          </cell>
          <cell r="K107">
            <v>0</v>
          </cell>
          <cell r="L107">
            <v>0</v>
          </cell>
          <cell r="M107">
            <v>0</v>
          </cell>
          <cell r="O107">
            <v>0</v>
          </cell>
          <cell r="V107" t="str">
            <v>NA</v>
          </cell>
          <cell r="X107">
            <v>0</v>
          </cell>
          <cell r="Y107" t="b">
            <v>0</v>
          </cell>
          <cell r="Z107" t="b">
            <v>0</v>
          </cell>
          <cell r="AA107" t="b">
            <v>0</v>
          </cell>
          <cell r="AB107">
            <v>0</v>
          </cell>
          <cell r="AC107" t="b">
            <v>1</v>
          </cell>
          <cell r="AE107" t="str">
            <v>P</v>
          </cell>
          <cell r="AF107">
            <v>0</v>
          </cell>
          <cell r="AG107">
            <v>0</v>
          </cell>
          <cell r="AI107">
            <v>0</v>
          </cell>
        </row>
        <row r="108">
          <cell r="C108" t="str">
            <v>lump_sums_paid.HICKEA0.2a94b71c-6e95-4036-ad4c-abcdde0ecbce</v>
          </cell>
          <cell r="D108">
            <v>76</v>
          </cell>
          <cell r="E108">
            <v>5</v>
          </cell>
          <cell r="F108" t="str">
            <v>Line_5</v>
          </cell>
          <cell r="G108" t="str">
            <v>AddF</v>
          </cell>
          <cell r="I108" t="str">
            <v>Account Based Pension 3% tax free</v>
          </cell>
          <cell r="J108">
            <v>1269254.42</v>
          </cell>
          <cell r="K108">
            <v>0</v>
          </cell>
          <cell r="L108">
            <v>1269254.42</v>
          </cell>
          <cell r="M108">
            <v>0</v>
          </cell>
          <cell r="N108" t="str">
            <v>Add</v>
          </cell>
          <cell r="O108">
            <v>0</v>
          </cell>
          <cell r="V108" t="str">
            <v>NA</v>
          </cell>
          <cell r="X108">
            <v>0</v>
          </cell>
          <cell r="Y108" t="b">
            <v>0</v>
          </cell>
          <cell r="Z108" t="b">
            <v>0</v>
          </cell>
          <cell r="AA108" t="b">
            <v>0</v>
          </cell>
          <cell r="AB108">
            <v>0</v>
          </cell>
          <cell r="AC108" t="b">
            <v>1</v>
          </cell>
          <cell r="AE108" t="str">
            <v>P</v>
          </cell>
          <cell r="AF108">
            <v>0</v>
          </cell>
          <cell r="AG108">
            <v>0</v>
          </cell>
          <cell r="AI108">
            <v>0</v>
          </cell>
        </row>
        <row r="109">
          <cell r="C109" t="str">
            <v>Totallump_sums_paid.HICKEA0</v>
          </cell>
          <cell r="D109">
            <v>77</v>
          </cell>
          <cell r="E109">
            <v>4</v>
          </cell>
          <cell r="F109" t="str">
            <v>Total_4</v>
          </cell>
          <cell r="G109" t="str">
            <v>AddF</v>
          </cell>
          <cell r="I109" t="str">
            <v>Total Dr Andrew Hickey</v>
          </cell>
          <cell r="J109">
            <v>1269254.42</v>
          </cell>
          <cell r="K109">
            <v>0</v>
          </cell>
          <cell r="L109">
            <v>1269254.42</v>
          </cell>
          <cell r="M109">
            <v>0</v>
          </cell>
          <cell r="N109" t="str">
            <v>Add</v>
          </cell>
          <cell r="O109">
            <v>0</v>
          </cell>
          <cell r="V109" t="str">
            <v>NA</v>
          </cell>
          <cell r="X109">
            <v>0</v>
          </cell>
          <cell r="Y109" t="b">
            <v>0</v>
          </cell>
          <cell r="Z109" t="b">
            <v>0</v>
          </cell>
          <cell r="AA109" t="b">
            <v>0</v>
          </cell>
          <cell r="AB109">
            <v>0</v>
          </cell>
          <cell r="AC109" t="b">
            <v>1</v>
          </cell>
          <cell r="AE109" t="str">
            <v>P</v>
          </cell>
          <cell r="AF109">
            <v>0</v>
          </cell>
          <cell r="AG109">
            <v>0</v>
          </cell>
          <cell r="AI109">
            <v>0</v>
          </cell>
        </row>
        <row r="110">
          <cell r="C110" t="str">
            <v>Totallump_sums_paid</v>
          </cell>
          <cell r="D110">
            <v>78</v>
          </cell>
          <cell r="E110">
            <v>3</v>
          </cell>
          <cell r="F110" t="str">
            <v>Total_3</v>
          </cell>
          <cell r="G110" t="str">
            <v>AddF</v>
          </cell>
          <cell r="I110" t="str">
            <v>Total Lump Sums Paid</v>
          </cell>
          <cell r="J110">
            <v>1269254.42</v>
          </cell>
          <cell r="K110">
            <v>0</v>
          </cell>
          <cell r="L110">
            <v>1269254.42</v>
          </cell>
          <cell r="M110">
            <v>0</v>
          </cell>
          <cell r="N110" t="str">
            <v>Add</v>
          </cell>
          <cell r="O110">
            <v>0</v>
          </cell>
          <cell r="V110" t="str">
            <v>NA</v>
          </cell>
          <cell r="X110">
            <v>0</v>
          </cell>
          <cell r="Y110" t="b">
            <v>0</v>
          </cell>
          <cell r="Z110" t="b">
            <v>0</v>
          </cell>
          <cell r="AA110" t="b">
            <v>0</v>
          </cell>
          <cell r="AB110">
            <v>0</v>
          </cell>
          <cell r="AC110" t="b">
            <v>1</v>
          </cell>
          <cell r="AE110" t="str">
            <v>P</v>
          </cell>
          <cell r="AF110">
            <v>0</v>
          </cell>
          <cell r="AG110">
            <v>0</v>
          </cell>
          <cell r="AI110">
            <v>0</v>
          </cell>
        </row>
        <row r="111">
          <cell r="C111" t="str">
            <v>pensions_paid</v>
          </cell>
          <cell r="D111">
            <v>79</v>
          </cell>
          <cell r="E111">
            <v>3</v>
          </cell>
          <cell r="F111" t="str">
            <v>Header_3</v>
          </cell>
          <cell r="G111" t="str">
            <v>AddF</v>
          </cell>
          <cell r="I111" t="str">
            <v>Pensions Paid</v>
          </cell>
          <cell r="J111">
            <v>0</v>
          </cell>
          <cell r="K111">
            <v>0</v>
          </cell>
          <cell r="L111">
            <v>0</v>
          </cell>
          <cell r="M111">
            <v>0</v>
          </cell>
          <cell r="O111">
            <v>0</v>
          </cell>
          <cell r="V111" t="str">
            <v>NA</v>
          </cell>
          <cell r="X111">
            <v>0</v>
          </cell>
          <cell r="Y111" t="b">
            <v>0</v>
          </cell>
          <cell r="Z111" t="b">
            <v>0</v>
          </cell>
          <cell r="AA111" t="b">
            <v>0</v>
          </cell>
          <cell r="AB111">
            <v>0</v>
          </cell>
          <cell r="AC111" t="b">
            <v>1</v>
          </cell>
          <cell r="AE111" t="str">
            <v>P</v>
          </cell>
          <cell r="AF111">
            <v>0</v>
          </cell>
          <cell r="AG111">
            <v>0</v>
          </cell>
          <cell r="AI111">
            <v>0</v>
          </cell>
        </row>
        <row r="112">
          <cell r="C112" t="str">
            <v>pensions_paid.HICKEA0</v>
          </cell>
          <cell r="D112">
            <v>80</v>
          </cell>
          <cell r="E112">
            <v>4</v>
          </cell>
          <cell r="F112" t="str">
            <v>Header_4</v>
          </cell>
          <cell r="G112" t="str">
            <v>AddF</v>
          </cell>
          <cell r="I112" t="str">
            <v>Dr Andrew Hickey</v>
          </cell>
          <cell r="J112">
            <v>0</v>
          </cell>
          <cell r="K112">
            <v>0</v>
          </cell>
          <cell r="L112">
            <v>0</v>
          </cell>
          <cell r="M112">
            <v>0</v>
          </cell>
          <cell r="O112">
            <v>0</v>
          </cell>
          <cell r="V112" t="str">
            <v>NA</v>
          </cell>
          <cell r="X112">
            <v>0</v>
          </cell>
          <cell r="Y112" t="b">
            <v>0</v>
          </cell>
          <cell r="Z112" t="b">
            <v>0</v>
          </cell>
          <cell r="AA112" t="b">
            <v>0</v>
          </cell>
          <cell r="AB112">
            <v>0</v>
          </cell>
          <cell r="AC112" t="b">
            <v>1</v>
          </cell>
          <cell r="AE112" t="str">
            <v>P</v>
          </cell>
          <cell r="AF112">
            <v>0</v>
          </cell>
          <cell r="AG112">
            <v>0</v>
          </cell>
          <cell r="AI112">
            <v>0</v>
          </cell>
        </row>
        <row r="113">
          <cell r="C113" t="str">
            <v>pensions_paid.HICKEA0.2a94b71c-6e95-4036-ad4c-abcdde0ecbce</v>
          </cell>
          <cell r="D113">
            <v>81</v>
          </cell>
          <cell r="E113">
            <v>5</v>
          </cell>
          <cell r="F113" t="str">
            <v>Line_5</v>
          </cell>
          <cell r="G113" t="str">
            <v>AddF</v>
          </cell>
          <cell r="I113" t="str">
            <v>Account Based Pension 3% tax free</v>
          </cell>
          <cell r="J113">
            <v>227765.48</v>
          </cell>
          <cell r="K113">
            <v>0</v>
          </cell>
          <cell r="L113">
            <v>227765.48</v>
          </cell>
          <cell r="M113">
            <v>0</v>
          </cell>
          <cell r="N113" t="str">
            <v>Add</v>
          </cell>
          <cell r="O113">
            <v>0</v>
          </cell>
          <cell r="V113" t="str">
            <v>NA</v>
          </cell>
          <cell r="X113">
            <v>0</v>
          </cell>
          <cell r="Y113" t="b">
            <v>0</v>
          </cell>
          <cell r="Z113" t="b">
            <v>0</v>
          </cell>
          <cell r="AA113" t="b">
            <v>0</v>
          </cell>
          <cell r="AB113">
            <v>0</v>
          </cell>
          <cell r="AC113" t="b">
            <v>1</v>
          </cell>
          <cell r="AE113" t="str">
            <v>P</v>
          </cell>
          <cell r="AF113">
            <v>0</v>
          </cell>
          <cell r="AG113">
            <v>0</v>
          </cell>
          <cell r="AI113">
            <v>0</v>
          </cell>
        </row>
        <row r="114">
          <cell r="C114" t="str">
            <v>pensions_paid.HICKEA0.fbf7df15-0869-46dc-aed8-306d1e38c235</v>
          </cell>
          <cell r="D114">
            <v>82</v>
          </cell>
          <cell r="E114">
            <v>5</v>
          </cell>
          <cell r="F114" t="str">
            <v>Line_5</v>
          </cell>
          <cell r="G114" t="str">
            <v>AddF</v>
          </cell>
          <cell r="I114" t="str">
            <v>Account Based Pension 89% tax free</v>
          </cell>
          <cell r="J114">
            <v>26660</v>
          </cell>
          <cell r="K114">
            <v>0</v>
          </cell>
          <cell r="L114">
            <v>26660</v>
          </cell>
          <cell r="M114">
            <v>0</v>
          </cell>
          <cell r="N114" t="str">
            <v>Add</v>
          </cell>
          <cell r="O114">
            <v>0</v>
          </cell>
          <cell r="V114" t="str">
            <v>NA</v>
          </cell>
          <cell r="X114">
            <v>0</v>
          </cell>
          <cell r="Y114" t="b">
            <v>0</v>
          </cell>
          <cell r="Z114" t="b">
            <v>0</v>
          </cell>
          <cell r="AA114" t="b">
            <v>0</v>
          </cell>
          <cell r="AB114">
            <v>0</v>
          </cell>
          <cell r="AC114" t="b">
            <v>1</v>
          </cell>
          <cell r="AE114" t="str">
            <v>P</v>
          </cell>
          <cell r="AF114">
            <v>0</v>
          </cell>
          <cell r="AG114">
            <v>0</v>
          </cell>
          <cell r="AI114">
            <v>0</v>
          </cell>
        </row>
        <row r="115">
          <cell r="C115" t="str">
            <v>pensions_paid.HICKEA0.4326ec00-7d85-4879-b886-bb776bd4c9e0</v>
          </cell>
          <cell r="D115">
            <v>83</v>
          </cell>
          <cell r="E115">
            <v>5</v>
          </cell>
          <cell r="F115" t="str">
            <v>Line_5</v>
          </cell>
          <cell r="G115" t="str">
            <v>AddF</v>
          </cell>
          <cell r="I115" t="str">
            <v>Account Based Pension 95% tax free</v>
          </cell>
          <cell r="J115">
            <v>24210</v>
          </cell>
          <cell r="K115">
            <v>0</v>
          </cell>
          <cell r="L115">
            <v>24210</v>
          </cell>
          <cell r="M115">
            <v>0</v>
          </cell>
          <cell r="N115" t="str">
            <v>Add</v>
          </cell>
          <cell r="O115">
            <v>0</v>
          </cell>
          <cell r="V115" t="str">
            <v>NA</v>
          </cell>
          <cell r="X115">
            <v>0</v>
          </cell>
          <cell r="Y115" t="b">
            <v>0</v>
          </cell>
          <cell r="Z115" t="b">
            <v>0</v>
          </cell>
          <cell r="AA115" t="b">
            <v>0</v>
          </cell>
          <cell r="AB115">
            <v>0</v>
          </cell>
          <cell r="AC115" t="b">
            <v>1</v>
          </cell>
          <cell r="AE115" t="str">
            <v>P</v>
          </cell>
          <cell r="AF115">
            <v>0</v>
          </cell>
          <cell r="AG115">
            <v>0</v>
          </cell>
          <cell r="AI115">
            <v>0</v>
          </cell>
        </row>
        <row r="116">
          <cell r="C116" t="str">
            <v>Totalpensions_paid.HICKEA0</v>
          </cell>
          <cell r="D116">
            <v>84</v>
          </cell>
          <cell r="E116">
            <v>4</v>
          </cell>
          <cell r="F116" t="str">
            <v>Total_4</v>
          </cell>
          <cell r="G116" t="str">
            <v>AddF</v>
          </cell>
          <cell r="I116" t="str">
            <v>Total Dr Andrew Hickey</v>
          </cell>
          <cell r="J116">
            <v>278635.48</v>
          </cell>
          <cell r="K116">
            <v>0</v>
          </cell>
          <cell r="L116">
            <v>278635.48</v>
          </cell>
          <cell r="M116">
            <v>0</v>
          </cell>
          <cell r="N116" t="str">
            <v>Add</v>
          </cell>
          <cell r="O116">
            <v>0</v>
          </cell>
          <cell r="V116" t="str">
            <v>NA</v>
          </cell>
          <cell r="X116">
            <v>0</v>
          </cell>
          <cell r="Y116" t="b">
            <v>0</v>
          </cell>
          <cell r="Z116" t="b">
            <v>0</v>
          </cell>
          <cell r="AA116" t="b">
            <v>0</v>
          </cell>
          <cell r="AB116">
            <v>0</v>
          </cell>
          <cell r="AC116" t="b">
            <v>1</v>
          </cell>
          <cell r="AE116" t="str">
            <v>P</v>
          </cell>
          <cell r="AF116">
            <v>0</v>
          </cell>
          <cell r="AG116">
            <v>0</v>
          </cell>
          <cell r="AI116">
            <v>0</v>
          </cell>
        </row>
        <row r="117">
          <cell r="C117" t="str">
            <v>pensions_paid.HICKEC0</v>
          </cell>
          <cell r="D117">
            <v>85</v>
          </cell>
          <cell r="E117">
            <v>4</v>
          </cell>
          <cell r="F117" t="str">
            <v>Header_4</v>
          </cell>
          <cell r="G117" t="str">
            <v>AddF</v>
          </cell>
          <cell r="I117" t="str">
            <v>Dr Camille Hickey</v>
          </cell>
          <cell r="J117">
            <v>0</v>
          </cell>
          <cell r="K117">
            <v>0</v>
          </cell>
          <cell r="L117">
            <v>0</v>
          </cell>
          <cell r="M117">
            <v>0</v>
          </cell>
          <cell r="O117">
            <v>0</v>
          </cell>
          <cell r="V117" t="str">
            <v>NA</v>
          </cell>
          <cell r="X117">
            <v>0</v>
          </cell>
          <cell r="Y117" t="b">
            <v>0</v>
          </cell>
          <cell r="Z117" t="b">
            <v>0</v>
          </cell>
          <cell r="AA117" t="b">
            <v>0</v>
          </cell>
          <cell r="AB117">
            <v>0</v>
          </cell>
          <cell r="AC117" t="b">
            <v>1</v>
          </cell>
          <cell r="AE117" t="str">
            <v>P</v>
          </cell>
          <cell r="AF117">
            <v>0</v>
          </cell>
          <cell r="AG117">
            <v>0</v>
          </cell>
          <cell r="AI117">
            <v>0</v>
          </cell>
        </row>
        <row r="118">
          <cell r="C118" t="str">
            <v>pensions_paid.HICKEC0.222fc773-3513-479b-bf62-f35fe4556112</v>
          </cell>
          <cell r="D118">
            <v>86</v>
          </cell>
          <cell r="E118">
            <v>5</v>
          </cell>
          <cell r="F118" t="str">
            <v>Line_5</v>
          </cell>
          <cell r="G118" t="str">
            <v>AddF</v>
          </cell>
          <cell r="I118" t="str">
            <v>Account Based Pension 100% tax free</v>
          </cell>
          <cell r="J118">
            <v>16420</v>
          </cell>
          <cell r="K118">
            <v>0</v>
          </cell>
          <cell r="L118">
            <v>16420</v>
          </cell>
          <cell r="M118">
            <v>0</v>
          </cell>
          <cell r="N118" t="str">
            <v>Add</v>
          </cell>
          <cell r="O118">
            <v>0</v>
          </cell>
          <cell r="V118" t="str">
            <v>NA</v>
          </cell>
          <cell r="X118">
            <v>0</v>
          </cell>
          <cell r="Y118" t="b">
            <v>0</v>
          </cell>
          <cell r="Z118" t="b">
            <v>0</v>
          </cell>
          <cell r="AA118" t="b">
            <v>0</v>
          </cell>
          <cell r="AB118">
            <v>0</v>
          </cell>
          <cell r="AC118" t="b">
            <v>1</v>
          </cell>
          <cell r="AE118" t="str">
            <v>P</v>
          </cell>
          <cell r="AF118">
            <v>0</v>
          </cell>
          <cell r="AG118">
            <v>0</v>
          </cell>
          <cell r="AI118">
            <v>0</v>
          </cell>
        </row>
        <row r="119">
          <cell r="C119" t="str">
            <v>pensions_paid.HICKEC0.c88ac5ce-b438-4bf3-96de-ce502ca7dc08</v>
          </cell>
          <cell r="D119">
            <v>87</v>
          </cell>
          <cell r="E119">
            <v>5</v>
          </cell>
          <cell r="F119" t="str">
            <v>Line_5</v>
          </cell>
          <cell r="G119" t="str">
            <v>AddF</v>
          </cell>
          <cell r="I119" t="str">
            <v>Account Based Pension 8% tax free</v>
          </cell>
          <cell r="J119">
            <v>165570</v>
          </cell>
          <cell r="K119">
            <v>0</v>
          </cell>
          <cell r="L119">
            <v>165570</v>
          </cell>
          <cell r="M119">
            <v>0</v>
          </cell>
          <cell r="N119" t="str">
            <v>Add</v>
          </cell>
          <cell r="O119">
            <v>0</v>
          </cell>
          <cell r="V119" t="str">
            <v>NA</v>
          </cell>
          <cell r="X119">
            <v>0</v>
          </cell>
          <cell r="Y119" t="b">
            <v>0</v>
          </cell>
          <cell r="Z119" t="b">
            <v>0</v>
          </cell>
          <cell r="AA119" t="b">
            <v>0</v>
          </cell>
          <cell r="AB119">
            <v>0</v>
          </cell>
          <cell r="AC119" t="b">
            <v>1</v>
          </cell>
          <cell r="AE119" t="str">
            <v>P</v>
          </cell>
          <cell r="AF119">
            <v>0</v>
          </cell>
          <cell r="AG119">
            <v>0</v>
          </cell>
          <cell r="AI119">
            <v>0</v>
          </cell>
        </row>
        <row r="120">
          <cell r="C120" t="str">
            <v>pensions_paid.HICKEC0.f17f7707-d89f-48cb-bb50-91f13fa40157</v>
          </cell>
          <cell r="D120">
            <v>88</v>
          </cell>
          <cell r="E120">
            <v>5</v>
          </cell>
          <cell r="F120" t="str">
            <v>Line_5</v>
          </cell>
          <cell r="G120" t="str">
            <v>AddF</v>
          </cell>
          <cell r="I120" t="str">
            <v>Account Based Pension 94% tax free</v>
          </cell>
          <cell r="J120">
            <v>6030.1</v>
          </cell>
          <cell r="K120">
            <v>0</v>
          </cell>
          <cell r="L120">
            <v>6030.1</v>
          </cell>
          <cell r="M120">
            <v>0</v>
          </cell>
          <cell r="N120" t="str">
            <v>Add</v>
          </cell>
          <cell r="O120">
            <v>0</v>
          </cell>
          <cell r="V120" t="str">
            <v>NA</v>
          </cell>
          <cell r="X120">
            <v>0</v>
          </cell>
          <cell r="Y120" t="b">
            <v>0</v>
          </cell>
          <cell r="Z120" t="b">
            <v>0</v>
          </cell>
          <cell r="AA120" t="b">
            <v>0</v>
          </cell>
          <cell r="AB120">
            <v>0</v>
          </cell>
          <cell r="AC120" t="b">
            <v>1</v>
          </cell>
          <cell r="AE120" t="str">
            <v>P</v>
          </cell>
          <cell r="AF120">
            <v>0</v>
          </cell>
          <cell r="AG120">
            <v>0</v>
          </cell>
          <cell r="AI120">
            <v>0</v>
          </cell>
        </row>
        <row r="121">
          <cell r="C121" t="str">
            <v>pensions_paid.HICKEC0.0a494c12-39e5-45a1-8b07-1dde1f534960</v>
          </cell>
          <cell r="D121">
            <v>89</v>
          </cell>
          <cell r="E121">
            <v>5</v>
          </cell>
          <cell r="F121" t="str">
            <v>Line_5</v>
          </cell>
          <cell r="G121" t="str">
            <v>AddF</v>
          </cell>
          <cell r="I121" t="str">
            <v>Account Based Pension 99% tax free</v>
          </cell>
          <cell r="J121">
            <v>26140</v>
          </cell>
          <cell r="K121">
            <v>0</v>
          </cell>
          <cell r="L121">
            <v>26140</v>
          </cell>
          <cell r="M121">
            <v>0</v>
          </cell>
          <cell r="N121" t="str">
            <v>Add</v>
          </cell>
          <cell r="O121">
            <v>0</v>
          </cell>
          <cell r="V121" t="str">
            <v>NA</v>
          </cell>
          <cell r="X121">
            <v>0</v>
          </cell>
          <cell r="Y121" t="b">
            <v>0</v>
          </cell>
          <cell r="Z121" t="b">
            <v>0</v>
          </cell>
          <cell r="AA121" t="b">
            <v>0</v>
          </cell>
          <cell r="AB121">
            <v>0</v>
          </cell>
          <cell r="AC121" t="b">
            <v>1</v>
          </cell>
          <cell r="AE121" t="str">
            <v>P</v>
          </cell>
          <cell r="AF121">
            <v>0</v>
          </cell>
          <cell r="AG121">
            <v>0</v>
          </cell>
          <cell r="AI121">
            <v>0</v>
          </cell>
        </row>
        <row r="122">
          <cell r="C122" t="str">
            <v>Totalpensions_paid.HICKEC0</v>
          </cell>
          <cell r="D122">
            <v>90</v>
          </cell>
          <cell r="E122">
            <v>4</v>
          </cell>
          <cell r="F122" t="str">
            <v>Total_4</v>
          </cell>
          <cell r="G122" t="str">
            <v>AddF</v>
          </cell>
          <cell r="I122" t="str">
            <v>Total Dr Camille Hickey</v>
          </cell>
          <cell r="J122">
            <v>214160.1</v>
          </cell>
          <cell r="K122">
            <v>0</v>
          </cell>
          <cell r="L122">
            <v>214160.1</v>
          </cell>
          <cell r="M122">
            <v>0</v>
          </cell>
          <cell r="N122" t="str">
            <v>Add</v>
          </cell>
          <cell r="O122">
            <v>0</v>
          </cell>
          <cell r="V122" t="str">
            <v>NA</v>
          </cell>
          <cell r="X122">
            <v>0</v>
          </cell>
          <cell r="Y122" t="b">
            <v>0</v>
          </cell>
          <cell r="Z122" t="b">
            <v>0</v>
          </cell>
          <cell r="AA122" t="b">
            <v>0</v>
          </cell>
          <cell r="AB122">
            <v>0</v>
          </cell>
          <cell r="AC122" t="b">
            <v>1</v>
          </cell>
          <cell r="AE122" t="str">
            <v>P</v>
          </cell>
          <cell r="AF122">
            <v>0</v>
          </cell>
          <cell r="AG122">
            <v>0</v>
          </cell>
          <cell r="AI122">
            <v>0</v>
          </cell>
        </row>
        <row r="123">
          <cell r="C123" t="str">
            <v>Totalpensions_paid</v>
          </cell>
          <cell r="D123">
            <v>91</v>
          </cell>
          <cell r="E123">
            <v>3</v>
          </cell>
          <cell r="F123" t="str">
            <v>Total_3</v>
          </cell>
          <cell r="G123" t="str">
            <v>AddF</v>
          </cell>
          <cell r="I123" t="str">
            <v>Total Pensions Paid</v>
          </cell>
          <cell r="J123">
            <v>492795.58</v>
          </cell>
          <cell r="K123">
            <v>0</v>
          </cell>
          <cell r="L123">
            <v>492795.58</v>
          </cell>
          <cell r="M123">
            <v>0</v>
          </cell>
          <cell r="N123" t="str">
            <v>Add</v>
          </cell>
          <cell r="O123">
            <v>0</v>
          </cell>
          <cell r="V123" t="str">
            <v>NA</v>
          </cell>
          <cell r="X123">
            <v>0</v>
          </cell>
          <cell r="Y123" t="b">
            <v>0</v>
          </cell>
          <cell r="Z123" t="b">
            <v>0</v>
          </cell>
          <cell r="AA123" t="b">
            <v>0</v>
          </cell>
          <cell r="AB123">
            <v>0</v>
          </cell>
          <cell r="AC123" t="b">
            <v>1</v>
          </cell>
          <cell r="AE123" t="str">
            <v>P</v>
          </cell>
          <cell r="AF123">
            <v>0</v>
          </cell>
          <cell r="AG123">
            <v>0</v>
          </cell>
          <cell r="AI123">
            <v>0</v>
          </cell>
        </row>
        <row r="124">
          <cell r="C124" t="str">
            <v>Totalmember_payments</v>
          </cell>
          <cell r="D124">
            <v>92</v>
          </cell>
          <cell r="E124">
            <v>2</v>
          </cell>
          <cell r="F124" t="str">
            <v>Total_2</v>
          </cell>
          <cell r="G124" t="str">
            <v>AddF</v>
          </cell>
          <cell r="I124" t="str">
            <v>Total Member Payments</v>
          </cell>
          <cell r="J124">
            <v>1762050</v>
          </cell>
          <cell r="K124">
            <v>0</v>
          </cell>
          <cell r="L124">
            <v>1762050</v>
          </cell>
          <cell r="M124">
            <v>0</v>
          </cell>
          <cell r="N124" t="str">
            <v>Add</v>
          </cell>
          <cell r="O124">
            <v>0</v>
          </cell>
          <cell r="V124" t="str">
            <v>NA</v>
          </cell>
          <cell r="X124">
            <v>0</v>
          </cell>
          <cell r="Y124" t="b">
            <v>0</v>
          </cell>
          <cell r="Z124" t="b">
            <v>0</v>
          </cell>
          <cell r="AA124" t="b">
            <v>0</v>
          </cell>
          <cell r="AB124">
            <v>0</v>
          </cell>
          <cell r="AC124" t="b">
            <v>1</v>
          </cell>
          <cell r="AE124" t="str">
            <v>P</v>
          </cell>
          <cell r="AF124">
            <v>0</v>
          </cell>
          <cell r="AG124">
            <v>0</v>
          </cell>
          <cell r="AI124">
            <v>0</v>
          </cell>
        </row>
        <row r="125">
          <cell r="C125" t="str">
            <v>other_expenses</v>
          </cell>
          <cell r="D125">
            <v>93</v>
          </cell>
          <cell r="E125">
            <v>2</v>
          </cell>
          <cell r="F125" t="str">
            <v>Header_2</v>
          </cell>
          <cell r="G125" t="str">
            <v>AddF</v>
          </cell>
          <cell r="I125" t="str">
            <v>Other Expenses</v>
          </cell>
          <cell r="J125">
            <v>0</v>
          </cell>
          <cell r="K125">
            <v>0</v>
          </cell>
          <cell r="L125">
            <v>0</v>
          </cell>
          <cell r="M125">
            <v>0</v>
          </cell>
          <cell r="O125">
            <v>0</v>
          </cell>
          <cell r="V125" t="str">
            <v>NA</v>
          </cell>
          <cell r="X125">
            <v>0</v>
          </cell>
          <cell r="Y125" t="b">
            <v>0</v>
          </cell>
          <cell r="Z125" t="b">
            <v>0</v>
          </cell>
          <cell r="AA125" t="b">
            <v>0</v>
          </cell>
          <cell r="AB125">
            <v>0</v>
          </cell>
          <cell r="AC125" t="b">
            <v>1</v>
          </cell>
          <cell r="AE125" t="str">
            <v>P</v>
          </cell>
          <cell r="AF125">
            <v>0</v>
          </cell>
          <cell r="AG125">
            <v>0</v>
          </cell>
          <cell r="AI125">
            <v>0</v>
          </cell>
        </row>
        <row r="126">
          <cell r="C126" t="str">
            <v>sundries_expense.AdministrationExpense.AccountancyFee</v>
          </cell>
          <cell r="D126">
            <v>94</v>
          </cell>
          <cell r="E126">
            <v>3</v>
          </cell>
          <cell r="F126" t="str">
            <v>Line_3</v>
          </cell>
          <cell r="G126" t="str">
            <v>AddF</v>
          </cell>
          <cell r="I126" t="str">
            <v>Accountancy Fee</v>
          </cell>
          <cell r="J126">
            <v>13750</v>
          </cell>
          <cell r="K126">
            <v>0</v>
          </cell>
          <cell r="L126">
            <v>13750</v>
          </cell>
          <cell r="M126">
            <v>0</v>
          </cell>
          <cell r="N126" t="str">
            <v>Add</v>
          </cell>
          <cell r="O126">
            <v>0</v>
          </cell>
          <cell r="V126" t="str">
            <v>NA</v>
          </cell>
          <cell r="X126">
            <v>0</v>
          </cell>
          <cell r="Y126" t="b">
            <v>0</v>
          </cell>
          <cell r="Z126" t="b">
            <v>0</v>
          </cell>
          <cell r="AA126" t="b">
            <v>0</v>
          </cell>
          <cell r="AB126">
            <v>0</v>
          </cell>
          <cell r="AC126" t="b">
            <v>1</v>
          </cell>
          <cell r="AE126" t="str">
            <v>P</v>
          </cell>
          <cell r="AF126">
            <v>0</v>
          </cell>
          <cell r="AG126">
            <v>0</v>
          </cell>
          <cell r="AI126">
            <v>0</v>
          </cell>
        </row>
        <row r="127">
          <cell r="C127" t="str">
            <v>sundries_expense.AdministrationExpense.AuditorFee</v>
          </cell>
          <cell r="D127">
            <v>95</v>
          </cell>
          <cell r="E127">
            <v>3</v>
          </cell>
          <cell r="F127" t="str">
            <v>Line_3</v>
          </cell>
          <cell r="G127" t="str">
            <v>AddF</v>
          </cell>
          <cell r="I127" t="str">
            <v>Auditor Fee</v>
          </cell>
          <cell r="J127">
            <v>1760</v>
          </cell>
          <cell r="K127">
            <v>0</v>
          </cell>
          <cell r="L127">
            <v>1760</v>
          </cell>
          <cell r="M127">
            <v>0</v>
          </cell>
          <cell r="N127" t="str">
            <v>Add</v>
          </cell>
          <cell r="O127">
            <v>0</v>
          </cell>
          <cell r="V127" t="str">
            <v>NA</v>
          </cell>
          <cell r="X127">
            <v>0</v>
          </cell>
          <cell r="Y127" t="b">
            <v>0</v>
          </cell>
          <cell r="Z127" t="b">
            <v>0</v>
          </cell>
          <cell r="AA127" t="b">
            <v>0</v>
          </cell>
          <cell r="AB127">
            <v>0</v>
          </cell>
          <cell r="AC127" t="b">
            <v>1</v>
          </cell>
          <cell r="AE127" t="str">
            <v>P</v>
          </cell>
          <cell r="AF127">
            <v>0</v>
          </cell>
          <cell r="AG127">
            <v>0</v>
          </cell>
          <cell r="AI127">
            <v>0</v>
          </cell>
        </row>
        <row r="128">
          <cell r="C128" t="str">
            <v>bank_fees_expense</v>
          </cell>
          <cell r="D128">
            <v>96</v>
          </cell>
          <cell r="E128">
            <v>3</v>
          </cell>
          <cell r="F128" t="str">
            <v>Header_3</v>
          </cell>
          <cell r="G128" t="str">
            <v>AddF</v>
          </cell>
          <cell r="I128" t="str">
            <v>Bank Fees</v>
          </cell>
          <cell r="J128">
            <v>0</v>
          </cell>
          <cell r="K128">
            <v>0</v>
          </cell>
          <cell r="L128">
            <v>0</v>
          </cell>
          <cell r="M128">
            <v>0</v>
          </cell>
          <cell r="O128">
            <v>0</v>
          </cell>
          <cell r="V128" t="str">
            <v>NA</v>
          </cell>
          <cell r="X128">
            <v>0</v>
          </cell>
          <cell r="Y128" t="b">
            <v>0</v>
          </cell>
          <cell r="Z128" t="b">
            <v>0</v>
          </cell>
          <cell r="AA128" t="b">
            <v>0</v>
          </cell>
          <cell r="AB128">
            <v>0</v>
          </cell>
          <cell r="AC128" t="b">
            <v>1</v>
          </cell>
          <cell r="AE128" t="str">
            <v>P</v>
          </cell>
          <cell r="AF128">
            <v>0</v>
          </cell>
          <cell r="AG128">
            <v>0</v>
          </cell>
          <cell r="AI128">
            <v>0</v>
          </cell>
        </row>
        <row r="129">
          <cell r="C129" t="str">
            <v>bank_fees_expense.OtherAssets.CashAtBank</v>
          </cell>
          <cell r="D129">
            <v>97</v>
          </cell>
          <cell r="E129">
            <v>4</v>
          </cell>
          <cell r="F129" t="str">
            <v>Header_4</v>
          </cell>
          <cell r="G129" t="str">
            <v>AddF</v>
          </cell>
          <cell r="I129" t="str">
            <v>Cash At Bank</v>
          </cell>
          <cell r="J129">
            <v>0</v>
          </cell>
          <cell r="K129">
            <v>0</v>
          </cell>
          <cell r="L129">
            <v>0</v>
          </cell>
          <cell r="M129">
            <v>0</v>
          </cell>
          <cell r="O129">
            <v>0</v>
          </cell>
          <cell r="V129" t="str">
            <v>NA</v>
          </cell>
          <cell r="X129">
            <v>0</v>
          </cell>
          <cell r="Y129" t="b">
            <v>0</v>
          </cell>
          <cell r="Z129" t="b">
            <v>0</v>
          </cell>
          <cell r="AA129" t="b">
            <v>0</v>
          </cell>
          <cell r="AB129">
            <v>0</v>
          </cell>
          <cell r="AC129" t="b">
            <v>1</v>
          </cell>
          <cell r="AE129" t="str">
            <v>P</v>
          </cell>
          <cell r="AF129">
            <v>0</v>
          </cell>
          <cell r="AG129">
            <v>0</v>
          </cell>
          <cell r="AI129">
            <v>0</v>
          </cell>
        </row>
        <row r="130">
          <cell r="C130" t="str">
            <v>bank_fees_expense.OtherAssets.CashAtBank.1a98a0aa-e515-4c2e-bb22-eee2d2d27856</v>
          </cell>
          <cell r="D130">
            <v>98</v>
          </cell>
          <cell r="E130">
            <v>5</v>
          </cell>
          <cell r="F130" t="str">
            <v>Line_5</v>
          </cell>
          <cell r="G130" t="str">
            <v>AddF</v>
          </cell>
          <cell r="I130" t="str">
            <v>Westpac Business Cash Reserve</v>
          </cell>
          <cell r="J130">
            <v>5</v>
          </cell>
          <cell r="K130">
            <v>0</v>
          </cell>
          <cell r="L130">
            <v>5</v>
          </cell>
          <cell r="M130">
            <v>0</v>
          </cell>
          <cell r="N130" t="str">
            <v>Add</v>
          </cell>
          <cell r="O130">
            <v>0</v>
          </cell>
          <cell r="V130" t="str">
            <v>NA</v>
          </cell>
          <cell r="X130">
            <v>0</v>
          </cell>
          <cell r="Y130" t="b">
            <v>0</v>
          </cell>
          <cell r="Z130" t="b">
            <v>0</v>
          </cell>
          <cell r="AA130" t="b">
            <v>0</v>
          </cell>
          <cell r="AB130">
            <v>0</v>
          </cell>
          <cell r="AC130" t="b">
            <v>1</v>
          </cell>
          <cell r="AE130" t="str">
            <v>P</v>
          </cell>
          <cell r="AF130">
            <v>0</v>
          </cell>
          <cell r="AG130">
            <v>0</v>
          </cell>
          <cell r="AI130">
            <v>0</v>
          </cell>
        </row>
        <row r="131">
          <cell r="C131" t="str">
            <v>bank_fees_expense.OtherAssets.CashAtBank.5beeaf26-9c2c-40d4-b3e6-157f339c75a5</v>
          </cell>
          <cell r="D131">
            <v>99</v>
          </cell>
          <cell r="E131">
            <v>5</v>
          </cell>
          <cell r="F131" t="str">
            <v>Line_5</v>
          </cell>
          <cell r="G131" t="str">
            <v>AddF</v>
          </cell>
          <cell r="I131" t="str">
            <v>Westpac Cheque Account</v>
          </cell>
          <cell r="J131">
            <v>17</v>
          </cell>
          <cell r="K131">
            <v>0</v>
          </cell>
          <cell r="L131">
            <v>17</v>
          </cell>
          <cell r="M131">
            <v>0</v>
          </cell>
          <cell r="N131" t="str">
            <v>Add</v>
          </cell>
          <cell r="O131">
            <v>0</v>
          </cell>
          <cell r="V131" t="str">
            <v>NA</v>
          </cell>
          <cell r="X131">
            <v>0</v>
          </cell>
          <cell r="Y131" t="b">
            <v>0</v>
          </cell>
          <cell r="Z131" t="b">
            <v>0</v>
          </cell>
          <cell r="AA131" t="b">
            <v>0</v>
          </cell>
          <cell r="AB131">
            <v>0</v>
          </cell>
          <cell r="AC131" t="b">
            <v>1</v>
          </cell>
          <cell r="AE131" t="str">
            <v>P</v>
          </cell>
          <cell r="AF131">
            <v>0</v>
          </cell>
          <cell r="AG131">
            <v>0</v>
          </cell>
          <cell r="AI131">
            <v>0</v>
          </cell>
        </row>
        <row r="132">
          <cell r="C132" t="str">
            <v>Totalbank_fees_expense.OtherAssets.CashAtBank</v>
          </cell>
          <cell r="D132">
            <v>100</v>
          </cell>
          <cell r="E132">
            <v>4</v>
          </cell>
          <cell r="F132" t="str">
            <v>Total_4</v>
          </cell>
          <cell r="G132" t="str">
            <v>AddF</v>
          </cell>
          <cell r="I132" t="str">
            <v>Total Cash At Bank</v>
          </cell>
          <cell r="J132">
            <v>22</v>
          </cell>
          <cell r="K132">
            <v>0</v>
          </cell>
          <cell r="L132">
            <v>22</v>
          </cell>
          <cell r="M132">
            <v>0</v>
          </cell>
          <cell r="N132" t="str">
            <v>Add</v>
          </cell>
          <cell r="O132">
            <v>0</v>
          </cell>
          <cell r="V132" t="str">
            <v>NA</v>
          </cell>
          <cell r="X132">
            <v>0</v>
          </cell>
          <cell r="Y132" t="b">
            <v>0</v>
          </cell>
          <cell r="Z132" t="b">
            <v>0</v>
          </cell>
          <cell r="AA132" t="b">
            <v>0</v>
          </cell>
          <cell r="AB132">
            <v>0</v>
          </cell>
          <cell r="AC132" t="b">
            <v>1</v>
          </cell>
          <cell r="AE132" t="str">
            <v>P</v>
          </cell>
          <cell r="AF132">
            <v>0</v>
          </cell>
          <cell r="AG132">
            <v>0</v>
          </cell>
          <cell r="AI132">
            <v>0</v>
          </cell>
        </row>
        <row r="133">
          <cell r="C133" t="str">
            <v>Totalbank_fees_expense</v>
          </cell>
          <cell r="D133">
            <v>101</v>
          </cell>
          <cell r="E133">
            <v>3</v>
          </cell>
          <cell r="F133" t="str">
            <v>Total_3</v>
          </cell>
          <cell r="G133" t="str">
            <v>AddF</v>
          </cell>
          <cell r="I133" t="str">
            <v>Total Bank Fees</v>
          </cell>
          <cell r="J133">
            <v>22</v>
          </cell>
          <cell r="K133">
            <v>0</v>
          </cell>
          <cell r="L133">
            <v>22</v>
          </cell>
          <cell r="M133">
            <v>0</v>
          </cell>
          <cell r="N133" t="str">
            <v>Add</v>
          </cell>
          <cell r="O133">
            <v>0</v>
          </cell>
          <cell r="V133" t="str">
            <v>NA</v>
          </cell>
          <cell r="X133">
            <v>0</v>
          </cell>
          <cell r="Y133" t="b">
            <v>0</v>
          </cell>
          <cell r="Z133" t="b">
            <v>0</v>
          </cell>
          <cell r="AA133" t="b">
            <v>0</v>
          </cell>
          <cell r="AB133">
            <v>0</v>
          </cell>
          <cell r="AC133" t="b">
            <v>1</v>
          </cell>
          <cell r="AE133" t="str">
            <v>P</v>
          </cell>
          <cell r="AF133">
            <v>0</v>
          </cell>
          <cell r="AG133">
            <v>0</v>
          </cell>
          <cell r="AI133">
            <v>0</v>
          </cell>
        </row>
        <row r="134">
          <cell r="C134" t="str">
            <v>depreciation_expense</v>
          </cell>
          <cell r="D134">
            <v>102</v>
          </cell>
          <cell r="E134">
            <v>3</v>
          </cell>
          <cell r="F134" t="str">
            <v>Header_3</v>
          </cell>
          <cell r="G134" t="str">
            <v>AddF</v>
          </cell>
          <cell r="I134" t="str">
            <v>Depreciation</v>
          </cell>
          <cell r="J134">
            <v>0</v>
          </cell>
          <cell r="K134">
            <v>0</v>
          </cell>
          <cell r="L134">
            <v>0</v>
          </cell>
          <cell r="M134">
            <v>0</v>
          </cell>
          <cell r="O134">
            <v>0</v>
          </cell>
          <cell r="V134" t="str">
            <v>NA</v>
          </cell>
          <cell r="X134">
            <v>0</v>
          </cell>
          <cell r="Y134" t="b">
            <v>0</v>
          </cell>
          <cell r="Z134" t="b">
            <v>0</v>
          </cell>
          <cell r="AA134" t="b">
            <v>0</v>
          </cell>
          <cell r="AB134">
            <v>0</v>
          </cell>
          <cell r="AC134" t="b">
            <v>1</v>
          </cell>
          <cell r="AE134" t="str">
            <v>P</v>
          </cell>
          <cell r="AF134">
            <v>0</v>
          </cell>
          <cell r="AG134">
            <v>0</v>
          </cell>
          <cell r="AI134">
            <v>0</v>
          </cell>
        </row>
        <row r="135">
          <cell r="C135" t="str">
            <v>depreciation_expense.DepreciationExpense.PropertyDepreciation</v>
          </cell>
          <cell r="D135">
            <v>103</v>
          </cell>
          <cell r="E135">
            <v>4</v>
          </cell>
          <cell r="F135" t="str">
            <v>Header_4</v>
          </cell>
          <cell r="G135" t="str">
            <v>AddF</v>
          </cell>
          <cell r="I135" t="str">
            <v>Capital Allowances</v>
          </cell>
          <cell r="J135">
            <v>0</v>
          </cell>
          <cell r="K135">
            <v>0</v>
          </cell>
          <cell r="L135">
            <v>0</v>
          </cell>
          <cell r="M135">
            <v>0</v>
          </cell>
          <cell r="O135">
            <v>0</v>
          </cell>
          <cell r="V135" t="str">
            <v>NA</v>
          </cell>
          <cell r="X135">
            <v>0</v>
          </cell>
          <cell r="Y135" t="b">
            <v>0</v>
          </cell>
          <cell r="Z135" t="b">
            <v>0</v>
          </cell>
          <cell r="AA135" t="b">
            <v>0</v>
          </cell>
          <cell r="AB135">
            <v>0</v>
          </cell>
          <cell r="AC135" t="b">
            <v>1</v>
          </cell>
          <cell r="AE135" t="str">
            <v>P</v>
          </cell>
          <cell r="AF135">
            <v>0</v>
          </cell>
          <cell r="AG135">
            <v>0</v>
          </cell>
          <cell r="AI135">
            <v>0</v>
          </cell>
        </row>
        <row r="136">
          <cell r="C136" t="str">
            <v>depreciation_expense.DepreciationExpense.PropertyDepreciation.Property</v>
          </cell>
          <cell r="D136">
            <v>104</v>
          </cell>
          <cell r="E136">
            <v>5</v>
          </cell>
          <cell r="F136" t="str">
            <v>Header_5</v>
          </cell>
          <cell r="G136" t="str">
            <v>AddF</v>
          </cell>
          <cell r="I136" t="str">
            <v>Direct Property</v>
          </cell>
          <cell r="J136">
            <v>0</v>
          </cell>
          <cell r="K136">
            <v>0</v>
          </cell>
          <cell r="L136">
            <v>0</v>
          </cell>
          <cell r="M136">
            <v>0</v>
          </cell>
          <cell r="O136">
            <v>0</v>
          </cell>
          <cell r="V136" t="str">
            <v>NA</v>
          </cell>
          <cell r="X136">
            <v>0</v>
          </cell>
          <cell r="Y136" t="b">
            <v>0</v>
          </cell>
          <cell r="Z136" t="b">
            <v>0</v>
          </cell>
          <cell r="AA136" t="b">
            <v>0</v>
          </cell>
          <cell r="AB136">
            <v>0</v>
          </cell>
          <cell r="AC136" t="b">
            <v>1</v>
          </cell>
          <cell r="AE136" t="str">
            <v>P</v>
          </cell>
          <cell r="AF136">
            <v>0</v>
          </cell>
          <cell r="AG136">
            <v>0</v>
          </cell>
          <cell r="AI136">
            <v>0</v>
          </cell>
        </row>
        <row r="137">
          <cell r="C137" t="str">
            <v>depreciation_expense.DepreciationExpense.PropertyDepreciation.Property.cb4fb5de-b893-454a-af8c-39d2f9dd8591</v>
          </cell>
          <cell r="D137">
            <v>105</v>
          </cell>
          <cell r="E137">
            <v>6</v>
          </cell>
          <cell r="F137" t="str">
            <v>Line_6</v>
          </cell>
          <cell r="G137" t="str">
            <v>AddF</v>
          </cell>
          <cell r="H137" t="str">
            <v>Class.ImportProperty</v>
          </cell>
          <cell r="I137" t="str">
            <v>Unit 6004, The Peninsular, Mooloolaba</v>
          </cell>
          <cell r="J137">
            <v>1644.16</v>
          </cell>
          <cell r="K137">
            <v>0</v>
          </cell>
          <cell r="L137">
            <v>1644.16</v>
          </cell>
          <cell r="M137">
            <v>0</v>
          </cell>
          <cell r="N137" t="str">
            <v>Add</v>
          </cell>
          <cell r="O137">
            <v>0</v>
          </cell>
          <cell r="V137" t="str">
            <v>NA</v>
          </cell>
          <cell r="X137">
            <v>0</v>
          </cell>
          <cell r="Y137" t="b">
            <v>0</v>
          </cell>
          <cell r="Z137" t="b">
            <v>0</v>
          </cell>
          <cell r="AA137" t="b">
            <v>0</v>
          </cell>
          <cell r="AB137">
            <v>0</v>
          </cell>
          <cell r="AC137" t="b">
            <v>1</v>
          </cell>
          <cell r="AE137" t="str">
            <v>P</v>
          </cell>
          <cell r="AF137">
            <v>0</v>
          </cell>
          <cell r="AG137">
            <v>0</v>
          </cell>
          <cell r="AI137">
            <v>0</v>
          </cell>
        </row>
        <row r="138">
          <cell r="C138" t="str">
            <v>Totaldepreciation_expense.DepreciationExpense.PropertyDepreciation.Property</v>
          </cell>
          <cell r="D138">
            <v>106</v>
          </cell>
          <cell r="E138">
            <v>5</v>
          </cell>
          <cell r="F138" t="str">
            <v>Total_5</v>
          </cell>
          <cell r="G138" t="str">
            <v>AddF</v>
          </cell>
          <cell r="I138" t="str">
            <v>Total Direct Property</v>
          </cell>
          <cell r="J138">
            <v>1644.16</v>
          </cell>
          <cell r="K138">
            <v>0</v>
          </cell>
          <cell r="L138">
            <v>1644.16</v>
          </cell>
          <cell r="M138">
            <v>0</v>
          </cell>
          <cell r="N138" t="str">
            <v>Add</v>
          </cell>
          <cell r="O138">
            <v>0</v>
          </cell>
          <cell r="V138" t="str">
            <v>NA</v>
          </cell>
          <cell r="X138">
            <v>0</v>
          </cell>
          <cell r="Y138" t="b">
            <v>0</v>
          </cell>
          <cell r="Z138" t="b">
            <v>0</v>
          </cell>
          <cell r="AA138" t="b">
            <v>0</v>
          </cell>
          <cell r="AB138">
            <v>0</v>
          </cell>
          <cell r="AC138" t="b">
            <v>1</v>
          </cell>
          <cell r="AE138" t="str">
            <v>P</v>
          </cell>
          <cell r="AF138">
            <v>0</v>
          </cell>
          <cell r="AG138">
            <v>0</v>
          </cell>
          <cell r="AI138">
            <v>0</v>
          </cell>
        </row>
        <row r="139">
          <cell r="C139" t="str">
            <v>Totaldepreciation_expense.DepreciationExpense.PropertyDepreciation</v>
          </cell>
          <cell r="D139">
            <v>107</v>
          </cell>
          <cell r="E139">
            <v>4</v>
          </cell>
          <cell r="F139" t="str">
            <v>Total_4</v>
          </cell>
          <cell r="G139" t="str">
            <v>AddF</v>
          </cell>
          <cell r="I139" t="str">
            <v>Total Capital Allowances</v>
          </cell>
          <cell r="J139">
            <v>1644.16</v>
          </cell>
          <cell r="K139">
            <v>0</v>
          </cell>
          <cell r="L139">
            <v>1644.16</v>
          </cell>
          <cell r="M139">
            <v>0</v>
          </cell>
          <cell r="N139" t="str">
            <v>Add</v>
          </cell>
          <cell r="O139">
            <v>0</v>
          </cell>
          <cell r="V139" t="str">
            <v>NA</v>
          </cell>
          <cell r="X139">
            <v>0</v>
          </cell>
          <cell r="Y139" t="b">
            <v>0</v>
          </cell>
          <cell r="Z139" t="b">
            <v>0</v>
          </cell>
          <cell r="AA139" t="b">
            <v>0</v>
          </cell>
          <cell r="AB139">
            <v>0</v>
          </cell>
          <cell r="AC139" t="b">
            <v>1</v>
          </cell>
          <cell r="AE139" t="str">
            <v>P</v>
          </cell>
          <cell r="AF139">
            <v>0</v>
          </cell>
          <cell r="AG139">
            <v>0</v>
          </cell>
          <cell r="AI139">
            <v>0</v>
          </cell>
        </row>
        <row r="140">
          <cell r="C140" t="str">
            <v>Totaldepreciation_expense</v>
          </cell>
          <cell r="D140">
            <v>108</v>
          </cell>
          <cell r="E140">
            <v>3</v>
          </cell>
          <cell r="F140" t="str">
            <v>Total_3</v>
          </cell>
          <cell r="G140" t="str">
            <v>AddF</v>
          </cell>
          <cell r="I140" t="str">
            <v>Total Depreciation</v>
          </cell>
          <cell r="J140">
            <v>1644.16</v>
          </cell>
          <cell r="K140">
            <v>0</v>
          </cell>
          <cell r="L140">
            <v>1644.16</v>
          </cell>
          <cell r="M140">
            <v>0</v>
          </cell>
          <cell r="N140" t="str">
            <v>Add</v>
          </cell>
          <cell r="O140">
            <v>0</v>
          </cell>
          <cell r="V140" t="str">
            <v>NA</v>
          </cell>
          <cell r="X140">
            <v>0</v>
          </cell>
          <cell r="Y140" t="b">
            <v>0</v>
          </cell>
          <cell r="Z140" t="b">
            <v>0</v>
          </cell>
          <cell r="AA140" t="b">
            <v>0</v>
          </cell>
          <cell r="AB140">
            <v>0</v>
          </cell>
          <cell r="AC140" t="b">
            <v>1</v>
          </cell>
          <cell r="AE140" t="str">
            <v>P</v>
          </cell>
          <cell r="AF140">
            <v>0</v>
          </cell>
          <cell r="AG140">
            <v>0</v>
          </cell>
          <cell r="AI140">
            <v>0</v>
          </cell>
        </row>
        <row r="141">
          <cell r="C141" t="str">
            <v>property_expenses_expense</v>
          </cell>
          <cell r="D141">
            <v>109</v>
          </cell>
          <cell r="E141">
            <v>3</v>
          </cell>
          <cell r="F141" t="str">
            <v>Header_3</v>
          </cell>
          <cell r="G141" t="str">
            <v>AddF</v>
          </cell>
          <cell r="I141" t="str">
            <v>Property Expenses</v>
          </cell>
          <cell r="J141">
            <v>0</v>
          </cell>
          <cell r="K141">
            <v>0</v>
          </cell>
          <cell r="L141">
            <v>0</v>
          </cell>
          <cell r="M141">
            <v>0</v>
          </cell>
          <cell r="O141">
            <v>0</v>
          </cell>
          <cell r="V141" t="str">
            <v>NA</v>
          </cell>
          <cell r="X141">
            <v>0</v>
          </cell>
          <cell r="Y141" t="b">
            <v>0</v>
          </cell>
          <cell r="Z141" t="b">
            <v>0</v>
          </cell>
          <cell r="AA141" t="b">
            <v>0</v>
          </cell>
          <cell r="AB141">
            <v>0</v>
          </cell>
          <cell r="AC141" t="b">
            <v>1</v>
          </cell>
          <cell r="AE141" t="str">
            <v>P</v>
          </cell>
          <cell r="AF141">
            <v>0</v>
          </cell>
          <cell r="AG141">
            <v>0</v>
          </cell>
          <cell r="AI141">
            <v>0</v>
          </cell>
        </row>
        <row r="142">
          <cell r="C142" t="str">
            <v>property_expenses_expense.PropertyExpenses.Advertising</v>
          </cell>
          <cell r="D142">
            <v>110</v>
          </cell>
          <cell r="E142">
            <v>4</v>
          </cell>
          <cell r="F142" t="str">
            <v>Header_4</v>
          </cell>
          <cell r="G142" t="str">
            <v>AddF</v>
          </cell>
          <cell r="I142" t="str">
            <v>Advertising</v>
          </cell>
          <cell r="J142">
            <v>0</v>
          </cell>
          <cell r="K142">
            <v>0</v>
          </cell>
          <cell r="L142">
            <v>0</v>
          </cell>
          <cell r="M142">
            <v>0</v>
          </cell>
          <cell r="O142">
            <v>0</v>
          </cell>
          <cell r="V142" t="str">
            <v>NA</v>
          </cell>
          <cell r="X142">
            <v>0</v>
          </cell>
          <cell r="Y142" t="b">
            <v>0</v>
          </cell>
          <cell r="Z142" t="b">
            <v>0</v>
          </cell>
          <cell r="AA142" t="b">
            <v>0</v>
          </cell>
          <cell r="AB142">
            <v>0</v>
          </cell>
          <cell r="AC142" t="b">
            <v>1</v>
          </cell>
          <cell r="AE142" t="str">
            <v>P</v>
          </cell>
          <cell r="AF142">
            <v>0</v>
          </cell>
          <cell r="AG142">
            <v>0</v>
          </cell>
          <cell r="AI142">
            <v>0</v>
          </cell>
        </row>
        <row r="143">
          <cell r="C143" t="str">
            <v>property_expenses_expense.PropertyExpenses.Advertising.Property</v>
          </cell>
          <cell r="D143">
            <v>111</v>
          </cell>
          <cell r="E143">
            <v>5</v>
          </cell>
          <cell r="F143" t="str">
            <v>Header_5</v>
          </cell>
          <cell r="G143" t="str">
            <v>AddF</v>
          </cell>
          <cell r="I143" t="str">
            <v>Direct Property</v>
          </cell>
          <cell r="J143">
            <v>0</v>
          </cell>
          <cell r="K143">
            <v>0</v>
          </cell>
          <cell r="L143">
            <v>0</v>
          </cell>
          <cell r="M143">
            <v>0</v>
          </cell>
          <cell r="O143">
            <v>0</v>
          </cell>
          <cell r="V143" t="str">
            <v>NA</v>
          </cell>
          <cell r="X143">
            <v>0</v>
          </cell>
          <cell r="Y143" t="b">
            <v>0</v>
          </cell>
          <cell r="Z143" t="b">
            <v>0</v>
          </cell>
          <cell r="AA143" t="b">
            <v>0</v>
          </cell>
          <cell r="AB143">
            <v>0</v>
          </cell>
          <cell r="AC143" t="b">
            <v>1</v>
          </cell>
          <cell r="AE143" t="str">
            <v>P</v>
          </cell>
          <cell r="AF143">
            <v>0</v>
          </cell>
          <cell r="AG143">
            <v>0</v>
          </cell>
          <cell r="AI143">
            <v>0</v>
          </cell>
        </row>
        <row r="144">
          <cell r="C144" t="str">
            <v>property_expenses_expense.PropertyExpenses.Advertising.Property.cb4fb5de-b893-454a-af8c-39d2f9dd8591</v>
          </cell>
          <cell r="D144">
            <v>112</v>
          </cell>
          <cell r="E144">
            <v>6</v>
          </cell>
          <cell r="F144" t="str">
            <v>Line_6</v>
          </cell>
          <cell r="G144" t="str">
            <v>AddF</v>
          </cell>
          <cell r="H144" t="str">
            <v>Class.ImportProperty</v>
          </cell>
          <cell r="I144" t="str">
            <v>Unit 6004, The Peninsular, Mooloolaba</v>
          </cell>
          <cell r="J144">
            <v>2063.84</v>
          </cell>
          <cell r="K144">
            <v>0</v>
          </cell>
          <cell r="L144">
            <v>2063.84</v>
          </cell>
          <cell r="M144">
            <v>0</v>
          </cell>
          <cell r="N144" t="str">
            <v>Add</v>
          </cell>
          <cell r="O144">
            <v>0</v>
          </cell>
          <cell r="V144" t="str">
            <v>NA</v>
          </cell>
          <cell r="X144">
            <v>0</v>
          </cell>
          <cell r="Y144" t="b">
            <v>0</v>
          </cell>
          <cell r="Z144" t="b">
            <v>0</v>
          </cell>
          <cell r="AA144" t="b">
            <v>0</v>
          </cell>
          <cell r="AB144">
            <v>0</v>
          </cell>
          <cell r="AC144" t="b">
            <v>1</v>
          </cell>
          <cell r="AE144" t="str">
            <v>P</v>
          </cell>
          <cell r="AF144">
            <v>0</v>
          </cell>
          <cell r="AG144">
            <v>0</v>
          </cell>
          <cell r="AI144">
            <v>0</v>
          </cell>
        </row>
        <row r="145">
          <cell r="C145" t="str">
            <v>Totalproperty_expenses_expense.PropertyExpenses.Advertising.Property</v>
          </cell>
          <cell r="D145">
            <v>113</v>
          </cell>
          <cell r="E145">
            <v>5</v>
          </cell>
          <cell r="F145" t="str">
            <v>Total_5</v>
          </cell>
          <cell r="G145" t="str">
            <v>AddF</v>
          </cell>
          <cell r="I145" t="str">
            <v>Total Direct Property</v>
          </cell>
          <cell r="J145">
            <v>2063.84</v>
          </cell>
          <cell r="K145">
            <v>0</v>
          </cell>
          <cell r="L145">
            <v>2063.84</v>
          </cell>
          <cell r="M145">
            <v>0</v>
          </cell>
          <cell r="N145" t="str">
            <v>Add</v>
          </cell>
          <cell r="O145">
            <v>0</v>
          </cell>
          <cell r="V145" t="str">
            <v>NA</v>
          </cell>
          <cell r="X145">
            <v>0</v>
          </cell>
          <cell r="Y145" t="b">
            <v>0</v>
          </cell>
          <cell r="Z145" t="b">
            <v>0</v>
          </cell>
          <cell r="AA145" t="b">
            <v>0</v>
          </cell>
          <cell r="AB145">
            <v>0</v>
          </cell>
          <cell r="AC145" t="b">
            <v>1</v>
          </cell>
          <cell r="AE145" t="str">
            <v>P</v>
          </cell>
          <cell r="AF145">
            <v>0</v>
          </cell>
          <cell r="AG145">
            <v>0</v>
          </cell>
          <cell r="AI145">
            <v>0</v>
          </cell>
        </row>
        <row r="146">
          <cell r="C146" t="str">
            <v>Totalproperty_expenses_expense.PropertyExpenses.Advertising</v>
          </cell>
          <cell r="D146">
            <v>114</v>
          </cell>
          <cell r="E146">
            <v>4</v>
          </cell>
          <cell r="F146" t="str">
            <v>Total_4</v>
          </cell>
          <cell r="G146" t="str">
            <v>AddF</v>
          </cell>
          <cell r="I146" t="str">
            <v>Total Advertising</v>
          </cell>
          <cell r="J146">
            <v>2063.84</v>
          </cell>
          <cell r="K146">
            <v>0</v>
          </cell>
          <cell r="L146">
            <v>2063.84</v>
          </cell>
          <cell r="M146">
            <v>0</v>
          </cell>
          <cell r="N146" t="str">
            <v>Add</v>
          </cell>
          <cell r="O146">
            <v>0</v>
          </cell>
          <cell r="V146" t="str">
            <v>NA</v>
          </cell>
          <cell r="X146">
            <v>0</v>
          </cell>
          <cell r="Y146" t="b">
            <v>0</v>
          </cell>
          <cell r="Z146" t="b">
            <v>0</v>
          </cell>
          <cell r="AA146" t="b">
            <v>0</v>
          </cell>
          <cell r="AB146">
            <v>0</v>
          </cell>
          <cell r="AC146" t="b">
            <v>1</v>
          </cell>
          <cell r="AE146" t="str">
            <v>P</v>
          </cell>
          <cell r="AF146">
            <v>0</v>
          </cell>
          <cell r="AG146">
            <v>0</v>
          </cell>
          <cell r="AI146">
            <v>0</v>
          </cell>
        </row>
        <row r="147">
          <cell r="C147" t="str">
            <v>property_expenses_expense.PropertyExpenses.AgentsManagementFee</v>
          </cell>
          <cell r="D147">
            <v>115</v>
          </cell>
          <cell r="E147">
            <v>4</v>
          </cell>
          <cell r="F147" t="str">
            <v>Header_4</v>
          </cell>
          <cell r="G147" t="str">
            <v>AddF</v>
          </cell>
          <cell r="I147" t="str">
            <v>Agents Management Fee</v>
          </cell>
          <cell r="J147">
            <v>0</v>
          </cell>
          <cell r="K147">
            <v>0</v>
          </cell>
          <cell r="L147">
            <v>0</v>
          </cell>
          <cell r="M147">
            <v>0</v>
          </cell>
          <cell r="O147">
            <v>0</v>
          </cell>
          <cell r="V147" t="str">
            <v>NA</v>
          </cell>
          <cell r="X147">
            <v>0</v>
          </cell>
          <cell r="Y147" t="b">
            <v>0</v>
          </cell>
          <cell r="Z147" t="b">
            <v>0</v>
          </cell>
          <cell r="AA147" t="b">
            <v>0</v>
          </cell>
          <cell r="AB147">
            <v>0</v>
          </cell>
          <cell r="AC147" t="b">
            <v>1</v>
          </cell>
          <cell r="AE147" t="str">
            <v>P</v>
          </cell>
          <cell r="AF147">
            <v>0</v>
          </cell>
          <cell r="AG147">
            <v>0</v>
          </cell>
          <cell r="AI147">
            <v>0</v>
          </cell>
        </row>
        <row r="148">
          <cell r="C148" t="str">
            <v>property_expenses_expense.PropertyExpenses.AgentsManagementFee.Property</v>
          </cell>
          <cell r="D148">
            <v>116</v>
          </cell>
          <cell r="E148">
            <v>5</v>
          </cell>
          <cell r="F148" t="str">
            <v>Header_5</v>
          </cell>
          <cell r="G148" t="str">
            <v>AddF</v>
          </cell>
          <cell r="I148" t="str">
            <v>Direct Property</v>
          </cell>
          <cell r="J148">
            <v>0</v>
          </cell>
          <cell r="K148">
            <v>0</v>
          </cell>
          <cell r="L148">
            <v>0</v>
          </cell>
          <cell r="M148">
            <v>0</v>
          </cell>
          <cell r="O148">
            <v>0</v>
          </cell>
          <cell r="V148" t="str">
            <v>NA</v>
          </cell>
          <cell r="X148">
            <v>0</v>
          </cell>
          <cell r="Y148" t="b">
            <v>0</v>
          </cell>
          <cell r="Z148" t="b">
            <v>0</v>
          </cell>
          <cell r="AA148" t="b">
            <v>0</v>
          </cell>
          <cell r="AB148">
            <v>0</v>
          </cell>
          <cell r="AC148" t="b">
            <v>1</v>
          </cell>
          <cell r="AE148" t="str">
            <v>P</v>
          </cell>
          <cell r="AF148">
            <v>0</v>
          </cell>
          <cell r="AG148">
            <v>0</v>
          </cell>
          <cell r="AI148">
            <v>0</v>
          </cell>
        </row>
        <row r="149">
          <cell r="C149" t="str">
            <v>property_expenses_expense.PropertyExpenses.AgentsManagementFee.Property.cb4fb5de-b893-454a-af8c-39d2f9dd8591</v>
          </cell>
          <cell r="D149">
            <v>117</v>
          </cell>
          <cell r="E149">
            <v>6</v>
          </cell>
          <cell r="F149" t="str">
            <v>Line_6</v>
          </cell>
          <cell r="G149" t="str">
            <v>AddF</v>
          </cell>
          <cell r="H149" t="str">
            <v>Class.ImportProperty</v>
          </cell>
          <cell r="I149" t="str">
            <v>Unit 6004, The Peninsular, Mooloolaba</v>
          </cell>
          <cell r="J149">
            <v>14595.55</v>
          </cell>
          <cell r="K149">
            <v>0</v>
          </cell>
          <cell r="L149">
            <v>14595.55</v>
          </cell>
          <cell r="M149">
            <v>0</v>
          </cell>
          <cell r="N149" t="str">
            <v>Add</v>
          </cell>
          <cell r="O149">
            <v>0</v>
          </cell>
          <cell r="V149" t="str">
            <v>NA</v>
          </cell>
          <cell r="X149">
            <v>0</v>
          </cell>
          <cell r="Y149" t="b">
            <v>0</v>
          </cell>
          <cell r="Z149" t="b">
            <v>0</v>
          </cell>
          <cell r="AA149" t="b">
            <v>0</v>
          </cell>
          <cell r="AB149">
            <v>0</v>
          </cell>
          <cell r="AC149" t="b">
            <v>1</v>
          </cell>
          <cell r="AE149" t="str">
            <v>P</v>
          </cell>
          <cell r="AF149">
            <v>0</v>
          </cell>
          <cell r="AG149">
            <v>0</v>
          </cell>
          <cell r="AI149">
            <v>0</v>
          </cell>
        </row>
        <row r="150">
          <cell r="C150" t="str">
            <v>Totalproperty_expenses_expense.PropertyExpenses.AgentsManagementFee.Property</v>
          </cell>
          <cell r="D150">
            <v>118</v>
          </cell>
          <cell r="E150">
            <v>5</v>
          </cell>
          <cell r="F150" t="str">
            <v>Total_5</v>
          </cell>
          <cell r="G150" t="str">
            <v>AddF</v>
          </cell>
          <cell r="I150" t="str">
            <v>Total Direct Property</v>
          </cell>
          <cell r="J150">
            <v>14595.55</v>
          </cell>
          <cell r="K150">
            <v>0</v>
          </cell>
          <cell r="L150">
            <v>14595.55</v>
          </cell>
          <cell r="M150">
            <v>0</v>
          </cell>
          <cell r="N150" t="str">
            <v>Add</v>
          </cell>
          <cell r="O150">
            <v>0</v>
          </cell>
          <cell r="V150" t="str">
            <v>NA</v>
          </cell>
          <cell r="X150">
            <v>0</v>
          </cell>
          <cell r="Y150" t="b">
            <v>0</v>
          </cell>
          <cell r="Z150" t="b">
            <v>0</v>
          </cell>
          <cell r="AA150" t="b">
            <v>0</v>
          </cell>
          <cell r="AB150">
            <v>0</v>
          </cell>
          <cell r="AC150" t="b">
            <v>1</v>
          </cell>
          <cell r="AE150" t="str">
            <v>P</v>
          </cell>
          <cell r="AF150">
            <v>0</v>
          </cell>
          <cell r="AG150">
            <v>0</v>
          </cell>
          <cell r="AI150">
            <v>0</v>
          </cell>
        </row>
        <row r="151">
          <cell r="C151" t="str">
            <v>Totalproperty_expenses_expense.PropertyExpenses.AgentsManagementFee</v>
          </cell>
          <cell r="D151">
            <v>119</v>
          </cell>
          <cell r="E151">
            <v>4</v>
          </cell>
          <cell r="F151" t="str">
            <v>Total_4</v>
          </cell>
          <cell r="G151" t="str">
            <v>AddF</v>
          </cell>
          <cell r="I151" t="str">
            <v>Total Agents Management Fee</v>
          </cell>
          <cell r="J151">
            <v>14595.55</v>
          </cell>
          <cell r="K151">
            <v>0</v>
          </cell>
          <cell r="L151">
            <v>14595.55</v>
          </cell>
          <cell r="M151">
            <v>0</v>
          </cell>
          <cell r="N151" t="str">
            <v>Add</v>
          </cell>
          <cell r="O151">
            <v>0</v>
          </cell>
          <cell r="V151" t="str">
            <v>NA</v>
          </cell>
          <cell r="X151">
            <v>0</v>
          </cell>
          <cell r="Y151" t="b">
            <v>0</v>
          </cell>
          <cell r="Z151" t="b">
            <v>0</v>
          </cell>
          <cell r="AA151" t="b">
            <v>0</v>
          </cell>
          <cell r="AB151">
            <v>0</v>
          </cell>
          <cell r="AC151" t="b">
            <v>1</v>
          </cell>
          <cell r="AE151" t="str">
            <v>P</v>
          </cell>
          <cell r="AF151">
            <v>0</v>
          </cell>
          <cell r="AG151">
            <v>0</v>
          </cell>
          <cell r="AI151">
            <v>0</v>
          </cell>
        </row>
        <row r="152">
          <cell r="C152" t="str">
            <v>property_expenses_expense.PropertyExpenses.Cleaning</v>
          </cell>
          <cell r="D152">
            <v>120</v>
          </cell>
          <cell r="E152">
            <v>4</v>
          </cell>
          <cell r="F152" t="str">
            <v>Header_4</v>
          </cell>
          <cell r="G152" t="str">
            <v>AddF</v>
          </cell>
          <cell r="I152" t="str">
            <v>Cleaning</v>
          </cell>
          <cell r="J152">
            <v>0</v>
          </cell>
          <cell r="K152">
            <v>0</v>
          </cell>
          <cell r="L152">
            <v>0</v>
          </cell>
          <cell r="M152">
            <v>0</v>
          </cell>
          <cell r="O152">
            <v>0</v>
          </cell>
          <cell r="V152" t="str">
            <v>NA</v>
          </cell>
          <cell r="X152">
            <v>0</v>
          </cell>
          <cell r="Y152" t="b">
            <v>0</v>
          </cell>
          <cell r="Z152" t="b">
            <v>0</v>
          </cell>
          <cell r="AA152" t="b">
            <v>0</v>
          </cell>
          <cell r="AB152">
            <v>0</v>
          </cell>
          <cell r="AC152" t="b">
            <v>1</v>
          </cell>
          <cell r="AE152" t="str">
            <v>P</v>
          </cell>
          <cell r="AF152">
            <v>0</v>
          </cell>
          <cell r="AG152">
            <v>0</v>
          </cell>
          <cell r="AI152">
            <v>0</v>
          </cell>
        </row>
        <row r="153">
          <cell r="C153" t="str">
            <v>property_expenses_expense.PropertyExpenses.Cleaning.Property</v>
          </cell>
          <cell r="D153">
            <v>121</v>
          </cell>
          <cell r="E153">
            <v>5</v>
          </cell>
          <cell r="F153" t="str">
            <v>Header_5</v>
          </cell>
          <cell r="G153" t="str">
            <v>AddF</v>
          </cell>
          <cell r="I153" t="str">
            <v>Direct Property</v>
          </cell>
          <cell r="J153">
            <v>0</v>
          </cell>
          <cell r="K153">
            <v>0</v>
          </cell>
          <cell r="L153">
            <v>0</v>
          </cell>
          <cell r="M153">
            <v>0</v>
          </cell>
          <cell r="O153">
            <v>0</v>
          </cell>
          <cell r="V153" t="str">
            <v>NA</v>
          </cell>
          <cell r="X153">
            <v>0</v>
          </cell>
          <cell r="Y153" t="b">
            <v>0</v>
          </cell>
          <cell r="Z153" t="b">
            <v>0</v>
          </cell>
          <cell r="AA153" t="b">
            <v>0</v>
          </cell>
          <cell r="AB153">
            <v>0</v>
          </cell>
          <cell r="AC153" t="b">
            <v>1</v>
          </cell>
          <cell r="AE153" t="str">
            <v>P</v>
          </cell>
          <cell r="AF153">
            <v>0</v>
          </cell>
          <cell r="AG153">
            <v>0</v>
          </cell>
          <cell r="AI153">
            <v>0</v>
          </cell>
        </row>
        <row r="154">
          <cell r="C154" t="str">
            <v>property_expenses_expense.PropertyExpenses.Cleaning.Property.cb4fb5de-b893-454a-af8c-39d2f9dd8591</v>
          </cell>
          <cell r="D154">
            <v>122</v>
          </cell>
          <cell r="E154">
            <v>6</v>
          </cell>
          <cell r="F154" t="str">
            <v>Line_6</v>
          </cell>
          <cell r="G154" t="str">
            <v>AddF</v>
          </cell>
          <cell r="H154" t="str">
            <v>Class.ImportProperty</v>
          </cell>
          <cell r="I154" t="str">
            <v>Unit 6004, The Peninsular, Mooloolaba</v>
          </cell>
          <cell r="J154">
            <v>10979.85</v>
          </cell>
          <cell r="K154">
            <v>0</v>
          </cell>
          <cell r="L154">
            <v>10979.85</v>
          </cell>
          <cell r="M154">
            <v>0</v>
          </cell>
          <cell r="N154" t="str">
            <v>Add</v>
          </cell>
          <cell r="O154">
            <v>0</v>
          </cell>
          <cell r="V154" t="str">
            <v>NA</v>
          </cell>
          <cell r="X154">
            <v>0</v>
          </cell>
          <cell r="Y154" t="b">
            <v>0</v>
          </cell>
          <cell r="Z154" t="b">
            <v>0</v>
          </cell>
          <cell r="AA154" t="b">
            <v>0</v>
          </cell>
          <cell r="AB154">
            <v>0</v>
          </cell>
          <cell r="AC154" t="b">
            <v>1</v>
          </cell>
          <cell r="AE154" t="str">
            <v>P</v>
          </cell>
          <cell r="AF154">
            <v>0</v>
          </cell>
          <cell r="AG154">
            <v>0</v>
          </cell>
          <cell r="AI154">
            <v>0</v>
          </cell>
        </row>
        <row r="155">
          <cell r="C155" t="str">
            <v>Totalproperty_expenses_expense.PropertyExpenses.Cleaning.Property</v>
          </cell>
          <cell r="D155">
            <v>123</v>
          </cell>
          <cell r="E155">
            <v>5</v>
          </cell>
          <cell r="F155" t="str">
            <v>Total_5</v>
          </cell>
          <cell r="G155" t="str">
            <v>AddF</v>
          </cell>
          <cell r="I155" t="str">
            <v>Total Direct Property</v>
          </cell>
          <cell r="J155">
            <v>10979.85</v>
          </cell>
          <cell r="K155">
            <v>0</v>
          </cell>
          <cell r="L155">
            <v>10979.85</v>
          </cell>
          <cell r="M155">
            <v>0</v>
          </cell>
          <cell r="N155" t="str">
            <v>Add</v>
          </cell>
          <cell r="O155">
            <v>0</v>
          </cell>
          <cell r="V155" t="str">
            <v>NA</v>
          </cell>
          <cell r="X155">
            <v>0</v>
          </cell>
          <cell r="Y155" t="b">
            <v>0</v>
          </cell>
          <cell r="Z155" t="b">
            <v>0</v>
          </cell>
          <cell r="AA155" t="b">
            <v>0</v>
          </cell>
          <cell r="AB155">
            <v>0</v>
          </cell>
          <cell r="AC155" t="b">
            <v>1</v>
          </cell>
          <cell r="AE155" t="str">
            <v>P</v>
          </cell>
          <cell r="AF155">
            <v>0</v>
          </cell>
          <cell r="AG155">
            <v>0</v>
          </cell>
          <cell r="AI155">
            <v>0</v>
          </cell>
        </row>
        <row r="156">
          <cell r="C156" t="str">
            <v>Totalproperty_expenses_expense.PropertyExpenses.Cleaning</v>
          </cell>
          <cell r="D156">
            <v>124</v>
          </cell>
          <cell r="E156">
            <v>4</v>
          </cell>
          <cell r="F156" t="str">
            <v>Total_4</v>
          </cell>
          <cell r="G156" t="str">
            <v>AddF</v>
          </cell>
          <cell r="I156" t="str">
            <v>Total Cleaning</v>
          </cell>
          <cell r="J156">
            <v>10979.85</v>
          </cell>
          <cell r="K156">
            <v>0</v>
          </cell>
          <cell r="L156">
            <v>10979.85</v>
          </cell>
          <cell r="M156">
            <v>0</v>
          </cell>
          <cell r="N156" t="str">
            <v>Add</v>
          </cell>
          <cell r="O156">
            <v>0</v>
          </cell>
          <cell r="V156" t="str">
            <v>NA</v>
          </cell>
          <cell r="X156">
            <v>0</v>
          </cell>
          <cell r="Y156" t="b">
            <v>0</v>
          </cell>
          <cell r="Z156" t="b">
            <v>0</v>
          </cell>
          <cell r="AA156" t="b">
            <v>0</v>
          </cell>
          <cell r="AB156">
            <v>0</v>
          </cell>
          <cell r="AC156" t="b">
            <v>1</v>
          </cell>
          <cell r="AE156" t="str">
            <v>P</v>
          </cell>
          <cell r="AF156">
            <v>0</v>
          </cell>
          <cell r="AG156">
            <v>0</v>
          </cell>
          <cell r="AI156">
            <v>0</v>
          </cell>
        </row>
        <row r="157">
          <cell r="C157" t="str">
            <v>property_expenses_expense.PropertyExpenses.Rates</v>
          </cell>
          <cell r="D157">
            <v>125</v>
          </cell>
          <cell r="E157">
            <v>4</v>
          </cell>
          <cell r="F157" t="str">
            <v>Header_4</v>
          </cell>
          <cell r="G157" t="str">
            <v>AddF</v>
          </cell>
          <cell r="I157" t="str">
            <v>Council Rates</v>
          </cell>
          <cell r="J157">
            <v>0</v>
          </cell>
          <cell r="K157">
            <v>0</v>
          </cell>
          <cell r="L157">
            <v>0</v>
          </cell>
          <cell r="M157">
            <v>0</v>
          </cell>
          <cell r="O157">
            <v>0</v>
          </cell>
          <cell r="V157" t="str">
            <v>NA</v>
          </cell>
          <cell r="X157">
            <v>0</v>
          </cell>
          <cell r="Y157" t="b">
            <v>0</v>
          </cell>
          <cell r="Z157" t="b">
            <v>0</v>
          </cell>
          <cell r="AA157" t="b">
            <v>0</v>
          </cell>
          <cell r="AB157">
            <v>0</v>
          </cell>
          <cell r="AC157" t="b">
            <v>1</v>
          </cell>
          <cell r="AE157" t="str">
            <v>P</v>
          </cell>
          <cell r="AF157">
            <v>0</v>
          </cell>
          <cell r="AG157">
            <v>0</v>
          </cell>
          <cell r="AI157">
            <v>0</v>
          </cell>
        </row>
        <row r="158">
          <cell r="C158" t="str">
            <v>property_expenses_expense.PropertyExpenses.Rates.Property</v>
          </cell>
          <cell r="D158">
            <v>126</v>
          </cell>
          <cell r="E158">
            <v>5</v>
          </cell>
          <cell r="F158" t="str">
            <v>Header_5</v>
          </cell>
          <cell r="G158" t="str">
            <v>AddF</v>
          </cell>
          <cell r="I158" t="str">
            <v>Direct Property</v>
          </cell>
          <cell r="J158">
            <v>0</v>
          </cell>
          <cell r="K158">
            <v>0</v>
          </cell>
          <cell r="L158">
            <v>0</v>
          </cell>
          <cell r="M158">
            <v>0</v>
          </cell>
          <cell r="O158">
            <v>0</v>
          </cell>
          <cell r="V158" t="str">
            <v>NA</v>
          </cell>
          <cell r="X158">
            <v>0</v>
          </cell>
          <cell r="Y158" t="b">
            <v>0</v>
          </cell>
          <cell r="Z158" t="b">
            <v>0</v>
          </cell>
          <cell r="AA158" t="b">
            <v>0</v>
          </cell>
          <cell r="AB158">
            <v>0</v>
          </cell>
          <cell r="AC158" t="b">
            <v>1</v>
          </cell>
          <cell r="AE158" t="str">
            <v>P</v>
          </cell>
          <cell r="AF158">
            <v>0</v>
          </cell>
          <cell r="AG158">
            <v>0</v>
          </cell>
          <cell r="AI158">
            <v>0</v>
          </cell>
        </row>
        <row r="159">
          <cell r="C159" t="str">
            <v>property_expenses_expense.PropertyExpenses.Rates.Property.cb4fb5de-b893-454a-af8c-39d2f9dd8591</v>
          </cell>
          <cell r="D159">
            <v>127</v>
          </cell>
          <cell r="E159">
            <v>6</v>
          </cell>
          <cell r="F159" t="str">
            <v>Line_6</v>
          </cell>
          <cell r="G159" t="str">
            <v>AddF</v>
          </cell>
          <cell r="H159" t="str">
            <v>Class.ImportProperty</v>
          </cell>
          <cell r="I159" t="str">
            <v>Unit 6004, The Peninsular, Mooloolaba</v>
          </cell>
          <cell r="J159">
            <v>3217.06</v>
          </cell>
          <cell r="K159">
            <v>0</v>
          </cell>
          <cell r="L159">
            <v>3217.06</v>
          </cell>
          <cell r="M159">
            <v>0</v>
          </cell>
          <cell r="N159" t="str">
            <v>Add</v>
          </cell>
          <cell r="O159">
            <v>0</v>
          </cell>
          <cell r="V159" t="str">
            <v>NA</v>
          </cell>
          <cell r="X159">
            <v>0</v>
          </cell>
          <cell r="Y159" t="b">
            <v>0</v>
          </cell>
          <cell r="Z159" t="b">
            <v>0</v>
          </cell>
          <cell r="AA159" t="b">
            <v>0</v>
          </cell>
          <cell r="AB159">
            <v>0</v>
          </cell>
          <cell r="AC159" t="b">
            <v>1</v>
          </cell>
          <cell r="AE159" t="str">
            <v>P</v>
          </cell>
          <cell r="AF159">
            <v>0</v>
          </cell>
          <cell r="AG159">
            <v>0</v>
          </cell>
          <cell r="AI159">
            <v>0</v>
          </cell>
        </row>
        <row r="160">
          <cell r="C160" t="str">
            <v>Totalproperty_expenses_expense.PropertyExpenses.Rates.Property</v>
          </cell>
          <cell r="D160">
            <v>128</v>
          </cell>
          <cell r="E160">
            <v>5</v>
          </cell>
          <cell r="F160" t="str">
            <v>Total_5</v>
          </cell>
          <cell r="G160" t="str">
            <v>AddF</v>
          </cell>
          <cell r="I160" t="str">
            <v>Total Direct Property</v>
          </cell>
          <cell r="J160">
            <v>3217.06</v>
          </cell>
          <cell r="K160">
            <v>0</v>
          </cell>
          <cell r="L160">
            <v>3217.06</v>
          </cell>
          <cell r="M160">
            <v>0</v>
          </cell>
          <cell r="N160" t="str">
            <v>Add</v>
          </cell>
          <cell r="O160">
            <v>0</v>
          </cell>
          <cell r="V160" t="str">
            <v>NA</v>
          </cell>
          <cell r="X160">
            <v>0</v>
          </cell>
          <cell r="Y160" t="b">
            <v>0</v>
          </cell>
          <cell r="Z160" t="b">
            <v>0</v>
          </cell>
          <cell r="AA160" t="b">
            <v>0</v>
          </cell>
          <cell r="AB160">
            <v>0</v>
          </cell>
          <cell r="AC160" t="b">
            <v>1</v>
          </cell>
          <cell r="AE160" t="str">
            <v>P</v>
          </cell>
          <cell r="AF160">
            <v>0</v>
          </cell>
          <cell r="AG160">
            <v>0</v>
          </cell>
          <cell r="AI160">
            <v>0</v>
          </cell>
        </row>
        <row r="161">
          <cell r="C161" t="str">
            <v>Totalproperty_expenses_expense.PropertyExpenses.Rates</v>
          </cell>
          <cell r="D161">
            <v>129</v>
          </cell>
          <cell r="E161">
            <v>4</v>
          </cell>
          <cell r="F161" t="str">
            <v>Total_4</v>
          </cell>
          <cell r="G161" t="str">
            <v>AddF</v>
          </cell>
          <cell r="I161" t="str">
            <v>Total Council Rates</v>
          </cell>
          <cell r="J161">
            <v>3217.06</v>
          </cell>
          <cell r="K161">
            <v>0</v>
          </cell>
          <cell r="L161">
            <v>3217.06</v>
          </cell>
          <cell r="M161">
            <v>0</v>
          </cell>
          <cell r="N161" t="str">
            <v>Add</v>
          </cell>
          <cell r="O161">
            <v>0</v>
          </cell>
          <cell r="V161" t="str">
            <v>NA</v>
          </cell>
          <cell r="X161">
            <v>0</v>
          </cell>
          <cell r="Y161" t="b">
            <v>0</v>
          </cell>
          <cell r="Z161" t="b">
            <v>0</v>
          </cell>
          <cell r="AA161" t="b">
            <v>0</v>
          </cell>
          <cell r="AB161">
            <v>0</v>
          </cell>
          <cell r="AC161" t="b">
            <v>1</v>
          </cell>
          <cell r="AE161" t="str">
            <v>P</v>
          </cell>
          <cell r="AF161">
            <v>0</v>
          </cell>
          <cell r="AG161">
            <v>0</v>
          </cell>
          <cell r="AI161">
            <v>0</v>
          </cell>
        </row>
        <row r="162">
          <cell r="C162" t="str">
            <v>property_expenses_expense.PropertyExpenses.ELECT</v>
          </cell>
          <cell r="D162">
            <v>130</v>
          </cell>
          <cell r="E162">
            <v>4</v>
          </cell>
          <cell r="F162" t="str">
            <v>Header_4</v>
          </cell>
          <cell r="G162" t="str">
            <v>AddF</v>
          </cell>
          <cell r="I162" t="str">
            <v>Electricity</v>
          </cell>
          <cell r="J162">
            <v>0</v>
          </cell>
          <cell r="K162">
            <v>0</v>
          </cell>
          <cell r="L162">
            <v>0</v>
          </cell>
          <cell r="M162">
            <v>0</v>
          </cell>
          <cell r="O162">
            <v>0</v>
          </cell>
          <cell r="V162" t="str">
            <v>NA</v>
          </cell>
          <cell r="X162">
            <v>0</v>
          </cell>
          <cell r="Y162" t="b">
            <v>0</v>
          </cell>
          <cell r="Z162" t="b">
            <v>0</v>
          </cell>
          <cell r="AA162" t="b">
            <v>0</v>
          </cell>
          <cell r="AB162">
            <v>0</v>
          </cell>
          <cell r="AC162" t="b">
            <v>1</v>
          </cell>
          <cell r="AE162" t="str">
            <v>P</v>
          </cell>
          <cell r="AF162">
            <v>0</v>
          </cell>
          <cell r="AG162">
            <v>0</v>
          </cell>
          <cell r="AI162">
            <v>0</v>
          </cell>
        </row>
        <row r="163">
          <cell r="C163" t="str">
            <v>property_expenses_expense.PropertyExpenses.ELECT.Property</v>
          </cell>
          <cell r="D163">
            <v>131</v>
          </cell>
          <cell r="E163">
            <v>5</v>
          </cell>
          <cell r="F163" t="str">
            <v>Header_5</v>
          </cell>
          <cell r="G163" t="str">
            <v>AddF</v>
          </cell>
          <cell r="I163" t="str">
            <v>Direct Property</v>
          </cell>
          <cell r="J163">
            <v>0</v>
          </cell>
          <cell r="K163">
            <v>0</v>
          </cell>
          <cell r="L163">
            <v>0</v>
          </cell>
          <cell r="M163">
            <v>0</v>
          </cell>
          <cell r="O163">
            <v>0</v>
          </cell>
          <cell r="V163" t="str">
            <v>NA</v>
          </cell>
          <cell r="X163">
            <v>0</v>
          </cell>
          <cell r="Y163" t="b">
            <v>0</v>
          </cell>
          <cell r="Z163" t="b">
            <v>0</v>
          </cell>
          <cell r="AA163" t="b">
            <v>0</v>
          </cell>
          <cell r="AB163">
            <v>0</v>
          </cell>
          <cell r="AC163" t="b">
            <v>1</v>
          </cell>
          <cell r="AE163" t="str">
            <v>P</v>
          </cell>
          <cell r="AF163">
            <v>0</v>
          </cell>
          <cell r="AG163">
            <v>0</v>
          </cell>
          <cell r="AI163">
            <v>0</v>
          </cell>
        </row>
        <row r="164">
          <cell r="C164" t="str">
            <v>property_expenses_expense.PropertyExpenses.ELECT.Property.cb4fb5de-b893-454a-af8c-39d2f9dd8591</v>
          </cell>
          <cell r="D164">
            <v>132</v>
          </cell>
          <cell r="E164">
            <v>6</v>
          </cell>
          <cell r="F164" t="str">
            <v>Line_6</v>
          </cell>
          <cell r="G164" t="str">
            <v>AddF</v>
          </cell>
          <cell r="H164" t="str">
            <v>Class.ImportProperty</v>
          </cell>
          <cell r="I164" t="str">
            <v>Unit 6004, The Peninsular, Mooloolaba</v>
          </cell>
          <cell r="J164">
            <v>968.6</v>
          </cell>
          <cell r="K164">
            <v>0</v>
          </cell>
          <cell r="L164">
            <v>968.6</v>
          </cell>
          <cell r="M164">
            <v>0</v>
          </cell>
          <cell r="N164" t="str">
            <v>Add</v>
          </cell>
          <cell r="O164">
            <v>0</v>
          </cell>
          <cell r="V164" t="str">
            <v>NA</v>
          </cell>
          <cell r="X164">
            <v>0</v>
          </cell>
          <cell r="Y164" t="b">
            <v>0</v>
          </cell>
          <cell r="Z164" t="b">
            <v>0</v>
          </cell>
          <cell r="AA164" t="b">
            <v>0</v>
          </cell>
          <cell r="AB164">
            <v>0</v>
          </cell>
          <cell r="AC164" t="b">
            <v>1</v>
          </cell>
          <cell r="AE164" t="str">
            <v>P</v>
          </cell>
          <cell r="AF164">
            <v>0</v>
          </cell>
          <cell r="AG164">
            <v>0</v>
          </cell>
          <cell r="AI164">
            <v>0</v>
          </cell>
        </row>
        <row r="165">
          <cell r="C165" t="str">
            <v>Totalproperty_expenses_expense.PropertyExpenses.ELECT.Property</v>
          </cell>
          <cell r="D165">
            <v>133</v>
          </cell>
          <cell r="E165">
            <v>5</v>
          </cell>
          <cell r="F165" t="str">
            <v>Total_5</v>
          </cell>
          <cell r="G165" t="str">
            <v>AddF</v>
          </cell>
          <cell r="I165" t="str">
            <v>Total Direct Property</v>
          </cell>
          <cell r="J165">
            <v>968.6</v>
          </cell>
          <cell r="K165">
            <v>0</v>
          </cell>
          <cell r="L165">
            <v>968.6</v>
          </cell>
          <cell r="M165">
            <v>0</v>
          </cell>
          <cell r="N165" t="str">
            <v>Add</v>
          </cell>
          <cell r="O165">
            <v>0</v>
          </cell>
          <cell r="V165" t="str">
            <v>NA</v>
          </cell>
          <cell r="X165">
            <v>0</v>
          </cell>
          <cell r="Y165" t="b">
            <v>0</v>
          </cell>
          <cell r="Z165" t="b">
            <v>0</v>
          </cell>
          <cell r="AA165" t="b">
            <v>0</v>
          </cell>
          <cell r="AB165">
            <v>0</v>
          </cell>
          <cell r="AC165" t="b">
            <v>1</v>
          </cell>
          <cell r="AE165" t="str">
            <v>P</v>
          </cell>
          <cell r="AF165">
            <v>0</v>
          </cell>
          <cell r="AG165">
            <v>0</v>
          </cell>
          <cell r="AI165">
            <v>0</v>
          </cell>
        </row>
        <row r="166">
          <cell r="C166" t="str">
            <v>Totalproperty_expenses_expense.PropertyExpenses.ELECT</v>
          </cell>
          <cell r="D166">
            <v>134</v>
          </cell>
          <cell r="E166">
            <v>4</v>
          </cell>
          <cell r="F166" t="str">
            <v>Total_4</v>
          </cell>
          <cell r="G166" t="str">
            <v>AddF</v>
          </cell>
          <cell r="I166" t="str">
            <v>Total Electricity</v>
          </cell>
          <cell r="J166">
            <v>968.6</v>
          </cell>
          <cell r="K166">
            <v>0</v>
          </cell>
          <cell r="L166">
            <v>968.6</v>
          </cell>
          <cell r="M166">
            <v>0</v>
          </cell>
          <cell r="N166" t="str">
            <v>Add</v>
          </cell>
          <cell r="O166">
            <v>0</v>
          </cell>
          <cell r="V166" t="str">
            <v>NA</v>
          </cell>
          <cell r="X166">
            <v>0</v>
          </cell>
          <cell r="Y166" t="b">
            <v>0</v>
          </cell>
          <cell r="Z166" t="b">
            <v>0</v>
          </cell>
          <cell r="AA166" t="b">
            <v>0</v>
          </cell>
          <cell r="AB166">
            <v>0</v>
          </cell>
          <cell r="AC166" t="b">
            <v>1</v>
          </cell>
          <cell r="AE166" t="str">
            <v>P</v>
          </cell>
          <cell r="AF166">
            <v>0</v>
          </cell>
          <cell r="AG166">
            <v>0</v>
          </cell>
          <cell r="AI166">
            <v>0</v>
          </cell>
        </row>
        <row r="167">
          <cell r="C167" t="str">
            <v>property_expenses_expense.PropertyExpenses.RepairsMaintenance</v>
          </cell>
          <cell r="D167">
            <v>135</v>
          </cell>
          <cell r="E167">
            <v>4</v>
          </cell>
          <cell r="F167" t="str">
            <v>Header_4</v>
          </cell>
          <cell r="G167" t="str">
            <v>AddF</v>
          </cell>
          <cell r="I167" t="str">
            <v>Repairs Maintenance</v>
          </cell>
          <cell r="J167">
            <v>0</v>
          </cell>
          <cell r="K167">
            <v>0</v>
          </cell>
          <cell r="L167">
            <v>0</v>
          </cell>
          <cell r="M167">
            <v>0</v>
          </cell>
          <cell r="O167">
            <v>0</v>
          </cell>
          <cell r="V167" t="str">
            <v>NA</v>
          </cell>
          <cell r="X167">
            <v>0</v>
          </cell>
          <cell r="Y167" t="b">
            <v>0</v>
          </cell>
          <cell r="Z167" t="b">
            <v>0</v>
          </cell>
          <cell r="AA167" t="b">
            <v>0</v>
          </cell>
          <cell r="AB167">
            <v>0</v>
          </cell>
          <cell r="AC167" t="b">
            <v>1</v>
          </cell>
          <cell r="AE167" t="str">
            <v>P</v>
          </cell>
          <cell r="AF167">
            <v>0</v>
          </cell>
          <cell r="AG167">
            <v>0</v>
          </cell>
          <cell r="AI167">
            <v>0</v>
          </cell>
        </row>
        <row r="168">
          <cell r="C168" t="str">
            <v>property_expenses_expense.PropertyExpenses.RepairsMaintenance.Property</v>
          </cell>
          <cell r="D168">
            <v>136</v>
          </cell>
          <cell r="E168">
            <v>5</v>
          </cell>
          <cell r="F168" t="str">
            <v>Header_5</v>
          </cell>
          <cell r="G168" t="str">
            <v>AddF</v>
          </cell>
          <cell r="I168" t="str">
            <v>Direct Property</v>
          </cell>
          <cell r="J168">
            <v>0</v>
          </cell>
          <cell r="K168">
            <v>0</v>
          </cell>
          <cell r="L168">
            <v>0</v>
          </cell>
          <cell r="M168">
            <v>0</v>
          </cell>
          <cell r="O168">
            <v>0</v>
          </cell>
          <cell r="V168" t="str">
            <v>NA</v>
          </cell>
          <cell r="X168">
            <v>0</v>
          </cell>
          <cell r="Y168" t="b">
            <v>0</v>
          </cell>
          <cell r="Z168" t="b">
            <v>0</v>
          </cell>
          <cell r="AA168" t="b">
            <v>0</v>
          </cell>
          <cell r="AB168">
            <v>0</v>
          </cell>
          <cell r="AC168" t="b">
            <v>1</v>
          </cell>
          <cell r="AE168" t="str">
            <v>P</v>
          </cell>
          <cell r="AF168">
            <v>0</v>
          </cell>
          <cell r="AG168">
            <v>0</v>
          </cell>
          <cell r="AI168">
            <v>0</v>
          </cell>
        </row>
        <row r="169">
          <cell r="C169" t="str">
            <v>property_expenses_expense.PropertyExpenses.RepairsMaintenance.Property.cb4fb5de-b893-454a-af8c-39d2f9dd8591</v>
          </cell>
          <cell r="D169">
            <v>137</v>
          </cell>
          <cell r="E169">
            <v>6</v>
          </cell>
          <cell r="F169" t="str">
            <v>Line_6</v>
          </cell>
          <cell r="G169" t="str">
            <v>AddF</v>
          </cell>
          <cell r="H169" t="str">
            <v>Class.ImportProperty</v>
          </cell>
          <cell r="I169" t="str">
            <v>Unit 6004, The Peninsular, Mooloolaba</v>
          </cell>
          <cell r="J169">
            <v>4441.07</v>
          </cell>
          <cell r="K169">
            <v>0</v>
          </cell>
          <cell r="L169">
            <v>4441.07</v>
          </cell>
          <cell r="M169">
            <v>0</v>
          </cell>
          <cell r="N169" t="str">
            <v>Add</v>
          </cell>
          <cell r="O169">
            <v>0</v>
          </cell>
          <cell r="V169" t="str">
            <v>NA</v>
          </cell>
          <cell r="X169">
            <v>0</v>
          </cell>
          <cell r="Y169" t="b">
            <v>0</v>
          </cell>
          <cell r="Z169" t="b">
            <v>0</v>
          </cell>
          <cell r="AA169" t="b">
            <v>0</v>
          </cell>
          <cell r="AB169">
            <v>0</v>
          </cell>
          <cell r="AC169" t="b">
            <v>1</v>
          </cell>
          <cell r="AE169" t="str">
            <v>P</v>
          </cell>
          <cell r="AF169">
            <v>0</v>
          </cell>
          <cell r="AG169">
            <v>0</v>
          </cell>
          <cell r="AI169">
            <v>0</v>
          </cell>
        </row>
        <row r="170">
          <cell r="C170" t="str">
            <v>Totalproperty_expenses_expense.PropertyExpenses.RepairsMaintenance.Property</v>
          </cell>
          <cell r="D170">
            <v>138</v>
          </cell>
          <cell r="E170">
            <v>5</v>
          </cell>
          <cell r="F170" t="str">
            <v>Total_5</v>
          </cell>
          <cell r="G170" t="str">
            <v>AddF</v>
          </cell>
          <cell r="I170" t="str">
            <v>Total Direct Property</v>
          </cell>
          <cell r="J170">
            <v>4441.07</v>
          </cell>
          <cell r="K170">
            <v>0</v>
          </cell>
          <cell r="L170">
            <v>4441.07</v>
          </cell>
          <cell r="M170">
            <v>0</v>
          </cell>
          <cell r="N170" t="str">
            <v>Add</v>
          </cell>
          <cell r="O170">
            <v>0</v>
          </cell>
          <cell r="V170" t="str">
            <v>NA</v>
          </cell>
          <cell r="X170">
            <v>0</v>
          </cell>
          <cell r="Y170" t="b">
            <v>0</v>
          </cell>
          <cell r="Z170" t="b">
            <v>0</v>
          </cell>
          <cell r="AA170" t="b">
            <v>0</v>
          </cell>
          <cell r="AB170">
            <v>0</v>
          </cell>
          <cell r="AC170" t="b">
            <v>1</v>
          </cell>
          <cell r="AE170" t="str">
            <v>P</v>
          </cell>
          <cell r="AF170">
            <v>0</v>
          </cell>
          <cell r="AG170">
            <v>0</v>
          </cell>
          <cell r="AI170">
            <v>0</v>
          </cell>
        </row>
        <row r="171">
          <cell r="C171" t="str">
            <v>Totalproperty_expenses_expense.PropertyExpenses.RepairsMaintenance</v>
          </cell>
          <cell r="D171">
            <v>139</v>
          </cell>
          <cell r="E171">
            <v>4</v>
          </cell>
          <cell r="F171" t="str">
            <v>Total_4</v>
          </cell>
          <cell r="G171" t="str">
            <v>AddF</v>
          </cell>
          <cell r="I171" t="str">
            <v>Total Repairs Maintenance</v>
          </cell>
          <cell r="J171">
            <v>4441.07</v>
          </cell>
          <cell r="K171">
            <v>0</v>
          </cell>
          <cell r="L171">
            <v>4441.07</v>
          </cell>
          <cell r="M171">
            <v>0</v>
          </cell>
          <cell r="N171" t="str">
            <v>Add</v>
          </cell>
          <cell r="O171">
            <v>0</v>
          </cell>
          <cell r="V171" t="str">
            <v>NA</v>
          </cell>
          <cell r="X171">
            <v>0</v>
          </cell>
          <cell r="Y171" t="b">
            <v>0</v>
          </cell>
          <cell r="Z171" t="b">
            <v>0</v>
          </cell>
          <cell r="AA171" t="b">
            <v>0</v>
          </cell>
          <cell r="AB171">
            <v>0</v>
          </cell>
          <cell r="AC171" t="b">
            <v>1</v>
          </cell>
          <cell r="AE171" t="str">
            <v>P</v>
          </cell>
          <cell r="AF171">
            <v>0</v>
          </cell>
          <cell r="AG171">
            <v>0</v>
          </cell>
          <cell r="AI171">
            <v>0</v>
          </cell>
        </row>
        <row r="172">
          <cell r="C172" t="str">
            <v>property_expenses_expense.PropertyExpenses.StrataLevyFee</v>
          </cell>
          <cell r="D172">
            <v>140</v>
          </cell>
          <cell r="E172">
            <v>4</v>
          </cell>
          <cell r="F172" t="str">
            <v>Header_4</v>
          </cell>
          <cell r="G172" t="str">
            <v>AddF</v>
          </cell>
          <cell r="I172" t="str">
            <v>Strata Levy Fee</v>
          </cell>
          <cell r="J172">
            <v>0</v>
          </cell>
          <cell r="K172">
            <v>0</v>
          </cell>
          <cell r="L172">
            <v>0</v>
          </cell>
          <cell r="M172">
            <v>0</v>
          </cell>
          <cell r="O172">
            <v>0</v>
          </cell>
          <cell r="V172" t="str">
            <v>NA</v>
          </cell>
          <cell r="X172">
            <v>0</v>
          </cell>
          <cell r="Y172" t="b">
            <v>0</v>
          </cell>
          <cell r="Z172" t="b">
            <v>0</v>
          </cell>
          <cell r="AA172" t="b">
            <v>0</v>
          </cell>
          <cell r="AB172">
            <v>0</v>
          </cell>
          <cell r="AC172" t="b">
            <v>1</v>
          </cell>
          <cell r="AE172" t="str">
            <v>P</v>
          </cell>
          <cell r="AF172">
            <v>0</v>
          </cell>
          <cell r="AG172">
            <v>0</v>
          </cell>
          <cell r="AI172">
            <v>0</v>
          </cell>
        </row>
        <row r="173">
          <cell r="C173" t="str">
            <v>property_expenses_expense.PropertyExpenses.StrataLevyFee.Property</v>
          </cell>
          <cell r="D173">
            <v>141</v>
          </cell>
          <cell r="E173">
            <v>5</v>
          </cell>
          <cell r="F173" t="str">
            <v>Header_5</v>
          </cell>
          <cell r="G173" t="str">
            <v>AddF</v>
          </cell>
          <cell r="I173" t="str">
            <v>Direct Property</v>
          </cell>
          <cell r="J173">
            <v>0</v>
          </cell>
          <cell r="K173">
            <v>0</v>
          </cell>
          <cell r="L173">
            <v>0</v>
          </cell>
          <cell r="M173">
            <v>0</v>
          </cell>
          <cell r="O173">
            <v>0</v>
          </cell>
          <cell r="V173" t="str">
            <v>NA</v>
          </cell>
          <cell r="X173">
            <v>0</v>
          </cell>
          <cell r="Y173" t="b">
            <v>0</v>
          </cell>
          <cell r="Z173" t="b">
            <v>0</v>
          </cell>
          <cell r="AA173" t="b">
            <v>0</v>
          </cell>
          <cell r="AB173">
            <v>0</v>
          </cell>
          <cell r="AC173" t="b">
            <v>1</v>
          </cell>
          <cell r="AE173" t="str">
            <v>P</v>
          </cell>
          <cell r="AF173">
            <v>0</v>
          </cell>
          <cell r="AG173">
            <v>0</v>
          </cell>
          <cell r="AI173">
            <v>0</v>
          </cell>
        </row>
        <row r="174">
          <cell r="C174" t="str">
            <v>property_expenses_expense.PropertyExpenses.StrataLevyFee.Property.cb4fb5de-b893-454a-af8c-39d2f9dd8591</v>
          </cell>
          <cell r="D174">
            <v>142</v>
          </cell>
          <cell r="E174">
            <v>6</v>
          </cell>
          <cell r="F174" t="str">
            <v>Line_6</v>
          </cell>
          <cell r="G174" t="str">
            <v>AddF</v>
          </cell>
          <cell r="H174" t="str">
            <v>Class.ImportProperty</v>
          </cell>
          <cell r="I174" t="str">
            <v>Unit 6004, The Peninsular, Mooloolaba</v>
          </cell>
          <cell r="J174">
            <v>4221</v>
          </cell>
          <cell r="K174">
            <v>0</v>
          </cell>
          <cell r="L174">
            <v>4221</v>
          </cell>
          <cell r="M174">
            <v>0</v>
          </cell>
          <cell r="N174" t="str">
            <v>Add</v>
          </cell>
          <cell r="O174">
            <v>0</v>
          </cell>
          <cell r="V174" t="str">
            <v>NA</v>
          </cell>
          <cell r="X174">
            <v>0</v>
          </cell>
          <cell r="Y174" t="b">
            <v>0</v>
          </cell>
          <cell r="Z174" t="b">
            <v>0</v>
          </cell>
          <cell r="AA174" t="b">
            <v>0</v>
          </cell>
          <cell r="AB174">
            <v>0</v>
          </cell>
          <cell r="AC174" t="b">
            <v>1</v>
          </cell>
          <cell r="AE174" t="str">
            <v>P</v>
          </cell>
          <cell r="AF174">
            <v>0</v>
          </cell>
          <cell r="AG174">
            <v>0</v>
          </cell>
          <cell r="AI174">
            <v>0</v>
          </cell>
        </row>
        <row r="175">
          <cell r="C175" t="str">
            <v>Totalproperty_expenses_expense.PropertyExpenses.StrataLevyFee.Property</v>
          </cell>
          <cell r="D175">
            <v>143</v>
          </cell>
          <cell r="E175">
            <v>5</v>
          </cell>
          <cell r="F175" t="str">
            <v>Total_5</v>
          </cell>
          <cell r="G175" t="str">
            <v>AddF</v>
          </cell>
          <cell r="I175" t="str">
            <v>Total Direct Property</v>
          </cell>
          <cell r="J175">
            <v>4221</v>
          </cell>
          <cell r="K175">
            <v>0</v>
          </cell>
          <cell r="L175">
            <v>4221</v>
          </cell>
          <cell r="M175">
            <v>0</v>
          </cell>
          <cell r="N175" t="str">
            <v>Add</v>
          </cell>
          <cell r="O175">
            <v>0</v>
          </cell>
          <cell r="V175" t="str">
            <v>NA</v>
          </cell>
          <cell r="X175">
            <v>0</v>
          </cell>
          <cell r="Y175" t="b">
            <v>0</v>
          </cell>
          <cell r="Z175" t="b">
            <v>0</v>
          </cell>
          <cell r="AA175" t="b">
            <v>0</v>
          </cell>
          <cell r="AB175">
            <v>0</v>
          </cell>
          <cell r="AC175" t="b">
            <v>1</v>
          </cell>
          <cell r="AE175" t="str">
            <v>P</v>
          </cell>
          <cell r="AF175">
            <v>0</v>
          </cell>
          <cell r="AG175">
            <v>0</v>
          </cell>
          <cell r="AI175">
            <v>0</v>
          </cell>
        </row>
        <row r="176">
          <cell r="C176" t="str">
            <v>Totalproperty_expenses_expense.PropertyExpenses.StrataLevyFee</v>
          </cell>
          <cell r="D176">
            <v>144</v>
          </cell>
          <cell r="E176">
            <v>4</v>
          </cell>
          <cell r="F176" t="str">
            <v>Total_4</v>
          </cell>
          <cell r="G176" t="str">
            <v>AddF</v>
          </cell>
          <cell r="I176" t="str">
            <v>Total Strata Levy Fee</v>
          </cell>
          <cell r="J176">
            <v>4221</v>
          </cell>
          <cell r="K176">
            <v>0</v>
          </cell>
          <cell r="L176">
            <v>4221</v>
          </cell>
          <cell r="M176">
            <v>0</v>
          </cell>
          <cell r="N176" t="str">
            <v>Add</v>
          </cell>
          <cell r="O176">
            <v>0</v>
          </cell>
          <cell r="V176" t="str">
            <v>NA</v>
          </cell>
          <cell r="X176">
            <v>0</v>
          </cell>
          <cell r="Y176" t="b">
            <v>0</v>
          </cell>
          <cell r="Z176" t="b">
            <v>0</v>
          </cell>
          <cell r="AA176" t="b">
            <v>0</v>
          </cell>
          <cell r="AB176">
            <v>0</v>
          </cell>
          <cell r="AC176" t="b">
            <v>1</v>
          </cell>
          <cell r="AE176" t="str">
            <v>P</v>
          </cell>
          <cell r="AF176">
            <v>0</v>
          </cell>
          <cell r="AG176">
            <v>0</v>
          </cell>
          <cell r="AI176">
            <v>0</v>
          </cell>
        </row>
        <row r="177">
          <cell r="C177" t="str">
            <v>property_expenses_expense.PropertyExpenses.WaterLevyFee</v>
          </cell>
          <cell r="D177">
            <v>145</v>
          </cell>
          <cell r="E177">
            <v>4</v>
          </cell>
          <cell r="F177" t="str">
            <v>Header_4</v>
          </cell>
          <cell r="G177" t="str">
            <v>AddF</v>
          </cell>
          <cell r="I177" t="str">
            <v>Water Rates</v>
          </cell>
          <cell r="J177">
            <v>0</v>
          </cell>
          <cell r="K177">
            <v>0</v>
          </cell>
          <cell r="L177">
            <v>0</v>
          </cell>
          <cell r="M177">
            <v>0</v>
          </cell>
          <cell r="O177">
            <v>0</v>
          </cell>
          <cell r="V177" t="str">
            <v>NA</v>
          </cell>
          <cell r="X177">
            <v>0</v>
          </cell>
          <cell r="Y177" t="b">
            <v>0</v>
          </cell>
          <cell r="Z177" t="b">
            <v>0</v>
          </cell>
          <cell r="AA177" t="b">
            <v>0</v>
          </cell>
          <cell r="AB177">
            <v>0</v>
          </cell>
          <cell r="AC177" t="b">
            <v>1</v>
          </cell>
          <cell r="AE177" t="str">
            <v>P</v>
          </cell>
          <cell r="AF177">
            <v>0</v>
          </cell>
          <cell r="AG177">
            <v>0</v>
          </cell>
          <cell r="AI177">
            <v>0</v>
          </cell>
        </row>
        <row r="178">
          <cell r="C178" t="str">
            <v>property_expenses_expense.PropertyExpenses.WaterLevyFee.Property</v>
          </cell>
          <cell r="D178">
            <v>146</v>
          </cell>
          <cell r="E178">
            <v>5</v>
          </cell>
          <cell r="F178" t="str">
            <v>Header_5</v>
          </cell>
          <cell r="G178" t="str">
            <v>AddF</v>
          </cell>
          <cell r="I178" t="str">
            <v>Direct Property</v>
          </cell>
          <cell r="J178">
            <v>0</v>
          </cell>
          <cell r="K178">
            <v>0</v>
          </cell>
          <cell r="L178">
            <v>0</v>
          </cell>
          <cell r="M178">
            <v>0</v>
          </cell>
          <cell r="O178">
            <v>0</v>
          </cell>
          <cell r="V178" t="str">
            <v>NA</v>
          </cell>
          <cell r="X178">
            <v>0</v>
          </cell>
          <cell r="Y178" t="b">
            <v>0</v>
          </cell>
          <cell r="Z178" t="b">
            <v>0</v>
          </cell>
          <cell r="AA178" t="b">
            <v>0</v>
          </cell>
          <cell r="AB178">
            <v>0</v>
          </cell>
          <cell r="AC178" t="b">
            <v>1</v>
          </cell>
          <cell r="AE178" t="str">
            <v>P</v>
          </cell>
          <cell r="AF178">
            <v>0</v>
          </cell>
          <cell r="AG178">
            <v>0</v>
          </cell>
          <cell r="AI178">
            <v>0</v>
          </cell>
        </row>
        <row r="179">
          <cell r="C179" t="str">
            <v>property_expenses_expense.PropertyExpenses.WaterLevyFee.Property.cb4fb5de-b893-454a-af8c-39d2f9dd8591</v>
          </cell>
          <cell r="D179">
            <v>147</v>
          </cell>
          <cell r="E179">
            <v>6</v>
          </cell>
          <cell r="F179" t="str">
            <v>Line_6</v>
          </cell>
          <cell r="G179" t="str">
            <v>AddF</v>
          </cell>
          <cell r="H179" t="str">
            <v>Class.ImportProperty</v>
          </cell>
          <cell r="I179" t="str">
            <v>Unit 6004, The Peninsular, Mooloolaba</v>
          </cell>
          <cell r="J179">
            <v>1041.8499999999999</v>
          </cell>
          <cell r="K179">
            <v>0</v>
          </cell>
          <cell r="L179">
            <v>1041.8499999999999</v>
          </cell>
          <cell r="M179">
            <v>0</v>
          </cell>
          <cell r="N179" t="str">
            <v>Add</v>
          </cell>
          <cell r="O179">
            <v>0</v>
          </cell>
          <cell r="V179" t="str">
            <v>NA</v>
          </cell>
          <cell r="X179">
            <v>0</v>
          </cell>
          <cell r="Y179" t="b">
            <v>0</v>
          </cell>
          <cell r="Z179" t="b">
            <v>0</v>
          </cell>
          <cell r="AA179" t="b">
            <v>0</v>
          </cell>
          <cell r="AB179">
            <v>0</v>
          </cell>
          <cell r="AC179" t="b">
            <v>1</v>
          </cell>
          <cell r="AE179" t="str">
            <v>P</v>
          </cell>
          <cell r="AF179">
            <v>0</v>
          </cell>
          <cell r="AG179">
            <v>0</v>
          </cell>
          <cell r="AI179">
            <v>0</v>
          </cell>
        </row>
        <row r="180">
          <cell r="C180" t="str">
            <v>Totalproperty_expenses_expense.PropertyExpenses.WaterLevyFee.Property</v>
          </cell>
          <cell r="D180">
            <v>148</v>
          </cell>
          <cell r="E180">
            <v>5</v>
          </cell>
          <cell r="F180" t="str">
            <v>Total_5</v>
          </cell>
          <cell r="G180" t="str">
            <v>AddF</v>
          </cell>
          <cell r="I180" t="str">
            <v>Total Direct Property</v>
          </cell>
          <cell r="J180">
            <v>1041.8499999999999</v>
          </cell>
          <cell r="K180">
            <v>0</v>
          </cell>
          <cell r="L180">
            <v>1041.8499999999999</v>
          </cell>
          <cell r="M180">
            <v>0</v>
          </cell>
          <cell r="N180" t="str">
            <v>Add</v>
          </cell>
          <cell r="O180">
            <v>0</v>
          </cell>
          <cell r="V180" t="str">
            <v>NA</v>
          </cell>
          <cell r="X180">
            <v>0</v>
          </cell>
          <cell r="Y180" t="b">
            <v>0</v>
          </cell>
          <cell r="Z180" t="b">
            <v>0</v>
          </cell>
          <cell r="AA180" t="b">
            <v>0</v>
          </cell>
          <cell r="AB180">
            <v>0</v>
          </cell>
          <cell r="AC180" t="b">
            <v>1</v>
          </cell>
          <cell r="AE180" t="str">
            <v>P</v>
          </cell>
          <cell r="AF180">
            <v>0</v>
          </cell>
          <cell r="AG180">
            <v>0</v>
          </cell>
          <cell r="AI180">
            <v>0</v>
          </cell>
        </row>
        <row r="181">
          <cell r="C181" t="str">
            <v>Totalproperty_expenses_expense.PropertyExpenses.WaterLevyFee</v>
          </cell>
          <cell r="D181">
            <v>149</v>
          </cell>
          <cell r="E181">
            <v>4</v>
          </cell>
          <cell r="F181" t="str">
            <v>Total_4</v>
          </cell>
          <cell r="G181" t="str">
            <v>AddF</v>
          </cell>
          <cell r="I181" t="str">
            <v>Total Water Rates</v>
          </cell>
          <cell r="J181">
            <v>1041.8499999999999</v>
          </cell>
          <cell r="K181">
            <v>0</v>
          </cell>
          <cell r="L181">
            <v>1041.8499999999999</v>
          </cell>
          <cell r="M181">
            <v>0</v>
          </cell>
          <cell r="N181" t="str">
            <v>Add</v>
          </cell>
          <cell r="O181">
            <v>0</v>
          </cell>
          <cell r="V181" t="str">
            <v>NA</v>
          </cell>
          <cell r="X181">
            <v>0</v>
          </cell>
          <cell r="Y181" t="b">
            <v>0</v>
          </cell>
          <cell r="Z181" t="b">
            <v>0</v>
          </cell>
          <cell r="AA181" t="b">
            <v>0</v>
          </cell>
          <cell r="AB181">
            <v>0</v>
          </cell>
          <cell r="AC181" t="b">
            <v>1</v>
          </cell>
          <cell r="AE181" t="str">
            <v>P</v>
          </cell>
          <cell r="AF181">
            <v>0</v>
          </cell>
          <cell r="AG181">
            <v>0</v>
          </cell>
          <cell r="AI181">
            <v>0</v>
          </cell>
        </row>
        <row r="182">
          <cell r="C182" t="str">
            <v>Totalproperty_expenses_expense</v>
          </cell>
          <cell r="D182">
            <v>150</v>
          </cell>
          <cell r="E182">
            <v>3</v>
          </cell>
          <cell r="F182" t="str">
            <v>Total_3</v>
          </cell>
          <cell r="G182" t="str">
            <v>AddF</v>
          </cell>
          <cell r="I182" t="str">
            <v>Total Property Expenses</v>
          </cell>
          <cell r="J182">
            <v>41528.82</v>
          </cell>
          <cell r="K182">
            <v>0</v>
          </cell>
          <cell r="L182">
            <v>41528.82</v>
          </cell>
          <cell r="M182">
            <v>0</v>
          </cell>
          <cell r="N182" t="str">
            <v>Add</v>
          </cell>
          <cell r="O182">
            <v>0</v>
          </cell>
          <cell r="V182" t="str">
            <v>NA</v>
          </cell>
          <cell r="X182">
            <v>0</v>
          </cell>
          <cell r="Y182" t="b">
            <v>0</v>
          </cell>
          <cell r="Z182" t="b">
            <v>0</v>
          </cell>
          <cell r="AA182" t="b">
            <v>0</v>
          </cell>
          <cell r="AB182">
            <v>0</v>
          </cell>
          <cell r="AC182" t="b">
            <v>1</v>
          </cell>
          <cell r="AE182" t="str">
            <v>P</v>
          </cell>
          <cell r="AF182">
            <v>0</v>
          </cell>
          <cell r="AG182">
            <v>0</v>
          </cell>
          <cell r="AI182">
            <v>0</v>
          </cell>
        </row>
        <row r="183">
          <cell r="C183" t="str">
            <v>regulatory_fees_expense</v>
          </cell>
          <cell r="D183">
            <v>151</v>
          </cell>
          <cell r="E183">
            <v>3</v>
          </cell>
          <cell r="F183" t="str">
            <v>Line_3</v>
          </cell>
          <cell r="G183" t="str">
            <v>AddF</v>
          </cell>
          <cell r="I183" t="str">
            <v>Regulatory Fees</v>
          </cell>
          <cell r="J183">
            <v>47</v>
          </cell>
          <cell r="K183">
            <v>0</v>
          </cell>
          <cell r="L183">
            <v>47</v>
          </cell>
          <cell r="M183">
            <v>0</v>
          </cell>
          <cell r="N183" t="str">
            <v>Add</v>
          </cell>
          <cell r="O183">
            <v>0</v>
          </cell>
          <cell r="V183" t="str">
            <v>NA</v>
          </cell>
          <cell r="X183">
            <v>0</v>
          </cell>
          <cell r="Y183" t="b">
            <v>0</v>
          </cell>
          <cell r="Z183" t="b">
            <v>0</v>
          </cell>
          <cell r="AA183" t="b">
            <v>0</v>
          </cell>
          <cell r="AB183">
            <v>0</v>
          </cell>
          <cell r="AC183" t="b">
            <v>1</v>
          </cell>
          <cell r="AE183" t="str">
            <v>P</v>
          </cell>
          <cell r="AF183">
            <v>0</v>
          </cell>
          <cell r="AG183">
            <v>0</v>
          </cell>
          <cell r="AI183">
            <v>0</v>
          </cell>
        </row>
        <row r="184">
          <cell r="C184" t="str">
            <v>sundries_expense.RegulatoryExpense.SMSFSupervisoryLevy</v>
          </cell>
          <cell r="D184">
            <v>152</v>
          </cell>
          <cell r="E184">
            <v>3</v>
          </cell>
          <cell r="F184" t="str">
            <v>Line_3</v>
          </cell>
          <cell r="G184" t="str">
            <v>AddF</v>
          </cell>
          <cell r="I184" t="str">
            <v>SMSF Supervisory Levy</v>
          </cell>
          <cell r="J184">
            <v>259</v>
          </cell>
          <cell r="K184">
            <v>0</v>
          </cell>
          <cell r="L184">
            <v>259</v>
          </cell>
          <cell r="M184">
            <v>0</v>
          </cell>
          <cell r="N184" t="str">
            <v>Add</v>
          </cell>
          <cell r="O184">
            <v>0</v>
          </cell>
          <cell r="V184" t="str">
            <v>NA</v>
          </cell>
          <cell r="X184">
            <v>0</v>
          </cell>
          <cell r="Y184" t="b">
            <v>0</v>
          </cell>
          <cell r="Z184" t="b">
            <v>0</v>
          </cell>
          <cell r="AA184" t="b">
            <v>0</v>
          </cell>
          <cell r="AB184">
            <v>0</v>
          </cell>
          <cell r="AC184" t="b">
            <v>1</v>
          </cell>
          <cell r="AE184" t="str">
            <v>P</v>
          </cell>
          <cell r="AF184">
            <v>0</v>
          </cell>
          <cell r="AG184">
            <v>0</v>
          </cell>
          <cell r="AI184">
            <v>0</v>
          </cell>
        </row>
        <row r="185">
          <cell r="C185" t="str">
            <v>Totalother_expenses</v>
          </cell>
          <cell r="D185">
            <v>153</v>
          </cell>
          <cell r="E185">
            <v>2</v>
          </cell>
          <cell r="F185" t="str">
            <v>Total_2</v>
          </cell>
          <cell r="G185" t="str">
            <v>AddF</v>
          </cell>
          <cell r="I185" t="str">
            <v>Total Other Expenses</v>
          </cell>
          <cell r="J185">
            <v>59010.98</v>
          </cell>
          <cell r="K185">
            <v>0</v>
          </cell>
          <cell r="L185">
            <v>59010.98</v>
          </cell>
          <cell r="M185">
            <v>0</v>
          </cell>
          <cell r="N185" t="str">
            <v>Add</v>
          </cell>
          <cell r="O185">
            <v>0</v>
          </cell>
          <cell r="V185" t="str">
            <v>NA</v>
          </cell>
          <cell r="X185">
            <v>0</v>
          </cell>
          <cell r="Y185" t="b">
            <v>0</v>
          </cell>
          <cell r="Z185" t="b">
            <v>0</v>
          </cell>
          <cell r="AA185" t="b">
            <v>0</v>
          </cell>
          <cell r="AB185">
            <v>0</v>
          </cell>
          <cell r="AC185" t="b">
            <v>1</v>
          </cell>
          <cell r="AE185" t="str">
            <v>P</v>
          </cell>
          <cell r="AF185">
            <v>0</v>
          </cell>
          <cell r="AG185">
            <v>0</v>
          </cell>
          <cell r="AI185">
            <v>0</v>
          </cell>
        </row>
        <row r="186">
          <cell r="C186" t="str">
            <v>investment_losses</v>
          </cell>
          <cell r="D186">
            <v>154</v>
          </cell>
          <cell r="E186">
            <v>2</v>
          </cell>
          <cell r="F186" t="str">
            <v>Header_2</v>
          </cell>
          <cell r="G186" t="str">
            <v>AddF</v>
          </cell>
          <cell r="I186" t="str">
            <v>Investment Losses</v>
          </cell>
          <cell r="J186">
            <v>0</v>
          </cell>
          <cell r="K186">
            <v>0</v>
          </cell>
          <cell r="L186">
            <v>0</v>
          </cell>
          <cell r="M186">
            <v>0</v>
          </cell>
          <cell r="O186">
            <v>0</v>
          </cell>
          <cell r="V186" t="str">
            <v>NA</v>
          </cell>
          <cell r="X186">
            <v>0</v>
          </cell>
          <cell r="Y186" t="b">
            <v>0</v>
          </cell>
          <cell r="Z186" t="b">
            <v>0</v>
          </cell>
          <cell r="AA186" t="b">
            <v>0</v>
          </cell>
          <cell r="AB186">
            <v>0</v>
          </cell>
          <cell r="AC186" t="b">
            <v>1</v>
          </cell>
          <cell r="AE186" t="str">
            <v>P</v>
          </cell>
          <cell r="AF186">
            <v>0</v>
          </cell>
          <cell r="AG186">
            <v>0</v>
          </cell>
          <cell r="AI186">
            <v>0</v>
          </cell>
        </row>
        <row r="187">
          <cell r="C187" t="str">
            <v>increase_in_market_value</v>
          </cell>
          <cell r="D187">
            <v>155</v>
          </cell>
          <cell r="E187">
            <v>3</v>
          </cell>
          <cell r="F187" t="str">
            <v>Header_3</v>
          </cell>
          <cell r="G187" t="str">
            <v>AddF</v>
          </cell>
          <cell r="I187" t="str">
            <v>Decrease in Market Value</v>
          </cell>
          <cell r="J187">
            <v>0</v>
          </cell>
          <cell r="K187">
            <v>0</v>
          </cell>
          <cell r="L187">
            <v>0</v>
          </cell>
          <cell r="M187">
            <v>0</v>
          </cell>
          <cell r="O187">
            <v>0</v>
          </cell>
          <cell r="V187" t="str">
            <v>NA</v>
          </cell>
          <cell r="X187">
            <v>0</v>
          </cell>
          <cell r="Y187" t="b">
            <v>0</v>
          </cell>
          <cell r="Z187" t="b">
            <v>0</v>
          </cell>
          <cell r="AA187" t="b">
            <v>0</v>
          </cell>
          <cell r="AB187">
            <v>0</v>
          </cell>
          <cell r="AC187" t="b">
            <v>1</v>
          </cell>
          <cell r="AE187" t="str">
            <v>P</v>
          </cell>
          <cell r="AF187">
            <v>0</v>
          </cell>
          <cell r="AG187">
            <v>0</v>
          </cell>
          <cell r="AI187">
            <v>0</v>
          </cell>
        </row>
        <row r="188">
          <cell r="C188" t="str">
            <v>increase_in_market_value.Property</v>
          </cell>
          <cell r="D188">
            <v>156</v>
          </cell>
          <cell r="E188">
            <v>4</v>
          </cell>
          <cell r="F188" t="str">
            <v>Header_4</v>
          </cell>
          <cell r="G188" t="str">
            <v>AddF</v>
          </cell>
          <cell r="I188" t="str">
            <v>Direct Property</v>
          </cell>
          <cell r="J188">
            <v>0</v>
          </cell>
          <cell r="K188">
            <v>0</v>
          </cell>
          <cell r="L188">
            <v>0</v>
          </cell>
          <cell r="M188">
            <v>0</v>
          </cell>
          <cell r="O188">
            <v>0</v>
          </cell>
          <cell r="V188" t="str">
            <v>NA</v>
          </cell>
          <cell r="X188">
            <v>0</v>
          </cell>
          <cell r="Y188" t="b">
            <v>0</v>
          </cell>
          <cell r="Z188" t="b">
            <v>0</v>
          </cell>
          <cell r="AA188" t="b">
            <v>0</v>
          </cell>
          <cell r="AB188">
            <v>0</v>
          </cell>
          <cell r="AC188" t="b">
            <v>1</v>
          </cell>
          <cell r="AE188" t="str">
            <v>P</v>
          </cell>
          <cell r="AF188">
            <v>0</v>
          </cell>
          <cell r="AG188">
            <v>0</v>
          </cell>
          <cell r="AI188">
            <v>0</v>
          </cell>
        </row>
        <row r="189">
          <cell r="C189" t="str">
            <v>increase_in_market_value.Property.cb4fb5de-b893-454a-af8c-39d2f9dd8591</v>
          </cell>
          <cell r="D189">
            <v>157</v>
          </cell>
          <cell r="E189">
            <v>5</v>
          </cell>
          <cell r="F189" t="str">
            <v>Line_5</v>
          </cell>
          <cell r="G189" t="str">
            <v>AddF</v>
          </cell>
          <cell r="H189" t="str">
            <v>Class.ImportProperty</v>
          </cell>
          <cell r="I189" t="str">
            <v>Unit 6004, The Peninsular, Mooloolaba</v>
          </cell>
          <cell r="J189">
            <v>-1644.16</v>
          </cell>
          <cell r="K189">
            <v>0</v>
          </cell>
          <cell r="L189">
            <v>-1644.16</v>
          </cell>
          <cell r="M189">
            <v>0</v>
          </cell>
          <cell r="N189" t="str">
            <v>Add</v>
          </cell>
          <cell r="O189">
            <v>0</v>
          </cell>
          <cell r="V189" t="str">
            <v>NA</v>
          </cell>
          <cell r="X189">
            <v>0</v>
          </cell>
          <cell r="Y189" t="b">
            <v>0</v>
          </cell>
          <cell r="Z189" t="b">
            <v>0</v>
          </cell>
          <cell r="AA189" t="b">
            <v>0</v>
          </cell>
          <cell r="AB189">
            <v>0</v>
          </cell>
          <cell r="AC189" t="b">
            <v>1</v>
          </cell>
          <cell r="AE189" t="str">
            <v>P</v>
          </cell>
          <cell r="AF189">
            <v>0</v>
          </cell>
          <cell r="AG189">
            <v>0</v>
          </cell>
          <cell r="AI189">
            <v>0</v>
          </cell>
        </row>
        <row r="190">
          <cell r="C190" t="str">
            <v>Totalincrease_in_market_value.Property</v>
          </cell>
          <cell r="D190">
            <v>158</v>
          </cell>
          <cell r="E190">
            <v>4</v>
          </cell>
          <cell r="F190" t="str">
            <v>Total_4</v>
          </cell>
          <cell r="G190" t="str">
            <v>AddF</v>
          </cell>
          <cell r="I190" t="str">
            <v>Total Direct Property</v>
          </cell>
          <cell r="J190">
            <v>-1644.16</v>
          </cell>
          <cell r="K190">
            <v>0</v>
          </cell>
          <cell r="L190">
            <v>-1644.16</v>
          </cell>
          <cell r="M190">
            <v>0</v>
          </cell>
          <cell r="N190" t="str">
            <v>Add</v>
          </cell>
          <cell r="O190">
            <v>0</v>
          </cell>
          <cell r="V190" t="str">
            <v>NA</v>
          </cell>
          <cell r="X190">
            <v>0</v>
          </cell>
          <cell r="Y190" t="b">
            <v>0</v>
          </cell>
          <cell r="Z190" t="b">
            <v>0</v>
          </cell>
          <cell r="AA190" t="b">
            <v>0</v>
          </cell>
          <cell r="AB190">
            <v>0</v>
          </cell>
          <cell r="AC190" t="b">
            <v>1</v>
          </cell>
          <cell r="AE190" t="str">
            <v>P</v>
          </cell>
          <cell r="AF190">
            <v>0</v>
          </cell>
          <cell r="AG190">
            <v>0</v>
          </cell>
          <cell r="AI190">
            <v>0</v>
          </cell>
        </row>
        <row r="191">
          <cell r="C191" t="str">
            <v>increase_in_market_value.OtherFixedInterest</v>
          </cell>
          <cell r="D191">
            <v>159</v>
          </cell>
          <cell r="E191">
            <v>4</v>
          </cell>
          <cell r="F191" t="str">
            <v>Header_4</v>
          </cell>
          <cell r="G191" t="str">
            <v>AddF</v>
          </cell>
          <cell r="I191" t="str">
            <v>Other Fixed Interest Securities</v>
          </cell>
          <cell r="J191">
            <v>0</v>
          </cell>
          <cell r="K191">
            <v>0</v>
          </cell>
          <cell r="L191">
            <v>0</v>
          </cell>
          <cell r="M191">
            <v>0</v>
          </cell>
          <cell r="O191">
            <v>0</v>
          </cell>
          <cell r="V191" t="str">
            <v>NA</v>
          </cell>
          <cell r="X191">
            <v>0</v>
          </cell>
          <cell r="Y191" t="b">
            <v>0</v>
          </cell>
          <cell r="Z191" t="b">
            <v>0</v>
          </cell>
          <cell r="AA191" t="b">
            <v>0</v>
          </cell>
          <cell r="AB191">
            <v>0</v>
          </cell>
          <cell r="AC191" t="b">
            <v>1</v>
          </cell>
          <cell r="AE191" t="str">
            <v>P</v>
          </cell>
          <cell r="AF191">
            <v>0</v>
          </cell>
          <cell r="AG191">
            <v>0</v>
          </cell>
          <cell r="AI191">
            <v>0</v>
          </cell>
        </row>
        <row r="192">
          <cell r="C192" t="str">
            <v>increase_in_market_value.OtherFixedInterest.fadeec77-42db-4e5e-85db-6bf9ece3a26c</v>
          </cell>
          <cell r="D192">
            <v>160</v>
          </cell>
          <cell r="E192">
            <v>5</v>
          </cell>
          <cell r="F192" t="str">
            <v>Line_5</v>
          </cell>
          <cell r="G192" t="str">
            <v>AddF</v>
          </cell>
          <cell r="I192" t="str">
            <v>AGL Energy Limited. - Hybrid 3-Bbsw+3.80% 08-06-39 Sub Step T-06-19</v>
          </cell>
          <cell r="J192">
            <v>-3980</v>
          </cell>
          <cell r="K192">
            <v>0</v>
          </cell>
          <cell r="L192">
            <v>-3980</v>
          </cell>
          <cell r="M192">
            <v>0</v>
          </cell>
          <cell r="N192" t="str">
            <v>Add</v>
          </cell>
          <cell r="O192">
            <v>0</v>
          </cell>
          <cell r="V192" t="str">
            <v>NA</v>
          </cell>
          <cell r="X192">
            <v>0</v>
          </cell>
          <cell r="Y192" t="b">
            <v>0</v>
          </cell>
          <cell r="Z192" t="b">
            <v>0</v>
          </cell>
          <cell r="AA192" t="b">
            <v>0</v>
          </cell>
          <cell r="AB192">
            <v>0</v>
          </cell>
          <cell r="AC192" t="b">
            <v>1</v>
          </cell>
          <cell r="AE192" t="str">
            <v>P</v>
          </cell>
          <cell r="AF192">
            <v>0</v>
          </cell>
          <cell r="AG192">
            <v>0</v>
          </cell>
          <cell r="AI192">
            <v>0</v>
          </cell>
        </row>
        <row r="193">
          <cell r="C193" t="str">
            <v>increase_in_market_value.OtherFixedInterest.f0f4db9a-7385-4541-ae22-c5c550e0f92e</v>
          </cell>
          <cell r="D193">
            <v>161</v>
          </cell>
          <cell r="E193">
            <v>5</v>
          </cell>
          <cell r="F193" t="str">
            <v>Line_5</v>
          </cell>
          <cell r="G193" t="str">
            <v>AddF</v>
          </cell>
          <cell r="I193" t="str">
            <v>Macquarie Bank Limited - Hybrid 3-Bbsw+1.70% Perp Sub Non-Cum Stap</v>
          </cell>
          <cell r="J193">
            <v>-2410</v>
          </cell>
          <cell r="K193">
            <v>0</v>
          </cell>
          <cell r="L193">
            <v>-2410</v>
          </cell>
          <cell r="M193">
            <v>0</v>
          </cell>
          <cell r="N193" t="str">
            <v>Add</v>
          </cell>
          <cell r="O193">
            <v>0</v>
          </cell>
          <cell r="V193" t="str">
            <v>NA</v>
          </cell>
          <cell r="X193">
            <v>0</v>
          </cell>
          <cell r="Y193" t="b">
            <v>0</v>
          </cell>
          <cell r="Z193" t="b">
            <v>0</v>
          </cell>
          <cell r="AA193" t="b">
            <v>0</v>
          </cell>
          <cell r="AB193">
            <v>0</v>
          </cell>
          <cell r="AC193" t="b">
            <v>1</v>
          </cell>
          <cell r="AE193" t="str">
            <v>P</v>
          </cell>
          <cell r="AF193">
            <v>0</v>
          </cell>
          <cell r="AG193">
            <v>0</v>
          </cell>
          <cell r="AI193">
            <v>0</v>
          </cell>
        </row>
        <row r="194">
          <cell r="C194" t="str">
            <v>increase_in_market_value.OtherFixedInterest.8095f795-30a9-40b9-8e6f-d3cb26fb2897</v>
          </cell>
          <cell r="D194">
            <v>162</v>
          </cell>
          <cell r="E194">
            <v>5</v>
          </cell>
          <cell r="F194" t="str">
            <v>Line_5</v>
          </cell>
          <cell r="G194" t="str">
            <v>AddF</v>
          </cell>
          <cell r="I194" t="str">
            <v>NAB Ltd - Hybrid 3-Bbsw+1.25% Perp Sub Exch Non-Cum Stap</v>
          </cell>
          <cell r="J194">
            <v>-2414.1999999999998</v>
          </cell>
          <cell r="K194">
            <v>0</v>
          </cell>
          <cell r="L194">
            <v>-2414.1999999999998</v>
          </cell>
          <cell r="M194">
            <v>0</v>
          </cell>
          <cell r="N194" t="str">
            <v>Add</v>
          </cell>
          <cell r="O194">
            <v>0</v>
          </cell>
          <cell r="V194" t="str">
            <v>NA</v>
          </cell>
          <cell r="X194">
            <v>0</v>
          </cell>
          <cell r="Y194" t="b">
            <v>0</v>
          </cell>
          <cell r="Z194" t="b">
            <v>0</v>
          </cell>
          <cell r="AA194" t="b">
            <v>0</v>
          </cell>
          <cell r="AB194">
            <v>0</v>
          </cell>
          <cell r="AC194" t="b">
            <v>1</v>
          </cell>
          <cell r="AE194" t="str">
            <v>P</v>
          </cell>
          <cell r="AF194">
            <v>0</v>
          </cell>
          <cell r="AG194">
            <v>0</v>
          </cell>
          <cell r="AI194">
            <v>0</v>
          </cell>
        </row>
        <row r="195">
          <cell r="C195" t="str">
            <v>increase_in_market_value.OtherFixedInterest.d8df9507-7f52-4c67-a6eb-65c956241327</v>
          </cell>
          <cell r="D195">
            <v>163</v>
          </cell>
          <cell r="E195">
            <v>5</v>
          </cell>
          <cell r="F195" t="str">
            <v>Line_5</v>
          </cell>
          <cell r="G195" t="str">
            <v>AddF</v>
          </cell>
          <cell r="I195" t="str">
            <v>Origin Energy Limited - Hybrid 3-Bbsw+4.00% 22-12-71 Sub Cum Red T-12-16</v>
          </cell>
          <cell r="J195">
            <v>-1180</v>
          </cell>
          <cell r="K195">
            <v>0</v>
          </cell>
          <cell r="L195">
            <v>-1180</v>
          </cell>
          <cell r="M195">
            <v>0</v>
          </cell>
          <cell r="N195" t="str">
            <v>Add</v>
          </cell>
          <cell r="O195">
            <v>0</v>
          </cell>
          <cell r="V195" t="str">
            <v>NA</v>
          </cell>
          <cell r="X195">
            <v>0</v>
          </cell>
          <cell r="Y195" t="b">
            <v>0</v>
          </cell>
          <cell r="Z195" t="b">
            <v>0</v>
          </cell>
          <cell r="AA195" t="b">
            <v>0</v>
          </cell>
          <cell r="AB195">
            <v>0</v>
          </cell>
          <cell r="AC195" t="b">
            <v>1</v>
          </cell>
          <cell r="AE195" t="str">
            <v>P</v>
          </cell>
          <cell r="AF195">
            <v>0</v>
          </cell>
          <cell r="AG195">
            <v>0</v>
          </cell>
          <cell r="AI195">
            <v>0</v>
          </cell>
        </row>
        <row r="196">
          <cell r="C196" t="str">
            <v>increase_in_market_value.OtherFixedInterest.919b1fa8-a96c-4861-942b-8aad5464e14d</v>
          </cell>
          <cell r="D196">
            <v>164</v>
          </cell>
          <cell r="E196">
            <v>5</v>
          </cell>
          <cell r="F196" t="str">
            <v>Line_5</v>
          </cell>
          <cell r="G196" t="str">
            <v>AddF</v>
          </cell>
          <cell r="I196" t="str">
            <v>Westpac Banking Corporation - Sub Bond 3-Bbsw+2.75% 23-8-22 Red T-08-17</v>
          </cell>
          <cell r="J196">
            <v>1240</v>
          </cell>
          <cell r="K196">
            <v>0</v>
          </cell>
          <cell r="L196">
            <v>1240</v>
          </cell>
          <cell r="M196">
            <v>0</v>
          </cell>
          <cell r="N196" t="str">
            <v>Add</v>
          </cell>
          <cell r="O196">
            <v>0</v>
          </cell>
          <cell r="V196" t="str">
            <v>NA</v>
          </cell>
          <cell r="X196">
            <v>0</v>
          </cell>
          <cell r="Y196" t="b">
            <v>0</v>
          </cell>
          <cell r="Z196" t="b">
            <v>0</v>
          </cell>
          <cell r="AA196" t="b">
            <v>0</v>
          </cell>
          <cell r="AB196">
            <v>0</v>
          </cell>
          <cell r="AC196" t="b">
            <v>1</v>
          </cell>
          <cell r="AE196" t="str">
            <v>P</v>
          </cell>
          <cell r="AF196">
            <v>0</v>
          </cell>
          <cell r="AG196">
            <v>0</v>
          </cell>
          <cell r="AI196">
            <v>0</v>
          </cell>
        </row>
        <row r="197">
          <cell r="C197" t="str">
            <v>Totalincrease_in_market_value.OtherFixedInterest</v>
          </cell>
          <cell r="D197">
            <v>165</v>
          </cell>
          <cell r="E197">
            <v>4</v>
          </cell>
          <cell r="F197" t="str">
            <v>Total_4</v>
          </cell>
          <cell r="G197" t="str">
            <v>AddF</v>
          </cell>
          <cell r="I197" t="str">
            <v>Total Other Fixed Interest Securities</v>
          </cell>
          <cell r="J197">
            <v>-8744.2000000000007</v>
          </cell>
          <cell r="K197">
            <v>0</v>
          </cell>
          <cell r="L197">
            <v>-8744.2000000000007</v>
          </cell>
          <cell r="M197">
            <v>0</v>
          </cell>
          <cell r="N197" t="str">
            <v>Add</v>
          </cell>
          <cell r="O197">
            <v>0</v>
          </cell>
          <cell r="V197" t="str">
            <v>NA</v>
          </cell>
          <cell r="X197">
            <v>0</v>
          </cell>
          <cell r="Y197" t="b">
            <v>0</v>
          </cell>
          <cell r="Z197" t="b">
            <v>0</v>
          </cell>
          <cell r="AA197" t="b">
            <v>0</v>
          </cell>
          <cell r="AB197">
            <v>0</v>
          </cell>
          <cell r="AC197" t="b">
            <v>1</v>
          </cell>
          <cell r="AE197" t="str">
            <v>P</v>
          </cell>
          <cell r="AF197">
            <v>0</v>
          </cell>
          <cell r="AG197">
            <v>0</v>
          </cell>
          <cell r="AI197">
            <v>0</v>
          </cell>
        </row>
        <row r="198">
          <cell r="C198" t="str">
            <v>increase_in_market_value.ListedShares</v>
          </cell>
          <cell r="D198">
            <v>166</v>
          </cell>
          <cell r="E198">
            <v>4</v>
          </cell>
          <cell r="F198" t="str">
            <v>Header_4</v>
          </cell>
          <cell r="G198" t="str">
            <v>AddF</v>
          </cell>
          <cell r="I198" t="str">
            <v>Shares in Listed Companies</v>
          </cell>
          <cell r="J198">
            <v>0</v>
          </cell>
          <cell r="K198">
            <v>0</v>
          </cell>
          <cell r="L198">
            <v>0</v>
          </cell>
          <cell r="M198">
            <v>0</v>
          </cell>
          <cell r="O198">
            <v>0</v>
          </cell>
          <cell r="V198" t="str">
            <v>NA</v>
          </cell>
          <cell r="X198">
            <v>0</v>
          </cell>
          <cell r="Y198" t="b">
            <v>0</v>
          </cell>
          <cell r="Z198" t="b">
            <v>0</v>
          </cell>
          <cell r="AA198" t="b">
            <v>0</v>
          </cell>
          <cell r="AB198">
            <v>0</v>
          </cell>
          <cell r="AC198" t="b">
            <v>1</v>
          </cell>
          <cell r="AE198" t="str">
            <v>P</v>
          </cell>
          <cell r="AF198">
            <v>0</v>
          </cell>
          <cell r="AG198">
            <v>0</v>
          </cell>
          <cell r="AI198">
            <v>0</v>
          </cell>
        </row>
        <row r="199">
          <cell r="C199" t="str">
            <v>increase_in_market_value.ListedShares.ea7fe5a2-6a50-4e1c-b2bf-ab7ac3754bf6</v>
          </cell>
          <cell r="D199">
            <v>167</v>
          </cell>
          <cell r="E199">
            <v>5</v>
          </cell>
          <cell r="F199" t="str">
            <v>Line_5</v>
          </cell>
          <cell r="G199" t="str">
            <v>AddF</v>
          </cell>
          <cell r="I199" t="str">
            <v>ANZ Banking Group Ltd - Cnv Pref 6-Bbsw+3.10% Perp Sub Non-Cum T-09-19</v>
          </cell>
          <cell r="J199">
            <v>-900</v>
          </cell>
          <cell r="K199">
            <v>0</v>
          </cell>
          <cell r="L199">
            <v>-900</v>
          </cell>
          <cell r="M199">
            <v>0</v>
          </cell>
          <cell r="N199" t="str">
            <v>Add</v>
          </cell>
          <cell r="O199">
            <v>0</v>
          </cell>
          <cell r="V199" t="str">
            <v>NA</v>
          </cell>
          <cell r="X199">
            <v>0</v>
          </cell>
          <cell r="Y199" t="b">
            <v>0</v>
          </cell>
          <cell r="Z199" t="b">
            <v>0</v>
          </cell>
          <cell r="AA199" t="b">
            <v>0</v>
          </cell>
          <cell r="AB199">
            <v>0</v>
          </cell>
          <cell r="AC199" t="b">
            <v>1</v>
          </cell>
          <cell r="AE199" t="str">
            <v>P</v>
          </cell>
          <cell r="AF199">
            <v>0</v>
          </cell>
          <cell r="AG199">
            <v>0</v>
          </cell>
          <cell r="AI199">
            <v>0</v>
          </cell>
        </row>
        <row r="200">
          <cell r="C200" t="str">
            <v>increase_in_market_value.ListedShares.c661fd1f-7227-4c8d-84cb-8704d5b3ff83</v>
          </cell>
          <cell r="D200">
            <v>168</v>
          </cell>
          <cell r="E200">
            <v>5</v>
          </cell>
          <cell r="F200" t="str">
            <v>Line_5</v>
          </cell>
          <cell r="G200" t="str">
            <v>AddF</v>
          </cell>
          <cell r="I200" t="str">
            <v>BHP Billiton Limited</v>
          </cell>
          <cell r="J200">
            <v>-45049.9</v>
          </cell>
          <cell r="K200">
            <v>0</v>
          </cell>
          <cell r="L200">
            <v>-45049.9</v>
          </cell>
          <cell r="M200">
            <v>0</v>
          </cell>
          <cell r="N200" t="str">
            <v>Add</v>
          </cell>
          <cell r="O200">
            <v>0</v>
          </cell>
          <cell r="V200" t="str">
            <v>NA</v>
          </cell>
          <cell r="X200">
            <v>0</v>
          </cell>
          <cell r="Y200" t="b">
            <v>0</v>
          </cell>
          <cell r="Z200" t="b">
            <v>0</v>
          </cell>
          <cell r="AA200" t="b">
            <v>0</v>
          </cell>
          <cell r="AB200">
            <v>0</v>
          </cell>
          <cell r="AC200" t="b">
            <v>1</v>
          </cell>
          <cell r="AE200" t="str">
            <v>P</v>
          </cell>
          <cell r="AF200">
            <v>0</v>
          </cell>
          <cell r="AG200">
            <v>0</v>
          </cell>
          <cell r="AI200">
            <v>0</v>
          </cell>
        </row>
        <row r="201">
          <cell r="C201" t="str">
            <v>increase_in_market_value.ListedShares.1eaa5cbe-0ce4-470e-83e9-f0eda6d6e2da</v>
          </cell>
          <cell r="D201">
            <v>169</v>
          </cell>
          <cell r="E201">
            <v>5</v>
          </cell>
          <cell r="F201" t="str">
            <v>Line_5</v>
          </cell>
          <cell r="G201" t="str">
            <v>AddF</v>
          </cell>
          <cell r="I201" t="str">
            <v>Commonwealth Bank Of Australia.</v>
          </cell>
          <cell r="J201">
            <v>-28214.92</v>
          </cell>
          <cell r="K201">
            <v>0</v>
          </cell>
          <cell r="L201">
            <v>-28214.92</v>
          </cell>
          <cell r="M201">
            <v>0</v>
          </cell>
          <cell r="N201" t="str">
            <v>Add</v>
          </cell>
          <cell r="O201">
            <v>0</v>
          </cell>
          <cell r="V201" t="str">
            <v>NA</v>
          </cell>
          <cell r="X201">
            <v>0</v>
          </cell>
          <cell r="Y201" t="b">
            <v>0</v>
          </cell>
          <cell r="Z201" t="b">
            <v>0</v>
          </cell>
          <cell r="AA201" t="b">
            <v>0</v>
          </cell>
          <cell r="AB201">
            <v>0</v>
          </cell>
          <cell r="AC201" t="b">
            <v>1</v>
          </cell>
          <cell r="AE201" t="str">
            <v>P</v>
          </cell>
          <cell r="AF201">
            <v>0</v>
          </cell>
          <cell r="AG201">
            <v>0</v>
          </cell>
          <cell r="AI201">
            <v>0</v>
          </cell>
        </row>
        <row r="202">
          <cell r="C202" t="str">
            <v>increase_in_market_value.ListedShares.24fef001-f628-4dc4-9bf6-8ee82dd62ed3</v>
          </cell>
          <cell r="D202">
            <v>170</v>
          </cell>
          <cell r="E202">
            <v>5</v>
          </cell>
          <cell r="F202" t="str">
            <v>Line_5</v>
          </cell>
          <cell r="G202" t="str">
            <v>AddF</v>
          </cell>
          <cell r="I202" t="str">
            <v>Lycopodium Limited</v>
          </cell>
          <cell r="J202">
            <v>-42120</v>
          </cell>
          <cell r="K202">
            <v>0</v>
          </cell>
          <cell r="L202">
            <v>-42120</v>
          </cell>
          <cell r="M202">
            <v>0</v>
          </cell>
          <cell r="N202" t="str">
            <v>Add</v>
          </cell>
          <cell r="O202">
            <v>0</v>
          </cell>
          <cell r="V202" t="str">
            <v>NA</v>
          </cell>
          <cell r="X202">
            <v>0</v>
          </cell>
          <cell r="Y202" t="b">
            <v>0</v>
          </cell>
          <cell r="Z202" t="b">
            <v>0</v>
          </cell>
          <cell r="AA202" t="b">
            <v>0</v>
          </cell>
          <cell r="AB202">
            <v>0</v>
          </cell>
          <cell r="AC202" t="b">
            <v>1</v>
          </cell>
          <cell r="AE202" t="str">
            <v>P</v>
          </cell>
          <cell r="AF202">
            <v>0</v>
          </cell>
          <cell r="AG202">
            <v>0</v>
          </cell>
          <cell r="AI202">
            <v>0</v>
          </cell>
        </row>
        <row r="203">
          <cell r="C203" t="str">
            <v>increase_in_market_value.ListedShares.9818f6d6-d4e9-4dcd-9995-29f54b31d4ac</v>
          </cell>
          <cell r="D203">
            <v>171</v>
          </cell>
          <cell r="E203">
            <v>5</v>
          </cell>
          <cell r="F203" t="str">
            <v>Line_5</v>
          </cell>
          <cell r="G203" t="str">
            <v>AddF</v>
          </cell>
          <cell r="I203" t="str">
            <v>NRW Holdings Limited</v>
          </cell>
          <cell r="J203">
            <v>-39228.300000000003</v>
          </cell>
          <cell r="K203">
            <v>0</v>
          </cell>
          <cell r="L203">
            <v>-39228.300000000003</v>
          </cell>
          <cell r="M203">
            <v>0</v>
          </cell>
          <cell r="N203" t="str">
            <v>Add</v>
          </cell>
          <cell r="O203">
            <v>0</v>
          </cell>
          <cell r="V203" t="str">
            <v>NA</v>
          </cell>
          <cell r="X203">
            <v>0</v>
          </cell>
          <cell r="Y203" t="b">
            <v>0</v>
          </cell>
          <cell r="Z203" t="b">
            <v>0</v>
          </cell>
          <cell r="AA203" t="b">
            <v>0</v>
          </cell>
          <cell r="AB203">
            <v>0</v>
          </cell>
          <cell r="AC203" t="b">
            <v>1</v>
          </cell>
          <cell r="AE203" t="str">
            <v>P</v>
          </cell>
          <cell r="AF203">
            <v>0</v>
          </cell>
          <cell r="AG203">
            <v>0</v>
          </cell>
          <cell r="AI203">
            <v>0</v>
          </cell>
        </row>
        <row r="204">
          <cell r="C204" t="str">
            <v>increase_in_market_value.ListedShares.11031a76-c558-42b0-9844-9a11dee4c1e8</v>
          </cell>
          <cell r="D204">
            <v>172</v>
          </cell>
          <cell r="E204">
            <v>5</v>
          </cell>
          <cell r="F204" t="str">
            <v>Line_5</v>
          </cell>
          <cell r="G204" t="str">
            <v>AddF</v>
          </cell>
          <cell r="I204" t="str">
            <v>RCG Corporation Limited</v>
          </cell>
          <cell r="J204">
            <v>359472.9</v>
          </cell>
          <cell r="K204">
            <v>0</v>
          </cell>
          <cell r="L204">
            <v>359472.9</v>
          </cell>
          <cell r="M204">
            <v>0</v>
          </cell>
          <cell r="N204" t="str">
            <v>Add</v>
          </cell>
          <cell r="O204">
            <v>0</v>
          </cell>
          <cell r="V204" t="str">
            <v>NA</v>
          </cell>
          <cell r="X204">
            <v>0</v>
          </cell>
          <cell r="Y204" t="b">
            <v>0</v>
          </cell>
          <cell r="Z204" t="b">
            <v>0</v>
          </cell>
          <cell r="AA204" t="b">
            <v>0</v>
          </cell>
          <cell r="AB204">
            <v>0</v>
          </cell>
          <cell r="AC204" t="b">
            <v>1</v>
          </cell>
          <cell r="AE204" t="str">
            <v>P</v>
          </cell>
          <cell r="AF204">
            <v>0</v>
          </cell>
          <cell r="AG204">
            <v>0</v>
          </cell>
          <cell r="AI204">
            <v>0</v>
          </cell>
        </row>
        <row r="205">
          <cell r="C205" t="str">
            <v>increase_in_market_value.ListedShares.ea88510b-2578-4e3e-954a-a34881259d6d</v>
          </cell>
          <cell r="D205">
            <v>173</v>
          </cell>
          <cell r="E205">
            <v>5</v>
          </cell>
          <cell r="F205" t="str">
            <v>Line_5</v>
          </cell>
          <cell r="G205" t="str">
            <v>AddF</v>
          </cell>
          <cell r="I205" t="str">
            <v>South32 Limited</v>
          </cell>
          <cell r="J205">
            <v>10314.629999999999</v>
          </cell>
          <cell r="K205">
            <v>0</v>
          </cell>
          <cell r="L205">
            <v>10314.629999999999</v>
          </cell>
          <cell r="M205">
            <v>0</v>
          </cell>
          <cell r="N205" t="str">
            <v>Add</v>
          </cell>
          <cell r="O205">
            <v>0</v>
          </cell>
          <cell r="V205" t="str">
            <v>NA</v>
          </cell>
          <cell r="X205">
            <v>0</v>
          </cell>
          <cell r="Y205" t="b">
            <v>0</v>
          </cell>
          <cell r="Z205" t="b">
            <v>0</v>
          </cell>
          <cell r="AA205" t="b">
            <v>0</v>
          </cell>
          <cell r="AB205">
            <v>0</v>
          </cell>
          <cell r="AC205" t="b">
            <v>1</v>
          </cell>
          <cell r="AE205" t="str">
            <v>P</v>
          </cell>
          <cell r="AF205">
            <v>0</v>
          </cell>
          <cell r="AG205">
            <v>0</v>
          </cell>
          <cell r="AI205">
            <v>0</v>
          </cell>
        </row>
        <row r="206">
          <cell r="C206" t="str">
            <v>increase_in_market_value.ListedShares.70ba86ed-c44b-4771-b5a2-be7e62412e91</v>
          </cell>
          <cell r="D206">
            <v>174</v>
          </cell>
          <cell r="E206">
            <v>5</v>
          </cell>
          <cell r="F206" t="str">
            <v>Line_5</v>
          </cell>
          <cell r="G206" t="str">
            <v>AddF</v>
          </cell>
          <cell r="I206" t="str">
            <v>Wesfarmers Limited</v>
          </cell>
          <cell r="J206">
            <v>-106.48</v>
          </cell>
          <cell r="K206">
            <v>0</v>
          </cell>
          <cell r="L206">
            <v>-106.48</v>
          </cell>
          <cell r="M206">
            <v>0</v>
          </cell>
          <cell r="N206" t="str">
            <v>Add</v>
          </cell>
          <cell r="O206">
            <v>0</v>
          </cell>
          <cell r="V206" t="str">
            <v>NA</v>
          </cell>
          <cell r="X206">
            <v>0</v>
          </cell>
          <cell r="Y206" t="b">
            <v>0</v>
          </cell>
          <cell r="Z206" t="b">
            <v>0</v>
          </cell>
          <cell r="AA206" t="b">
            <v>0</v>
          </cell>
          <cell r="AB206">
            <v>0</v>
          </cell>
          <cell r="AC206" t="b">
            <v>1</v>
          </cell>
          <cell r="AE206" t="str">
            <v>P</v>
          </cell>
          <cell r="AF206">
            <v>0</v>
          </cell>
          <cell r="AG206">
            <v>0</v>
          </cell>
          <cell r="AI206">
            <v>0</v>
          </cell>
        </row>
        <row r="207">
          <cell r="C207" t="str">
            <v>Totalincrease_in_market_value.ListedShares</v>
          </cell>
          <cell r="D207">
            <v>175</v>
          </cell>
          <cell r="E207">
            <v>4</v>
          </cell>
          <cell r="F207" t="str">
            <v>Total_4</v>
          </cell>
          <cell r="G207" t="str">
            <v>AddF</v>
          </cell>
          <cell r="I207" t="str">
            <v>Total Shares in Listed Companies</v>
          </cell>
          <cell r="J207">
            <v>214167.93</v>
          </cell>
          <cell r="K207">
            <v>0</v>
          </cell>
          <cell r="L207">
            <v>214167.93</v>
          </cell>
          <cell r="M207">
            <v>0</v>
          </cell>
          <cell r="N207" t="str">
            <v>Add</v>
          </cell>
          <cell r="O207">
            <v>0</v>
          </cell>
          <cell r="V207" t="str">
            <v>NA</v>
          </cell>
          <cell r="X207">
            <v>0</v>
          </cell>
          <cell r="Y207" t="b">
            <v>0</v>
          </cell>
          <cell r="Z207" t="b">
            <v>0</v>
          </cell>
          <cell r="AA207" t="b">
            <v>0</v>
          </cell>
          <cell r="AB207">
            <v>0</v>
          </cell>
          <cell r="AC207" t="b">
            <v>1</v>
          </cell>
          <cell r="AE207" t="str">
            <v>P</v>
          </cell>
          <cell r="AF207">
            <v>0</v>
          </cell>
          <cell r="AG207">
            <v>0</v>
          </cell>
          <cell r="AI207">
            <v>0</v>
          </cell>
        </row>
        <row r="208">
          <cell r="C208" t="str">
            <v>increase_in_market_value.ForeignListedShares</v>
          </cell>
          <cell r="D208">
            <v>176</v>
          </cell>
          <cell r="E208">
            <v>4</v>
          </cell>
          <cell r="F208" t="str">
            <v>Header_4</v>
          </cell>
          <cell r="G208" t="str">
            <v>AddF</v>
          </cell>
          <cell r="I208" t="str">
            <v>Shares in Listed Companies - Foreign</v>
          </cell>
          <cell r="J208">
            <v>0</v>
          </cell>
          <cell r="K208">
            <v>0</v>
          </cell>
          <cell r="L208">
            <v>0</v>
          </cell>
          <cell r="M208">
            <v>0</v>
          </cell>
          <cell r="O208">
            <v>0</v>
          </cell>
          <cell r="V208" t="str">
            <v>NA</v>
          </cell>
          <cell r="X208">
            <v>0</v>
          </cell>
          <cell r="Y208" t="b">
            <v>0</v>
          </cell>
          <cell r="Z208" t="b">
            <v>0</v>
          </cell>
          <cell r="AA208" t="b">
            <v>0</v>
          </cell>
          <cell r="AB208">
            <v>0</v>
          </cell>
          <cell r="AC208" t="b">
            <v>1</v>
          </cell>
          <cell r="AE208" t="str">
            <v>P</v>
          </cell>
          <cell r="AF208">
            <v>0</v>
          </cell>
          <cell r="AG208">
            <v>0</v>
          </cell>
          <cell r="AI208">
            <v>0</v>
          </cell>
        </row>
        <row r="209">
          <cell r="C209" t="str">
            <v>increase_in_market_value.ForeignListedShares.e87701d6-7496-4f79-9059-0e7138d9968e</v>
          </cell>
          <cell r="D209">
            <v>177</v>
          </cell>
          <cell r="E209">
            <v>5</v>
          </cell>
          <cell r="F209" t="str">
            <v>Line_5</v>
          </cell>
          <cell r="G209" t="str">
            <v>AddF</v>
          </cell>
          <cell r="I209" t="str">
            <v>A10 Networks Inc</v>
          </cell>
          <cell r="J209">
            <v>92.07</v>
          </cell>
          <cell r="K209">
            <v>0</v>
          </cell>
          <cell r="L209">
            <v>92.07</v>
          </cell>
          <cell r="M209">
            <v>0</v>
          </cell>
          <cell r="N209" t="str">
            <v>Add</v>
          </cell>
          <cell r="O209">
            <v>0</v>
          </cell>
          <cell r="V209" t="str">
            <v>NA</v>
          </cell>
          <cell r="X209">
            <v>0</v>
          </cell>
          <cell r="Y209" t="b">
            <v>0</v>
          </cell>
          <cell r="Z209" t="b">
            <v>0</v>
          </cell>
          <cell r="AA209" t="b">
            <v>0</v>
          </cell>
          <cell r="AB209">
            <v>0</v>
          </cell>
          <cell r="AC209" t="b">
            <v>1</v>
          </cell>
          <cell r="AE209" t="str">
            <v>P</v>
          </cell>
          <cell r="AF209">
            <v>0</v>
          </cell>
          <cell r="AG209">
            <v>0</v>
          </cell>
          <cell r="AI209">
            <v>0</v>
          </cell>
        </row>
        <row r="210">
          <cell r="C210" t="str">
            <v>increase_in_market_value.ForeignListedShares.fb5a4a86-f3c8-43ca-8e78-c9c07fb47132</v>
          </cell>
          <cell r="D210">
            <v>178</v>
          </cell>
          <cell r="E210">
            <v>5</v>
          </cell>
          <cell r="F210" t="str">
            <v>Line_5</v>
          </cell>
          <cell r="G210" t="str">
            <v>AddF</v>
          </cell>
          <cell r="I210" t="str">
            <v>Adesto Technologies Corp</v>
          </cell>
          <cell r="J210">
            <v>-713.74</v>
          </cell>
          <cell r="K210">
            <v>0</v>
          </cell>
          <cell r="L210">
            <v>-713.74</v>
          </cell>
          <cell r="M210">
            <v>0</v>
          </cell>
          <cell r="N210" t="str">
            <v>Add</v>
          </cell>
          <cell r="O210">
            <v>0</v>
          </cell>
          <cell r="V210" t="str">
            <v>NA</v>
          </cell>
          <cell r="X210">
            <v>0</v>
          </cell>
          <cell r="Y210" t="b">
            <v>0</v>
          </cell>
          <cell r="Z210" t="b">
            <v>0</v>
          </cell>
          <cell r="AA210" t="b">
            <v>0</v>
          </cell>
          <cell r="AB210">
            <v>0</v>
          </cell>
          <cell r="AC210" t="b">
            <v>1</v>
          </cell>
          <cell r="AE210" t="str">
            <v>P</v>
          </cell>
          <cell r="AF210">
            <v>0</v>
          </cell>
          <cell r="AG210">
            <v>0</v>
          </cell>
          <cell r="AI210">
            <v>0</v>
          </cell>
        </row>
        <row r="211">
          <cell r="C211" t="str">
            <v>increase_in_market_value.ForeignListedShares.d7e30246-20df-40c8-b778-d270538ebbfa</v>
          </cell>
          <cell r="D211">
            <v>179</v>
          </cell>
          <cell r="E211">
            <v>5</v>
          </cell>
          <cell r="F211" t="str">
            <v>Line_5</v>
          </cell>
          <cell r="G211" t="str">
            <v>AddF</v>
          </cell>
          <cell r="I211" t="str">
            <v>Akoustis Technologies Inc</v>
          </cell>
          <cell r="J211">
            <v>411.03</v>
          </cell>
          <cell r="K211">
            <v>0</v>
          </cell>
          <cell r="L211">
            <v>411.03</v>
          </cell>
          <cell r="M211">
            <v>0</v>
          </cell>
          <cell r="N211" t="str">
            <v>Add</v>
          </cell>
          <cell r="O211">
            <v>0</v>
          </cell>
          <cell r="V211" t="str">
            <v>NA</v>
          </cell>
          <cell r="X211">
            <v>0</v>
          </cell>
          <cell r="Y211" t="b">
            <v>0</v>
          </cell>
          <cell r="Z211" t="b">
            <v>0</v>
          </cell>
          <cell r="AA211" t="b">
            <v>0</v>
          </cell>
          <cell r="AB211">
            <v>0</v>
          </cell>
          <cell r="AC211" t="b">
            <v>1</v>
          </cell>
          <cell r="AE211" t="str">
            <v>P</v>
          </cell>
          <cell r="AF211">
            <v>0</v>
          </cell>
          <cell r="AG211">
            <v>0</v>
          </cell>
          <cell r="AI211">
            <v>0</v>
          </cell>
        </row>
        <row r="212">
          <cell r="C212" t="str">
            <v>increase_in_market_value.ForeignListedShares.9aca6185-2e14-4e4f-8b87-2ce54e74e09b</v>
          </cell>
          <cell r="D212">
            <v>180</v>
          </cell>
          <cell r="E212">
            <v>5</v>
          </cell>
          <cell r="F212" t="str">
            <v>Line_5</v>
          </cell>
          <cell r="G212" t="str">
            <v>AddF</v>
          </cell>
          <cell r="I212" t="str">
            <v>CRISPR Therapeutics Ltd</v>
          </cell>
          <cell r="J212">
            <v>-17.98</v>
          </cell>
          <cell r="K212">
            <v>0</v>
          </cell>
          <cell r="L212">
            <v>-17.98</v>
          </cell>
          <cell r="M212">
            <v>0</v>
          </cell>
          <cell r="N212" t="str">
            <v>Add</v>
          </cell>
          <cell r="O212">
            <v>0</v>
          </cell>
          <cell r="V212" t="str">
            <v>NA</v>
          </cell>
          <cell r="X212">
            <v>0</v>
          </cell>
          <cell r="Y212" t="b">
            <v>0</v>
          </cell>
          <cell r="Z212" t="b">
            <v>0</v>
          </cell>
          <cell r="AA212" t="b">
            <v>0</v>
          </cell>
          <cell r="AB212">
            <v>0</v>
          </cell>
          <cell r="AC212" t="b">
            <v>1</v>
          </cell>
          <cell r="AE212" t="str">
            <v>P</v>
          </cell>
          <cell r="AF212">
            <v>0</v>
          </cell>
          <cell r="AG212">
            <v>0</v>
          </cell>
          <cell r="AI212">
            <v>0</v>
          </cell>
        </row>
        <row r="213">
          <cell r="C213" t="str">
            <v>increase_in_market_value.ForeignListedShares.bfd7dfaf-4df6-4c4f-8704-d100dfaf158f</v>
          </cell>
          <cell r="D213">
            <v>181</v>
          </cell>
          <cell r="E213">
            <v>5</v>
          </cell>
          <cell r="F213" t="str">
            <v>Line_5</v>
          </cell>
          <cell r="G213" t="str">
            <v>AddF</v>
          </cell>
          <cell r="I213" t="str">
            <v>Hortonworks Inc</v>
          </cell>
          <cell r="J213">
            <v>-723.67</v>
          </cell>
          <cell r="K213">
            <v>0</v>
          </cell>
          <cell r="L213">
            <v>-723.67</v>
          </cell>
          <cell r="M213">
            <v>0</v>
          </cell>
          <cell r="N213" t="str">
            <v>Add</v>
          </cell>
          <cell r="O213">
            <v>0</v>
          </cell>
          <cell r="V213" t="str">
            <v>NA</v>
          </cell>
          <cell r="X213">
            <v>0</v>
          </cell>
          <cell r="Y213" t="b">
            <v>0</v>
          </cell>
          <cell r="Z213" t="b">
            <v>0</v>
          </cell>
          <cell r="AA213" t="b">
            <v>0</v>
          </cell>
          <cell r="AB213">
            <v>0</v>
          </cell>
          <cell r="AC213" t="b">
            <v>1</v>
          </cell>
          <cell r="AE213" t="str">
            <v>P</v>
          </cell>
          <cell r="AF213">
            <v>0</v>
          </cell>
          <cell r="AG213">
            <v>0</v>
          </cell>
          <cell r="AI213">
            <v>0</v>
          </cell>
        </row>
        <row r="214">
          <cell r="C214" t="str">
            <v>increase_in_market_value.ForeignListedShares.36446962-3293-4091-a138-5bb5e7dce627</v>
          </cell>
          <cell r="D214">
            <v>182</v>
          </cell>
          <cell r="E214">
            <v>5</v>
          </cell>
          <cell r="F214" t="str">
            <v>Line_5</v>
          </cell>
          <cell r="G214" t="str">
            <v>AddF</v>
          </cell>
          <cell r="I214" t="str">
            <v>Imprivata Inc</v>
          </cell>
          <cell r="J214">
            <v>411.99</v>
          </cell>
          <cell r="K214">
            <v>0</v>
          </cell>
          <cell r="L214">
            <v>411.99</v>
          </cell>
          <cell r="M214">
            <v>0</v>
          </cell>
          <cell r="N214" t="str">
            <v>Add</v>
          </cell>
          <cell r="O214">
            <v>0</v>
          </cell>
          <cell r="V214" t="str">
            <v>NA</v>
          </cell>
          <cell r="X214">
            <v>0</v>
          </cell>
          <cell r="Y214" t="b">
            <v>0</v>
          </cell>
          <cell r="Z214" t="b">
            <v>0</v>
          </cell>
          <cell r="AA214" t="b">
            <v>0</v>
          </cell>
          <cell r="AB214">
            <v>0</v>
          </cell>
          <cell r="AC214" t="b">
            <v>1</v>
          </cell>
          <cell r="AE214" t="str">
            <v>P</v>
          </cell>
          <cell r="AF214">
            <v>0</v>
          </cell>
          <cell r="AG214">
            <v>0</v>
          </cell>
          <cell r="AI214">
            <v>0</v>
          </cell>
        </row>
        <row r="215">
          <cell r="C215" t="str">
            <v>increase_in_market_value.ForeignListedShares.7d9a5e51-e567-4405-ba9c-8ce37e624fdb</v>
          </cell>
          <cell r="D215">
            <v>183</v>
          </cell>
          <cell r="E215">
            <v>5</v>
          </cell>
          <cell r="F215" t="str">
            <v>Line_5</v>
          </cell>
          <cell r="G215" t="str">
            <v>AddF</v>
          </cell>
          <cell r="I215" t="str">
            <v>New Relic Inc</v>
          </cell>
          <cell r="J215">
            <v>-361.66</v>
          </cell>
          <cell r="K215">
            <v>0</v>
          </cell>
          <cell r="L215">
            <v>-361.66</v>
          </cell>
          <cell r="M215">
            <v>0</v>
          </cell>
          <cell r="N215" t="str">
            <v>Add</v>
          </cell>
          <cell r="O215">
            <v>0</v>
          </cell>
          <cell r="V215" t="str">
            <v>NA</v>
          </cell>
          <cell r="X215">
            <v>0</v>
          </cell>
          <cell r="Y215" t="b">
            <v>0</v>
          </cell>
          <cell r="Z215" t="b">
            <v>0</v>
          </cell>
          <cell r="AA215" t="b">
            <v>0</v>
          </cell>
          <cell r="AB215">
            <v>0</v>
          </cell>
          <cell r="AC215" t="b">
            <v>1</v>
          </cell>
          <cell r="AE215" t="str">
            <v>P</v>
          </cell>
          <cell r="AF215">
            <v>0</v>
          </cell>
          <cell r="AG215">
            <v>0</v>
          </cell>
          <cell r="AI215">
            <v>0</v>
          </cell>
        </row>
        <row r="216">
          <cell r="C216" t="str">
            <v>increase_in_market_value.ForeignListedShares.3eb76e74-ac1f-4a1c-ba87-ba69905659d4</v>
          </cell>
          <cell r="D216">
            <v>184</v>
          </cell>
          <cell r="E216">
            <v>5</v>
          </cell>
          <cell r="F216" t="str">
            <v>Line_5</v>
          </cell>
          <cell r="G216" t="str">
            <v>AddF</v>
          </cell>
          <cell r="I216" t="str">
            <v>Quantenna Communications Inc</v>
          </cell>
          <cell r="J216">
            <v>118.6</v>
          </cell>
          <cell r="K216">
            <v>0</v>
          </cell>
          <cell r="L216">
            <v>118.6</v>
          </cell>
          <cell r="M216">
            <v>0</v>
          </cell>
          <cell r="N216" t="str">
            <v>Add</v>
          </cell>
          <cell r="O216">
            <v>0</v>
          </cell>
          <cell r="V216" t="str">
            <v>NA</v>
          </cell>
          <cell r="X216">
            <v>0</v>
          </cell>
          <cell r="Y216" t="b">
            <v>0</v>
          </cell>
          <cell r="Z216" t="b">
            <v>0</v>
          </cell>
          <cell r="AA216" t="b">
            <v>0</v>
          </cell>
          <cell r="AB216">
            <v>0</v>
          </cell>
          <cell r="AC216" t="b">
            <v>1</v>
          </cell>
          <cell r="AE216" t="str">
            <v>P</v>
          </cell>
          <cell r="AF216">
            <v>0</v>
          </cell>
          <cell r="AG216">
            <v>0</v>
          </cell>
          <cell r="AI216">
            <v>0</v>
          </cell>
        </row>
        <row r="217">
          <cell r="C217" t="str">
            <v>increase_in_market_value.ForeignListedShares.6553bc95-9866-4980-af28-be3b3f5bab81</v>
          </cell>
          <cell r="D217">
            <v>185</v>
          </cell>
          <cell r="E217">
            <v>5</v>
          </cell>
          <cell r="F217" t="str">
            <v>Line_5</v>
          </cell>
          <cell r="G217" t="str">
            <v>AddF</v>
          </cell>
          <cell r="I217" t="str">
            <v>Square Inc</v>
          </cell>
          <cell r="J217">
            <v>-2131.33</v>
          </cell>
          <cell r="K217">
            <v>0</v>
          </cell>
          <cell r="L217">
            <v>-2131.33</v>
          </cell>
          <cell r="M217">
            <v>0</v>
          </cell>
          <cell r="N217" t="str">
            <v>Add</v>
          </cell>
          <cell r="O217">
            <v>0</v>
          </cell>
          <cell r="V217" t="str">
            <v>NA</v>
          </cell>
          <cell r="X217">
            <v>0</v>
          </cell>
          <cell r="Y217" t="b">
            <v>0</v>
          </cell>
          <cell r="Z217" t="b">
            <v>0</v>
          </cell>
          <cell r="AA217" t="b">
            <v>0</v>
          </cell>
          <cell r="AB217">
            <v>0</v>
          </cell>
          <cell r="AC217" t="b">
            <v>1</v>
          </cell>
          <cell r="AE217" t="str">
            <v>P</v>
          </cell>
          <cell r="AF217">
            <v>0</v>
          </cell>
          <cell r="AG217">
            <v>0</v>
          </cell>
          <cell r="AI217">
            <v>0</v>
          </cell>
        </row>
        <row r="218">
          <cell r="C218" t="str">
            <v>increase_in_market_value.ForeignListedShares.330b3d40-a1fc-4475-9aba-0bd61cfcd8be</v>
          </cell>
          <cell r="D218">
            <v>186</v>
          </cell>
          <cell r="E218">
            <v>5</v>
          </cell>
          <cell r="F218" t="str">
            <v>Line_5</v>
          </cell>
          <cell r="G218" t="str">
            <v>AddF</v>
          </cell>
          <cell r="I218" t="str">
            <v>The ExOne Co</v>
          </cell>
          <cell r="J218">
            <v>-381.1</v>
          </cell>
          <cell r="K218">
            <v>0</v>
          </cell>
          <cell r="L218">
            <v>-381.1</v>
          </cell>
          <cell r="M218">
            <v>0</v>
          </cell>
          <cell r="N218" t="str">
            <v>Add</v>
          </cell>
          <cell r="O218">
            <v>0</v>
          </cell>
          <cell r="V218" t="str">
            <v>NA</v>
          </cell>
          <cell r="X218">
            <v>0</v>
          </cell>
          <cell r="Y218" t="b">
            <v>0</v>
          </cell>
          <cell r="Z218" t="b">
            <v>0</v>
          </cell>
          <cell r="AA218" t="b">
            <v>0</v>
          </cell>
          <cell r="AB218">
            <v>0</v>
          </cell>
          <cell r="AC218" t="b">
            <v>1</v>
          </cell>
          <cell r="AE218" t="str">
            <v>P</v>
          </cell>
          <cell r="AF218">
            <v>0</v>
          </cell>
          <cell r="AG218">
            <v>0</v>
          </cell>
          <cell r="AI218">
            <v>0</v>
          </cell>
        </row>
        <row r="219">
          <cell r="C219" t="str">
            <v>Totalincrease_in_market_value.ForeignListedShares</v>
          </cell>
          <cell r="D219">
            <v>187</v>
          </cell>
          <cell r="E219">
            <v>4</v>
          </cell>
          <cell r="F219" t="str">
            <v>Total_4</v>
          </cell>
          <cell r="G219" t="str">
            <v>AddF</v>
          </cell>
          <cell r="I219" t="str">
            <v>Total Shares in Listed Companies - Foreign</v>
          </cell>
          <cell r="J219">
            <v>-3295.79</v>
          </cell>
          <cell r="K219">
            <v>0</v>
          </cell>
          <cell r="L219">
            <v>-3295.79</v>
          </cell>
          <cell r="M219">
            <v>0</v>
          </cell>
          <cell r="N219" t="str">
            <v>Add</v>
          </cell>
          <cell r="O219">
            <v>0</v>
          </cell>
          <cell r="V219" t="str">
            <v>NA</v>
          </cell>
          <cell r="X219">
            <v>0</v>
          </cell>
          <cell r="Y219" t="b">
            <v>0</v>
          </cell>
          <cell r="Z219" t="b">
            <v>0</v>
          </cell>
          <cell r="AA219" t="b">
            <v>0</v>
          </cell>
          <cell r="AB219">
            <v>0</v>
          </cell>
          <cell r="AC219" t="b">
            <v>1</v>
          </cell>
          <cell r="AE219" t="str">
            <v>P</v>
          </cell>
          <cell r="AF219">
            <v>0</v>
          </cell>
          <cell r="AG219">
            <v>0</v>
          </cell>
          <cell r="AI219">
            <v>0</v>
          </cell>
        </row>
        <row r="220">
          <cell r="C220" t="str">
            <v>increase_in_market_value.Stapled</v>
          </cell>
          <cell r="D220">
            <v>188</v>
          </cell>
          <cell r="E220">
            <v>4</v>
          </cell>
          <cell r="F220" t="str">
            <v>Header_4</v>
          </cell>
          <cell r="G220" t="str">
            <v>AddF</v>
          </cell>
          <cell r="I220" t="str">
            <v>Stapled Securities</v>
          </cell>
          <cell r="J220">
            <v>0</v>
          </cell>
          <cell r="K220">
            <v>0</v>
          </cell>
          <cell r="L220">
            <v>0</v>
          </cell>
          <cell r="M220">
            <v>0</v>
          </cell>
          <cell r="O220">
            <v>0</v>
          </cell>
          <cell r="V220" t="str">
            <v>NA</v>
          </cell>
          <cell r="X220">
            <v>0</v>
          </cell>
          <cell r="Y220" t="b">
            <v>0</v>
          </cell>
          <cell r="Z220" t="b">
            <v>0</v>
          </cell>
          <cell r="AA220" t="b">
            <v>0</v>
          </cell>
          <cell r="AB220">
            <v>0</v>
          </cell>
          <cell r="AC220" t="b">
            <v>1</v>
          </cell>
          <cell r="AE220" t="str">
            <v>P</v>
          </cell>
          <cell r="AF220">
            <v>0</v>
          </cell>
          <cell r="AG220">
            <v>0</v>
          </cell>
          <cell r="AI220">
            <v>0</v>
          </cell>
        </row>
        <row r="221">
          <cell r="C221" t="str">
            <v>increase_in_market_value.Stapled.8e9a6fc7-bafd-4650-b416-d03fe7049f79</v>
          </cell>
          <cell r="D221">
            <v>189</v>
          </cell>
          <cell r="E221">
            <v>5</v>
          </cell>
          <cell r="F221" t="str">
            <v>Line_5</v>
          </cell>
          <cell r="G221" t="str">
            <v>AddF</v>
          </cell>
          <cell r="I221" t="str">
            <v>Scentre Group - Stapled Securities</v>
          </cell>
          <cell r="J221">
            <v>26068.68</v>
          </cell>
          <cell r="K221">
            <v>0</v>
          </cell>
          <cell r="L221">
            <v>26068.68</v>
          </cell>
          <cell r="M221">
            <v>0</v>
          </cell>
          <cell r="N221" t="str">
            <v>Add</v>
          </cell>
          <cell r="O221">
            <v>0</v>
          </cell>
          <cell r="V221" t="str">
            <v>NA</v>
          </cell>
          <cell r="X221">
            <v>0</v>
          </cell>
          <cell r="Y221" t="b">
            <v>0</v>
          </cell>
          <cell r="Z221" t="b">
            <v>0</v>
          </cell>
          <cell r="AA221" t="b">
            <v>0</v>
          </cell>
          <cell r="AB221">
            <v>0</v>
          </cell>
          <cell r="AC221" t="b">
            <v>1</v>
          </cell>
          <cell r="AE221" t="str">
            <v>P</v>
          </cell>
          <cell r="AF221">
            <v>0</v>
          </cell>
          <cell r="AG221">
            <v>0</v>
          </cell>
          <cell r="AI221">
            <v>0</v>
          </cell>
        </row>
        <row r="222">
          <cell r="C222" t="str">
            <v>increase_in_market_value.Stapled.b8dc8ea2-cad6-47a7-854d-100beb381eae</v>
          </cell>
          <cell r="D222">
            <v>190</v>
          </cell>
          <cell r="E222">
            <v>5</v>
          </cell>
          <cell r="F222" t="str">
            <v>Line_5</v>
          </cell>
          <cell r="G222" t="str">
            <v>AddF</v>
          </cell>
          <cell r="I222" t="str">
            <v>Spark Infrastructure Group - Stapled $0.65 Loan Note And Unit Us Prohibited</v>
          </cell>
          <cell r="J222">
            <v>-31023</v>
          </cell>
          <cell r="K222">
            <v>0</v>
          </cell>
          <cell r="L222">
            <v>-31023</v>
          </cell>
          <cell r="M222">
            <v>0</v>
          </cell>
          <cell r="N222" t="str">
            <v>Add</v>
          </cell>
          <cell r="O222">
            <v>0</v>
          </cell>
          <cell r="V222" t="str">
            <v>NA</v>
          </cell>
          <cell r="X222">
            <v>0</v>
          </cell>
          <cell r="Y222" t="b">
            <v>0</v>
          </cell>
          <cell r="Z222" t="b">
            <v>0</v>
          </cell>
          <cell r="AA222" t="b">
            <v>0</v>
          </cell>
          <cell r="AB222">
            <v>0</v>
          </cell>
          <cell r="AC222" t="b">
            <v>1</v>
          </cell>
          <cell r="AE222" t="str">
            <v>P</v>
          </cell>
          <cell r="AF222">
            <v>0</v>
          </cell>
          <cell r="AG222">
            <v>0</v>
          </cell>
          <cell r="AI222">
            <v>0</v>
          </cell>
        </row>
        <row r="223">
          <cell r="C223" t="str">
            <v>increase_in_market_value.Stapled.dcba5c26-922b-4e46-b526-e0abc4efb0a4</v>
          </cell>
          <cell r="D223">
            <v>191</v>
          </cell>
          <cell r="E223">
            <v>5</v>
          </cell>
          <cell r="F223" t="str">
            <v>Line_5</v>
          </cell>
          <cell r="G223" t="str">
            <v>AddF</v>
          </cell>
          <cell r="I223" t="str">
            <v>Westfield Corporation - Stapled Securities</v>
          </cell>
          <cell r="J223">
            <v>67011.740000000005</v>
          </cell>
          <cell r="K223">
            <v>0</v>
          </cell>
          <cell r="L223">
            <v>67011.740000000005</v>
          </cell>
          <cell r="M223">
            <v>0</v>
          </cell>
          <cell r="N223" t="str">
            <v>Add</v>
          </cell>
          <cell r="O223">
            <v>0</v>
          </cell>
          <cell r="V223" t="str">
            <v>NA</v>
          </cell>
          <cell r="X223">
            <v>0</v>
          </cell>
          <cell r="Y223" t="b">
            <v>0</v>
          </cell>
          <cell r="Z223" t="b">
            <v>0</v>
          </cell>
          <cell r="AA223" t="b">
            <v>0</v>
          </cell>
          <cell r="AB223">
            <v>0</v>
          </cell>
          <cell r="AC223" t="b">
            <v>1</v>
          </cell>
          <cell r="AE223" t="str">
            <v>P</v>
          </cell>
          <cell r="AF223">
            <v>0</v>
          </cell>
          <cell r="AG223">
            <v>0</v>
          </cell>
          <cell r="AI223">
            <v>0</v>
          </cell>
        </row>
        <row r="224">
          <cell r="C224" t="str">
            <v>Totalincrease_in_market_value.Stapled</v>
          </cell>
          <cell r="D224">
            <v>192</v>
          </cell>
          <cell r="E224">
            <v>4</v>
          </cell>
          <cell r="F224" t="str">
            <v>Total_4</v>
          </cell>
          <cell r="G224" t="str">
            <v>AddF</v>
          </cell>
          <cell r="I224" t="str">
            <v>Total Stapled Securities</v>
          </cell>
          <cell r="J224">
            <v>62057.42</v>
          </cell>
          <cell r="K224">
            <v>0</v>
          </cell>
          <cell r="L224">
            <v>62057.42</v>
          </cell>
          <cell r="M224">
            <v>0</v>
          </cell>
          <cell r="N224" t="str">
            <v>Add</v>
          </cell>
          <cell r="O224">
            <v>0</v>
          </cell>
          <cell r="V224" t="str">
            <v>NA</v>
          </cell>
          <cell r="X224">
            <v>0</v>
          </cell>
          <cell r="Y224" t="b">
            <v>0</v>
          </cell>
          <cell r="Z224" t="b">
            <v>0</v>
          </cell>
          <cell r="AA224" t="b">
            <v>0</v>
          </cell>
          <cell r="AB224">
            <v>0</v>
          </cell>
          <cell r="AC224" t="b">
            <v>1</v>
          </cell>
          <cell r="AE224" t="str">
            <v>P</v>
          </cell>
          <cell r="AF224">
            <v>0</v>
          </cell>
          <cell r="AG224">
            <v>0</v>
          </cell>
          <cell r="AI224">
            <v>0</v>
          </cell>
        </row>
        <row r="225">
          <cell r="C225" t="str">
            <v>increase_in_market_value.UnitTrusts</v>
          </cell>
          <cell r="D225">
            <v>193</v>
          </cell>
          <cell r="E225">
            <v>4</v>
          </cell>
          <cell r="F225" t="str">
            <v>Header_4</v>
          </cell>
          <cell r="G225" t="str">
            <v>AddF</v>
          </cell>
          <cell r="I225" t="str">
            <v>Units In Listed Unit Trusts</v>
          </cell>
          <cell r="J225">
            <v>0</v>
          </cell>
          <cell r="K225">
            <v>0</v>
          </cell>
          <cell r="L225">
            <v>0</v>
          </cell>
          <cell r="M225">
            <v>0</v>
          </cell>
          <cell r="O225">
            <v>0</v>
          </cell>
          <cell r="V225" t="str">
            <v>NA</v>
          </cell>
          <cell r="X225">
            <v>0</v>
          </cell>
          <cell r="Y225" t="b">
            <v>0</v>
          </cell>
          <cell r="Z225" t="b">
            <v>0</v>
          </cell>
          <cell r="AA225" t="b">
            <v>0</v>
          </cell>
          <cell r="AB225">
            <v>0</v>
          </cell>
          <cell r="AC225" t="b">
            <v>1</v>
          </cell>
          <cell r="AE225" t="str">
            <v>P</v>
          </cell>
          <cell r="AF225">
            <v>0</v>
          </cell>
          <cell r="AG225">
            <v>0</v>
          </cell>
          <cell r="AI225">
            <v>0</v>
          </cell>
        </row>
        <row r="226">
          <cell r="C226" t="str">
            <v>increase_in_market_value.UnitTrusts.585f5263-8705-4fe9-a474-8235212ecee1</v>
          </cell>
          <cell r="D226">
            <v>194</v>
          </cell>
          <cell r="E226">
            <v>5</v>
          </cell>
          <cell r="F226" t="str">
            <v>Line_5</v>
          </cell>
          <cell r="G226" t="str">
            <v>AddF</v>
          </cell>
          <cell r="I226" t="str">
            <v>Vanguard Us Total Market Shares Index ETF - CDI's 1:1</v>
          </cell>
          <cell r="J226">
            <v>771.21</v>
          </cell>
          <cell r="K226">
            <v>0</v>
          </cell>
          <cell r="L226">
            <v>771.21</v>
          </cell>
          <cell r="M226">
            <v>0</v>
          </cell>
          <cell r="N226" t="str">
            <v>Add</v>
          </cell>
          <cell r="O226">
            <v>0</v>
          </cell>
          <cell r="V226" t="str">
            <v>NA</v>
          </cell>
          <cell r="X226">
            <v>0</v>
          </cell>
          <cell r="Y226" t="b">
            <v>0</v>
          </cell>
          <cell r="Z226" t="b">
            <v>0</v>
          </cell>
          <cell r="AA226" t="b">
            <v>0</v>
          </cell>
          <cell r="AB226">
            <v>0</v>
          </cell>
          <cell r="AC226" t="b">
            <v>1</v>
          </cell>
          <cell r="AE226" t="str">
            <v>P</v>
          </cell>
          <cell r="AF226">
            <v>0</v>
          </cell>
          <cell r="AG226">
            <v>0</v>
          </cell>
          <cell r="AI226">
            <v>0</v>
          </cell>
        </row>
        <row r="227">
          <cell r="C227" t="str">
            <v>Totalincrease_in_market_value.UnitTrusts</v>
          </cell>
          <cell r="D227">
            <v>195</v>
          </cell>
          <cell r="E227">
            <v>4</v>
          </cell>
          <cell r="F227" t="str">
            <v>Total_4</v>
          </cell>
          <cell r="G227" t="str">
            <v>AddF</v>
          </cell>
          <cell r="I227" t="str">
            <v>Total Units In Listed Unit Trusts</v>
          </cell>
          <cell r="J227">
            <v>771.21</v>
          </cell>
          <cell r="K227">
            <v>0</v>
          </cell>
          <cell r="L227">
            <v>771.21</v>
          </cell>
          <cell r="M227">
            <v>0</v>
          </cell>
          <cell r="N227" t="str">
            <v>Add</v>
          </cell>
          <cell r="O227">
            <v>0</v>
          </cell>
          <cell r="V227" t="str">
            <v>NA</v>
          </cell>
          <cell r="X227">
            <v>0</v>
          </cell>
          <cell r="Y227" t="b">
            <v>0</v>
          </cell>
          <cell r="Z227" t="b">
            <v>0</v>
          </cell>
          <cell r="AA227" t="b">
            <v>0</v>
          </cell>
          <cell r="AB227">
            <v>0</v>
          </cell>
          <cell r="AC227" t="b">
            <v>1</v>
          </cell>
          <cell r="AE227" t="str">
            <v>P</v>
          </cell>
          <cell r="AF227">
            <v>0</v>
          </cell>
          <cell r="AG227">
            <v>0</v>
          </cell>
          <cell r="AI227">
            <v>0</v>
          </cell>
        </row>
        <row r="228">
          <cell r="C228" t="str">
            <v>Totalincrease_in_market_value</v>
          </cell>
          <cell r="D228">
            <v>196</v>
          </cell>
          <cell r="E228">
            <v>3</v>
          </cell>
          <cell r="F228" t="str">
            <v>Total_3</v>
          </cell>
          <cell r="G228" t="str">
            <v>AddF</v>
          </cell>
          <cell r="I228" t="str">
            <v>Total Decrease in Market Value</v>
          </cell>
          <cell r="J228">
            <v>263312.40999999997</v>
          </cell>
          <cell r="K228">
            <v>0</v>
          </cell>
          <cell r="L228">
            <v>263312.40999999997</v>
          </cell>
          <cell r="M228">
            <v>0</v>
          </cell>
          <cell r="N228" t="str">
            <v>Add</v>
          </cell>
          <cell r="O228">
            <v>0</v>
          </cell>
          <cell r="V228" t="str">
            <v>NA</v>
          </cell>
          <cell r="X228">
            <v>0</v>
          </cell>
          <cell r="Y228" t="b">
            <v>0</v>
          </cell>
          <cell r="Z228" t="b">
            <v>0</v>
          </cell>
          <cell r="AA228" t="b">
            <v>0</v>
          </cell>
          <cell r="AB228">
            <v>0</v>
          </cell>
          <cell r="AC228" t="b">
            <v>1</v>
          </cell>
          <cell r="AE228" t="str">
            <v>P</v>
          </cell>
          <cell r="AF228">
            <v>0</v>
          </cell>
          <cell r="AG228">
            <v>0</v>
          </cell>
          <cell r="AI228">
            <v>0</v>
          </cell>
        </row>
        <row r="229">
          <cell r="C229" t="str">
            <v>Totalinvestment_losses</v>
          </cell>
          <cell r="D229">
            <v>197</v>
          </cell>
          <cell r="E229">
            <v>2</v>
          </cell>
          <cell r="F229" t="str">
            <v>Total_2</v>
          </cell>
          <cell r="G229" t="str">
            <v>AddF</v>
          </cell>
          <cell r="I229" t="str">
            <v>Total Investment Losses</v>
          </cell>
          <cell r="J229">
            <v>263312.40999999997</v>
          </cell>
          <cell r="K229">
            <v>0</v>
          </cell>
          <cell r="L229">
            <v>263312.40999999997</v>
          </cell>
          <cell r="M229">
            <v>0</v>
          </cell>
          <cell r="N229" t="str">
            <v>Add</v>
          </cell>
          <cell r="O229">
            <v>0</v>
          </cell>
          <cell r="V229" t="str">
            <v>NA</v>
          </cell>
          <cell r="X229">
            <v>0</v>
          </cell>
          <cell r="Y229" t="b">
            <v>0</v>
          </cell>
          <cell r="Z229" t="b">
            <v>0</v>
          </cell>
          <cell r="AA229" t="b">
            <v>0</v>
          </cell>
          <cell r="AB229">
            <v>0</v>
          </cell>
          <cell r="AC229" t="b">
            <v>1</v>
          </cell>
          <cell r="AE229" t="str">
            <v>P</v>
          </cell>
          <cell r="AF229">
            <v>0</v>
          </cell>
          <cell r="AG229">
            <v>0</v>
          </cell>
          <cell r="AI229">
            <v>0</v>
          </cell>
        </row>
        <row r="230">
          <cell r="C230" t="str">
            <v>TotalExpense</v>
          </cell>
          <cell r="D230">
            <v>198</v>
          </cell>
          <cell r="E230">
            <v>1</v>
          </cell>
          <cell r="F230" t="str">
            <v>Total_1</v>
          </cell>
          <cell r="G230" t="str">
            <v>AddF</v>
          </cell>
          <cell r="I230" t="str">
            <v>Total Expense</v>
          </cell>
          <cell r="J230">
            <v>2084373.39</v>
          </cell>
          <cell r="K230">
            <v>0</v>
          </cell>
          <cell r="L230">
            <v>2084373.39</v>
          </cell>
          <cell r="M230">
            <v>0</v>
          </cell>
          <cell r="N230" t="str">
            <v>Add</v>
          </cell>
          <cell r="O230">
            <v>0</v>
          </cell>
          <cell r="V230" t="str">
            <v>NA</v>
          </cell>
          <cell r="X230">
            <v>0</v>
          </cell>
          <cell r="Y230" t="b">
            <v>0</v>
          </cell>
          <cell r="Z230" t="b">
            <v>0</v>
          </cell>
          <cell r="AA230" t="b">
            <v>0</v>
          </cell>
          <cell r="AB230">
            <v>0</v>
          </cell>
          <cell r="AC230" t="b">
            <v>1</v>
          </cell>
          <cell r="AE230" t="str">
            <v>P</v>
          </cell>
          <cell r="AF230">
            <v>0</v>
          </cell>
          <cell r="AG230">
            <v>0</v>
          </cell>
          <cell r="AI230">
            <v>0</v>
          </cell>
        </row>
        <row r="231">
          <cell r="C231" t="str">
            <v>Income Tax</v>
          </cell>
          <cell r="D231">
            <v>199</v>
          </cell>
          <cell r="E231">
            <v>1</v>
          </cell>
          <cell r="F231" t="str">
            <v>Header_1</v>
          </cell>
          <cell r="G231" t="str">
            <v>AddG</v>
          </cell>
          <cell r="I231" t="str">
            <v>Income Tax</v>
          </cell>
          <cell r="J231">
            <v>0</v>
          </cell>
          <cell r="K231">
            <v>0</v>
          </cell>
          <cell r="L231">
            <v>0</v>
          </cell>
          <cell r="M231">
            <v>0</v>
          </cell>
          <cell r="O231">
            <v>0</v>
          </cell>
          <cell r="V231" t="str">
            <v>NA</v>
          </cell>
          <cell r="X231">
            <v>0</v>
          </cell>
          <cell r="Y231" t="b">
            <v>0</v>
          </cell>
          <cell r="Z231" t="b">
            <v>0</v>
          </cell>
          <cell r="AA231" t="b">
            <v>0</v>
          </cell>
          <cell r="AB231">
            <v>0</v>
          </cell>
          <cell r="AC231" t="b">
            <v>1</v>
          </cell>
          <cell r="AE231" t="str">
            <v>P</v>
          </cell>
          <cell r="AF231">
            <v>0</v>
          </cell>
          <cell r="AG231">
            <v>0</v>
          </cell>
          <cell r="AI231">
            <v>0</v>
          </cell>
        </row>
        <row r="232">
          <cell r="C232" t="str">
            <v>income_tax_control</v>
          </cell>
          <cell r="D232">
            <v>200</v>
          </cell>
          <cell r="E232">
            <v>2</v>
          </cell>
          <cell r="F232" t="str">
            <v>Header_2</v>
          </cell>
          <cell r="G232" t="str">
            <v>AddG</v>
          </cell>
          <cell r="I232" t="str">
            <v>Income Tax Expense</v>
          </cell>
          <cell r="J232">
            <v>0</v>
          </cell>
          <cell r="K232">
            <v>0</v>
          </cell>
          <cell r="L232">
            <v>0</v>
          </cell>
          <cell r="M232">
            <v>0</v>
          </cell>
          <cell r="O232">
            <v>0</v>
          </cell>
          <cell r="V232" t="str">
            <v>NA</v>
          </cell>
          <cell r="X232">
            <v>0</v>
          </cell>
          <cell r="Y232" t="b">
            <v>0</v>
          </cell>
          <cell r="Z232" t="b">
            <v>0</v>
          </cell>
          <cell r="AA232" t="b">
            <v>0</v>
          </cell>
          <cell r="AB232">
            <v>0</v>
          </cell>
          <cell r="AC232" t="b">
            <v>1</v>
          </cell>
          <cell r="AE232" t="str">
            <v>P</v>
          </cell>
          <cell r="AF232">
            <v>0</v>
          </cell>
          <cell r="AG232">
            <v>0</v>
          </cell>
          <cell r="AI232">
            <v>0</v>
          </cell>
        </row>
        <row r="233">
          <cell r="C233" t="str">
            <v>excessive_foreign_tax_credit_writeoff_expense</v>
          </cell>
          <cell r="D233">
            <v>201</v>
          </cell>
          <cell r="E233">
            <v>3</v>
          </cell>
          <cell r="F233" t="str">
            <v>Line_3</v>
          </cell>
          <cell r="G233" t="str">
            <v>AddG</v>
          </cell>
          <cell r="I233" t="str">
            <v>Excessive Foreign Tax Credit Writeoff Expense</v>
          </cell>
          <cell r="J233">
            <v>551.85</v>
          </cell>
          <cell r="K233">
            <v>0</v>
          </cell>
          <cell r="L233">
            <v>551.85</v>
          </cell>
          <cell r="M233">
            <v>0</v>
          </cell>
          <cell r="N233" t="str">
            <v>Add</v>
          </cell>
          <cell r="O233">
            <v>0</v>
          </cell>
          <cell r="V233" t="str">
            <v>NA</v>
          </cell>
          <cell r="X233">
            <v>0</v>
          </cell>
          <cell r="Y233" t="b">
            <v>0</v>
          </cell>
          <cell r="Z233" t="b">
            <v>0</v>
          </cell>
          <cell r="AA233" t="b">
            <v>0</v>
          </cell>
          <cell r="AB233">
            <v>0</v>
          </cell>
          <cell r="AC233" t="b">
            <v>1</v>
          </cell>
          <cell r="AE233" t="str">
            <v>P</v>
          </cell>
          <cell r="AF233">
            <v>0</v>
          </cell>
          <cell r="AG233">
            <v>0</v>
          </cell>
          <cell r="AI233">
            <v>0</v>
          </cell>
        </row>
        <row r="234">
          <cell r="C234" t="str">
            <v>Totalincome_tax_control</v>
          </cell>
          <cell r="D234">
            <v>202</v>
          </cell>
          <cell r="E234">
            <v>2</v>
          </cell>
          <cell r="F234" t="str">
            <v>Total_2</v>
          </cell>
          <cell r="G234" t="str">
            <v>AddG</v>
          </cell>
          <cell r="I234" t="str">
            <v>Total Income Tax Expense</v>
          </cell>
          <cell r="J234">
            <v>551.85</v>
          </cell>
          <cell r="K234">
            <v>0</v>
          </cell>
          <cell r="L234">
            <v>551.85</v>
          </cell>
          <cell r="M234">
            <v>0</v>
          </cell>
          <cell r="N234" t="str">
            <v>Add</v>
          </cell>
          <cell r="O234">
            <v>0</v>
          </cell>
          <cell r="V234" t="str">
            <v>NA</v>
          </cell>
          <cell r="X234">
            <v>0</v>
          </cell>
          <cell r="Y234" t="b">
            <v>0</v>
          </cell>
          <cell r="Z234" t="b">
            <v>0</v>
          </cell>
          <cell r="AA234" t="b">
            <v>0</v>
          </cell>
          <cell r="AB234">
            <v>0</v>
          </cell>
          <cell r="AC234" t="b">
            <v>1</v>
          </cell>
          <cell r="AE234" t="str">
            <v>P</v>
          </cell>
          <cell r="AF234">
            <v>0</v>
          </cell>
          <cell r="AG234">
            <v>0</v>
          </cell>
          <cell r="AI234">
            <v>0</v>
          </cell>
        </row>
        <row r="235">
          <cell r="C235" t="str">
            <v>TotalIncome Tax</v>
          </cell>
          <cell r="D235">
            <v>203</v>
          </cell>
          <cell r="E235">
            <v>1</v>
          </cell>
          <cell r="F235" t="str">
            <v>Total_1</v>
          </cell>
          <cell r="G235" t="str">
            <v>AddG</v>
          </cell>
          <cell r="I235" t="str">
            <v>Total Income Tax</v>
          </cell>
          <cell r="J235">
            <v>551.85</v>
          </cell>
          <cell r="K235">
            <v>0</v>
          </cell>
          <cell r="L235">
            <v>551.85</v>
          </cell>
          <cell r="M235">
            <v>0</v>
          </cell>
          <cell r="N235" t="str">
            <v>Add</v>
          </cell>
          <cell r="O235">
            <v>0</v>
          </cell>
          <cell r="V235" t="str">
            <v>NA</v>
          </cell>
          <cell r="X235">
            <v>0</v>
          </cell>
          <cell r="Y235" t="b">
            <v>0</v>
          </cell>
          <cell r="Z235" t="b">
            <v>0</v>
          </cell>
          <cell r="AA235" t="b">
            <v>0</v>
          </cell>
          <cell r="AB235">
            <v>0</v>
          </cell>
          <cell r="AC235" t="b">
            <v>1</v>
          </cell>
          <cell r="AE235" t="str">
            <v>P</v>
          </cell>
          <cell r="AF235">
            <v>0</v>
          </cell>
          <cell r="AG235">
            <v>0</v>
          </cell>
          <cell r="AI235">
            <v>0</v>
          </cell>
        </row>
        <row r="236">
          <cell r="C236" t="str">
            <v>Profit &amp; Loss Clearing Account</v>
          </cell>
          <cell r="D236">
            <v>204</v>
          </cell>
          <cell r="E236">
            <v>1</v>
          </cell>
          <cell r="F236" t="str">
            <v>Header_1</v>
          </cell>
          <cell r="G236" t="str">
            <v>AddB</v>
          </cell>
          <cell r="I236" t="str">
            <v>Profit &amp; Loss Clearing Account</v>
          </cell>
          <cell r="J236">
            <v>0</v>
          </cell>
          <cell r="K236">
            <v>0</v>
          </cell>
          <cell r="L236">
            <v>0</v>
          </cell>
          <cell r="M236">
            <v>0</v>
          </cell>
          <cell r="O236">
            <v>0</v>
          </cell>
          <cell r="V236" t="str">
            <v>NA</v>
          </cell>
          <cell r="X236">
            <v>0</v>
          </cell>
          <cell r="Y236" t="b">
            <v>0</v>
          </cell>
          <cell r="Z236" t="b">
            <v>0</v>
          </cell>
          <cell r="AA236" t="b">
            <v>0</v>
          </cell>
          <cell r="AB236">
            <v>0</v>
          </cell>
          <cell r="AC236" t="b">
            <v>1</v>
          </cell>
          <cell r="AE236" t="str">
            <v>P</v>
          </cell>
          <cell r="AF236">
            <v>0</v>
          </cell>
          <cell r="AG236">
            <v>0</v>
          </cell>
          <cell r="AI236">
            <v>0</v>
          </cell>
        </row>
        <row r="237">
          <cell r="C237" t="str">
            <v>unallocated_benefits</v>
          </cell>
          <cell r="D237">
            <v>205</v>
          </cell>
          <cell r="E237">
            <v>2</v>
          </cell>
          <cell r="F237" t="str">
            <v>Line_2</v>
          </cell>
          <cell r="G237" t="str">
            <v>AddB</v>
          </cell>
          <cell r="I237" t="str">
            <v>Profit &amp; Loss Clearing Account</v>
          </cell>
          <cell r="J237">
            <v>-1649576.64</v>
          </cell>
          <cell r="K237">
            <v>0</v>
          </cell>
          <cell r="L237">
            <v>-1649576.64</v>
          </cell>
          <cell r="M237">
            <v>0</v>
          </cell>
          <cell r="N237" t="str">
            <v>Add</v>
          </cell>
          <cell r="O237">
            <v>0</v>
          </cell>
          <cell r="V237" t="str">
            <v>NA</v>
          </cell>
          <cell r="X237">
            <v>0</v>
          </cell>
          <cell r="Y237" t="b">
            <v>0</v>
          </cell>
          <cell r="Z237" t="b">
            <v>0</v>
          </cell>
          <cell r="AA237" t="b">
            <v>0</v>
          </cell>
          <cell r="AB237">
            <v>0</v>
          </cell>
          <cell r="AC237" t="b">
            <v>1</v>
          </cell>
          <cell r="AE237" t="str">
            <v>P</v>
          </cell>
          <cell r="AF237">
            <v>0</v>
          </cell>
          <cell r="AG237">
            <v>0</v>
          </cell>
          <cell r="AI237">
            <v>0</v>
          </cell>
        </row>
        <row r="238">
          <cell r="C238" t="str">
            <v>TotalProfit &amp; Loss Clearing Account</v>
          </cell>
          <cell r="D238">
            <v>206</v>
          </cell>
          <cell r="E238">
            <v>1</v>
          </cell>
          <cell r="F238" t="str">
            <v>Total_1</v>
          </cell>
          <cell r="G238" t="str">
            <v>AddB</v>
          </cell>
          <cell r="I238" t="str">
            <v>Total Profit &amp; Loss Clearing Account</v>
          </cell>
          <cell r="J238">
            <v>-1649576.64</v>
          </cell>
          <cell r="K238">
            <v>0</v>
          </cell>
          <cell r="L238">
            <v>-1649576.64</v>
          </cell>
          <cell r="M238">
            <v>0</v>
          </cell>
          <cell r="N238" t="str">
            <v>Add</v>
          </cell>
          <cell r="O238">
            <v>0</v>
          </cell>
          <cell r="V238" t="str">
            <v>NA</v>
          </cell>
          <cell r="X238">
            <v>0</v>
          </cell>
          <cell r="Y238" t="b">
            <v>0</v>
          </cell>
          <cell r="Z238" t="b">
            <v>0</v>
          </cell>
          <cell r="AA238" t="b">
            <v>0</v>
          </cell>
          <cell r="AB238">
            <v>0</v>
          </cell>
          <cell r="AC238" t="b">
            <v>1</v>
          </cell>
          <cell r="AE238" t="str">
            <v>P</v>
          </cell>
          <cell r="AF238">
            <v>0</v>
          </cell>
          <cell r="AG238">
            <v>0</v>
          </cell>
          <cell r="AI238">
            <v>0</v>
          </cell>
        </row>
        <row r="239">
          <cell r="C239" t="str">
            <v>Assets</v>
          </cell>
          <cell r="D239">
            <v>207</v>
          </cell>
          <cell r="E239">
            <v>1</v>
          </cell>
          <cell r="F239" t="str">
            <v>Header_1</v>
          </cell>
          <cell r="G239" t="str">
            <v>AddB</v>
          </cell>
          <cell r="I239" t="str">
            <v>Assets</v>
          </cell>
          <cell r="J239">
            <v>0</v>
          </cell>
          <cell r="K239">
            <v>0</v>
          </cell>
          <cell r="L239">
            <v>0</v>
          </cell>
          <cell r="M239">
            <v>0</v>
          </cell>
          <cell r="O239">
            <v>0</v>
          </cell>
          <cell r="V239" t="str">
            <v>NA</v>
          </cell>
          <cell r="X239">
            <v>0</v>
          </cell>
          <cell r="Y239" t="b">
            <v>0</v>
          </cell>
          <cell r="Z239" t="b">
            <v>0</v>
          </cell>
          <cell r="AA239" t="b">
            <v>0</v>
          </cell>
          <cell r="AB239">
            <v>0</v>
          </cell>
          <cell r="AC239" t="b">
            <v>1</v>
          </cell>
          <cell r="AE239" t="str">
            <v>P</v>
          </cell>
          <cell r="AF239">
            <v>0</v>
          </cell>
          <cell r="AG239">
            <v>0</v>
          </cell>
          <cell r="AI239">
            <v>0</v>
          </cell>
        </row>
        <row r="240">
          <cell r="C240" t="str">
            <v>investments</v>
          </cell>
          <cell r="D240">
            <v>208</v>
          </cell>
          <cell r="E240">
            <v>2</v>
          </cell>
          <cell r="F240" t="str">
            <v>Header_2</v>
          </cell>
          <cell r="G240" t="str">
            <v>AddB</v>
          </cell>
          <cell r="I240" t="str">
            <v>Investments</v>
          </cell>
          <cell r="J240">
            <v>0</v>
          </cell>
          <cell r="K240">
            <v>0</v>
          </cell>
          <cell r="L240">
            <v>0</v>
          </cell>
          <cell r="M240">
            <v>0</v>
          </cell>
          <cell r="O240">
            <v>0</v>
          </cell>
          <cell r="V240" t="str">
            <v>NA</v>
          </cell>
          <cell r="X240">
            <v>0</v>
          </cell>
          <cell r="Y240" t="b">
            <v>0</v>
          </cell>
          <cell r="Z240" t="b">
            <v>0</v>
          </cell>
          <cell r="AA240" t="b">
            <v>0</v>
          </cell>
          <cell r="AB240">
            <v>0</v>
          </cell>
          <cell r="AC240" t="b">
            <v>1</v>
          </cell>
          <cell r="AE240" t="str">
            <v>P</v>
          </cell>
          <cell r="AF240">
            <v>0</v>
          </cell>
          <cell r="AG240">
            <v>0</v>
          </cell>
          <cell r="AI240">
            <v>0</v>
          </cell>
        </row>
        <row r="241">
          <cell r="C241" t="str">
            <v>investments.Cash</v>
          </cell>
          <cell r="D241">
            <v>209</v>
          </cell>
          <cell r="E241">
            <v>3</v>
          </cell>
          <cell r="F241" t="str">
            <v>Header_3</v>
          </cell>
          <cell r="G241" t="str">
            <v>AddB</v>
          </cell>
          <cell r="I241" t="str">
            <v>Cash and Cash Equivalents</v>
          </cell>
          <cell r="J241">
            <v>0</v>
          </cell>
          <cell r="K241">
            <v>0</v>
          </cell>
          <cell r="L241">
            <v>0</v>
          </cell>
          <cell r="M241">
            <v>0</v>
          </cell>
          <cell r="O241">
            <v>0</v>
          </cell>
          <cell r="V241" t="str">
            <v>NA</v>
          </cell>
          <cell r="X241">
            <v>0</v>
          </cell>
          <cell r="Y241" t="b">
            <v>0</v>
          </cell>
          <cell r="Z241" t="b">
            <v>0</v>
          </cell>
          <cell r="AA241" t="b">
            <v>0</v>
          </cell>
          <cell r="AB241">
            <v>0</v>
          </cell>
          <cell r="AC241" t="b">
            <v>1</v>
          </cell>
          <cell r="AE241" t="str">
            <v>P</v>
          </cell>
          <cell r="AF241">
            <v>0</v>
          </cell>
          <cell r="AG241">
            <v>0</v>
          </cell>
          <cell r="AI241">
            <v>0</v>
          </cell>
        </row>
        <row r="242">
          <cell r="C242" t="str">
            <v>investments.Cash.9a1a4a8d-126a-4a73-82c7-f3888256c7d5</v>
          </cell>
          <cell r="D242">
            <v>210</v>
          </cell>
          <cell r="E242">
            <v>4</v>
          </cell>
          <cell r="F242" t="str">
            <v>Line_4</v>
          </cell>
          <cell r="G242" t="str">
            <v>AddB</v>
          </cell>
          <cell r="I242" t="str">
            <v>Term Deposit ING 84613066</v>
          </cell>
          <cell r="J242">
            <v>1741642.02</v>
          </cell>
          <cell r="K242">
            <v>0</v>
          </cell>
          <cell r="L242">
            <v>1741642.02</v>
          </cell>
          <cell r="M242">
            <v>0</v>
          </cell>
          <cell r="N242" t="str">
            <v>Add</v>
          </cell>
          <cell r="O242">
            <v>0</v>
          </cell>
          <cell r="V242" t="str">
            <v>NA</v>
          </cell>
          <cell r="X242">
            <v>0</v>
          </cell>
          <cell r="Y242" t="b">
            <v>0</v>
          </cell>
          <cell r="Z242" t="b">
            <v>0</v>
          </cell>
          <cell r="AA242" t="b">
            <v>0</v>
          </cell>
          <cell r="AB242">
            <v>0</v>
          </cell>
          <cell r="AC242" t="b">
            <v>1</v>
          </cell>
          <cell r="AE242" t="str">
            <v>P</v>
          </cell>
          <cell r="AF242">
            <v>0</v>
          </cell>
          <cell r="AG242">
            <v>0</v>
          </cell>
          <cell r="AI242">
            <v>0</v>
          </cell>
        </row>
        <row r="243">
          <cell r="C243" t="str">
            <v>investments.Cash.4f350160-46c5-4076-bb84-401c0a4fbb02</v>
          </cell>
          <cell r="D243">
            <v>211</v>
          </cell>
          <cell r="E243">
            <v>4</v>
          </cell>
          <cell r="F243" t="str">
            <v>Line_4</v>
          </cell>
          <cell r="G243" t="str">
            <v>AddB</v>
          </cell>
          <cell r="I243" t="str">
            <v>Term Deposit UBank</v>
          </cell>
          <cell r="J243">
            <v>1294698.22</v>
          </cell>
          <cell r="K243">
            <v>0</v>
          </cell>
          <cell r="L243">
            <v>1294698.22</v>
          </cell>
          <cell r="M243">
            <v>0</v>
          </cell>
          <cell r="N243" t="str">
            <v>Add</v>
          </cell>
          <cell r="O243">
            <v>0</v>
          </cell>
          <cell r="V243" t="str">
            <v>NA</v>
          </cell>
          <cell r="X243">
            <v>0</v>
          </cell>
          <cell r="Y243" t="b">
            <v>0</v>
          </cell>
          <cell r="Z243" t="b">
            <v>0</v>
          </cell>
          <cell r="AA243" t="b">
            <v>0</v>
          </cell>
          <cell r="AB243">
            <v>0</v>
          </cell>
          <cell r="AC243" t="b">
            <v>1</v>
          </cell>
          <cell r="AE243" t="str">
            <v>P</v>
          </cell>
          <cell r="AF243">
            <v>0</v>
          </cell>
          <cell r="AG243">
            <v>0</v>
          </cell>
          <cell r="AI243">
            <v>0</v>
          </cell>
        </row>
        <row r="244">
          <cell r="C244" t="str">
            <v>investments.Cash.2c8e0546-25be-49ff-aef4-a427b595b974</v>
          </cell>
          <cell r="D244">
            <v>212</v>
          </cell>
          <cell r="E244">
            <v>4</v>
          </cell>
          <cell r="F244" t="str">
            <v>Line_4</v>
          </cell>
          <cell r="G244" t="str">
            <v>AddB</v>
          </cell>
          <cell r="I244" t="str">
            <v>Westpac Term Deposit 344139</v>
          </cell>
          <cell r="J244">
            <v>1441296.17</v>
          </cell>
          <cell r="K244">
            <v>0</v>
          </cell>
          <cell r="L244">
            <v>1441296.17</v>
          </cell>
          <cell r="M244">
            <v>0</v>
          </cell>
          <cell r="N244" t="str">
            <v>Add</v>
          </cell>
          <cell r="O244">
            <v>0</v>
          </cell>
          <cell r="V244" t="str">
            <v>NA</v>
          </cell>
          <cell r="X244">
            <v>0</v>
          </cell>
          <cell r="Y244" t="b">
            <v>0</v>
          </cell>
          <cell r="Z244" t="b">
            <v>0</v>
          </cell>
          <cell r="AA244" t="b">
            <v>0</v>
          </cell>
          <cell r="AB244">
            <v>0</v>
          </cell>
          <cell r="AC244" t="b">
            <v>1</v>
          </cell>
          <cell r="AE244" t="str">
            <v>P</v>
          </cell>
          <cell r="AF244">
            <v>0</v>
          </cell>
          <cell r="AG244">
            <v>0</v>
          </cell>
          <cell r="AI244">
            <v>0</v>
          </cell>
        </row>
        <row r="245">
          <cell r="C245" t="str">
            <v>Totalinvestments.Cash</v>
          </cell>
          <cell r="D245">
            <v>213</v>
          </cell>
          <cell r="E245">
            <v>3</v>
          </cell>
          <cell r="F245" t="str">
            <v>Total_3</v>
          </cell>
          <cell r="G245" t="str">
            <v>AddB</v>
          </cell>
          <cell r="I245" t="str">
            <v>Total Cash and Cash Equivalents</v>
          </cell>
          <cell r="J245">
            <v>4477636.41</v>
          </cell>
          <cell r="K245">
            <v>0</v>
          </cell>
          <cell r="L245">
            <v>4477636.41</v>
          </cell>
          <cell r="M245">
            <v>0</v>
          </cell>
          <cell r="N245" t="str">
            <v>Add</v>
          </cell>
          <cell r="O245">
            <v>0</v>
          </cell>
          <cell r="V245" t="str">
            <v>NA</v>
          </cell>
          <cell r="X245">
            <v>0</v>
          </cell>
          <cell r="Y245" t="b">
            <v>0</v>
          </cell>
          <cell r="Z245" t="b">
            <v>0</v>
          </cell>
          <cell r="AA245" t="b">
            <v>0</v>
          </cell>
          <cell r="AB245">
            <v>0</v>
          </cell>
          <cell r="AC245" t="b">
            <v>1</v>
          </cell>
          <cell r="AE245" t="str">
            <v>P</v>
          </cell>
          <cell r="AF245">
            <v>0</v>
          </cell>
          <cell r="AG245">
            <v>0</v>
          </cell>
          <cell r="AI245">
            <v>0</v>
          </cell>
        </row>
        <row r="246">
          <cell r="C246" t="str">
            <v>investments.Property</v>
          </cell>
          <cell r="D246">
            <v>214</v>
          </cell>
          <cell r="E246">
            <v>3</v>
          </cell>
          <cell r="F246" t="str">
            <v>Header_3</v>
          </cell>
          <cell r="G246" t="str">
            <v>AddB</v>
          </cell>
          <cell r="I246" t="str">
            <v>Direct Property</v>
          </cell>
          <cell r="J246">
            <v>0</v>
          </cell>
          <cell r="K246">
            <v>0</v>
          </cell>
          <cell r="L246">
            <v>0</v>
          </cell>
          <cell r="M246">
            <v>0</v>
          </cell>
          <cell r="O246">
            <v>0</v>
          </cell>
          <cell r="V246" t="str">
            <v>NA</v>
          </cell>
          <cell r="X246">
            <v>0</v>
          </cell>
          <cell r="Y246" t="b">
            <v>0</v>
          </cell>
          <cell r="Z246" t="b">
            <v>0</v>
          </cell>
          <cell r="AA246" t="b">
            <v>0</v>
          </cell>
          <cell r="AB246">
            <v>0</v>
          </cell>
          <cell r="AC246" t="b">
            <v>1</v>
          </cell>
          <cell r="AE246" t="str">
            <v>P</v>
          </cell>
          <cell r="AF246">
            <v>0</v>
          </cell>
          <cell r="AG246">
            <v>0</v>
          </cell>
          <cell r="AI246">
            <v>0</v>
          </cell>
        </row>
        <row r="247">
          <cell r="C247" t="str">
            <v>investments.Property.cb4fb5de-b893-454a-af8c-39d2f9dd8591</v>
          </cell>
          <cell r="D247">
            <v>215</v>
          </cell>
          <cell r="E247">
            <v>4</v>
          </cell>
          <cell r="F247" t="str">
            <v>Line_4</v>
          </cell>
          <cell r="G247" t="str">
            <v>AddB</v>
          </cell>
          <cell r="H247" t="str">
            <v>Class.ImportProperty</v>
          </cell>
          <cell r="I247" t="str">
            <v>Unit 6004, The Peninsular, Mooloolaba</v>
          </cell>
          <cell r="J247">
            <v>875000</v>
          </cell>
          <cell r="K247">
            <v>0</v>
          </cell>
          <cell r="L247">
            <v>875000</v>
          </cell>
          <cell r="M247">
            <v>0</v>
          </cell>
          <cell r="N247" t="str">
            <v>Add</v>
          </cell>
          <cell r="O247">
            <v>0</v>
          </cell>
          <cell r="V247" t="str">
            <v>NA</v>
          </cell>
          <cell r="X247">
            <v>0</v>
          </cell>
          <cell r="Y247" t="b">
            <v>0</v>
          </cell>
          <cell r="Z247" t="b">
            <v>0</v>
          </cell>
          <cell r="AA247" t="b">
            <v>0</v>
          </cell>
          <cell r="AB247">
            <v>0</v>
          </cell>
          <cell r="AC247" t="b">
            <v>1</v>
          </cell>
          <cell r="AE247" t="str">
            <v>P</v>
          </cell>
          <cell r="AF247">
            <v>0</v>
          </cell>
          <cell r="AG247">
            <v>0</v>
          </cell>
          <cell r="AI247">
            <v>0</v>
          </cell>
        </row>
        <row r="248">
          <cell r="C248" t="str">
            <v>Totalinvestments.Property</v>
          </cell>
          <cell r="D248">
            <v>216</v>
          </cell>
          <cell r="E248">
            <v>3</v>
          </cell>
          <cell r="F248" t="str">
            <v>Total_3</v>
          </cell>
          <cell r="G248" t="str">
            <v>AddB</v>
          </cell>
          <cell r="I248" t="str">
            <v>Total Direct Property</v>
          </cell>
          <cell r="J248">
            <v>875000</v>
          </cell>
          <cell r="K248">
            <v>0</v>
          </cell>
          <cell r="L248">
            <v>875000</v>
          </cell>
          <cell r="M248">
            <v>0</v>
          </cell>
          <cell r="N248" t="str">
            <v>Add</v>
          </cell>
          <cell r="O248">
            <v>0</v>
          </cell>
          <cell r="V248" t="str">
            <v>NA</v>
          </cell>
          <cell r="X248">
            <v>0</v>
          </cell>
          <cell r="Y248" t="b">
            <v>0</v>
          </cell>
          <cell r="Z248" t="b">
            <v>0</v>
          </cell>
          <cell r="AA248" t="b">
            <v>0</v>
          </cell>
          <cell r="AB248">
            <v>0</v>
          </cell>
          <cell r="AC248" t="b">
            <v>1</v>
          </cell>
          <cell r="AE248" t="str">
            <v>P</v>
          </cell>
          <cell r="AF248">
            <v>0</v>
          </cell>
          <cell r="AG248">
            <v>0</v>
          </cell>
          <cell r="AI248">
            <v>0</v>
          </cell>
        </row>
        <row r="249">
          <cell r="C249" t="str">
            <v>investments.OtherFixedInterest</v>
          </cell>
          <cell r="D249">
            <v>217</v>
          </cell>
          <cell r="E249">
            <v>3</v>
          </cell>
          <cell r="F249" t="str">
            <v>Header_3</v>
          </cell>
          <cell r="G249" t="str">
            <v>AddB</v>
          </cell>
          <cell r="I249" t="str">
            <v>Other Fixed Interest Securities</v>
          </cell>
          <cell r="J249">
            <v>0</v>
          </cell>
          <cell r="K249">
            <v>0</v>
          </cell>
          <cell r="L249">
            <v>0</v>
          </cell>
          <cell r="M249">
            <v>0</v>
          </cell>
          <cell r="O249">
            <v>0</v>
          </cell>
          <cell r="V249" t="str">
            <v>NA</v>
          </cell>
          <cell r="X249">
            <v>0</v>
          </cell>
          <cell r="Y249" t="b">
            <v>0</v>
          </cell>
          <cell r="Z249" t="b">
            <v>0</v>
          </cell>
          <cell r="AA249" t="b">
            <v>0</v>
          </cell>
          <cell r="AB249">
            <v>0</v>
          </cell>
          <cell r="AC249" t="b">
            <v>1</v>
          </cell>
          <cell r="AE249" t="str">
            <v>P</v>
          </cell>
          <cell r="AF249">
            <v>0</v>
          </cell>
          <cell r="AG249">
            <v>0</v>
          </cell>
          <cell r="AI249">
            <v>0</v>
          </cell>
        </row>
        <row r="250">
          <cell r="C250" t="str">
            <v>investments.OtherFixedInterest.fadeec77-42db-4e5e-85db-6bf9ece3a26c</v>
          </cell>
          <cell r="D250">
            <v>218</v>
          </cell>
          <cell r="E250">
            <v>4</v>
          </cell>
          <cell r="F250" t="str">
            <v>Line_4</v>
          </cell>
          <cell r="G250" t="str">
            <v>AddB</v>
          </cell>
          <cell r="I250" t="str">
            <v>AGL Energy Limited. - Hybrid 3-Bbsw+3.80% 08-06-39 Sub Step T-06-19</v>
          </cell>
          <cell r="J250">
            <v>105980</v>
          </cell>
          <cell r="K250">
            <v>0</v>
          </cell>
          <cell r="L250">
            <v>105980</v>
          </cell>
          <cell r="M250">
            <v>0</v>
          </cell>
          <cell r="N250" t="str">
            <v>Add</v>
          </cell>
          <cell r="O250">
            <v>0</v>
          </cell>
          <cell r="V250" t="str">
            <v>NA</v>
          </cell>
          <cell r="X250">
            <v>0</v>
          </cell>
          <cell r="Y250" t="b">
            <v>0</v>
          </cell>
          <cell r="Z250" t="b">
            <v>0</v>
          </cell>
          <cell r="AA250" t="b">
            <v>0</v>
          </cell>
          <cell r="AB250">
            <v>0</v>
          </cell>
          <cell r="AC250" t="b">
            <v>1</v>
          </cell>
          <cell r="AE250" t="str">
            <v>P</v>
          </cell>
          <cell r="AF250">
            <v>0</v>
          </cell>
          <cell r="AG250">
            <v>0</v>
          </cell>
          <cell r="AI250">
            <v>0</v>
          </cell>
        </row>
        <row r="251">
          <cell r="C251" t="str">
            <v>investments.OtherFixedInterest.f0f4db9a-7385-4541-ae22-c5c550e0f92e</v>
          </cell>
          <cell r="D251">
            <v>219</v>
          </cell>
          <cell r="E251">
            <v>4</v>
          </cell>
          <cell r="F251" t="str">
            <v>Line_4</v>
          </cell>
          <cell r="G251" t="str">
            <v>AddB</v>
          </cell>
          <cell r="I251" t="str">
            <v>Macquarie Bank Limited - Hybrid 3-Bbsw+1.70% Perp Sub Non-Cum Stap</v>
          </cell>
          <cell r="J251">
            <v>15312</v>
          </cell>
          <cell r="K251">
            <v>0</v>
          </cell>
          <cell r="L251">
            <v>15312</v>
          </cell>
          <cell r="M251">
            <v>0</v>
          </cell>
          <cell r="N251" t="str">
            <v>Add</v>
          </cell>
          <cell r="O251">
            <v>0</v>
          </cell>
          <cell r="V251" t="str">
            <v>NA</v>
          </cell>
          <cell r="X251">
            <v>0</v>
          </cell>
          <cell r="Y251" t="b">
            <v>0</v>
          </cell>
          <cell r="Z251" t="b">
            <v>0</v>
          </cell>
          <cell r="AA251" t="b">
            <v>0</v>
          </cell>
          <cell r="AB251">
            <v>0</v>
          </cell>
          <cell r="AC251" t="b">
            <v>1</v>
          </cell>
          <cell r="AE251" t="str">
            <v>P</v>
          </cell>
          <cell r="AF251">
            <v>0</v>
          </cell>
          <cell r="AG251">
            <v>0</v>
          </cell>
          <cell r="AI251">
            <v>0</v>
          </cell>
        </row>
        <row r="252">
          <cell r="C252" t="str">
            <v>investments.OtherFixedInterest.8095f795-30a9-40b9-8e6f-d3cb26fb2897</v>
          </cell>
          <cell r="D252">
            <v>220</v>
          </cell>
          <cell r="E252">
            <v>4</v>
          </cell>
          <cell r="F252" t="str">
            <v>Line_4</v>
          </cell>
          <cell r="G252" t="str">
            <v>AddB</v>
          </cell>
          <cell r="I252" t="str">
            <v>NAB Ltd - Hybrid 3-Bbsw+1.25% Perp Sub Exch Non-Cum Stap</v>
          </cell>
          <cell r="J252">
            <v>15320.2</v>
          </cell>
          <cell r="K252">
            <v>0</v>
          </cell>
          <cell r="L252">
            <v>15320.2</v>
          </cell>
          <cell r="M252">
            <v>0</v>
          </cell>
          <cell r="N252" t="str">
            <v>Add</v>
          </cell>
          <cell r="O252">
            <v>0</v>
          </cell>
          <cell r="V252" t="str">
            <v>NA</v>
          </cell>
          <cell r="X252">
            <v>0</v>
          </cell>
          <cell r="Y252" t="b">
            <v>0</v>
          </cell>
          <cell r="Z252" t="b">
            <v>0</v>
          </cell>
          <cell r="AA252" t="b">
            <v>0</v>
          </cell>
          <cell r="AB252">
            <v>0</v>
          </cell>
          <cell r="AC252" t="b">
            <v>1</v>
          </cell>
          <cell r="AE252" t="str">
            <v>P</v>
          </cell>
          <cell r="AF252">
            <v>0</v>
          </cell>
          <cell r="AG252">
            <v>0</v>
          </cell>
          <cell r="AI252">
            <v>0</v>
          </cell>
        </row>
        <row r="253">
          <cell r="C253" t="str">
            <v>investments.OtherFixedInterest.919b1fa8-a96c-4861-942b-8aad5464e14d</v>
          </cell>
          <cell r="D253">
            <v>221</v>
          </cell>
          <cell r="E253">
            <v>4</v>
          </cell>
          <cell r="F253" t="str">
            <v>Line_4</v>
          </cell>
          <cell r="G253" t="str">
            <v>AddB</v>
          </cell>
          <cell r="I253" t="str">
            <v>Westpac Banking Corporation - Sub Bond 3-Bbsw+2.75% 23-8-22 Red T-08-17</v>
          </cell>
          <cell r="J253">
            <v>100760</v>
          </cell>
          <cell r="K253">
            <v>0</v>
          </cell>
          <cell r="L253">
            <v>100760</v>
          </cell>
          <cell r="M253">
            <v>0</v>
          </cell>
          <cell r="N253" t="str">
            <v>Add</v>
          </cell>
          <cell r="O253">
            <v>0</v>
          </cell>
          <cell r="V253" t="str">
            <v>NA</v>
          </cell>
          <cell r="X253">
            <v>0</v>
          </cell>
          <cell r="Y253" t="b">
            <v>0</v>
          </cell>
          <cell r="Z253" t="b">
            <v>0</v>
          </cell>
          <cell r="AA253" t="b">
            <v>0</v>
          </cell>
          <cell r="AB253">
            <v>0</v>
          </cell>
          <cell r="AC253" t="b">
            <v>1</v>
          </cell>
          <cell r="AE253" t="str">
            <v>P</v>
          </cell>
          <cell r="AF253">
            <v>0</v>
          </cell>
          <cell r="AG253">
            <v>0</v>
          </cell>
          <cell r="AI253">
            <v>0</v>
          </cell>
        </row>
        <row r="254">
          <cell r="C254" t="str">
            <v>Totalinvestments.OtherFixedInterest</v>
          </cell>
          <cell r="D254">
            <v>222</v>
          </cell>
          <cell r="E254">
            <v>3</v>
          </cell>
          <cell r="F254" t="str">
            <v>Total_3</v>
          </cell>
          <cell r="G254" t="str">
            <v>AddB</v>
          </cell>
          <cell r="I254" t="str">
            <v>Total Other Fixed Interest Securities</v>
          </cell>
          <cell r="J254">
            <v>237372.2</v>
          </cell>
          <cell r="K254">
            <v>0</v>
          </cell>
          <cell r="L254">
            <v>237372.2</v>
          </cell>
          <cell r="M254">
            <v>0</v>
          </cell>
          <cell r="N254" t="str">
            <v>Add</v>
          </cell>
          <cell r="O254">
            <v>0</v>
          </cell>
          <cell r="V254" t="str">
            <v>NA</v>
          </cell>
          <cell r="X254">
            <v>0</v>
          </cell>
          <cell r="Y254" t="b">
            <v>0</v>
          </cell>
          <cell r="Z254" t="b">
            <v>0</v>
          </cell>
          <cell r="AA254" t="b">
            <v>0</v>
          </cell>
          <cell r="AB254">
            <v>0</v>
          </cell>
          <cell r="AC254" t="b">
            <v>1</v>
          </cell>
          <cell r="AE254" t="str">
            <v>P</v>
          </cell>
          <cell r="AF254">
            <v>0</v>
          </cell>
          <cell r="AG254">
            <v>0</v>
          </cell>
          <cell r="AI254">
            <v>0</v>
          </cell>
        </row>
        <row r="255">
          <cell r="C255" t="str">
            <v>investments.ListedShares</v>
          </cell>
          <cell r="D255">
            <v>223</v>
          </cell>
          <cell r="E255">
            <v>3</v>
          </cell>
          <cell r="F255" t="str">
            <v>Header_3</v>
          </cell>
          <cell r="G255" t="str">
            <v>AddB</v>
          </cell>
          <cell r="I255" t="str">
            <v>Shares in Listed Companies</v>
          </cell>
          <cell r="J255">
            <v>0</v>
          </cell>
          <cell r="K255">
            <v>0</v>
          </cell>
          <cell r="L255">
            <v>0</v>
          </cell>
          <cell r="M255">
            <v>0</v>
          </cell>
          <cell r="O255">
            <v>0</v>
          </cell>
          <cell r="V255" t="str">
            <v>NA</v>
          </cell>
          <cell r="X255">
            <v>0</v>
          </cell>
          <cell r="Y255" t="b">
            <v>0</v>
          </cell>
          <cell r="Z255" t="b">
            <v>0</v>
          </cell>
          <cell r="AA255" t="b">
            <v>0</v>
          </cell>
          <cell r="AB255">
            <v>0</v>
          </cell>
          <cell r="AC255" t="b">
            <v>1</v>
          </cell>
          <cell r="AE255" t="str">
            <v>P</v>
          </cell>
          <cell r="AF255">
            <v>0</v>
          </cell>
          <cell r="AG255">
            <v>0</v>
          </cell>
          <cell r="AI255">
            <v>0</v>
          </cell>
        </row>
        <row r="256">
          <cell r="C256" t="str">
            <v>investments.ListedShares.ea7fe5a2-6a50-4e1c-b2bf-ab7ac3754bf6</v>
          </cell>
          <cell r="D256">
            <v>224</v>
          </cell>
          <cell r="E256">
            <v>4</v>
          </cell>
          <cell r="F256" t="str">
            <v>Line_4</v>
          </cell>
          <cell r="G256" t="str">
            <v>AddB</v>
          </cell>
          <cell r="I256" t="str">
            <v>ANZ Banking Group Ltd - Cnv Pref 6-Bbsw+3.10% Perp Sub Non-Cum T-09-19</v>
          </cell>
          <cell r="J256">
            <v>102100</v>
          </cell>
          <cell r="K256">
            <v>0</v>
          </cell>
          <cell r="L256">
            <v>102100</v>
          </cell>
          <cell r="M256">
            <v>0</v>
          </cell>
          <cell r="N256" t="str">
            <v>Add</v>
          </cell>
          <cell r="O256">
            <v>0</v>
          </cell>
          <cell r="V256" t="str">
            <v>NA</v>
          </cell>
          <cell r="X256">
            <v>0</v>
          </cell>
          <cell r="Y256" t="b">
            <v>0</v>
          </cell>
          <cell r="Z256" t="b">
            <v>0</v>
          </cell>
          <cell r="AA256" t="b">
            <v>0</v>
          </cell>
          <cell r="AB256">
            <v>0</v>
          </cell>
          <cell r="AC256" t="b">
            <v>1</v>
          </cell>
          <cell r="AE256" t="str">
            <v>P</v>
          </cell>
          <cell r="AF256">
            <v>0</v>
          </cell>
          <cell r="AG256">
            <v>0</v>
          </cell>
          <cell r="AI256">
            <v>0</v>
          </cell>
        </row>
        <row r="257">
          <cell r="C257" t="str">
            <v>investments.ListedShares.c661fd1f-7227-4c8d-84cb-8704d5b3ff83</v>
          </cell>
          <cell r="D257">
            <v>225</v>
          </cell>
          <cell r="E257">
            <v>4</v>
          </cell>
          <cell r="F257" t="str">
            <v>Line_4</v>
          </cell>
          <cell r="G257" t="str">
            <v>AddB</v>
          </cell>
          <cell r="I257" t="str">
            <v>BHP Billiton Limited</v>
          </cell>
          <cell r="J257">
            <v>226514.4</v>
          </cell>
          <cell r="K257">
            <v>0</v>
          </cell>
          <cell r="L257">
            <v>226514.4</v>
          </cell>
          <cell r="M257">
            <v>0</v>
          </cell>
          <cell r="N257" t="str">
            <v>Add</v>
          </cell>
          <cell r="O257">
            <v>0</v>
          </cell>
          <cell r="V257" t="str">
            <v>NA</v>
          </cell>
          <cell r="X257">
            <v>0</v>
          </cell>
          <cell r="Y257" t="b">
            <v>0</v>
          </cell>
          <cell r="Z257" t="b">
            <v>0</v>
          </cell>
          <cell r="AA257" t="b">
            <v>0</v>
          </cell>
          <cell r="AB257">
            <v>0</v>
          </cell>
          <cell r="AC257" t="b">
            <v>1</v>
          </cell>
          <cell r="AE257" t="str">
            <v>P</v>
          </cell>
          <cell r="AF257">
            <v>0</v>
          </cell>
          <cell r="AG257">
            <v>0</v>
          </cell>
          <cell r="AI257">
            <v>0</v>
          </cell>
        </row>
        <row r="258">
          <cell r="C258" t="str">
            <v>investments.ListedShares.1eaa5cbe-0ce4-470e-83e9-f0eda6d6e2da</v>
          </cell>
          <cell r="D258">
            <v>226</v>
          </cell>
          <cell r="E258">
            <v>4</v>
          </cell>
          <cell r="F258" t="str">
            <v>Line_4</v>
          </cell>
          <cell r="G258" t="str">
            <v>AddB</v>
          </cell>
          <cell r="I258" t="str">
            <v>Commonwealth Bank Of Australia.</v>
          </cell>
          <cell r="J258">
            <v>276833.83</v>
          </cell>
          <cell r="K258">
            <v>0</v>
          </cell>
          <cell r="L258">
            <v>276833.83</v>
          </cell>
          <cell r="M258">
            <v>0</v>
          </cell>
          <cell r="N258" t="str">
            <v>Add</v>
          </cell>
          <cell r="O258">
            <v>0</v>
          </cell>
          <cell r="V258" t="str">
            <v>NA</v>
          </cell>
          <cell r="X258">
            <v>0</v>
          </cell>
          <cell r="Y258" t="b">
            <v>0</v>
          </cell>
          <cell r="Z258" t="b">
            <v>0</v>
          </cell>
          <cell r="AA258" t="b">
            <v>0</v>
          </cell>
          <cell r="AB258">
            <v>0</v>
          </cell>
          <cell r="AC258" t="b">
            <v>1</v>
          </cell>
          <cell r="AE258" t="str">
            <v>P</v>
          </cell>
          <cell r="AF258">
            <v>0</v>
          </cell>
          <cell r="AG258">
            <v>0</v>
          </cell>
          <cell r="AI258">
            <v>0</v>
          </cell>
        </row>
        <row r="259">
          <cell r="C259" t="str">
            <v>investments.ListedShares.24fef001-f628-4dc4-9bf6-8ee82dd62ed3</v>
          </cell>
          <cell r="D259">
            <v>227</v>
          </cell>
          <cell r="E259">
            <v>4</v>
          </cell>
          <cell r="F259" t="str">
            <v>Line_4</v>
          </cell>
          <cell r="G259" t="str">
            <v>AddB</v>
          </cell>
          <cell r="I259" t="str">
            <v>Lycopodium Limited</v>
          </cell>
          <cell r="J259">
            <v>127575</v>
          </cell>
          <cell r="K259">
            <v>0</v>
          </cell>
          <cell r="L259">
            <v>127575</v>
          </cell>
          <cell r="M259">
            <v>0</v>
          </cell>
          <cell r="N259" t="str">
            <v>Add</v>
          </cell>
          <cell r="O259">
            <v>0</v>
          </cell>
          <cell r="V259" t="str">
            <v>NA</v>
          </cell>
          <cell r="X259">
            <v>0</v>
          </cell>
          <cell r="Y259" t="b">
            <v>0</v>
          </cell>
          <cell r="Z259" t="b">
            <v>0</v>
          </cell>
          <cell r="AA259" t="b">
            <v>0</v>
          </cell>
          <cell r="AB259">
            <v>0</v>
          </cell>
          <cell r="AC259" t="b">
            <v>1</v>
          </cell>
          <cell r="AE259" t="str">
            <v>P</v>
          </cell>
          <cell r="AF259">
            <v>0</v>
          </cell>
          <cell r="AG259">
            <v>0</v>
          </cell>
          <cell r="AI259">
            <v>0</v>
          </cell>
        </row>
        <row r="260">
          <cell r="C260" t="str">
            <v>investments.ListedShares.9818f6d6-d4e9-4dcd-9995-29f54b31d4ac</v>
          </cell>
          <cell r="D260">
            <v>228</v>
          </cell>
          <cell r="E260">
            <v>4</v>
          </cell>
          <cell r="F260" t="str">
            <v>Line_4</v>
          </cell>
          <cell r="G260" t="str">
            <v>AddB</v>
          </cell>
          <cell r="I260" t="str">
            <v>NRW Holdings Limited</v>
          </cell>
          <cell r="J260">
            <v>58166.1</v>
          </cell>
          <cell r="K260">
            <v>0</v>
          </cell>
          <cell r="L260">
            <v>58166.1</v>
          </cell>
          <cell r="M260">
            <v>0</v>
          </cell>
          <cell r="N260" t="str">
            <v>Add</v>
          </cell>
          <cell r="O260">
            <v>0</v>
          </cell>
          <cell r="V260" t="str">
            <v>NA</v>
          </cell>
          <cell r="X260">
            <v>0</v>
          </cell>
          <cell r="Y260" t="b">
            <v>0</v>
          </cell>
          <cell r="Z260" t="b">
            <v>0</v>
          </cell>
          <cell r="AA260" t="b">
            <v>0</v>
          </cell>
          <cell r="AB260">
            <v>0</v>
          </cell>
          <cell r="AC260" t="b">
            <v>1</v>
          </cell>
          <cell r="AE260" t="str">
            <v>P</v>
          </cell>
          <cell r="AF260">
            <v>0</v>
          </cell>
          <cell r="AG260">
            <v>0</v>
          </cell>
          <cell r="AI260">
            <v>0</v>
          </cell>
        </row>
        <row r="261">
          <cell r="C261" t="str">
            <v>investments.ListedShares.11031a76-c558-42b0-9844-9a11dee4c1e8</v>
          </cell>
          <cell r="D261">
            <v>229</v>
          </cell>
          <cell r="E261">
            <v>4</v>
          </cell>
          <cell r="F261" t="str">
            <v>Line_4</v>
          </cell>
          <cell r="G261" t="str">
            <v>AddB</v>
          </cell>
          <cell r="I261" t="str">
            <v>RCG Corporation Limited</v>
          </cell>
          <cell r="J261">
            <v>498623.7</v>
          </cell>
          <cell r="K261">
            <v>0</v>
          </cell>
          <cell r="L261">
            <v>498623.7</v>
          </cell>
          <cell r="M261">
            <v>0</v>
          </cell>
          <cell r="N261" t="str">
            <v>Add</v>
          </cell>
          <cell r="O261">
            <v>0</v>
          </cell>
          <cell r="V261" t="str">
            <v>NA</v>
          </cell>
          <cell r="X261">
            <v>0</v>
          </cell>
          <cell r="Y261" t="b">
            <v>0</v>
          </cell>
          <cell r="Z261" t="b">
            <v>0</v>
          </cell>
          <cell r="AA261" t="b">
            <v>0</v>
          </cell>
          <cell r="AB261">
            <v>0</v>
          </cell>
          <cell r="AC261" t="b">
            <v>1</v>
          </cell>
          <cell r="AE261" t="str">
            <v>P</v>
          </cell>
          <cell r="AF261">
            <v>0</v>
          </cell>
          <cell r="AG261">
            <v>0</v>
          </cell>
          <cell r="AI261">
            <v>0</v>
          </cell>
        </row>
        <row r="262">
          <cell r="C262" t="str">
            <v>investments.ListedShares.70ba86ed-c44b-4771-b5a2-be7e62412e91</v>
          </cell>
          <cell r="D262">
            <v>230</v>
          </cell>
          <cell r="E262">
            <v>4</v>
          </cell>
          <cell r="F262" t="str">
            <v>Line_4</v>
          </cell>
          <cell r="G262" t="str">
            <v>AddB</v>
          </cell>
          <cell r="I262" t="str">
            <v>Wesfarmers Limited</v>
          </cell>
          <cell r="J262">
            <v>213598.88</v>
          </cell>
          <cell r="K262">
            <v>0</v>
          </cell>
          <cell r="L262">
            <v>213598.88</v>
          </cell>
          <cell r="M262">
            <v>0</v>
          </cell>
          <cell r="N262" t="str">
            <v>Add</v>
          </cell>
          <cell r="O262">
            <v>0</v>
          </cell>
          <cell r="V262" t="str">
            <v>NA</v>
          </cell>
          <cell r="X262">
            <v>0</v>
          </cell>
          <cell r="Y262" t="b">
            <v>0</v>
          </cell>
          <cell r="Z262" t="b">
            <v>0</v>
          </cell>
          <cell r="AA262" t="b">
            <v>0</v>
          </cell>
          <cell r="AB262">
            <v>0</v>
          </cell>
          <cell r="AC262" t="b">
            <v>1</v>
          </cell>
          <cell r="AE262" t="str">
            <v>P</v>
          </cell>
          <cell r="AF262">
            <v>0</v>
          </cell>
          <cell r="AG262">
            <v>0</v>
          </cell>
          <cell r="AI262">
            <v>0</v>
          </cell>
        </row>
        <row r="263">
          <cell r="C263" t="str">
            <v>Totalinvestments.ListedShares</v>
          </cell>
          <cell r="D263">
            <v>231</v>
          </cell>
          <cell r="E263">
            <v>3</v>
          </cell>
          <cell r="F263" t="str">
            <v>Total_3</v>
          </cell>
          <cell r="G263" t="str">
            <v>AddB</v>
          </cell>
          <cell r="I263" t="str">
            <v>Total Shares in Listed Companies</v>
          </cell>
          <cell r="J263">
            <v>1503411.91</v>
          </cell>
          <cell r="K263">
            <v>0</v>
          </cell>
          <cell r="L263">
            <v>1503411.91</v>
          </cell>
          <cell r="M263">
            <v>0</v>
          </cell>
          <cell r="N263" t="str">
            <v>Add</v>
          </cell>
          <cell r="O263">
            <v>0</v>
          </cell>
          <cell r="V263" t="str">
            <v>NA</v>
          </cell>
          <cell r="X263">
            <v>0</v>
          </cell>
          <cell r="Y263" t="b">
            <v>0</v>
          </cell>
          <cell r="Z263" t="b">
            <v>0</v>
          </cell>
          <cell r="AA263" t="b">
            <v>0</v>
          </cell>
          <cell r="AB263">
            <v>0</v>
          </cell>
          <cell r="AC263" t="b">
            <v>1</v>
          </cell>
          <cell r="AE263" t="str">
            <v>P</v>
          </cell>
          <cell r="AF263">
            <v>0</v>
          </cell>
          <cell r="AG263">
            <v>0</v>
          </cell>
          <cell r="AI263">
            <v>0</v>
          </cell>
        </row>
        <row r="264">
          <cell r="C264" t="str">
            <v>investments.ForeignListedShares</v>
          </cell>
          <cell r="D264">
            <v>232</v>
          </cell>
          <cell r="E264">
            <v>3</v>
          </cell>
          <cell r="F264" t="str">
            <v>Header_3</v>
          </cell>
          <cell r="G264" t="str">
            <v>AddB</v>
          </cell>
          <cell r="I264" t="str">
            <v>Shares in Listed Companies - Foreign</v>
          </cell>
          <cell r="J264">
            <v>0</v>
          </cell>
          <cell r="K264">
            <v>0</v>
          </cell>
          <cell r="L264">
            <v>0</v>
          </cell>
          <cell r="M264">
            <v>0</v>
          </cell>
          <cell r="O264">
            <v>0</v>
          </cell>
          <cell r="V264" t="str">
            <v>NA</v>
          </cell>
          <cell r="X264">
            <v>0</v>
          </cell>
          <cell r="Y264" t="b">
            <v>0</v>
          </cell>
          <cell r="Z264" t="b">
            <v>0</v>
          </cell>
          <cell r="AA264" t="b">
            <v>0</v>
          </cell>
          <cell r="AB264">
            <v>0</v>
          </cell>
          <cell r="AC264" t="b">
            <v>1</v>
          </cell>
          <cell r="AE264" t="str">
            <v>P</v>
          </cell>
          <cell r="AF264">
            <v>0</v>
          </cell>
          <cell r="AG264">
            <v>0</v>
          </cell>
          <cell r="AI264">
            <v>0</v>
          </cell>
        </row>
        <row r="265">
          <cell r="C265" t="str">
            <v>investments.ForeignListedShares.e87701d6-7496-4f79-9059-0e7138d9968e</v>
          </cell>
          <cell r="D265">
            <v>233</v>
          </cell>
          <cell r="E265">
            <v>4</v>
          </cell>
          <cell r="F265" t="str">
            <v>Line_4</v>
          </cell>
          <cell r="G265" t="str">
            <v>AddB</v>
          </cell>
          <cell r="I265" t="str">
            <v>A10 Networks Inc</v>
          </cell>
          <cell r="J265">
            <v>2249.35</v>
          </cell>
          <cell r="K265">
            <v>0</v>
          </cell>
          <cell r="L265">
            <v>2249.35</v>
          </cell>
          <cell r="M265">
            <v>0</v>
          </cell>
          <cell r="N265" t="str">
            <v>Add</v>
          </cell>
          <cell r="O265">
            <v>0</v>
          </cell>
          <cell r="V265" t="str">
            <v>NA</v>
          </cell>
          <cell r="X265">
            <v>0</v>
          </cell>
          <cell r="Y265" t="b">
            <v>0</v>
          </cell>
          <cell r="Z265" t="b">
            <v>0</v>
          </cell>
          <cell r="AA265" t="b">
            <v>0</v>
          </cell>
          <cell r="AB265">
            <v>0</v>
          </cell>
          <cell r="AC265" t="b">
            <v>1</v>
          </cell>
          <cell r="AE265" t="str">
            <v>P</v>
          </cell>
          <cell r="AF265">
            <v>0</v>
          </cell>
          <cell r="AG265">
            <v>0</v>
          </cell>
          <cell r="AI265">
            <v>0</v>
          </cell>
        </row>
        <row r="266">
          <cell r="C266" t="str">
            <v>investments.ForeignListedShares.d7e30246-20df-40c8-b778-d270538ebbfa</v>
          </cell>
          <cell r="D266">
            <v>234</v>
          </cell>
          <cell r="E266">
            <v>4</v>
          </cell>
          <cell r="F266" t="str">
            <v>Line_4</v>
          </cell>
          <cell r="G266" t="str">
            <v>AddB</v>
          </cell>
          <cell r="I266" t="str">
            <v>Akoustis Technologies Inc</v>
          </cell>
          <cell r="J266">
            <v>2067.9699999999998</v>
          </cell>
          <cell r="K266">
            <v>0</v>
          </cell>
          <cell r="L266">
            <v>2067.9699999999998</v>
          </cell>
          <cell r="M266">
            <v>0</v>
          </cell>
          <cell r="N266" t="str">
            <v>Add</v>
          </cell>
          <cell r="O266">
            <v>0</v>
          </cell>
          <cell r="V266" t="str">
            <v>NA</v>
          </cell>
          <cell r="X266">
            <v>0</v>
          </cell>
          <cell r="Y266" t="b">
            <v>0</v>
          </cell>
          <cell r="Z266" t="b">
            <v>0</v>
          </cell>
          <cell r="AA266" t="b">
            <v>0</v>
          </cell>
          <cell r="AB266">
            <v>0</v>
          </cell>
          <cell r="AC266" t="b">
            <v>1</v>
          </cell>
          <cell r="AE266" t="str">
            <v>P</v>
          </cell>
          <cell r="AF266">
            <v>0</v>
          </cell>
          <cell r="AG266">
            <v>0</v>
          </cell>
          <cell r="AI266">
            <v>0</v>
          </cell>
        </row>
        <row r="267">
          <cell r="C267" t="str">
            <v>investments.ForeignListedShares.9aca6185-2e14-4e4f-8b87-2ce54e74e09b</v>
          </cell>
          <cell r="D267">
            <v>235</v>
          </cell>
          <cell r="E267">
            <v>4</v>
          </cell>
          <cell r="F267" t="str">
            <v>Line_4</v>
          </cell>
          <cell r="G267" t="str">
            <v>AddB</v>
          </cell>
          <cell r="I267" t="str">
            <v>CRISPR Therapeutics Ltd</v>
          </cell>
          <cell r="J267">
            <v>2624.18</v>
          </cell>
          <cell r="K267">
            <v>0</v>
          </cell>
          <cell r="L267">
            <v>2624.18</v>
          </cell>
          <cell r="M267">
            <v>0</v>
          </cell>
          <cell r="N267" t="str">
            <v>Add</v>
          </cell>
          <cell r="O267">
            <v>0</v>
          </cell>
          <cell r="V267" t="str">
            <v>NA</v>
          </cell>
          <cell r="X267">
            <v>0</v>
          </cell>
          <cell r="Y267" t="b">
            <v>0</v>
          </cell>
          <cell r="Z267" t="b">
            <v>0</v>
          </cell>
          <cell r="AA267" t="b">
            <v>0</v>
          </cell>
          <cell r="AB267">
            <v>0</v>
          </cell>
          <cell r="AC267" t="b">
            <v>1</v>
          </cell>
          <cell r="AE267" t="str">
            <v>P</v>
          </cell>
          <cell r="AF267">
            <v>0</v>
          </cell>
          <cell r="AG267">
            <v>0</v>
          </cell>
          <cell r="AI267">
            <v>0</v>
          </cell>
        </row>
        <row r="268">
          <cell r="C268" t="str">
            <v>investments.ForeignListedShares.bfd7dfaf-4df6-4c4f-8704-d100dfaf158f</v>
          </cell>
          <cell r="D268">
            <v>236</v>
          </cell>
          <cell r="E268">
            <v>4</v>
          </cell>
          <cell r="F268" t="str">
            <v>Line_4</v>
          </cell>
          <cell r="G268" t="str">
            <v>AddB</v>
          </cell>
          <cell r="I268" t="str">
            <v>Hortonworks Inc</v>
          </cell>
          <cell r="J268">
            <v>3097.76</v>
          </cell>
          <cell r="K268">
            <v>0</v>
          </cell>
          <cell r="L268">
            <v>3097.76</v>
          </cell>
          <cell r="M268">
            <v>0</v>
          </cell>
          <cell r="N268" t="str">
            <v>Add</v>
          </cell>
          <cell r="O268">
            <v>0</v>
          </cell>
          <cell r="V268" t="str">
            <v>NA</v>
          </cell>
          <cell r="X268">
            <v>0</v>
          </cell>
          <cell r="Y268" t="b">
            <v>0</v>
          </cell>
          <cell r="Z268" t="b">
            <v>0</v>
          </cell>
          <cell r="AA268" t="b">
            <v>0</v>
          </cell>
          <cell r="AB268">
            <v>0</v>
          </cell>
          <cell r="AC268" t="b">
            <v>1</v>
          </cell>
          <cell r="AE268" t="str">
            <v>P</v>
          </cell>
          <cell r="AF268">
            <v>0</v>
          </cell>
          <cell r="AG268">
            <v>0</v>
          </cell>
          <cell r="AI268">
            <v>0</v>
          </cell>
        </row>
        <row r="269">
          <cell r="C269" t="str">
            <v>investments.ForeignListedShares.7d9a5e51-e567-4405-ba9c-8ce37e624fdb</v>
          </cell>
          <cell r="D269">
            <v>237</v>
          </cell>
          <cell r="E269">
            <v>4</v>
          </cell>
          <cell r="F269" t="str">
            <v>Line_4</v>
          </cell>
          <cell r="G269" t="str">
            <v>AddB</v>
          </cell>
          <cell r="I269" t="str">
            <v>New Relic Inc</v>
          </cell>
          <cell r="J269">
            <v>2795.76</v>
          </cell>
          <cell r="K269">
            <v>0</v>
          </cell>
          <cell r="L269">
            <v>2795.76</v>
          </cell>
          <cell r="M269">
            <v>0</v>
          </cell>
          <cell r="N269" t="str">
            <v>Add</v>
          </cell>
          <cell r="O269">
            <v>0</v>
          </cell>
          <cell r="V269" t="str">
            <v>NA</v>
          </cell>
          <cell r="X269">
            <v>0</v>
          </cell>
          <cell r="Y269" t="b">
            <v>0</v>
          </cell>
          <cell r="Z269" t="b">
            <v>0</v>
          </cell>
          <cell r="AA269" t="b">
            <v>0</v>
          </cell>
          <cell r="AB269">
            <v>0</v>
          </cell>
          <cell r="AC269" t="b">
            <v>1</v>
          </cell>
          <cell r="AE269" t="str">
            <v>P</v>
          </cell>
          <cell r="AF269">
            <v>0</v>
          </cell>
          <cell r="AG269">
            <v>0</v>
          </cell>
          <cell r="AI269">
            <v>0</v>
          </cell>
        </row>
        <row r="270">
          <cell r="C270" t="str">
            <v>investments.ForeignListedShares.3eb76e74-ac1f-4a1c-ba87-ba69905659d4</v>
          </cell>
          <cell r="D270">
            <v>238</v>
          </cell>
          <cell r="E270">
            <v>4</v>
          </cell>
          <cell r="F270" t="str">
            <v>Line_4</v>
          </cell>
          <cell r="G270" t="str">
            <v>AddB</v>
          </cell>
          <cell r="I270" t="str">
            <v>Quantenna Communications Inc</v>
          </cell>
          <cell r="J270">
            <v>2223.09</v>
          </cell>
          <cell r="K270">
            <v>0</v>
          </cell>
          <cell r="L270">
            <v>2223.09</v>
          </cell>
          <cell r="M270">
            <v>0</v>
          </cell>
          <cell r="N270" t="str">
            <v>Add</v>
          </cell>
          <cell r="O270">
            <v>0</v>
          </cell>
          <cell r="V270" t="str">
            <v>NA</v>
          </cell>
          <cell r="X270">
            <v>0</v>
          </cell>
          <cell r="Y270" t="b">
            <v>0</v>
          </cell>
          <cell r="Z270" t="b">
            <v>0</v>
          </cell>
          <cell r="AA270" t="b">
            <v>0</v>
          </cell>
          <cell r="AB270">
            <v>0</v>
          </cell>
          <cell r="AC270" t="b">
            <v>1</v>
          </cell>
          <cell r="AE270" t="str">
            <v>P</v>
          </cell>
          <cell r="AF270">
            <v>0</v>
          </cell>
          <cell r="AG270">
            <v>0</v>
          </cell>
          <cell r="AI270">
            <v>0</v>
          </cell>
        </row>
        <row r="271">
          <cell r="C271" t="str">
            <v>investments.ForeignListedShares.6553bc95-9866-4980-af28-be3b3f5bab81</v>
          </cell>
          <cell r="D271">
            <v>239</v>
          </cell>
          <cell r="E271">
            <v>4</v>
          </cell>
          <cell r="F271" t="str">
            <v>Line_4</v>
          </cell>
          <cell r="G271" t="str">
            <v>AddB</v>
          </cell>
          <cell r="I271" t="str">
            <v>Square Inc</v>
          </cell>
          <cell r="J271">
            <v>4361.3900000000003</v>
          </cell>
          <cell r="K271">
            <v>0</v>
          </cell>
          <cell r="L271">
            <v>4361.3900000000003</v>
          </cell>
          <cell r="M271">
            <v>0</v>
          </cell>
          <cell r="N271" t="str">
            <v>Add</v>
          </cell>
          <cell r="O271">
            <v>0</v>
          </cell>
          <cell r="V271" t="str">
            <v>NA</v>
          </cell>
          <cell r="X271">
            <v>0</v>
          </cell>
          <cell r="Y271" t="b">
            <v>0</v>
          </cell>
          <cell r="Z271" t="b">
            <v>0</v>
          </cell>
          <cell r="AA271" t="b">
            <v>0</v>
          </cell>
          <cell r="AB271">
            <v>0</v>
          </cell>
          <cell r="AC271" t="b">
            <v>1</v>
          </cell>
          <cell r="AE271" t="str">
            <v>P</v>
          </cell>
          <cell r="AF271">
            <v>0</v>
          </cell>
          <cell r="AG271">
            <v>0</v>
          </cell>
          <cell r="AI271">
            <v>0</v>
          </cell>
        </row>
        <row r="272">
          <cell r="C272" t="str">
            <v>investments.ForeignListedShares.330b3d40-a1fc-4475-9aba-0bd61cfcd8be</v>
          </cell>
          <cell r="D272">
            <v>240</v>
          </cell>
          <cell r="E272">
            <v>4</v>
          </cell>
          <cell r="F272" t="str">
            <v>Line_4</v>
          </cell>
          <cell r="G272" t="str">
            <v>AddB</v>
          </cell>
          <cell r="I272" t="str">
            <v>The ExOne Co</v>
          </cell>
          <cell r="J272">
            <v>2815.78</v>
          </cell>
          <cell r="K272">
            <v>0</v>
          </cell>
          <cell r="L272">
            <v>2815.78</v>
          </cell>
          <cell r="M272">
            <v>0</v>
          </cell>
          <cell r="N272" t="str">
            <v>Add</v>
          </cell>
          <cell r="O272">
            <v>0</v>
          </cell>
          <cell r="V272" t="str">
            <v>NA</v>
          </cell>
          <cell r="X272">
            <v>0</v>
          </cell>
          <cell r="Y272" t="b">
            <v>0</v>
          </cell>
          <cell r="Z272" t="b">
            <v>0</v>
          </cell>
          <cell r="AA272" t="b">
            <v>0</v>
          </cell>
          <cell r="AB272">
            <v>0</v>
          </cell>
          <cell r="AC272" t="b">
            <v>1</v>
          </cell>
          <cell r="AE272" t="str">
            <v>P</v>
          </cell>
          <cell r="AF272">
            <v>0</v>
          </cell>
          <cell r="AG272">
            <v>0</v>
          </cell>
          <cell r="AI272">
            <v>0</v>
          </cell>
        </row>
        <row r="273">
          <cell r="C273" t="str">
            <v>Totalinvestments.ForeignListedShares</v>
          </cell>
          <cell r="D273">
            <v>241</v>
          </cell>
          <cell r="E273">
            <v>3</v>
          </cell>
          <cell r="F273" t="str">
            <v>Total_3</v>
          </cell>
          <cell r="G273" t="str">
            <v>AddB</v>
          </cell>
          <cell r="I273" t="str">
            <v>Total Shares in Listed Companies - Foreign</v>
          </cell>
          <cell r="J273">
            <v>22235.279999999999</v>
          </cell>
          <cell r="K273">
            <v>0</v>
          </cell>
          <cell r="L273">
            <v>22235.279999999999</v>
          </cell>
          <cell r="M273">
            <v>0</v>
          </cell>
          <cell r="N273" t="str">
            <v>Add</v>
          </cell>
          <cell r="O273">
            <v>0</v>
          </cell>
          <cell r="V273" t="str">
            <v>NA</v>
          </cell>
          <cell r="X273">
            <v>0</v>
          </cell>
          <cell r="Y273" t="b">
            <v>0</v>
          </cell>
          <cell r="Z273" t="b">
            <v>0</v>
          </cell>
          <cell r="AA273" t="b">
            <v>0</v>
          </cell>
          <cell r="AB273">
            <v>0</v>
          </cell>
          <cell r="AC273" t="b">
            <v>1</v>
          </cell>
          <cell r="AE273" t="str">
            <v>P</v>
          </cell>
          <cell r="AF273">
            <v>0</v>
          </cell>
          <cell r="AG273">
            <v>0</v>
          </cell>
          <cell r="AI273">
            <v>0</v>
          </cell>
        </row>
        <row r="274">
          <cell r="C274" t="str">
            <v>investments.Stapled</v>
          </cell>
          <cell r="D274">
            <v>242</v>
          </cell>
          <cell r="E274">
            <v>3</v>
          </cell>
          <cell r="F274" t="str">
            <v>Header_3</v>
          </cell>
          <cell r="G274" t="str">
            <v>AddB</v>
          </cell>
          <cell r="I274" t="str">
            <v>Stapled Securities</v>
          </cell>
          <cell r="J274">
            <v>0</v>
          </cell>
          <cell r="K274">
            <v>0</v>
          </cell>
          <cell r="L274">
            <v>0</v>
          </cell>
          <cell r="M274">
            <v>0</v>
          </cell>
          <cell r="O274">
            <v>0</v>
          </cell>
          <cell r="V274" t="str">
            <v>NA</v>
          </cell>
          <cell r="X274">
            <v>0</v>
          </cell>
          <cell r="Y274" t="b">
            <v>0</v>
          </cell>
          <cell r="Z274" t="b">
            <v>0</v>
          </cell>
          <cell r="AA274" t="b">
            <v>0</v>
          </cell>
          <cell r="AB274">
            <v>0</v>
          </cell>
          <cell r="AC274" t="b">
            <v>1</v>
          </cell>
          <cell r="AE274" t="str">
            <v>P</v>
          </cell>
          <cell r="AF274">
            <v>0</v>
          </cell>
          <cell r="AG274">
            <v>0</v>
          </cell>
          <cell r="AI274">
            <v>0</v>
          </cell>
        </row>
        <row r="275">
          <cell r="C275" t="str">
            <v>investments.Stapled.8e9a6fc7-bafd-4650-b416-d03fe7049f79</v>
          </cell>
          <cell r="D275">
            <v>243</v>
          </cell>
          <cell r="E275">
            <v>4</v>
          </cell>
          <cell r="F275" t="str">
            <v>Line_4</v>
          </cell>
          <cell r="G275" t="str">
            <v>AddB</v>
          </cell>
          <cell r="I275" t="str">
            <v>Scentre Group - Stapled Securities</v>
          </cell>
          <cell r="J275">
            <v>121354.2</v>
          </cell>
          <cell r="K275">
            <v>0</v>
          </cell>
          <cell r="L275">
            <v>121354.2</v>
          </cell>
          <cell r="M275">
            <v>0</v>
          </cell>
          <cell r="N275" t="str">
            <v>Add</v>
          </cell>
          <cell r="O275">
            <v>0</v>
          </cell>
          <cell r="V275" t="str">
            <v>NA</v>
          </cell>
          <cell r="X275">
            <v>0</v>
          </cell>
          <cell r="Y275" t="b">
            <v>0</v>
          </cell>
          <cell r="Z275" t="b">
            <v>0</v>
          </cell>
          <cell r="AA275" t="b">
            <v>0</v>
          </cell>
          <cell r="AB275">
            <v>0</v>
          </cell>
          <cell r="AC275" t="b">
            <v>1</v>
          </cell>
          <cell r="AE275" t="str">
            <v>P</v>
          </cell>
          <cell r="AF275">
            <v>0</v>
          </cell>
          <cell r="AG275">
            <v>0</v>
          </cell>
          <cell r="AI275">
            <v>0</v>
          </cell>
        </row>
        <row r="276">
          <cell r="C276" t="str">
            <v>investments.Stapled.b8dc8ea2-cad6-47a7-854d-100beb381eae</v>
          </cell>
          <cell r="D276">
            <v>244</v>
          </cell>
          <cell r="E276">
            <v>4</v>
          </cell>
          <cell r="F276" t="str">
            <v>Line_4</v>
          </cell>
          <cell r="G276" t="str">
            <v>AddB</v>
          </cell>
          <cell r="I276" t="str">
            <v>Spark Infrastructure Group - Stapled $0.65 Loan Note And Unit Us Prohibited</v>
          </cell>
          <cell r="J276">
            <v>451557</v>
          </cell>
          <cell r="K276">
            <v>0</v>
          </cell>
          <cell r="L276">
            <v>451557</v>
          </cell>
          <cell r="M276">
            <v>0</v>
          </cell>
          <cell r="N276" t="str">
            <v>Add</v>
          </cell>
          <cell r="O276">
            <v>0</v>
          </cell>
          <cell r="V276" t="str">
            <v>NA</v>
          </cell>
          <cell r="X276">
            <v>0</v>
          </cell>
          <cell r="Y276" t="b">
            <v>0</v>
          </cell>
          <cell r="Z276" t="b">
            <v>0</v>
          </cell>
          <cell r="AA276" t="b">
            <v>0</v>
          </cell>
          <cell r="AB276">
            <v>0</v>
          </cell>
          <cell r="AC276" t="b">
            <v>1</v>
          </cell>
          <cell r="AE276" t="str">
            <v>P</v>
          </cell>
          <cell r="AF276">
            <v>0</v>
          </cell>
          <cell r="AG276">
            <v>0</v>
          </cell>
          <cell r="AI276">
            <v>0</v>
          </cell>
        </row>
        <row r="277">
          <cell r="C277" t="str">
            <v>investments.Stapled.dcba5c26-922b-4e46-b526-e0abc4efb0a4</v>
          </cell>
          <cell r="D277">
            <v>245</v>
          </cell>
          <cell r="E277">
            <v>4</v>
          </cell>
          <cell r="F277" t="str">
            <v>Line_4</v>
          </cell>
          <cell r="G277" t="str">
            <v>AddB</v>
          </cell>
          <cell r="I277" t="str">
            <v>Westfield Corporation - Stapled Securities</v>
          </cell>
          <cell r="J277">
            <v>205383.31</v>
          </cell>
          <cell r="K277">
            <v>0</v>
          </cell>
          <cell r="L277">
            <v>205383.31</v>
          </cell>
          <cell r="M277">
            <v>0</v>
          </cell>
          <cell r="N277" t="str">
            <v>Add</v>
          </cell>
          <cell r="O277">
            <v>0</v>
          </cell>
          <cell r="V277" t="str">
            <v>NA</v>
          </cell>
          <cell r="X277">
            <v>0</v>
          </cell>
          <cell r="Y277" t="b">
            <v>0</v>
          </cell>
          <cell r="Z277" t="b">
            <v>0</v>
          </cell>
          <cell r="AA277" t="b">
            <v>0</v>
          </cell>
          <cell r="AB277">
            <v>0</v>
          </cell>
          <cell r="AC277" t="b">
            <v>1</v>
          </cell>
          <cell r="AE277" t="str">
            <v>P</v>
          </cell>
          <cell r="AF277">
            <v>0</v>
          </cell>
          <cell r="AG277">
            <v>0</v>
          </cell>
          <cell r="AI277">
            <v>0</v>
          </cell>
        </row>
        <row r="278">
          <cell r="C278" t="str">
            <v>Totalinvestments.Stapled</v>
          </cell>
          <cell r="D278">
            <v>246</v>
          </cell>
          <cell r="E278">
            <v>3</v>
          </cell>
          <cell r="F278" t="str">
            <v>Total_3</v>
          </cell>
          <cell r="G278" t="str">
            <v>AddB</v>
          </cell>
          <cell r="I278" t="str">
            <v>Total Stapled Securities</v>
          </cell>
          <cell r="J278">
            <v>778294.51</v>
          </cell>
          <cell r="K278">
            <v>0</v>
          </cell>
          <cell r="L278">
            <v>778294.51</v>
          </cell>
          <cell r="M278">
            <v>0</v>
          </cell>
          <cell r="N278" t="str">
            <v>Add</v>
          </cell>
          <cell r="O278">
            <v>0</v>
          </cell>
          <cell r="V278" t="str">
            <v>NA</v>
          </cell>
          <cell r="X278">
            <v>0</v>
          </cell>
          <cell r="Y278" t="b">
            <v>0</v>
          </cell>
          <cell r="Z278" t="b">
            <v>0</v>
          </cell>
          <cell r="AA278" t="b">
            <v>0</v>
          </cell>
          <cell r="AB278">
            <v>0</v>
          </cell>
          <cell r="AC278" t="b">
            <v>1</v>
          </cell>
          <cell r="AE278" t="str">
            <v>P</v>
          </cell>
          <cell r="AF278">
            <v>0</v>
          </cell>
          <cell r="AG278">
            <v>0</v>
          </cell>
          <cell r="AI278">
            <v>0</v>
          </cell>
        </row>
        <row r="279">
          <cell r="C279" t="str">
            <v>Totalinvestments</v>
          </cell>
          <cell r="D279">
            <v>247</v>
          </cell>
          <cell r="E279">
            <v>2</v>
          </cell>
          <cell r="F279" t="str">
            <v>Total_2</v>
          </cell>
          <cell r="G279" t="str">
            <v>AddB</v>
          </cell>
          <cell r="I279" t="str">
            <v>Total Investments</v>
          </cell>
          <cell r="J279">
            <v>7893950.3099999996</v>
          </cell>
          <cell r="K279">
            <v>0</v>
          </cell>
          <cell r="L279">
            <v>7893950.3099999996</v>
          </cell>
          <cell r="M279">
            <v>0</v>
          </cell>
          <cell r="N279" t="str">
            <v>Add</v>
          </cell>
          <cell r="O279">
            <v>0</v>
          </cell>
          <cell r="V279" t="str">
            <v>NA</v>
          </cell>
          <cell r="X279">
            <v>0</v>
          </cell>
          <cell r="Y279" t="b">
            <v>0</v>
          </cell>
          <cell r="Z279" t="b">
            <v>0</v>
          </cell>
          <cell r="AA279" t="b">
            <v>0</v>
          </cell>
          <cell r="AB279">
            <v>0</v>
          </cell>
          <cell r="AC279" t="b">
            <v>1</v>
          </cell>
          <cell r="AE279" t="str">
            <v>P</v>
          </cell>
          <cell r="AF279">
            <v>0</v>
          </cell>
          <cell r="AG279">
            <v>0</v>
          </cell>
          <cell r="AI279">
            <v>0</v>
          </cell>
        </row>
        <row r="280">
          <cell r="C280" t="str">
            <v>other_assets</v>
          </cell>
          <cell r="D280">
            <v>248</v>
          </cell>
          <cell r="E280">
            <v>2</v>
          </cell>
          <cell r="F280" t="str">
            <v>Header_2</v>
          </cell>
          <cell r="G280" t="str">
            <v>AddB</v>
          </cell>
          <cell r="I280" t="str">
            <v>Other Assets</v>
          </cell>
          <cell r="J280">
            <v>0</v>
          </cell>
          <cell r="K280">
            <v>0</v>
          </cell>
          <cell r="L280">
            <v>0</v>
          </cell>
          <cell r="M280">
            <v>0</v>
          </cell>
          <cell r="O280">
            <v>0</v>
          </cell>
          <cell r="V280" t="str">
            <v>NA</v>
          </cell>
          <cell r="X280">
            <v>0</v>
          </cell>
          <cell r="Y280" t="b">
            <v>0</v>
          </cell>
          <cell r="Z280" t="b">
            <v>0</v>
          </cell>
          <cell r="AA280" t="b">
            <v>0</v>
          </cell>
          <cell r="AB280">
            <v>0</v>
          </cell>
          <cell r="AC280" t="b">
            <v>1</v>
          </cell>
          <cell r="AE280" t="str">
            <v>P</v>
          </cell>
          <cell r="AF280">
            <v>0</v>
          </cell>
          <cell r="AG280">
            <v>0</v>
          </cell>
          <cell r="AI280">
            <v>0</v>
          </cell>
        </row>
        <row r="281">
          <cell r="C281" t="str">
            <v>cash_at_bank</v>
          </cell>
          <cell r="D281">
            <v>249</v>
          </cell>
          <cell r="E281">
            <v>3</v>
          </cell>
          <cell r="F281" t="str">
            <v>Header_3</v>
          </cell>
          <cell r="G281" t="str">
            <v>AddB</v>
          </cell>
          <cell r="I281" t="str">
            <v>Cash At Bank</v>
          </cell>
          <cell r="J281">
            <v>0</v>
          </cell>
          <cell r="K281">
            <v>0</v>
          </cell>
          <cell r="L281">
            <v>0</v>
          </cell>
          <cell r="M281">
            <v>0</v>
          </cell>
          <cell r="O281">
            <v>0</v>
          </cell>
          <cell r="V281" t="str">
            <v>NA</v>
          </cell>
          <cell r="X281">
            <v>0</v>
          </cell>
          <cell r="Y281" t="b">
            <v>0</v>
          </cell>
          <cell r="Z281" t="b">
            <v>0</v>
          </cell>
          <cell r="AA281" t="b">
            <v>0</v>
          </cell>
          <cell r="AB281">
            <v>0</v>
          </cell>
          <cell r="AC281" t="b">
            <v>1</v>
          </cell>
          <cell r="AE281" t="str">
            <v>P</v>
          </cell>
          <cell r="AF281">
            <v>0</v>
          </cell>
          <cell r="AG281">
            <v>0</v>
          </cell>
          <cell r="AI281">
            <v>0</v>
          </cell>
        </row>
        <row r="282">
          <cell r="C282" t="str">
            <v>cash_at_bank.7ffe9331-78e5-4460-9afe-2b7177093c72</v>
          </cell>
          <cell r="D282">
            <v>250</v>
          </cell>
          <cell r="E282">
            <v>4</v>
          </cell>
          <cell r="F282" t="str">
            <v>Line_4</v>
          </cell>
          <cell r="G282" t="str">
            <v>AddB</v>
          </cell>
          <cell r="I282" t="str">
            <v>ANZ E*Trade Account</v>
          </cell>
          <cell r="J282">
            <v>247721.95</v>
          </cell>
          <cell r="K282">
            <v>0</v>
          </cell>
          <cell r="L282">
            <v>247721.95</v>
          </cell>
          <cell r="M282">
            <v>0</v>
          </cell>
          <cell r="N282" t="str">
            <v>Add</v>
          </cell>
          <cell r="O282">
            <v>0</v>
          </cell>
          <cell r="V282" t="str">
            <v>NA</v>
          </cell>
          <cell r="X282">
            <v>0</v>
          </cell>
          <cell r="Y282" t="b">
            <v>0</v>
          </cell>
          <cell r="Z282" t="b">
            <v>0</v>
          </cell>
          <cell r="AA282" t="b">
            <v>0</v>
          </cell>
          <cell r="AB282">
            <v>0</v>
          </cell>
          <cell r="AC282" t="b">
            <v>1</v>
          </cell>
          <cell r="AE282" t="str">
            <v>P</v>
          </cell>
          <cell r="AF282">
            <v>0</v>
          </cell>
          <cell r="AG282">
            <v>0</v>
          </cell>
          <cell r="AI282">
            <v>0</v>
          </cell>
        </row>
        <row r="283">
          <cell r="C283" t="str">
            <v>cash_at_bank.1a98a0aa-e515-4c2e-bb22-eee2d2d27856</v>
          </cell>
          <cell r="D283">
            <v>251</v>
          </cell>
          <cell r="E283">
            <v>4</v>
          </cell>
          <cell r="F283" t="str">
            <v>Line_4</v>
          </cell>
          <cell r="G283" t="str">
            <v>AddB</v>
          </cell>
          <cell r="I283" t="str">
            <v>Westpac Business Cash Reserve</v>
          </cell>
          <cell r="J283">
            <v>372043.88</v>
          </cell>
          <cell r="K283">
            <v>0</v>
          </cell>
          <cell r="L283">
            <v>372043.88</v>
          </cell>
          <cell r="M283">
            <v>0</v>
          </cell>
          <cell r="N283" t="str">
            <v>Add</v>
          </cell>
          <cell r="O283">
            <v>0</v>
          </cell>
          <cell r="V283" t="str">
            <v>NA</v>
          </cell>
          <cell r="X283">
            <v>0</v>
          </cell>
          <cell r="Y283" t="b">
            <v>0</v>
          </cell>
          <cell r="Z283" t="b">
            <v>0</v>
          </cell>
          <cell r="AA283" t="b">
            <v>0</v>
          </cell>
          <cell r="AB283">
            <v>0</v>
          </cell>
          <cell r="AC283" t="b">
            <v>1</v>
          </cell>
          <cell r="AE283" t="str">
            <v>P</v>
          </cell>
          <cell r="AF283">
            <v>0</v>
          </cell>
          <cell r="AG283">
            <v>0</v>
          </cell>
          <cell r="AI283">
            <v>0</v>
          </cell>
        </row>
        <row r="284">
          <cell r="C284" t="str">
            <v>cash_at_bank.5beeaf26-9c2c-40d4-b3e6-157f339c75a5</v>
          </cell>
          <cell r="D284">
            <v>252</v>
          </cell>
          <cell r="E284">
            <v>4</v>
          </cell>
          <cell r="F284" t="str">
            <v>Line_4</v>
          </cell>
          <cell r="G284" t="str">
            <v>AddB</v>
          </cell>
          <cell r="I284" t="str">
            <v>Westpac Cheque Account</v>
          </cell>
          <cell r="J284">
            <v>51167.58</v>
          </cell>
          <cell r="K284">
            <v>0</v>
          </cell>
          <cell r="L284">
            <v>51167.58</v>
          </cell>
          <cell r="M284">
            <v>0</v>
          </cell>
          <cell r="N284" t="str">
            <v>Add</v>
          </cell>
          <cell r="O284">
            <v>0</v>
          </cell>
          <cell r="V284" t="str">
            <v>NA</v>
          </cell>
          <cell r="X284">
            <v>0</v>
          </cell>
          <cell r="Y284" t="b">
            <v>0</v>
          </cell>
          <cell r="Z284" t="b">
            <v>0</v>
          </cell>
          <cell r="AA284" t="b">
            <v>0</v>
          </cell>
          <cell r="AB284">
            <v>0</v>
          </cell>
          <cell r="AC284" t="b">
            <v>1</v>
          </cell>
          <cell r="AE284" t="str">
            <v>P</v>
          </cell>
          <cell r="AF284">
            <v>0</v>
          </cell>
          <cell r="AG284">
            <v>0</v>
          </cell>
          <cell r="AI284">
            <v>0</v>
          </cell>
        </row>
        <row r="285">
          <cell r="C285" t="str">
            <v>Totalcash_at_bank</v>
          </cell>
          <cell r="D285">
            <v>253</v>
          </cell>
          <cell r="E285">
            <v>3</v>
          </cell>
          <cell r="F285" t="str">
            <v>Total_3</v>
          </cell>
          <cell r="G285" t="str">
            <v>AddB</v>
          </cell>
          <cell r="I285" t="str">
            <v>Total Cash At Bank</v>
          </cell>
          <cell r="J285">
            <v>670933.41</v>
          </cell>
          <cell r="K285">
            <v>0</v>
          </cell>
          <cell r="L285">
            <v>670933.41</v>
          </cell>
          <cell r="M285">
            <v>0</v>
          </cell>
          <cell r="N285" t="str">
            <v>Add</v>
          </cell>
          <cell r="O285">
            <v>0</v>
          </cell>
          <cell r="V285" t="str">
            <v>NA</v>
          </cell>
          <cell r="X285">
            <v>0</v>
          </cell>
          <cell r="Y285" t="b">
            <v>0</v>
          </cell>
          <cell r="Z285" t="b">
            <v>0</v>
          </cell>
          <cell r="AA285" t="b">
            <v>0</v>
          </cell>
          <cell r="AB285">
            <v>0</v>
          </cell>
          <cell r="AC285" t="b">
            <v>1</v>
          </cell>
          <cell r="AE285" t="str">
            <v>P</v>
          </cell>
          <cell r="AF285">
            <v>0</v>
          </cell>
          <cell r="AG285">
            <v>0</v>
          </cell>
          <cell r="AI285">
            <v>0</v>
          </cell>
        </row>
        <row r="286">
          <cell r="C286" t="str">
            <v>receivables</v>
          </cell>
          <cell r="D286">
            <v>254</v>
          </cell>
          <cell r="E286">
            <v>3</v>
          </cell>
          <cell r="F286" t="str">
            <v>Header_3</v>
          </cell>
          <cell r="G286" t="str">
            <v>AddB</v>
          </cell>
          <cell r="I286" t="str">
            <v>Receivables</v>
          </cell>
          <cell r="J286">
            <v>0</v>
          </cell>
          <cell r="K286">
            <v>0</v>
          </cell>
          <cell r="L286">
            <v>0</v>
          </cell>
          <cell r="M286">
            <v>0</v>
          </cell>
          <cell r="O286">
            <v>0</v>
          </cell>
          <cell r="V286" t="str">
            <v>NA</v>
          </cell>
          <cell r="X286">
            <v>0</v>
          </cell>
          <cell r="Y286" t="b">
            <v>0</v>
          </cell>
          <cell r="Z286" t="b">
            <v>0</v>
          </cell>
          <cell r="AA286" t="b">
            <v>0</v>
          </cell>
          <cell r="AB286">
            <v>0</v>
          </cell>
          <cell r="AC286" t="b">
            <v>1</v>
          </cell>
          <cell r="AE286" t="str">
            <v>P</v>
          </cell>
          <cell r="AF286">
            <v>0</v>
          </cell>
          <cell r="AG286">
            <v>0</v>
          </cell>
          <cell r="AI286">
            <v>0</v>
          </cell>
        </row>
        <row r="287">
          <cell r="C287" t="str">
            <v>investment_income_receivable</v>
          </cell>
          <cell r="D287">
            <v>255</v>
          </cell>
          <cell r="E287">
            <v>4</v>
          </cell>
          <cell r="F287" t="str">
            <v>Header_4</v>
          </cell>
          <cell r="G287" t="str">
            <v>AddB</v>
          </cell>
          <cell r="I287" t="str">
            <v>Investment Income Receivable</v>
          </cell>
          <cell r="J287">
            <v>0</v>
          </cell>
          <cell r="K287">
            <v>0</v>
          </cell>
          <cell r="L287">
            <v>0</v>
          </cell>
          <cell r="M287">
            <v>0</v>
          </cell>
          <cell r="O287">
            <v>0</v>
          </cell>
          <cell r="V287" t="str">
            <v>NA</v>
          </cell>
          <cell r="X287">
            <v>0</v>
          </cell>
          <cell r="Y287" t="b">
            <v>0</v>
          </cell>
          <cell r="Z287" t="b">
            <v>0</v>
          </cell>
          <cell r="AA287" t="b">
            <v>0</v>
          </cell>
          <cell r="AB287">
            <v>0</v>
          </cell>
          <cell r="AC287" t="b">
            <v>1</v>
          </cell>
          <cell r="AE287" t="str">
            <v>P</v>
          </cell>
          <cell r="AF287">
            <v>0</v>
          </cell>
          <cell r="AG287">
            <v>0</v>
          </cell>
          <cell r="AI287">
            <v>0</v>
          </cell>
        </row>
        <row r="288">
          <cell r="C288" t="str">
            <v>rent_receivable</v>
          </cell>
          <cell r="D288">
            <v>256</v>
          </cell>
          <cell r="E288">
            <v>5</v>
          </cell>
          <cell r="F288" t="str">
            <v>Header_5</v>
          </cell>
          <cell r="G288" t="str">
            <v>AddB</v>
          </cell>
          <cell r="I288" t="str">
            <v>Rent</v>
          </cell>
          <cell r="J288">
            <v>0</v>
          </cell>
          <cell r="K288">
            <v>0</v>
          </cell>
          <cell r="L288">
            <v>0</v>
          </cell>
          <cell r="M288">
            <v>0</v>
          </cell>
          <cell r="O288">
            <v>0</v>
          </cell>
          <cell r="V288" t="str">
            <v>NA</v>
          </cell>
          <cell r="X288">
            <v>0</v>
          </cell>
          <cell r="Y288" t="b">
            <v>0</v>
          </cell>
          <cell r="Z288" t="b">
            <v>0</v>
          </cell>
          <cell r="AA288" t="b">
            <v>0</v>
          </cell>
          <cell r="AB288">
            <v>0</v>
          </cell>
          <cell r="AC288" t="b">
            <v>1</v>
          </cell>
          <cell r="AE288" t="str">
            <v>P</v>
          </cell>
          <cell r="AF288">
            <v>0</v>
          </cell>
          <cell r="AG288">
            <v>0</v>
          </cell>
          <cell r="AI288">
            <v>0</v>
          </cell>
        </row>
        <row r="289">
          <cell r="C289" t="str">
            <v>rent_receivable.Property</v>
          </cell>
          <cell r="D289">
            <v>257</v>
          </cell>
          <cell r="E289">
            <v>6</v>
          </cell>
          <cell r="F289" t="str">
            <v>Header_6</v>
          </cell>
          <cell r="G289" t="str">
            <v>AddB</v>
          </cell>
          <cell r="I289" t="str">
            <v>Direct Property</v>
          </cell>
          <cell r="J289">
            <v>0</v>
          </cell>
          <cell r="K289">
            <v>0</v>
          </cell>
          <cell r="L289">
            <v>0</v>
          </cell>
          <cell r="M289">
            <v>0</v>
          </cell>
          <cell r="O289">
            <v>0</v>
          </cell>
          <cell r="V289" t="str">
            <v>NA</v>
          </cell>
          <cell r="X289">
            <v>0</v>
          </cell>
          <cell r="Y289" t="b">
            <v>0</v>
          </cell>
          <cell r="Z289" t="b">
            <v>0</v>
          </cell>
          <cell r="AA289" t="b">
            <v>0</v>
          </cell>
          <cell r="AB289">
            <v>0</v>
          </cell>
          <cell r="AC289" t="b">
            <v>1</v>
          </cell>
          <cell r="AE289" t="str">
            <v>P</v>
          </cell>
          <cell r="AF289">
            <v>0</v>
          </cell>
          <cell r="AG289">
            <v>0</v>
          </cell>
          <cell r="AI289">
            <v>0</v>
          </cell>
        </row>
        <row r="290">
          <cell r="C290" t="str">
            <v>rent_receivable.Property.cb4fb5de-b893-454a-af8c-39d2f9dd8591</v>
          </cell>
          <cell r="D290">
            <v>258</v>
          </cell>
          <cell r="E290">
            <v>7</v>
          </cell>
          <cell r="F290" t="str">
            <v>Line_7</v>
          </cell>
          <cell r="G290" t="str">
            <v>AddB</v>
          </cell>
          <cell r="H290" t="str">
            <v>Class.ImportProperty</v>
          </cell>
          <cell r="I290" t="str">
            <v>Unit 6004, The Peninsular, Mooloolaba</v>
          </cell>
          <cell r="J290">
            <v>4260.16</v>
          </cell>
          <cell r="K290">
            <v>0</v>
          </cell>
          <cell r="L290">
            <v>4260.16</v>
          </cell>
          <cell r="M290">
            <v>0</v>
          </cell>
          <cell r="N290" t="str">
            <v>Add</v>
          </cell>
          <cell r="O290">
            <v>0</v>
          </cell>
          <cell r="V290" t="str">
            <v>NA</v>
          </cell>
          <cell r="X290">
            <v>0</v>
          </cell>
          <cell r="Y290" t="b">
            <v>0</v>
          </cell>
          <cell r="Z290" t="b">
            <v>0</v>
          </cell>
          <cell r="AA290" t="b">
            <v>0</v>
          </cell>
          <cell r="AB290">
            <v>0</v>
          </cell>
          <cell r="AC290" t="b">
            <v>1</v>
          </cell>
          <cell r="AE290" t="str">
            <v>P</v>
          </cell>
          <cell r="AF290">
            <v>0</v>
          </cell>
          <cell r="AG290">
            <v>0</v>
          </cell>
          <cell r="AI290">
            <v>0</v>
          </cell>
        </row>
        <row r="291">
          <cell r="C291" t="str">
            <v>Totalrent_receivable.Property</v>
          </cell>
          <cell r="D291">
            <v>259</v>
          </cell>
          <cell r="E291">
            <v>6</v>
          </cell>
          <cell r="F291" t="str">
            <v>Total_6</v>
          </cell>
          <cell r="G291" t="str">
            <v>AddB</v>
          </cell>
          <cell r="I291" t="str">
            <v>Total Direct Property</v>
          </cell>
          <cell r="J291">
            <v>4260.16</v>
          </cell>
          <cell r="K291">
            <v>0</v>
          </cell>
          <cell r="L291">
            <v>4260.16</v>
          </cell>
          <cell r="M291">
            <v>0</v>
          </cell>
          <cell r="N291" t="str">
            <v>Add</v>
          </cell>
          <cell r="O291">
            <v>0</v>
          </cell>
          <cell r="V291" t="str">
            <v>NA</v>
          </cell>
          <cell r="X291">
            <v>0</v>
          </cell>
          <cell r="Y291" t="b">
            <v>0</v>
          </cell>
          <cell r="Z291" t="b">
            <v>0</v>
          </cell>
          <cell r="AA291" t="b">
            <v>0</v>
          </cell>
          <cell r="AB291">
            <v>0</v>
          </cell>
          <cell r="AC291" t="b">
            <v>1</v>
          </cell>
          <cell r="AE291" t="str">
            <v>P</v>
          </cell>
          <cell r="AF291">
            <v>0</v>
          </cell>
          <cell r="AG291">
            <v>0</v>
          </cell>
          <cell r="AI291">
            <v>0</v>
          </cell>
        </row>
        <row r="292">
          <cell r="C292" t="str">
            <v>Totalrent_receivable</v>
          </cell>
          <cell r="D292">
            <v>260</v>
          </cell>
          <cell r="E292">
            <v>5</v>
          </cell>
          <cell r="F292" t="str">
            <v>Total_5</v>
          </cell>
          <cell r="G292" t="str">
            <v>AddB</v>
          </cell>
          <cell r="I292" t="str">
            <v>Total Rent</v>
          </cell>
          <cell r="J292">
            <v>4260.16</v>
          </cell>
          <cell r="K292">
            <v>0</v>
          </cell>
          <cell r="L292">
            <v>4260.16</v>
          </cell>
          <cell r="M292">
            <v>0</v>
          </cell>
          <cell r="N292" t="str">
            <v>Add</v>
          </cell>
          <cell r="O292">
            <v>0</v>
          </cell>
          <cell r="V292" t="str">
            <v>NA</v>
          </cell>
          <cell r="X292">
            <v>0</v>
          </cell>
          <cell r="Y292" t="b">
            <v>0</v>
          </cell>
          <cell r="Z292" t="b">
            <v>0</v>
          </cell>
          <cell r="AA292" t="b">
            <v>0</v>
          </cell>
          <cell r="AB292">
            <v>0</v>
          </cell>
          <cell r="AC292" t="b">
            <v>1</v>
          </cell>
          <cell r="AE292" t="str">
            <v>P</v>
          </cell>
          <cell r="AF292">
            <v>0</v>
          </cell>
          <cell r="AG292">
            <v>0</v>
          </cell>
          <cell r="AI292">
            <v>0</v>
          </cell>
        </row>
        <row r="293">
          <cell r="C293" t="str">
            <v>Totalinvestment_income_receivable</v>
          </cell>
          <cell r="D293">
            <v>261</v>
          </cell>
          <cell r="E293">
            <v>4</v>
          </cell>
          <cell r="F293" t="str">
            <v>Total_4</v>
          </cell>
          <cell r="G293" t="str">
            <v>AddB</v>
          </cell>
          <cell r="I293" t="str">
            <v>Total Investment Income Receivable</v>
          </cell>
          <cell r="J293">
            <v>4260.16</v>
          </cell>
          <cell r="K293">
            <v>0</v>
          </cell>
          <cell r="L293">
            <v>4260.16</v>
          </cell>
          <cell r="M293">
            <v>0</v>
          </cell>
          <cell r="N293" t="str">
            <v>Add</v>
          </cell>
          <cell r="O293">
            <v>0</v>
          </cell>
          <cell r="V293" t="str">
            <v>NA</v>
          </cell>
          <cell r="X293">
            <v>0</v>
          </cell>
          <cell r="Y293" t="b">
            <v>0</v>
          </cell>
          <cell r="Z293" t="b">
            <v>0</v>
          </cell>
          <cell r="AA293" t="b">
            <v>0</v>
          </cell>
          <cell r="AB293">
            <v>0</v>
          </cell>
          <cell r="AC293" t="b">
            <v>1</v>
          </cell>
          <cell r="AE293" t="str">
            <v>P</v>
          </cell>
          <cell r="AF293">
            <v>0</v>
          </cell>
          <cell r="AG293">
            <v>0</v>
          </cell>
          <cell r="AI293">
            <v>0</v>
          </cell>
        </row>
        <row r="294">
          <cell r="C294" t="str">
            <v>Totalreceivables</v>
          </cell>
          <cell r="D294">
            <v>262</v>
          </cell>
          <cell r="E294">
            <v>3</v>
          </cell>
          <cell r="F294" t="str">
            <v>Total_3</v>
          </cell>
          <cell r="G294" t="str">
            <v>AddB</v>
          </cell>
          <cell r="I294" t="str">
            <v>Total Receivables</v>
          </cell>
          <cell r="J294">
            <v>4260.16</v>
          </cell>
          <cell r="K294">
            <v>0</v>
          </cell>
          <cell r="L294">
            <v>4260.16</v>
          </cell>
          <cell r="M294">
            <v>0</v>
          </cell>
          <cell r="N294" t="str">
            <v>Add</v>
          </cell>
          <cell r="O294">
            <v>0</v>
          </cell>
          <cell r="V294" t="str">
            <v>NA</v>
          </cell>
          <cell r="X294">
            <v>0</v>
          </cell>
          <cell r="Y294" t="b">
            <v>0</v>
          </cell>
          <cell r="Z294" t="b">
            <v>0</v>
          </cell>
          <cell r="AA294" t="b">
            <v>0</v>
          </cell>
          <cell r="AB294">
            <v>0</v>
          </cell>
          <cell r="AC294" t="b">
            <v>1</v>
          </cell>
          <cell r="AE294" t="str">
            <v>P</v>
          </cell>
          <cell r="AF294">
            <v>0</v>
          </cell>
          <cell r="AG294">
            <v>0</v>
          </cell>
          <cell r="AI294">
            <v>0</v>
          </cell>
        </row>
        <row r="295">
          <cell r="C295" t="str">
            <v>accrued_income</v>
          </cell>
          <cell r="D295">
            <v>263</v>
          </cell>
          <cell r="E295">
            <v>3</v>
          </cell>
          <cell r="F295" t="str">
            <v>Header_3</v>
          </cell>
          <cell r="G295" t="str">
            <v>AddB</v>
          </cell>
          <cell r="I295" t="str">
            <v>Accrued Income</v>
          </cell>
          <cell r="J295">
            <v>0</v>
          </cell>
          <cell r="K295">
            <v>0</v>
          </cell>
          <cell r="L295">
            <v>0</v>
          </cell>
          <cell r="M295">
            <v>0</v>
          </cell>
          <cell r="O295">
            <v>0</v>
          </cell>
          <cell r="V295" t="str">
            <v>NA</v>
          </cell>
          <cell r="X295">
            <v>0</v>
          </cell>
          <cell r="Y295" t="b">
            <v>0</v>
          </cell>
          <cell r="Z295" t="b">
            <v>0</v>
          </cell>
          <cell r="AA295" t="b">
            <v>0</v>
          </cell>
          <cell r="AB295">
            <v>0</v>
          </cell>
          <cell r="AC295" t="b">
            <v>1</v>
          </cell>
          <cell r="AE295" t="str">
            <v>P</v>
          </cell>
          <cell r="AF295">
            <v>0</v>
          </cell>
          <cell r="AG295">
            <v>0</v>
          </cell>
          <cell r="AI295">
            <v>0</v>
          </cell>
        </row>
        <row r="296">
          <cell r="C296" t="str">
            <v>accrued_investment_income</v>
          </cell>
          <cell r="D296">
            <v>264</v>
          </cell>
          <cell r="E296">
            <v>4</v>
          </cell>
          <cell r="F296" t="str">
            <v>Header_4</v>
          </cell>
          <cell r="G296" t="str">
            <v>AddB</v>
          </cell>
          <cell r="I296" t="str">
            <v>Accrued Investment Income</v>
          </cell>
          <cell r="J296">
            <v>0</v>
          </cell>
          <cell r="K296">
            <v>0</v>
          </cell>
          <cell r="L296">
            <v>0</v>
          </cell>
          <cell r="M296">
            <v>0</v>
          </cell>
          <cell r="O296">
            <v>0</v>
          </cell>
          <cell r="V296" t="str">
            <v>NA</v>
          </cell>
          <cell r="X296">
            <v>0</v>
          </cell>
          <cell r="Y296" t="b">
            <v>0</v>
          </cell>
          <cell r="Z296" t="b">
            <v>0</v>
          </cell>
          <cell r="AA296" t="b">
            <v>0</v>
          </cell>
          <cell r="AB296">
            <v>0</v>
          </cell>
          <cell r="AC296" t="b">
            <v>1</v>
          </cell>
          <cell r="AE296" t="str">
            <v>P</v>
          </cell>
          <cell r="AF296">
            <v>0</v>
          </cell>
          <cell r="AG296">
            <v>0</v>
          </cell>
          <cell r="AI296">
            <v>0</v>
          </cell>
        </row>
        <row r="297">
          <cell r="C297" t="str">
            <v>interest_accrued</v>
          </cell>
          <cell r="D297">
            <v>265</v>
          </cell>
          <cell r="E297">
            <v>5</v>
          </cell>
          <cell r="F297" t="str">
            <v>Header_5</v>
          </cell>
          <cell r="G297" t="str">
            <v>AddB</v>
          </cell>
          <cell r="I297" t="str">
            <v>Interest</v>
          </cell>
          <cell r="J297">
            <v>0</v>
          </cell>
          <cell r="K297">
            <v>0</v>
          </cell>
          <cell r="L297">
            <v>0</v>
          </cell>
          <cell r="M297">
            <v>0</v>
          </cell>
          <cell r="O297">
            <v>0</v>
          </cell>
          <cell r="V297" t="str">
            <v>NA</v>
          </cell>
          <cell r="X297">
            <v>0</v>
          </cell>
          <cell r="Y297" t="b">
            <v>0</v>
          </cell>
          <cell r="Z297" t="b">
            <v>0</v>
          </cell>
          <cell r="AA297" t="b">
            <v>0</v>
          </cell>
          <cell r="AB297">
            <v>0</v>
          </cell>
          <cell r="AC297" t="b">
            <v>1</v>
          </cell>
          <cell r="AE297" t="str">
            <v>P</v>
          </cell>
          <cell r="AF297">
            <v>0</v>
          </cell>
          <cell r="AG297">
            <v>0</v>
          </cell>
          <cell r="AI297">
            <v>0</v>
          </cell>
        </row>
        <row r="298">
          <cell r="C298" t="str">
            <v>interest_accrued.6d42be5e-0a5b-47d5-8489-fa3dd40ed86a</v>
          </cell>
          <cell r="D298">
            <v>266</v>
          </cell>
          <cell r="E298">
            <v>6</v>
          </cell>
          <cell r="F298" t="str">
            <v>Line_6</v>
          </cell>
          <cell r="G298" t="str">
            <v>AddB</v>
          </cell>
          <cell r="I298" t="str">
            <v>ING Term Deposit 84613066</v>
          </cell>
          <cell r="J298">
            <v>45868</v>
          </cell>
          <cell r="K298">
            <v>0</v>
          </cell>
          <cell r="L298">
            <v>45868</v>
          </cell>
          <cell r="M298">
            <v>0</v>
          </cell>
          <cell r="N298" t="str">
            <v>Add</v>
          </cell>
          <cell r="O298">
            <v>0</v>
          </cell>
          <cell r="V298" t="str">
            <v>NA</v>
          </cell>
          <cell r="X298">
            <v>0</v>
          </cell>
          <cell r="Y298" t="b">
            <v>0</v>
          </cell>
          <cell r="Z298" t="b">
            <v>0</v>
          </cell>
          <cell r="AA298" t="b">
            <v>0</v>
          </cell>
          <cell r="AB298">
            <v>0</v>
          </cell>
          <cell r="AC298" t="b">
            <v>1</v>
          </cell>
          <cell r="AE298" t="str">
            <v>P</v>
          </cell>
          <cell r="AF298">
            <v>0</v>
          </cell>
          <cell r="AG298">
            <v>0</v>
          </cell>
          <cell r="AI298">
            <v>0</v>
          </cell>
        </row>
        <row r="299">
          <cell r="C299" t="str">
            <v>interest_accrued.4f350160-46c5-4076-bb84-401c0a4fbb02</v>
          </cell>
          <cell r="D299">
            <v>267</v>
          </cell>
          <cell r="E299">
            <v>6</v>
          </cell>
          <cell r="F299" t="str">
            <v>Line_6</v>
          </cell>
          <cell r="G299" t="str">
            <v>AddB</v>
          </cell>
          <cell r="I299" t="str">
            <v>Term Deposit UBank</v>
          </cell>
          <cell r="J299">
            <v>9443.16</v>
          </cell>
          <cell r="K299">
            <v>0</v>
          </cell>
          <cell r="L299">
            <v>9443.16</v>
          </cell>
          <cell r="M299">
            <v>0</v>
          </cell>
          <cell r="N299" t="str">
            <v>Add</v>
          </cell>
          <cell r="O299">
            <v>0</v>
          </cell>
          <cell r="V299" t="str">
            <v>NA</v>
          </cell>
          <cell r="X299">
            <v>0</v>
          </cell>
          <cell r="Y299" t="b">
            <v>0</v>
          </cell>
          <cell r="Z299" t="b">
            <v>0</v>
          </cell>
          <cell r="AA299" t="b">
            <v>0</v>
          </cell>
          <cell r="AB299">
            <v>0</v>
          </cell>
          <cell r="AC299" t="b">
            <v>1</v>
          </cell>
          <cell r="AE299" t="str">
            <v>P</v>
          </cell>
          <cell r="AF299">
            <v>0</v>
          </cell>
          <cell r="AG299">
            <v>0</v>
          </cell>
          <cell r="AI299">
            <v>0</v>
          </cell>
        </row>
        <row r="300">
          <cell r="C300" t="str">
            <v>interest_accrued.2c8e0546-25be-49ff-aef4-a427b595b974</v>
          </cell>
          <cell r="D300">
            <v>268</v>
          </cell>
          <cell r="E300">
            <v>6</v>
          </cell>
          <cell r="F300" t="str">
            <v>Line_6</v>
          </cell>
          <cell r="G300" t="str">
            <v>AddB</v>
          </cell>
          <cell r="I300" t="str">
            <v>Westpac Term Deposit 344139</v>
          </cell>
          <cell r="J300">
            <v>4981.75</v>
          </cell>
          <cell r="K300">
            <v>0</v>
          </cell>
          <cell r="L300">
            <v>4981.75</v>
          </cell>
          <cell r="M300">
            <v>0</v>
          </cell>
          <cell r="N300" t="str">
            <v>Add</v>
          </cell>
          <cell r="O300">
            <v>0</v>
          </cell>
          <cell r="V300" t="str">
            <v>NA</v>
          </cell>
          <cell r="X300">
            <v>0</v>
          </cell>
          <cell r="Y300" t="b">
            <v>0</v>
          </cell>
          <cell r="Z300" t="b">
            <v>0</v>
          </cell>
          <cell r="AA300" t="b">
            <v>0</v>
          </cell>
          <cell r="AB300">
            <v>0</v>
          </cell>
          <cell r="AC300" t="b">
            <v>1</v>
          </cell>
          <cell r="AE300" t="str">
            <v>P</v>
          </cell>
          <cell r="AF300">
            <v>0</v>
          </cell>
          <cell r="AG300">
            <v>0</v>
          </cell>
          <cell r="AI300">
            <v>0</v>
          </cell>
        </row>
        <row r="301">
          <cell r="C301" t="str">
            <v>Totalinterest_accrued</v>
          </cell>
          <cell r="D301">
            <v>269</v>
          </cell>
          <cell r="E301">
            <v>5</v>
          </cell>
          <cell r="F301" t="str">
            <v>Total_5</v>
          </cell>
          <cell r="G301" t="str">
            <v>AddB</v>
          </cell>
          <cell r="I301" t="str">
            <v>Total Interest</v>
          </cell>
          <cell r="J301">
            <v>60292.91</v>
          </cell>
          <cell r="K301">
            <v>0</v>
          </cell>
          <cell r="L301">
            <v>60292.91</v>
          </cell>
          <cell r="M301">
            <v>0</v>
          </cell>
          <cell r="N301" t="str">
            <v>Add</v>
          </cell>
          <cell r="O301">
            <v>0</v>
          </cell>
          <cell r="V301" t="str">
            <v>NA</v>
          </cell>
          <cell r="X301">
            <v>0</v>
          </cell>
          <cell r="Y301" t="b">
            <v>0</v>
          </cell>
          <cell r="Z301" t="b">
            <v>0</v>
          </cell>
          <cell r="AA301" t="b">
            <v>0</v>
          </cell>
          <cell r="AB301">
            <v>0</v>
          </cell>
          <cell r="AC301" t="b">
            <v>1</v>
          </cell>
          <cell r="AE301" t="str">
            <v>P</v>
          </cell>
          <cell r="AF301">
            <v>0</v>
          </cell>
          <cell r="AG301">
            <v>0</v>
          </cell>
          <cell r="AI301">
            <v>0</v>
          </cell>
        </row>
        <row r="302">
          <cell r="C302" t="str">
            <v>Totalaccrued_investment_income</v>
          </cell>
          <cell r="D302">
            <v>270</v>
          </cell>
          <cell r="E302">
            <v>4</v>
          </cell>
          <cell r="F302" t="str">
            <v>Total_4</v>
          </cell>
          <cell r="G302" t="str">
            <v>AddB</v>
          </cell>
          <cell r="I302" t="str">
            <v>Total Accrued Investment Income</v>
          </cell>
          <cell r="J302">
            <v>60292.91</v>
          </cell>
          <cell r="K302">
            <v>0</v>
          </cell>
          <cell r="L302">
            <v>60292.91</v>
          </cell>
          <cell r="M302">
            <v>0</v>
          </cell>
          <cell r="N302" t="str">
            <v>Add</v>
          </cell>
          <cell r="O302">
            <v>0</v>
          </cell>
          <cell r="V302" t="str">
            <v>NA</v>
          </cell>
          <cell r="X302">
            <v>0</v>
          </cell>
          <cell r="Y302" t="b">
            <v>0</v>
          </cell>
          <cell r="Z302" t="b">
            <v>0</v>
          </cell>
          <cell r="AA302" t="b">
            <v>0</v>
          </cell>
          <cell r="AB302">
            <v>0</v>
          </cell>
          <cell r="AC302" t="b">
            <v>1</v>
          </cell>
          <cell r="AE302" t="str">
            <v>P</v>
          </cell>
          <cell r="AF302">
            <v>0</v>
          </cell>
          <cell r="AG302">
            <v>0</v>
          </cell>
          <cell r="AI302">
            <v>0</v>
          </cell>
        </row>
        <row r="303">
          <cell r="C303" t="str">
            <v>Totalaccrued_income</v>
          </cell>
          <cell r="D303">
            <v>271</v>
          </cell>
          <cell r="E303">
            <v>3</v>
          </cell>
          <cell r="F303" t="str">
            <v>Total_3</v>
          </cell>
          <cell r="G303" t="str">
            <v>AddB</v>
          </cell>
          <cell r="I303" t="str">
            <v>Total Accrued Income</v>
          </cell>
          <cell r="J303">
            <v>60292.91</v>
          </cell>
          <cell r="K303">
            <v>0</v>
          </cell>
          <cell r="L303">
            <v>60292.91</v>
          </cell>
          <cell r="M303">
            <v>0</v>
          </cell>
          <cell r="N303" t="str">
            <v>Add</v>
          </cell>
          <cell r="O303">
            <v>0</v>
          </cell>
          <cell r="V303" t="str">
            <v>NA</v>
          </cell>
          <cell r="X303">
            <v>0</v>
          </cell>
          <cell r="Y303" t="b">
            <v>0</v>
          </cell>
          <cell r="Z303" t="b">
            <v>0</v>
          </cell>
          <cell r="AA303" t="b">
            <v>0</v>
          </cell>
          <cell r="AB303">
            <v>0</v>
          </cell>
          <cell r="AC303" t="b">
            <v>1</v>
          </cell>
          <cell r="AE303" t="str">
            <v>P</v>
          </cell>
          <cell r="AF303">
            <v>0</v>
          </cell>
          <cell r="AG303">
            <v>0</v>
          </cell>
          <cell r="AI303">
            <v>0</v>
          </cell>
        </row>
        <row r="304">
          <cell r="C304" t="str">
            <v>income_tax_payable</v>
          </cell>
          <cell r="D304">
            <v>272</v>
          </cell>
          <cell r="E304">
            <v>3</v>
          </cell>
          <cell r="F304" t="str">
            <v>Header_3</v>
          </cell>
          <cell r="G304" t="str">
            <v>AddB</v>
          </cell>
          <cell r="I304" t="str">
            <v>Current Tax Assets</v>
          </cell>
          <cell r="J304">
            <v>0</v>
          </cell>
          <cell r="K304">
            <v>0</v>
          </cell>
          <cell r="L304">
            <v>0</v>
          </cell>
          <cell r="M304">
            <v>0</v>
          </cell>
          <cell r="O304">
            <v>0</v>
          </cell>
          <cell r="V304" t="str">
            <v>NA</v>
          </cell>
          <cell r="X304">
            <v>0</v>
          </cell>
          <cell r="Y304" t="b">
            <v>0</v>
          </cell>
          <cell r="Z304" t="b">
            <v>0</v>
          </cell>
          <cell r="AA304" t="b">
            <v>0</v>
          </cell>
          <cell r="AB304">
            <v>0</v>
          </cell>
          <cell r="AC304" t="b">
            <v>1</v>
          </cell>
          <cell r="AE304" t="str">
            <v>P</v>
          </cell>
          <cell r="AF304">
            <v>0</v>
          </cell>
          <cell r="AG304">
            <v>0</v>
          </cell>
          <cell r="AI304">
            <v>0</v>
          </cell>
        </row>
        <row r="305">
          <cell r="C305" t="str">
            <v>imputation_credits</v>
          </cell>
          <cell r="D305">
            <v>273</v>
          </cell>
          <cell r="E305">
            <v>4</v>
          </cell>
          <cell r="F305" t="str">
            <v>Header_4</v>
          </cell>
          <cell r="G305" t="str">
            <v>AddB</v>
          </cell>
          <cell r="I305" t="str">
            <v>Franking Credits</v>
          </cell>
          <cell r="J305">
            <v>0</v>
          </cell>
          <cell r="K305">
            <v>0</v>
          </cell>
          <cell r="L305">
            <v>0</v>
          </cell>
          <cell r="M305">
            <v>0</v>
          </cell>
          <cell r="O305">
            <v>0</v>
          </cell>
          <cell r="V305" t="str">
            <v>NA</v>
          </cell>
          <cell r="X305">
            <v>0</v>
          </cell>
          <cell r="Y305" t="b">
            <v>0</v>
          </cell>
          <cell r="Z305" t="b">
            <v>0</v>
          </cell>
          <cell r="AA305" t="b">
            <v>0</v>
          </cell>
          <cell r="AB305">
            <v>0</v>
          </cell>
          <cell r="AC305" t="b">
            <v>1</v>
          </cell>
          <cell r="AE305" t="str">
            <v>P</v>
          </cell>
          <cell r="AF305">
            <v>0</v>
          </cell>
          <cell r="AG305">
            <v>0</v>
          </cell>
          <cell r="AI305">
            <v>0</v>
          </cell>
        </row>
        <row r="306">
          <cell r="C306" t="str">
            <v>imputation_credits.ListedShares</v>
          </cell>
          <cell r="D306">
            <v>274</v>
          </cell>
          <cell r="E306">
            <v>5</v>
          </cell>
          <cell r="F306" t="str">
            <v>Header_5</v>
          </cell>
          <cell r="G306" t="str">
            <v>AddB</v>
          </cell>
          <cell r="I306" t="str">
            <v>Shares in Listed Companies</v>
          </cell>
          <cell r="J306">
            <v>0</v>
          </cell>
          <cell r="K306">
            <v>0</v>
          </cell>
          <cell r="L306">
            <v>0</v>
          </cell>
          <cell r="M306">
            <v>0</v>
          </cell>
          <cell r="O306">
            <v>0</v>
          </cell>
          <cell r="V306" t="str">
            <v>NA</v>
          </cell>
          <cell r="X306">
            <v>0</v>
          </cell>
          <cell r="Y306" t="b">
            <v>0</v>
          </cell>
          <cell r="Z306" t="b">
            <v>0</v>
          </cell>
          <cell r="AA306" t="b">
            <v>0</v>
          </cell>
          <cell r="AB306">
            <v>0</v>
          </cell>
          <cell r="AC306" t="b">
            <v>1</v>
          </cell>
          <cell r="AE306" t="str">
            <v>P</v>
          </cell>
          <cell r="AF306">
            <v>0</v>
          </cell>
          <cell r="AG306">
            <v>0</v>
          </cell>
          <cell r="AI306">
            <v>0</v>
          </cell>
        </row>
        <row r="307">
          <cell r="C307" t="str">
            <v>imputation_credits.ListedShares.ea7fe5a2-6a50-4e1c-b2bf-ab7ac3754bf6</v>
          </cell>
          <cell r="D307">
            <v>275</v>
          </cell>
          <cell r="E307">
            <v>6</v>
          </cell>
          <cell r="F307" t="str">
            <v>Line_6</v>
          </cell>
          <cell r="G307" t="str">
            <v>AddB</v>
          </cell>
          <cell r="I307" t="str">
            <v>ANZ Banking Group Ltd - Cnv Pref 6-Bbsw+3.10% Perp Sub Non-Cum T-09-19</v>
          </cell>
          <cell r="J307">
            <v>1578.56</v>
          </cell>
          <cell r="K307">
            <v>0</v>
          </cell>
          <cell r="L307">
            <v>1578.56</v>
          </cell>
          <cell r="M307">
            <v>0</v>
          </cell>
          <cell r="N307" t="str">
            <v>Add</v>
          </cell>
          <cell r="O307">
            <v>0</v>
          </cell>
          <cell r="V307" t="str">
            <v>NA</v>
          </cell>
          <cell r="X307">
            <v>0</v>
          </cell>
          <cell r="Y307" t="b">
            <v>0</v>
          </cell>
          <cell r="Z307" t="b">
            <v>0</v>
          </cell>
          <cell r="AA307" t="b">
            <v>0</v>
          </cell>
          <cell r="AB307">
            <v>0</v>
          </cell>
          <cell r="AC307" t="b">
            <v>1</v>
          </cell>
          <cell r="AE307" t="str">
            <v>P</v>
          </cell>
          <cell r="AF307">
            <v>0</v>
          </cell>
          <cell r="AG307">
            <v>0</v>
          </cell>
          <cell r="AI307">
            <v>0</v>
          </cell>
        </row>
        <row r="308">
          <cell r="C308" t="str">
            <v>imputation_credits.ListedShares.c661fd1f-7227-4c8d-84cb-8704d5b3ff83</v>
          </cell>
          <cell r="D308">
            <v>276</v>
          </cell>
          <cell r="E308">
            <v>6</v>
          </cell>
          <cell r="F308" t="str">
            <v>Line_6</v>
          </cell>
          <cell r="G308" t="str">
            <v>AddB</v>
          </cell>
          <cell r="I308" t="str">
            <v>BHP Billiton Limited</v>
          </cell>
          <cell r="J308">
            <v>2989.82</v>
          </cell>
          <cell r="K308">
            <v>0</v>
          </cell>
          <cell r="L308">
            <v>2989.82</v>
          </cell>
          <cell r="M308">
            <v>0</v>
          </cell>
          <cell r="N308" t="str">
            <v>Add</v>
          </cell>
          <cell r="O308">
            <v>0</v>
          </cell>
          <cell r="V308" t="str">
            <v>NA</v>
          </cell>
          <cell r="X308">
            <v>0</v>
          </cell>
          <cell r="Y308" t="b">
            <v>0</v>
          </cell>
          <cell r="Z308" t="b">
            <v>0</v>
          </cell>
          <cell r="AA308" t="b">
            <v>0</v>
          </cell>
          <cell r="AB308">
            <v>0</v>
          </cell>
          <cell r="AC308" t="b">
            <v>1</v>
          </cell>
          <cell r="AE308" t="str">
            <v>P</v>
          </cell>
          <cell r="AF308">
            <v>0</v>
          </cell>
          <cell r="AG308">
            <v>0</v>
          </cell>
          <cell r="AI308">
            <v>0</v>
          </cell>
        </row>
        <row r="309">
          <cell r="C309" t="str">
            <v>imputation_credits.ListedShares.1eaa5cbe-0ce4-470e-83e9-f0eda6d6e2da</v>
          </cell>
          <cell r="D309">
            <v>277</v>
          </cell>
          <cell r="E309">
            <v>6</v>
          </cell>
          <cell r="F309" t="str">
            <v>Line_6</v>
          </cell>
          <cell r="G309" t="str">
            <v>AddB</v>
          </cell>
          <cell r="I309" t="str">
            <v>Commonwealth Bank Of Australia.</v>
          </cell>
          <cell r="J309">
            <v>6031.73</v>
          </cell>
          <cell r="K309">
            <v>0</v>
          </cell>
          <cell r="L309">
            <v>6031.73</v>
          </cell>
          <cell r="M309">
            <v>0</v>
          </cell>
          <cell r="N309" t="str">
            <v>Add</v>
          </cell>
          <cell r="O309">
            <v>0</v>
          </cell>
          <cell r="V309" t="str">
            <v>NA</v>
          </cell>
          <cell r="X309">
            <v>0</v>
          </cell>
          <cell r="Y309" t="b">
            <v>0</v>
          </cell>
          <cell r="Z309" t="b">
            <v>0</v>
          </cell>
          <cell r="AA309" t="b">
            <v>0</v>
          </cell>
          <cell r="AB309">
            <v>0</v>
          </cell>
          <cell r="AC309" t="b">
            <v>1</v>
          </cell>
          <cell r="AE309" t="str">
            <v>P</v>
          </cell>
          <cell r="AF309">
            <v>0</v>
          </cell>
          <cell r="AG309">
            <v>0</v>
          </cell>
          <cell r="AI309">
            <v>0</v>
          </cell>
        </row>
        <row r="310">
          <cell r="C310" t="str">
            <v>imputation_credits.ListedShares.24fef001-f628-4dc4-9bf6-8ee82dd62ed3</v>
          </cell>
          <cell r="D310">
            <v>278</v>
          </cell>
          <cell r="E310">
            <v>6</v>
          </cell>
          <cell r="F310" t="str">
            <v>Line_6</v>
          </cell>
          <cell r="G310" t="str">
            <v>AddB</v>
          </cell>
          <cell r="I310" t="str">
            <v>Lycopodium Limited</v>
          </cell>
          <cell r="J310">
            <v>2256.4299999999998</v>
          </cell>
          <cell r="K310">
            <v>0</v>
          </cell>
          <cell r="L310">
            <v>2256.4299999999998</v>
          </cell>
          <cell r="M310">
            <v>0</v>
          </cell>
          <cell r="N310" t="str">
            <v>Add</v>
          </cell>
          <cell r="O310">
            <v>0</v>
          </cell>
          <cell r="V310" t="str">
            <v>NA</v>
          </cell>
          <cell r="X310">
            <v>0</v>
          </cell>
          <cell r="Y310" t="b">
            <v>0</v>
          </cell>
          <cell r="Z310" t="b">
            <v>0</v>
          </cell>
          <cell r="AA310" t="b">
            <v>0</v>
          </cell>
          <cell r="AB310">
            <v>0</v>
          </cell>
          <cell r="AC310" t="b">
            <v>1</v>
          </cell>
          <cell r="AE310" t="str">
            <v>P</v>
          </cell>
          <cell r="AF310">
            <v>0</v>
          </cell>
          <cell r="AG310">
            <v>0</v>
          </cell>
          <cell r="AI310">
            <v>0</v>
          </cell>
        </row>
        <row r="311">
          <cell r="C311" t="str">
            <v>imputation_credits.ListedShares.11031a76-c558-42b0-9844-9a11dee4c1e8</v>
          </cell>
          <cell r="D311">
            <v>279</v>
          </cell>
          <cell r="E311">
            <v>6</v>
          </cell>
          <cell r="F311" t="str">
            <v>Line_6</v>
          </cell>
          <cell r="G311" t="str">
            <v>AddB</v>
          </cell>
          <cell r="I311" t="str">
            <v>RCG Corporation Limited</v>
          </cell>
          <cell r="J311">
            <v>14909.02</v>
          </cell>
          <cell r="K311">
            <v>0</v>
          </cell>
          <cell r="L311">
            <v>14909.02</v>
          </cell>
          <cell r="M311">
            <v>0</v>
          </cell>
          <cell r="N311" t="str">
            <v>Add</v>
          </cell>
          <cell r="O311">
            <v>0</v>
          </cell>
          <cell r="V311" t="str">
            <v>NA</v>
          </cell>
          <cell r="X311">
            <v>0</v>
          </cell>
          <cell r="Y311" t="b">
            <v>0</v>
          </cell>
          <cell r="Z311" t="b">
            <v>0</v>
          </cell>
          <cell r="AA311" t="b">
            <v>0</v>
          </cell>
          <cell r="AB311">
            <v>0</v>
          </cell>
          <cell r="AC311" t="b">
            <v>1</v>
          </cell>
          <cell r="AE311" t="str">
            <v>P</v>
          </cell>
          <cell r="AF311">
            <v>0</v>
          </cell>
          <cell r="AG311">
            <v>0</v>
          </cell>
          <cell r="AI311">
            <v>0</v>
          </cell>
        </row>
        <row r="312">
          <cell r="C312" t="str">
            <v>imputation_credits.ListedShares.70ba86ed-c44b-4771-b5a2-be7e62412e91</v>
          </cell>
          <cell r="D312">
            <v>280</v>
          </cell>
          <cell r="E312">
            <v>6</v>
          </cell>
          <cell r="F312" t="str">
            <v>Line_6</v>
          </cell>
          <cell r="G312" t="str">
            <v>AddB</v>
          </cell>
          <cell r="I312" t="str">
            <v>Wesfarmers Limited</v>
          </cell>
          <cell r="J312">
            <v>4517.8</v>
          </cell>
          <cell r="K312">
            <v>0</v>
          </cell>
          <cell r="L312">
            <v>4517.8</v>
          </cell>
          <cell r="M312">
            <v>0</v>
          </cell>
          <cell r="N312" t="str">
            <v>Add</v>
          </cell>
          <cell r="O312">
            <v>0</v>
          </cell>
          <cell r="V312" t="str">
            <v>NA</v>
          </cell>
          <cell r="X312">
            <v>0</v>
          </cell>
          <cell r="Y312" t="b">
            <v>0</v>
          </cell>
          <cell r="Z312" t="b">
            <v>0</v>
          </cell>
          <cell r="AA312" t="b">
            <v>0</v>
          </cell>
          <cell r="AB312">
            <v>0</v>
          </cell>
          <cell r="AC312" t="b">
            <v>1</v>
          </cell>
          <cell r="AE312" t="str">
            <v>P</v>
          </cell>
          <cell r="AF312">
            <v>0</v>
          </cell>
          <cell r="AG312">
            <v>0</v>
          </cell>
          <cell r="AI312">
            <v>0</v>
          </cell>
        </row>
        <row r="313">
          <cell r="C313" t="str">
            <v>Totalimputation_credits.ListedShares</v>
          </cell>
          <cell r="D313">
            <v>281</v>
          </cell>
          <cell r="E313">
            <v>5</v>
          </cell>
          <cell r="F313" t="str">
            <v>Total_5</v>
          </cell>
          <cell r="G313" t="str">
            <v>AddB</v>
          </cell>
          <cell r="I313" t="str">
            <v>Total Shares in Listed Companies</v>
          </cell>
          <cell r="J313">
            <v>32283.360000000001</v>
          </cell>
          <cell r="K313">
            <v>0</v>
          </cell>
          <cell r="L313">
            <v>32283.360000000001</v>
          </cell>
          <cell r="M313">
            <v>0</v>
          </cell>
          <cell r="N313" t="str">
            <v>Add</v>
          </cell>
          <cell r="O313">
            <v>0</v>
          </cell>
          <cell r="V313" t="str">
            <v>NA</v>
          </cell>
          <cell r="X313">
            <v>0</v>
          </cell>
          <cell r="Y313" t="b">
            <v>0</v>
          </cell>
          <cell r="Z313" t="b">
            <v>0</v>
          </cell>
          <cell r="AA313" t="b">
            <v>0</v>
          </cell>
          <cell r="AB313">
            <v>0</v>
          </cell>
          <cell r="AC313" t="b">
            <v>1</v>
          </cell>
          <cell r="AE313" t="str">
            <v>P</v>
          </cell>
          <cell r="AF313">
            <v>0</v>
          </cell>
          <cell r="AG313">
            <v>0</v>
          </cell>
          <cell r="AI313">
            <v>0</v>
          </cell>
        </row>
        <row r="314">
          <cell r="C314" t="str">
            <v>imputation_credits.Stapled</v>
          </cell>
          <cell r="D314">
            <v>282</v>
          </cell>
          <cell r="E314">
            <v>5</v>
          </cell>
          <cell r="F314" t="str">
            <v>Header_5</v>
          </cell>
          <cell r="G314" t="str">
            <v>AddB</v>
          </cell>
          <cell r="I314" t="str">
            <v>Stapled Securities</v>
          </cell>
          <cell r="J314">
            <v>0</v>
          </cell>
          <cell r="K314">
            <v>0</v>
          </cell>
          <cell r="L314">
            <v>0</v>
          </cell>
          <cell r="M314">
            <v>0</v>
          </cell>
          <cell r="O314">
            <v>0</v>
          </cell>
          <cell r="V314" t="str">
            <v>NA</v>
          </cell>
          <cell r="X314">
            <v>0</v>
          </cell>
          <cell r="Y314" t="b">
            <v>0</v>
          </cell>
          <cell r="Z314" t="b">
            <v>0</v>
          </cell>
          <cell r="AA314" t="b">
            <v>0</v>
          </cell>
          <cell r="AB314">
            <v>0</v>
          </cell>
          <cell r="AC314" t="b">
            <v>1</v>
          </cell>
          <cell r="AE314" t="str">
            <v>P</v>
          </cell>
          <cell r="AF314">
            <v>0</v>
          </cell>
          <cell r="AG314">
            <v>0</v>
          </cell>
          <cell r="AI314">
            <v>0</v>
          </cell>
        </row>
        <row r="315">
          <cell r="C315" t="str">
            <v>imputation_credits.Stapled.8e9a6fc7-bafd-4650-b416-d03fe7049f79</v>
          </cell>
          <cell r="D315">
            <v>283</v>
          </cell>
          <cell r="E315">
            <v>6</v>
          </cell>
          <cell r="F315" t="str">
            <v>Line_6</v>
          </cell>
          <cell r="G315" t="str">
            <v>AddB</v>
          </cell>
          <cell r="I315" t="str">
            <v>Scentre Group - Stapled Securities</v>
          </cell>
          <cell r="J315">
            <v>369.75</v>
          </cell>
          <cell r="K315">
            <v>0</v>
          </cell>
          <cell r="L315">
            <v>369.75</v>
          </cell>
          <cell r="M315">
            <v>0</v>
          </cell>
          <cell r="N315" t="str">
            <v>Add</v>
          </cell>
          <cell r="O315">
            <v>0</v>
          </cell>
          <cell r="V315" t="str">
            <v>NA</v>
          </cell>
          <cell r="X315">
            <v>0</v>
          </cell>
          <cell r="Y315" t="b">
            <v>0</v>
          </cell>
          <cell r="Z315" t="b">
            <v>0</v>
          </cell>
          <cell r="AA315" t="b">
            <v>0</v>
          </cell>
          <cell r="AB315">
            <v>0</v>
          </cell>
          <cell r="AC315" t="b">
            <v>1</v>
          </cell>
          <cell r="AE315" t="str">
            <v>P</v>
          </cell>
          <cell r="AF315">
            <v>0</v>
          </cell>
          <cell r="AG315">
            <v>0</v>
          </cell>
          <cell r="AI315">
            <v>0</v>
          </cell>
        </row>
        <row r="316">
          <cell r="C316" t="str">
            <v>Totalimputation_credits.Stapled</v>
          </cell>
          <cell r="D316">
            <v>284</v>
          </cell>
          <cell r="E316">
            <v>5</v>
          </cell>
          <cell r="F316" t="str">
            <v>Total_5</v>
          </cell>
          <cell r="G316" t="str">
            <v>AddB</v>
          </cell>
          <cell r="I316" t="str">
            <v>Total Stapled Securities</v>
          </cell>
          <cell r="J316">
            <v>369.75</v>
          </cell>
          <cell r="K316">
            <v>0</v>
          </cell>
          <cell r="L316">
            <v>369.75</v>
          </cell>
          <cell r="M316">
            <v>0</v>
          </cell>
          <cell r="N316" t="str">
            <v>Add</v>
          </cell>
          <cell r="O316">
            <v>0</v>
          </cell>
          <cell r="V316" t="str">
            <v>NA</v>
          </cell>
          <cell r="X316">
            <v>0</v>
          </cell>
          <cell r="Y316" t="b">
            <v>0</v>
          </cell>
          <cell r="Z316" t="b">
            <v>0</v>
          </cell>
          <cell r="AA316" t="b">
            <v>0</v>
          </cell>
          <cell r="AB316">
            <v>0</v>
          </cell>
          <cell r="AC316" t="b">
            <v>1</v>
          </cell>
          <cell r="AE316" t="str">
            <v>P</v>
          </cell>
          <cell r="AF316">
            <v>0</v>
          </cell>
          <cell r="AG316">
            <v>0</v>
          </cell>
          <cell r="AI316">
            <v>0</v>
          </cell>
        </row>
        <row r="317">
          <cell r="C317" t="str">
            <v>Totalimputation_credits</v>
          </cell>
          <cell r="D317">
            <v>285</v>
          </cell>
          <cell r="E317">
            <v>4</v>
          </cell>
          <cell r="F317" t="str">
            <v>Total_4</v>
          </cell>
          <cell r="G317" t="str">
            <v>AddB</v>
          </cell>
          <cell r="I317" t="str">
            <v>Total Franking Credits</v>
          </cell>
          <cell r="J317">
            <v>32653.11</v>
          </cell>
          <cell r="K317">
            <v>0</v>
          </cell>
          <cell r="L317">
            <v>32653.11</v>
          </cell>
          <cell r="M317">
            <v>0</v>
          </cell>
          <cell r="N317" t="str">
            <v>Add</v>
          </cell>
          <cell r="O317">
            <v>0</v>
          </cell>
          <cell r="V317" t="str">
            <v>NA</v>
          </cell>
          <cell r="X317">
            <v>0</v>
          </cell>
          <cell r="Y317" t="b">
            <v>0</v>
          </cell>
          <cell r="Z317" t="b">
            <v>0</v>
          </cell>
          <cell r="AA317" t="b">
            <v>0</v>
          </cell>
          <cell r="AB317">
            <v>0</v>
          </cell>
          <cell r="AC317" t="b">
            <v>1</v>
          </cell>
          <cell r="AE317" t="str">
            <v>P</v>
          </cell>
          <cell r="AF317">
            <v>0</v>
          </cell>
          <cell r="AG317">
            <v>0</v>
          </cell>
          <cell r="AI317">
            <v>0</v>
          </cell>
        </row>
        <row r="318">
          <cell r="C318" t="str">
            <v>foreign_tax_credits</v>
          </cell>
          <cell r="D318">
            <v>286</v>
          </cell>
          <cell r="E318">
            <v>4</v>
          </cell>
          <cell r="F318" t="str">
            <v>Header_4</v>
          </cell>
          <cell r="G318" t="str">
            <v>AddB</v>
          </cell>
          <cell r="I318" t="str">
            <v>Foreign Tax Credits</v>
          </cell>
          <cell r="J318">
            <v>0</v>
          </cell>
          <cell r="K318">
            <v>0</v>
          </cell>
          <cell r="L318">
            <v>0</v>
          </cell>
          <cell r="M318">
            <v>0</v>
          </cell>
          <cell r="O318">
            <v>0</v>
          </cell>
          <cell r="V318" t="str">
            <v>NA</v>
          </cell>
          <cell r="X318">
            <v>0</v>
          </cell>
          <cell r="Y318" t="b">
            <v>0</v>
          </cell>
          <cell r="Z318" t="b">
            <v>0</v>
          </cell>
          <cell r="AA318" t="b">
            <v>0</v>
          </cell>
          <cell r="AB318">
            <v>0</v>
          </cell>
          <cell r="AC318" t="b">
            <v>1</v>
          </cell>
          <cell r="AE318" t="str">
            <v>P</v>
          </cell>
          <cell r="AF318">
            <v>0</v>
          </cell>
          <cell r="AG318">
            <v>0</v>
          </cell>
          <cell r="AI318">
            <v>0</v>
          </cell>
        </row>
        <row r="319">
          <cell r="C319" t="str">
            <v>foreign_tax_credits.Stapled</v>
          </cell>
          <cell r="D319">
            <v>287</v>
          </cell>
          <cell r="E319">
            <v>5</v>
          </cell>
          <cell r="F319" t="str">
            <v>Header_5</v>
          </cell>
          <cell r="G319" t="str">
            <v>AddB</v>
          </cell>
          <cell r="I319" t="str">
            <v>Stapled Securities</v>
          </cell>
          <cell r="J319">
            <v>0</v>
          </cell>
          <cell r="K319">
            <v>0</v>
          </cell>
          <cell r="L319">
            <v>0</v>
          </cell>
          <cell r="M319">
            <v>0</v>
          </cell>
          <cell r="O319">
            <v>0</v>
          </cell>
          <cell r="V319" t="str">
            <v>NA</v>
          </cell>
          <cell r="X319">
            <v>0</v>
          </cell>
          <cell r="Y319" t="b">
            <v>0</v>
          </cell>
          <cell r="Z319" t="b">
            <v>0</v>
          </cell>
          <cell r="AA319" t="b">
            <v>0</v>
          </cell>
          <cell r="AB319">
            <v>0</v>
          </cell>
          <cell r="AC319" t="b">
            <v>1</v>
          </cell>
          <cell r="AE319" t="str">
            <v>P</v>
          </cell>
          <cell r="AF319">
            <v>0</v>
          </cell>
          <cell r="AG319">
            <v>0</v>
          </cell>
          <cell r="AI319">
            <v>0</v>
          </cell>
        </row>
        <row r="320">
          <cell r="C320" t="str">
            <v>foreign_tax_credits.Stapled.dcba5c26-922b-4e46-b526-e0abc4efb0a4</v>
          </cell>
          <cell r="D320">
            <v>288</v>
          </cell>
          <cell r="E320">
            <v>6</v>
          </cell>
          <cell r="F320" t="str">
            <v>Line_6</v>
          </cell>
          <cell r="G320" t="str">
            <v>AddB</v>
          </cell>
          <cell r="I320" t="str">
            <v>Westfield Corporation - Stapled Securities</v>
          </cell>
          <cell r="J320">
            <v>525.07000000000005</v>
          </cell>
          <cell r="K320">
            <v>0</v>
          </cell>
          <cell r="L320">
            <v>525.07000000000005</v>
          </cell>
          <cell r="M320">
            <v>0</v>
          </cell>
          <cell r="N320" t="str">
            <v>Add</v>
          </cell>
          <cell r="O320">
            <v>0</v>
          </cell>
          <cell r="V320" t="str">
            <v>NA</v>
          </cell>
          <cell r="X320">
            <v>0</v>
          </cell>
          <cell r="Y320" t="b">
            <v>0</v>
          </cell>
          <cell r="Z320" t="b">
            <v>0</v>
          </cell>
          <cell r="AA320" t="b">
            <v>0</v>
          </cell>
          <cell r="AB320">
            <v>0</v>
          </cell>
          <cell r="AC320" t="b">
            <v>1</v>
          </cell>
          <cell r="AE320" t="str">
            <v>P</v>
          </cell>
          <cell r="AF320">
            <v>0</v>
          </cell>
          <cell r="AG320">
            <v>0</v>
          </cell>
          <cell r="AI320">
            <v>0</v>
          </cell>
        </row>
        <row r="321">
          <cell r="C321" t="str">
            <v>Totalforeign_tax_credits.Stapled</v>
          </cell>
          <cell r="D321">
            <v>289</v>
          </cell>
          <cell r="E321">
            <v>5</v>
          </cell>
          <cell r="F321" t="str">
            <v>Total_5</v>
          </cell>
          <cell r="G321" t="str">
            <v>AddB</v>
          </cell>
          <cell r="I321" t="str">
            <v>Total Stapled Securities</v>
          </cell>
          <cell r="J321">
            <v>525.07000000000005</v>
          </cell>
          <cell r="K321">
            <v>0</v>
          </cell>
          <cell r="L321">
            <v>525.07000000000005</v>
          </cell>
          <cell r="M321">
            <v>0</v>
          </cell>
          <cell r="N321" t="str">
            <v>Add</v>
          </cell>
          <cell r="O321">
            <v>0</v>
          </cell>
          <cell r="V321" t="str">
            <v>NA</v>
          </cell>
          <cell r="X321">
            <v>0</v>
          </cell>
          <cell r="Y321" t="b">
            <v>0</v>
          </cell>
          <cell r="Z321" t="b">
            <v>0</v>
          </cell>
          <cell r="AA321" t="b">
            <v>0</v>
          </cell>
          <cell r="AB321">
            <v>0</v>
          </cell>
          <cell r="AC321" t="b">
            <v>1</v>
          </cell>
          <cell r="AE321" t="str">
            <v>P</v>
          </cell>
          <cell r="AF321">
            <v>0</v>
          </cell>
          <cell r="AG321">
            <v>0</v>
          </cell>
          <cell r="AI321">
            <v>0</v>
          </cell>
        </row>
        <row r="322">
          <cell r="C322" t="str">
            <v>foreign_tax_credits.UnitTrusts</v>
          </cell>
          <cell r="D322">
            <v>290</v>
          </cell>
          <cell r="E322">
            <v>5</v>
          </cell>
          <cell r="F322" t="str">
            <v>Header_5</v>
          </cell>
          <cell r="G322" t="str">
            <v>AddB</v>
          </cell>
          <cell r="I322" t="str">
            <v>Units In Listed Unit Trusts</v>
          </cell>
          <cell r="J322">
            <v>0</v>
          </cell>
          <cell r="K322">
            <v>0</v>
          </cell>
          <cell r="L322">
            <v>0</v>
          </cell>
          <cell r="M322">
            <v>0</v>
          </cell>
          <cell r="O322">
            <v>0</v>
          </cell>
          <cell r="V322" t="str">
            <v>NA</v>
          </cell>
          <cell r="X322">
            <v>0</v>
          </cell>
          <cell r="Y322" t="b">
            <v>0</v>
          </cell>
          <cell r="Z322" t="b">
            <v>0</v>
          </cell>
          <cell r="AA322" t="b">
            <v>0</v>
          </cell>
          <cell r="AB322">
            <v>0</v>
          </cell>
          <cell r="AC322" t="b">
            <v>1</v>
          </cell>
          <cell r="AE322" t="str">
            <v>P</v>
          </cell>
          <cell r="AF322">
            <v>0</v>
          </cell>
          <cell r="AG322">
            <v>0</v>
          </cell>
          <cell r="AI322">
            <v>0</v>
          </cell>
        </row>
        <row r="323">
          <cell r="C323" t="str">
            <v>foreign_tax_credits.UnitTrusts.585f5263-8705-4fe9-a474-8235212ecee1</v>
          </cell>
          <cell r="D323">
            <v>291</v>
          </cell>
          <cell r="E323">
            <v>6</v>
          </cell>
          <cell r="F323" t="str">
            <v>Line_6</v>
          </cell>
          <cell r="G323" t="str">
            <v>AddB</v>
          </cell>
          <cell r="I323" t="str">
            <v>Vanguard Us Total Market Shares Index ETF - CDI's 1:1</v>
          </cell>
          <cell r="J323">
            <v>26.78</v>
          </cell>
          <cell r="K323">
            <v>0</v>
          </cell>
          <cell r="L323">
            <v>26.78</v>
          </cell>
          <cell r="M323">
            <v>0</v>
          </cell>
          <cell r="N323" t="str">
            <v>Add</v>
          </cell>
          <cell r="O323">
            <v>0</v>
          </cell>
          <cell r="V323" t="str">
            <v>NA</v>
          </cell>
          <cell r="X323">
            <v>0</v>
          </cell>
          <cell r="Y323" t="b">
            <v>0</v>
          </cell>
          <cell r="Z323" t="b">
            <v>0</v>
          </cell>
          <cell r="AA323" t="b">
            <v>0</v>
          </cell>
          <cell r="AB323">
            <v>0</v>
          </cell>
          <cell r="AC323" t="b">
            <v>1</v>
          </cell>
          <cell r="AE323" t="str">
            <v>P</v>
          </cell>
          <cell r="AF323">
            <v>0</v>
          </cell>
          <cell r="AG323">
            <v>0</v>
          </cell>
          <cell r="AI323">
            <v>0</v>
          </cell>
        </row>
        <row r="324">
          <cell r="C324" t="str">
            <v>Totalforeign_tax_credits.UnitTrusts</v>
          </cell>
          <cell r="D324">
            <v>292</v>
          </cell>
          <cell r="E324">
            <v>5</v>
          </cell>
          <cell r="F324" t="str">
            <v>Total_5</v>
          </cell>
          <cell r="G324" t="str">
            <v>AddB</v>
          </cell>
          <cell r="I324" t="str">
            <v>Total Units In Listed Unit Trusts</v>
          </cell>
          <cell r="J324">
            <v>26.78</v>
          </cell>
          <cell r="K324">
            <v>0</v>
          </cell>
          <cell r="L324">
            <v>26.78</v>
          </cell>
          <cell r="M324">
            <v>0</v>
          </cell>
          <cell r="N324" t="str">
            <v>Add</v>
          </cell>
          <cell r="O324">
            <v>0</v>
          </cell>
          <cell r="V324" t="str">
            <v>NA</v>
          </cell>
          <cell r="X324">
            <v>0</v>
          </cell>
          <cell r="Y324" t="b">
            <v>0</v>
          </cell>
          <cell r="Z324" t="b">
            <v>0</v>
          </cell>
          <cell r="AA324" t="b">
            <v>0</v>
          </cell>
          <cell r="AB324">
            <v>0</v>
          </cell>
          <cell r="AC324" t="b">
            <v>1</v>
          </cell>
          <cell r="AE324" t="str">
            <v>P</v>
          </cell>
          <cell r="AF324">
            <v>0</v>
          </cell>
          <cell r="AG324">
            <v>0</v>
          </cell>
          <cell r="AI324">
            <v>0</v>
          </cell>
        </row>
        <row r="325">
          <cell r="C325" t="str">
            <v>Totalforeign_tax_credits</v>
          </cell>
          <cell r="D325">
            <v>293</v>
          </cell>
          <cell r="E325">
            <v>4</v>
          </cell>
          <cell r="F325" t="str">
            <v>Total_4</v>
          </cell>
          <cell r="G325" t="str">
            <v>AddB</v>
          </cell>
          <cell r="I325" t="str">
            <v>Total Foreign Tax Credits</v>
          </cell>
          <cell r="J325">
            <v>551.85</v>
          </cell>
          <cell r="K325">
            <v>0</v>
          </cell>
          <cell r="L325">
            <v>551.85</v>
          </cell>
          <cell r="M325">
            <v>0</v>
          </cell>
          <cell r="N325" t="str">
            <v>Add</v>
          </cell>
          <cell r="O325">
            <v>0</v>
          </cell>
          <cell r="V325" t="str">
            <v>NA</v>
          </cell>
          <cell r="X325">
            <v>0</v>
          </cell>
          <cell r="Y325" t="b">
            <v>0</v>
          </cell>
          <cell r="Z325" t="b">
            <v>0</v>
          </cell>
          <cell r="AA325" t="b">
            <v>0</v>
          </cell>
          <cell r="AB325">
            <v>0</v>
          </cell>
          <cell r="AC325" t="b">
            <v>1</v>
          </cell>
          <cell r="AE325" t="str">
            <v>P</v>
          </cell>
          <cell r="AF325">
            <v>0</v>
          </cell>
          <cell r="AG325">
            <v>0</v>
          </cell>
          <cell r="AI325">
            <v>0</v>
          </cell>
        </row>
        <row r="326">
          <cell r="C326" t="str">
            <v>excessive_foreign_tax_credit_writeoff</v>
          </cell>
          <cell r="D326">
            <v>294</v>
          </cell>
          <cell r="E326">
            <v>4</v>
          </cell>
          <cell r="F326" t="str">
            <v>Line_4</v>
          </cell>
          <cell r="G326" t="str">
            <v>AddB</v>
          </cell>
          <cell r="I326" t="str">
            <v>Excessive Foreign Tax Credit Writeoff</v>
          </cell>
          <cell r="J326">
            <v>-551.85</v>
          </cell>
          <cell r="K326">
            <v>0</v>
          </cell>
          <cell r="L326">
            <v>-551.85</v>
          </cell>
          <cell r="M326">
            <v>0</v>
          </cell>
          <cell r="N326" t="str">
            <v>Add</v>
          </cell>
          <cell r="O326">
            <v>0</v>
          </cell>
          <cell r="V326" t="str">
            <v>NA</v>
          </cell>
          <cell r="X326">
            <v>0</v>
          </cell>
          <cell r="Y326" t="b">
            <v>0</v>
          </cell>
          <cell r="Z326" t="b">
            <v>0</v>
          </cell>
          <cell r="AA326" t="b">
            <v>0</v>
          </cell>
          <cell r="AB326">
            <v>0</v>
          </cell>
          <cell r="AC326" t="b">
            <v>1</v>
          </cell>
          <cell r="AE326" t="str">
            <v>P</v>
          </cell>
          <cell r="AF326">
            <v>0</v>
          </cell>
          <cell r="AG326">
            <v>0</v>
          </cell>
          <cell r="AI326">
            <v>0</v>
          </cell>
        </row>
        <row r="327">
          <cell r="C327" t="str">
            <v>Totalincome_tax_payable</v>
          </cell>
          <cell r="D327">
            <v>295</v>
          </cell>
          <cell r="E327">
            <v>3</v>
          </cell>
          <cell r="F327" t="str">
            <v>Total_3</v>
          </cell>
          <cell r="G327" t="str">
            <v>AddB</v>
          </cell>
          <cell r="I327" t="str">
            <v>Total Current Tax Assets</v>
          </cell>
          <cell r="J327">
            <v>32653.11</v>
          </cell>
          <cell r="K327">
            <v>0</v>
          </cell>
          <cell r="L327">
            <v>32653.11</v>
          </cell>
          <cell r="M327">
            <v>0</v>
          </cell>
          <cell r="N327" t="str">
            <v>Add</v>
          </cell>
          <cell r="O327">
            <v>0</v>
          </cell>
          <cell r="V327" t="str">
            <v>NA</v>
          </cell>
          <cell r="X327">
            <v>0</v>
          </cell>
          <cell r="Y327" t="b">
            <v>0</v>
          </cell>
          <cell r="Z327" t="b">
            <v>0</v>
          </cell>
          <cell r="AA327" t="b">
            <v>0</v>
          </cell>
          <cell r="AB327">
            <v>0</v>
          </cell>
          <cell r="AC327" t="b">
            <v>1</v>
          </cell>
          <cell r="AE327" t="str">
            <v>P</v>
          </cell>
          <cell r="AF327">
            <v>0</v>
          </cell>
          <cell r="AG327">
            <v>0</v>
          </cell>
          <cell r="AI327">
            <v>0</v>
          </cell>
        </row>
        <row r="328">
          <cell r="C328" t="str">
            <v>Totalother_assets</v>
          </cell>
          <cell r="D328">
            <v>296</v>
          </cell>
          <cell r="E328">
            <v>2</v>
          </cell>
          <cell r="F328" t="str">
            <v>Total_2</v>
          </cell>
          <cell r="G328" t="str">
            <v>AddB</v>
          </cell>
          <cell r="I328" t="str">
            <v>Total Other Assets</v>
          </cell>
          <cell r="J328">
            <v>768139.59</v>
          </cell>
          <cell r="K328">
            <v>0</v>
          </cell>
          <cell r="L328">
            <v>768139.59</v>
          </cell>
          <cell r="M328">
            <v>0</v>
          </cell>
          <cell r="N328" t="str">
            <v>Add</v>
          </cell>
          <cell r="O328">
            <v>0</v>
          </cell>
          <cell r="V328" t="str">
            <v>NA</v>
          </cell>
          <cell r="X328">
            <v>0</v>
          </cell>
          <cell r="Y328" t="b">
            <v>0</v>
          </cell>
          <cell r="Z328" t="b">
            <v>0</v>
          </cell>
          <cell r="AA328" t="b">
            <v>0</v>
          </cell>
          <cell r="AB328">
            <v>0</v>
          </cell>
          <cell r="AC328" t="b">
            <v>1</v>
          </cell>
          <cell r="AE328" t="str">
            <v>P</v>
          </cell>
          <cell r="AF328">
            <v>0</v>
          </cell>
          <cell r="AG328">
            <v>0</v>
          </cell>
          <cell r="AI328">
            <v>0</v>
          </cell>
        </row>
        <row r="329">
          <cell r="C329" t="str">
            <v>TotalAssets</v>
          </cell>
          <cell r="D329">
            <v>297</v>
          </cell>
          <cell r="E329">
            <v>1</v>
          </cell>
          <cell r="F329" t="str">
            <v>Total_1</v>
          </cell>
          <cell r="G329" t="str">
            <v>AddB</v>
          </cell>
          <cell r="I329" t="str">
            <v>Total Assets</v>
          </cell>
          <cell r="J329">
            <v>8662089.9000000004</v>
          </cell>
          <cell r="K329">
            <v>0</v>
          </cell>
          <cell r="L329">
            <v>8662089.9000000004</v>
          </cell>
          <cell r="M329">
            <v>0</v>
          </cell>
          <cell r="N329" t="str">
            <v>Add</v>
          </cell>
          <cell r="O329">
            <v>0</v>
          </cell>
          <cell r="V329" t="str">
            <v>NA</v>
          </cell>
          <cell r="X329">
            <v>0</v>
          </cell>
          <cell r="Y329" t="b">
            <v>0</v>
          </cell>
          <cell r="Z329" t="b">
            <v>0</v>
          </cell>
          <cell r="AA329" t="b">
            <v>0</v>
          </cell>
          <cell r="AB329">
            <v>0</v>
          </cell>
          <cell r="AC329" t="b">
            <v>1</v>
          </cell>
          <cell r="AE329" t="str">
            <v>P</v>
          </cell>
          <cell r="AF329">
            <v>0</v>
          </cell>
          <cell r="AG329">
            <v>0</v>
          </cell>
          <cell r="AI329">
            <v>0</v>
          </cell>
        </row>
        <row r="330">
          <cell r="C330" t="str">
            <v>Member Entitlements</v>
          </cell>
          <cell r="D330">
            <v>298</v>
          </cell>
          <cell r="E330">
            <v>1</v>
          </cell>
          <cell r="F330" t="str">
            <v>Header_1</v>
          </cell>
          <cell r="G330" t="str">
            <v>AddD</v>
          </cell>
          <cell r="I330" t="str">
            <v>Member Entitlements</v>
          </cell>
          <cell r="J330">
            <v>0</v>
          </cell>
          <cell r="K330">
            <v>0</v>
          </cell>
          <cell r="L330">
            <v>0</v>
          </cell>
          <cell r="M330">
            <v>0</v>
          </cell>
          <cell r="O330">
            <v>0</v>
          </cell>
          <cell r="V330" t="str">
            <v>NA</v>
          </cell>
          <cell r="X330">
            <v>0</v>
          </cell>
          <cell r="Y330" t="b">
            <v>0</v>
          </cell>
          <cell r="Z330" t="b">
            <v>0</v>
          </cell>
          <cell r="AA330" t="b">
            <v>0</v>
          </cell>
          <cell r="AB330">
            <v>0</v>
          </cell>
          <cell r="AC330" t="b">
            <v>1</v>
          </cell>
          <cell r="AE330" t="str">
            <v>P</v>
          </cell>
          <cell r="AF330">
            <v>0</v>
          </cell>
          <cell r="AG330">
            <v>0</v>
          </cell>
          <cell r="AI330">
            <v>0</v>
          </cell>
        </row>
        <row r="331">
          <cell r="C331" t="str">
            <v>members_entitlements_accounts</v>
          </cell>
          <cell r="D331">
            <v>299</v>
          </cell>
          <cell r="E331">
            <v>2</v>
          </cell>
          <cell r="F331" t="str">
            <v>Header_2</v>
          </cell>
          <cell r="G331" t="str">
            <v>AddD</v>
          </cell>
          <cell r="I331" t="str">
            <v>Member Entitlement Accounts</v>
          </cell>
          <cell r="J331">
            <v>0</v>
          </cell>
          <cell r="K331">
            <v>0</v>
          </cell>
          <cell r="L331">
            <v>0</v>
          </cell>
          <cell r="M331">
            <v>0</v>
          </cell>
          <cell r="O331">
            <v>0</v>
          </cell>
          <cell r="V331" t="str">
            <v>NA</v>
          </cell>
          <cell r="X331">
            <v>0</v>
          </cell>
          <cell r="Y331" t="b">
            <v>0</v>
          </cell>
          <cell r="Z331" t="b">
            <v>0</v>
          </cell>
          <cell r="AA331" t="b">
            <v>0</v>
          </cell>
          <cell r="AB331">
            <v>0</v>
          </cell>
          <cell r="AC331" t="b">
            <v>1</v>
          </cell>
          <cell r="AE331" t="str">
            <v>P</v>
          </cell>
          <cell r="AF331">
            <v>0</v>
          </cell>
          <cell r="AG331">
            <v>0</v>
          </cell>
          <cell r="AI331">
            <v>0</v>
          </cell>
        </row>
        <row r="332">
          <cell r="C332" t="str">
            <v>members_entitlements_accounts.HICKEA0</v>
          </cell>
          <cell r="D332">
            <v>300</v>
          </cell>
          <cell r="E332">
            <v>3</v>
          </cell>
          <cell r="F332" t="str">
            <v>Header_3</v>
          </cell>
          <cell r="G332" t="str">
            <v>AddD</v>
          </cell>
          <cell r="I332" t="str">
            <v>Dr Andrew Hickey</v>
          </cell>
          <cell r="J332">
            <v>0</v>
          </cell>
          <cell r="K332">
            <v>0</v>
          </cell>
          <cell r="L332">
            <v>0</v>
          </cell>
          <cell r="M332">
            <v>0</v>
          </cell>
          <cell r="O332">
            <v>0</v>
          </cell>
          <cell r="V332" t="str">
            <v>NA</v>
          </cell>
          <cell r="X332">
            <v>0</v>
          </cell>
          <cell r="Y332" t="b">
            <v>0</v>
          </cell>
          <cell r="Z332" t="b">
            <v>0</v>
          </cell>
          <cell r="AA332" t="b">
            <v>0</v>
          </cell>
          <cell r="AB332">
            <v>0</v>
          </cell>
          <cell r="AC332" t="b">
            <v>1</v>
          </cell>
          <cell r="AE332" t="str">
            <v>P</v>
          </cell>
          <cell r="AF332">
            <v>0</v>
          </cell>
          <cell r="AG332">
            <v>0</v>
          </cell>
          <cell r="AI332">
            <v>0</v>
          </cell>
        </row>
        <row r="333">
          <cell r="C333" t="str">
            <v>members_entitlements_accounts.HICKEA0.2a94b71c-6e95-4036-ad4c-abcdde0ecbce</v>
          </cell>
          <cell r="D333">
            <v>301</v>
          </cell>
          <cell r="E333">
            <v>4</v>
          </cell>
          <cell r="F333" t="str">
            <v>Line_4</v>
          </cell>
          <cell r="G333" t="str">
            <v>AddD</v>
          </cell>
          <cell r="I333" t="str">
            <v>Account Based Pension 3% tax free</v>
          </cell>
          <cell r="J333">
            <v>621045.21</v>
          </cell>
          <cell r="K333">
            <v>0</v>
          </cell>
          <cell r="L333">
            <v>621045.21</v>
          </cell>
          <cell r="M333">
            <v>0</v>
          </cell>
          <cell r="N333" t="str">
            <v>Add</v>
          </cell>
          <cell r="O333">
            <v>0</v>
          </cell>
          <cell r="V333" t="str">
            <v>NA</v>
          </cell>
          <cell r="X333">
            <v>0</v>
          </cell>
          <cell r="Y333" t="b">
            <v>0</v>
          </cell>
          <cell r="Z333" t="b">
            <v>0</v>
          </cell>
          <cell r="AA333" t="b">
            <v>0</v>
          </cell>
          <cell r="AB333">
            <v>0</v>
          </cell>
          <cell r="AC333" t="b">
            <v>1</v>
          </cell>
          <cell r="AE333" t="str">
            <v>P</v>
          </cell>
          <cell r="AF333">
            <v>0</v>
          </cell>
          <cell r="AG333">
            <v>0</v>
          </cell>
          <cell r="AI333">
            <v>0</v>
          </cell>
        </row>
        <row r="334">
          <cell r="C334" t="str">
            <v>members_entitlements_accounts.HICKEA0.fbf7df15-0869-46dc-aed8-306d1e38c235</v>
          </cell>
          <cell r="D334">
            <v>302</v>
          </cell>
          <cell r="E334">
            <v>4</v>
          </cell>
          <cell r="F334" t="str">
            <v>Line_4</v>
          </cell>
          <cell r="G334" t="str">
            <v>AddD</v>
          </cell>
          <cell r="I334" t="str">
            <v>Account Based Pension 89% tax free</v>
          </cell>
          <cell r="J334">
            <v>513075.38</v>
          </cell>
          <cell r="K334">
            <v>0</v>
          </cell>
          <cell r="L334">
            <v>513075.38</v>
          </cell>
          <cell r="M334">
            <v>0</v>
          </cell>
          <cell r="N334" t="str">
            <v>Add</v>
          </cell>
          <cell r="O334">
            <v>0</v>
          </cell>
          <cell r="V334" t="str">
            <v>NA</v>
          </cell>
          <cell r="X334">
            <v>0</v>
          </cell>
          <cell r="Y334" t="b">
            <v>0</v>
          </cell>
          <cell r="Z334" t="b">
            <v>0</v>
          </cell>
          <cell r="AA334" t="b">
            <v>0</v>
          </cell>
          <cell r="AB334">
            <v>0</v>
          </cell>
          <cell r="AC334" t="b">
            <v>1</v>
          </cell>
          <cell r="AE334" t="str">
            <v>P</v>
          </cell>
          <cell r="AF334">
            <v>0</v>
          </cell>
          <cell r="AG334">
            <v>0</v>
          </cell>
          <cell r="AI334">
            <v>0</v>
          </cell>
        </row>
        <row r="335">
          <cell r="C335" t="str">
            <v>members_entitlements_accounts.HICKEA0.4326ec00-7d85-4879-b886-bb776bd4c9e0</v>
          </cell>
          <cell r="D335">
            <v>303</v>
          </cell>
          <cell r="E335">
            <v>4</v>
          </cell>
          <cell r="F335" t="str">
            <v>Line_4</v>
          </cell>
          <cell r="G335" t="str">
            <v>AddD</v>
          </cell>
          <cell r="I335" t="str">
            <v>Account Based Pension 95% tax free</v>
          </cell>
          <cell r="J335">
            <v>465879.41</v>
          </cell>
          <cell r="K335">
            <v>0</v>
          </cell>
          <cell r="L335">
            <v>465879.41</v>
          </cell>
          <cell r="M335">
            <v>0</v>
          </cell>
          <cell r="N335" t="str">
            <v>Add</v>
          </cell>
          <cell r="O335">
            <v>0</v>
          </cell>
          <cell r="V335" t="str">
            <v>NA</v>
          </cell>
          <cell r="X335">
            <v>0</v>
          </cell>
          <cell r="Y335" t="b">
            <v>0</v>
          </cell>
          <cell r="Z335" t="b">
            <v>0</v>
          </cell>
          <cell r="AA335" t="b">
            <v>0</v>
          </cell>
          <cell r="AB335">
            <v>0</v>
          </cell>
          <cell r="AC335" t="b">
            <v>1</v>
          </cell>
          <cell r="AE335" t="str">
            <v>P</v>
          </cell>
          <cell r="AF335">
            <v>0</v>
          </cell>
          <cell r="AG335">
            <v>0</v>
          </cell>
          <cell r="AI335">
            <v>0</v>
          </cell>
        </row>
        <row r="336">
          <cell r="C336" t="str">
            <v>members_entitlements_accounts.HICKEA0.11e20dda-5496-4923-b2da-304862ccfdab</v>
          </cell>
          <cell r="D336">
            <v>304</v>
          </cell>
          <cell r="E336">
            <v>4</v>
          </cell>
          <cell r="F336" t="str">
            <v>Line_4</v>
          </cell>
          <cell r="G336" t="str">
            <v>AddD</v>
          </cell>
          <cell r="I336" t="str">
            <v>Accumulation</v>
          </cell>
          <cell r="J336">
            <v>1856041.45</v>
          </cell>
          <cell r="K336">
            <v>0</v>
          </cell>
          <cell r="L336">
            <v>1856041.45</v>
          </cell>
          <cell r="M336">
            <v>0</v>
          </cell>
          <cell r="N336" t="str">
            <v>Add</v>
          </cell>
          <cell r="O336">
            <v>0</v>
          </cell>
          <cell r="V336" t="str">
            <v>NA</v>
          </cell>
          <cell r="X336">
            <v>0</v>
          </cell>
          <cell r="Y336" t="b">
            <v>0</v>
          </cell>
          <cell r="Z336" t="b">
            <v>0</v>
          </cell>
          <cell r="AA336" t="b">
            <v>0</v>
          </cell>
          <cell r="AB336">
            <v>0</v>
          </cell>
          <cell r="AC336" t="b">
            <v>1</v>
          </cell>
          <cell r="AE336" t="str">
            <v>P</v>
          </cell>
          <cell r="AF336">
            <v>0</v>
          </cell>
          <cell r="AG336">
            <v>0</v>
          </cell>
          <cell r="AI336">
            <v>0</v>
          </cell>
        </row>
        <row r="337">
          <cell r="C337" t="str">
            <v>Totalmembers_entitlements_accounts.HICKEA0</v>
          </cell>
          <cell r="D337">
            <v>305</v>
          </cell>
          <cell r="E337">
            <v>3</v>
          </cell>
          <cell r="F337" t="str">
            <v>Total_3</v>
          </cell>
          <cell r="G337" t="str">
            <v>AddD</v>
          </cell>
          <cell r="I337" t="str">
            <v>Total Dr Andrew Hickey</v>
          </cell>
          <cell r="J337">
            <v>3456041.45</v>
          </cell>
          <cell r="K337">
            <v>0</v>
          </cell>
          <cell r="L337">
            <v>3456041.45</v>
          </cell>
          <cell r="M337">
            <v>0</v>
          </cell>
          <cell r="N337" t="str">
            <v>Add</v>
          </cell>
          <cell r="O337">
            <v>0</v>
          </cell>
          <cell r="V337" t="str">
            <v>NA</v>
          </cell>
          <cell r="X337">
            <v>0</v>
          </cell>
          <cell r="Y337" t="b">
            <v>0</v>
          </cell>
          <cell r="Z337" t="b">
            <v>0</v>
          </cell>
          <cell r="AA337" t="b">
            <v>0</v>
          </cell>
          <cell r="AB337">
            <v>0</v>
          </cell>
          <cell r="AC337" t="b">
            <v>1</v>
          </cell>
          <cell r="AE337" t="str">
            <v>P</v>
          </cell>
          <cell r="AF337">
            <v>0</v>
          </cell>
          <cell r="AG337">
            <v>0</v>
          </cell>
          <cell r="AI337">
            <v>0</v>
          </cell>
        </row>
        <row r="338">
          <cell r="C338" t="str">
            <v>members_entitlements_accounts.HICKEC0</v>
          </cell>
          <cell r="D338">
            <v>306</v>
          </cell>
          <cell r="E338">
            <v>3</v>
          </cell>
          <cell r="F338" t="str">
            <v>Header_3</v>
          </cell>
          <cell r="G338" t="str">
            <v>AddD</v>
          </cell>
          <cell r="I338" t="str">
            <v>Dr Camille Hickey</v>
          </cell>
          <cell r="J338">
            <v>0</v>
          </cell>
          <cell r="K338">
            <v>0</v>
          </cell>
          <cell r="L338">
            <v>0</v>
          </cell>
          <cell r="M338">
            <v>0</v>
          </cell>
          <cell r="O338">
            <v>0</v>
          </cell>
          <cell r="V338" t="str">
            <v>NA</v>
          </cell>
          <cell r="X338">
            <v>0</v>
          </cell>
          <cell r="Y338" t="b">
            <v>0</v>
          </cell>
          <cell r="Z338" t="b">
            <v>0</v>
          </cell>
          <cell r="AA338" t="b">
            <v>0</v>
          </cell>
          <cell r="AB338">
            <v>0</v>
          </cell>
          <cell r="AC338" t="b">
            <v>1</v>
          </cell>
          <cell r="AE338" t="str">
            <v>P</v>
          </cell>
          <cell r="AF338">
            <v>0</v>
          </cell>
          <cell r="AG338">
            <v>0</v>
          </cell>
          <cell r="AI338">
            <v>0</v>
          </cell>
        </row>
        <row r="339">
          <cell r="C339" t="str">
            <v>members_entitlements_accounts.HICKEC0.222fc773-3513-479b-bf62-f35fe4556112</v>
          </cell>
          <cell r="D339">
            <v>307</v>
          </cell>
          <cell r="E339">
            <v>4</v>
          </cell>
          <cell r="F339" t="str">
            <v>Line_4</v>
          </cell>
          <cell r="G339" t="str">
            <v>AddD</v>
          </cell>
          <cell r="I339" t="str">
            <v>Account Based Pension 100% tax free</v>
          </cell>
          <cell r="J339">
            <v>399248.22</v>
          </cell>
          <cell r="K339">
            <v>0</v>
          </cell>
          <cell r="L339">
            <v>399248.22</v>
          </cell>
          <cell r="M339">
            <v>0</v>
          </cell>
          <cell r="N339" t="str">
            <v>Add</v>
          </cell>
          <cell r="O339">
            <v>0</v>
          </cell>
          <cell r="V339" t="str">
            <v>NA</v>
          </cell>
          <cell r="X339">
            <v>0</v>
          </cell>
          <cell r="Y339" t="b">
            <v>0</v>
          </cell>
          <cell r="Z339" t="b">
            <v>0</v>
          </cell>
          <cell r="AA339" t="b">
            <v>0</v>
          </cell>
          <cell r="AB339">
            <v>0</v>
          </cell>
          <cell r="AC339" t="b">
            <v>1</v>
          </cell>
          <cell r="AE339" t="str">
            <v>P</v>
          </cell>
          <cell r="AF339">
            <v>0</v>
          </cell>
          <cell r="AG339">
            <v>0</v>
          </cell>
          <cell r="AI339">
            <v>0</v>
          </cell>
        </row>
        <row r="340">
          <cell r="C340" t="str">
            <v>members_entitlements_accounts.HICKEC0.c88ac5ce-b438-4bf3-96de-ce502ca7dc08</v>
          </cell>
          <cell r="D340">
            <v>308</v>
          </cell>
          <cell r="E340">
            <v>4</v>
          </cell>
          <cell r="F340" t="str">
            <v>Line_4</v>
          </cell>
          <cell r="G340" t="str">
            <v>AddD</v>
          </cell>
          <cell r="I340" t="str">
            <v>Account Based Pension 8% tax free</v>
          </cell>
          <cell r="J340">
            <v>418820.7</v>
          </cell>
          <cell r="K340">
            <v>0</v>
          </cell>
          <cell r="L340">
            <v>418820.7</v>
          </cell>
          <cell r="M340">
            <v>0</v>
          </cell>
          <cell r="N340" t="str">
            <v>Add</v>
          </cell>
          <cell r="O340">
            <v>0</v>
          </cell>
          <cell r="V340" t="str">
            <v>NA</v>
          </cell>
          <cell r="X340">
            <v>0</v>
          </cell>
          <cell r="Y340" t="b">
            <v>0</v>
          </cell>
          <cell r="Z340" t="b">
            <v>0</v>
          </cell>
          <cell r="AA340" t="b">
            <v>0</v>
          </cell>
          <cell r="AB340">
            <v>0</v>
          </cell>
          <cell r="AC340" t="b">
            <v>1</v>
          </cell>
          <cell r="AE340" t="str">
            <v>P</v>
          </cell>
          <cell r="AF340">
            <v>0</v>
          </cell>
          <cell r="AG340">
            <v>0</v>
          </cell>
          <cell r="AI340">
            <v>0</v>
          </cell>
        </row>
        <row r="341">
          <cell r="C341" t="str">
            <v>members_entitlements_accounts.HICKEC0.f17f7707-d89f-48cb-bb50-91f13fa40157</v>
          </cell>
          <cell r="D341">
            <v>309</v>
          </cell>
          <cell r="E341">
            <v>4</v>
          </cell>
          <cell r="F341" t="str">
            <v>Line_4</v>
          </cell>
          <cell r="G341" t="str">
            <v>AddD</v>
          </cell>
          <cell r="I341" t="str">
            <v>Account Based Pension 94% tax free</v>
          </cell>
          <cell r="J341">
            <v>146478.93</v>
          </cell>
          <cell r="K341">
            <v>0</v>
          </cell>
          <cell r="L341">
            <v>146478.93</v>
          </cell>
          <cell r="M341">
            <v>0</v>
          </cell>
          <cell r="N341" t="str">
            <v>Add</v>
          </cell>
          <cell r="O341">
            <v>0</v>
          </cell>
          <cell r="V341" t="str">
            <v>NA</v>
          </cell>
          <cell r="X341">
            <v>0</v>
          </cell>
          <cell r="Y341" t="b">
            <v>0</v>
          </cell>
          <cell r="Z341" t="b">
            <v>0</v>
          </cell>
          <cell r="AA341" t="b">
            <v>0</v>
          </cell>
          <cell r="AB341">
            <v>0</v>
          </cell>
          <cell r="AC341" t="b">
            <v>1</v>
          </cell>
          <cell r="AE341" t="str">
            <v>P</v>
          </cell>
          <cell r="AF341">
            <v>0</v>
          </cell>
          <cell r="AG341">
            <v>0</v>
          </cell>
          <cell r="AI341">
            <v>0</v>
          </cell>
        </row>
        <row r="342">
          <cell r="C342" t="str">
            <v>members_entitlements_accounts.HICKEC0.0a494c12-39e5-45a1-8b07-1dde1f534960</v>
          </cell>
          <cell r="D342">
            <v>310</v>
          </cell>
          <cell r="E342">
            <v>4</v>
          </cell>
          <cell r="F342" t="str">
            <v>Line_4</v>
          </cell>
          <cell r="G342" t="str">
            <v>AddD</v>
          </cell>
          <cell r="I342" t="str">
            <v>Account Based Pension 99% tax free</v>
          </cell>
          <cell r="J342">
            <v>635452.15</v>
          </cell>
          <cell r="K342">
            <v>0</v>
          </cell>
          <cell r="L342">
            <v>635452.15</v>
          </cell>
          <cell r="M342">
            <v>0</v>
          </cell>
          <cell r="N342" t="str">
            <v>Add</v>
          </cell>
          <cell r="O342">
            <v>0</v>
          </cell>
          <cell r="V342" t="str">
            <v>NA</v>
          </cell>
          <cell r="X342">
            <v>0</v>
          </cell>
          <cell r="Y342" t="b">
            <v>0</v>
          </cell>
          <cell r="Z342" t="b">
            <v>0</v>
          </cell>
          <cell r="AA342" t="b">
            <v>0</v>
          </cell>
          <cell r="AB342">
            <v>0</v>
          </cell>
          <cell r="AC342" t="b">
            <v>1</v>
          </cell>
          <cell r="AE342" t="str">
            <v>P</v>
          </cell>
          <cell r="AF342">
            <v>0</v>
          </cell>
          <cell r="AG342">
            <v>0</v>
          </cell>
          <cell r="AI342">
            <v>0</v>
          </cell>
        </row>
        <row r="343">
          <cell r="C343" t="str">
            <v>members_entitlements_accounts.HICKEC0.07be3b3b-4df8-44a2-a0c3-821bc1fca38e</v>
          </cell>
          <cell r="D343">
            <v>311</v>
          </cell>
          <cell r="E343">
            <v>4</v>
          </cell>
          <cell r="F343" t="str">
            <v>Line_4</v>
          </cell>
          <cell r="G343" t="str">
            <v>AddD</v>
          </cell>
          <cell r="I343" t="str">
            <v>Accumulation</v>
          </cell>
          <cell r="J343">
            <v>3606048.45</v>
          </cell>
          <cell r="K343">
            <v>0</v>
          </cell>
          <cell r="L343">
            <v>3606048.45</v>
          </cell>
          <cell r="M343">
            <v>0</v>
          </cell>
          <cell r="N343" t="str">
            <v>Add</v>
          </cell>
          <cell r="O343">
            <v>0</v>
          </cell>
          <cell r="V343" t="str">
            <v>NA</v>
          </cell>
          <cell r="X343">
            <v>0</v>
          </cell>
          <cell r="Y343" t="b">
            <v>0</v>
          </cell>
          <cell r="Z343" t="b">
            <v>0</v>
          </cell>
          <cell r="AA343" t="b">
            <v>0</v>
          </cell>
          <cell r="AB343">
            <v>0</v>
          </cell>
          <cell r="AC343" t="b">
            <v>1</v>
          </cell>
          <cell r="AE343" t="str">
            <v>P</v>
          </cell>
          <cell r="AF343">
            <v>0</v>
          </cell>
          <cell r="AG343">
            <v>0</v>
          </cell>
          <cell r="AI343">
            <v>0</v>
          </cell>
        </row>
        <row r="344">
          <cell r="C344" t="str">
            <v>Totalmembers_entitlements_accounts.HICKEC0</v>
          </cell>
          <cell r="D344">
            <v>312</v>
          </cell>
          <cell r="E344">
            <v>3</v>
          </cell>
          <cell r="F344" t="str">
            <v>Total_3</v>
          </cell>
          <cell r="G344" t="str">
            <v>AddD</v>
          </cell>
          <cell r="I344" t="str">
            <v>Total Dr Camille Hickey</v>
          </cell>
          <cell r="J344">
            <v>5206048.45</v>
          </cell>
          <cell r="K344">
            <v>0</v>
          </cell>
          <cell r="L344">
            <v>5206048.45</v>
          </cell>
          <cell r="M344">
            <v>0</v>
          </cell>
          <cell r="N344" t="str">
            <v>Add</v>
          </cell>
          <cell r="O344">
            <v>0</v>
          </cell>
          <cell r="V344" t="str">
            <v>NA</v>
          </cell>
          <cell r="X344">
            <v>0</v>
          </cell>
          <cell r="Y344" t="b">
            <v>0</v>
          </cell>
          <cell r="Z344" t="b">
            <v>0</v>
          </cell>
          <cell r="AA344" t="b">
            <v>0</v>
          </cell>
          <cell r="AB344">
            <v>0</v>
          </cell>
          <cell r="AC344" t="b">
            <v>1</v>
          </cell>
          <cell r="AE344" t="str">
            <v>P</v>
          </cell>
          <cell r="AF344">
            <v>0</v>
          </cell>
          <cell r="AG344">
            <v>0</v>
          </cell>
          <cell r="AI344">
            <v>0</v>
          </cell>
        </row>
        <row r="345">
          <cell r="C345" t="str">
            <v>Totalmembers_entitlements_accounts</v>
          </cell>
          <cell r="D345">
            <v>313</v>
          </cell>
          <cell r="E345">
            <v>2</v>
          </cell>
          <cell r="F345" t="str">
            <v>Total_2</v>
          </cell>
          <cell r="G345" t="str">
            <v>AddD</v>
          </cell>
          <cell r="I345" t="str">
            <v>Total Member Entitlement Accounts</v>
          </cell>
          <cell r="J345">
            <v>8662089.9000000004</v>
          </cell>
          <cell r="K345">
            <v>0</v>
          </cell>
          <cell r="L345">
            <v>8662089.9000000004</v>
          </cell>
          <cell r="M345">
            <v>0</v>
          </cell>
          <cell r="N345" t="str">
            <v>Add</v>
          </cell>
          <cell r="O345">
            <v>0</v>
          </cell>
          <cell r="V345" t="str">
            <v>NA</v>
          </cell>
          <cell r="X345">
            <v>0</v>
          </cell>
          <cell r="Y345" t="b">
            <v>0</v>
          </cell>
          <cell r="Z345" t="b">
            <v>0</v>
          </cell>
          <cell r="AA345" t="b">
            <v>0</v>
          </cell>
          <cell r="AB345">
            <v>0</v>
          </cell>
          <cell r="AC345" t="b">
            <v>1</v>
          </cell>
          <cell r="AE345" t="str">
            <v>P</v>
          </cell>
          <cell r="AF345">
            <v>0</v>
          </cell>
          <cell r="AG345">
            <v>0</v>
          </cell>
          <cell r="AI345">
            <v>0</v>
          </cell>
        </row>
        <row r="346">
          <cell r="C346" t="str">
            <v>TotalMember Entitlements</v>
          </cell>
          <cell r="D346">
            <v>314</v>
          </cell>
          <cell r="E346">
            <v>1</v>
          </cell>
          <cell r="F346" t="str">
            <v>Total_1</v>
          </cell>
          <cell r="G346" t="str">
            <v>AddD</v>
          </cell>
          <cell r="I346" t="str">
            <v>Total Member Entitlements</v>
          </cell>
          <cell r="J346">
            <v>8662089.9000000004</v>
          </cell>
          <cell r="K346">
            <v>0</v>
          </cell>
          <cell r="L346">
            <v>8662089.9000000004</v>
          </cell>
          <cell r="M346">
            <v>0</v>
          </cell>
          <cell r="N346" t="str">
            <v>Add</v>
          </cell>
          <cell r="O346">
            <v>0</v>
          </cell>
          <cell r="V346" t="str">
            <v>NA</v>
          </cell>
          <cell r="X346">
            <v>0</v>
          </cell>
          <cell r="Y346" t="b">
            <v>0</v>
          </cell>
          <cell r="Z346" t="b">
            <v>0</v>
          </cell>
          <cell r="AA346" t="b">
            <v>0</v>
          </cell>
          <cell r="AB346">
            <v>0</v>
          </cell>
          <cell r="AC346" t="b">
            <v>1</v>
          </cell>
          <cell r="AE346" t="str">
            <v>P</v>
          </cell>
          <cell r="AF346">
            <v>0</v>
          </cell>
          <cell r="AG346">
            <v>0</v>
          </cell>
          <cell r="AI346">
            <v>0</v>
          </cell>
        </row>
      </sheetData>
      <sheetData sheetId="9"/>
      <sheetData sheetId="10">
        <row r="6">
          <cell r="I6">
            <v>0</v>
          </cell>
        </row>
      </sheetData>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ow r="2">
          <cell r="A2" t="str">
            <v>Not Started</v>
          </cell>
          <cell r="B2">
            <v>0</v>
          </cell>
        </row>
        <row r="3">
          <cell r="A3" t="str">
            <v>Started</v>
          </cell>
          <cell r="B3">
            <v>1</v>
          </cell>
        </row>
        <row r="4">
          <cell r="A4" t="str">
            <v>Client Query</v>
          </cell>
          <cell r="B4">
            <v>2</v>
          </cell>
        </row>
        <row r="5">
          <cell r="A5" t="str">
            <v>Ready for Review</v>
          </cell>
          <cell r="B5">
            <v>3</v>
          </cell>
        </row>
        <row r="6">
          <cell r="A6" t="str">
            <v>Rework Required</v>
          </cell>
          <cell r="B6">
            <v>4</v>
          </cell>
        </row>
        <row r="7">
          <cell r="A7" t="str">
            <v>Rework Complete</v>
          </cell>
          <cell r="B7">
            <v>5</v>
          </cell>
        </row>
        <row r="8">
          <cell r="A8" t="str">
            <v>Review</v>
          </cell>
          <cell r="B8">
            <v>6</v>
          </cell>
        </row>
        <row r="9">
          <cell r="A9" t="str">
            <v>Final Review</v>
          </cell>
          <cell r="B9">
            <v>7</v>
          </cell>
        </row>
        <row r="10">
          <cell r="A10" t="str">
            <v>Complete</v>
          </cell>
          <cell r="B10">
            <v>8</v>
          </cell>
        </row>
      </sheetData>
      <sheetData sheetId="2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NSW_StatusLog"/>
      <sheetName val="HNSW_ItemsCount"/>
      <sheetName val="Assignment To do"/>
      <sheetName val="Agenda &amp; Partner Points"/>
      <sheetName val="Pension Advice Schedule"/>
      <sheetName val="GST &amp; BAS Rec"/>
      <sheetName val="Tax Payment Sch"/>
      <sheetName val="Home"/>
      <sheetName val="Index"/>
      <sheetName val="Review Points"/>
      <sheetName val="Invoice Wording"/>
      <sheetName val="Prov for Income Tax"/>
      <sheetName val="Investments"/>
      <sheetName val="Investment Summary"/>
      <sheetName val="Interest Receivable"/>
      <sheetName val="Property CB &amp; MV"/>
      <sheetName val="Unlisted Unit Trust"/>
      <sheetName val="Loans"/>
      <sheetName val="CGT Relief"/>
      <sheetName val="Rep_Settings"/>
      <sheetName val="Rep_Status"/>
      <sheetName val="Howtohownow"/>
    </sheetNames>
    <sheetDataSet>
      <sheetData sheetId="0" refreshError="1"/>
      <sheetData sheetId="1" refreshError="1"/>
      <sheetData sheetId="2"/>
      <sheetData sheetId="3" refreshError="1"/>
      <sheetData sheetId="4" refreshError="1"/>
      <sheetData sheetId="5" refreshError="1"/>
      <sheetData sheetId="6" refreshError="1"/>
      <sheetData sheetId="7">
        <row r="6">
          <cell r="K6" t="b">
            <v>1</v>
          </cell>
        </row>
        <row r="23">
          <cell r="G23">
            <v>42916</v>
          </cell>
        </row>
        <row r="55">
          <cell r="C55" t="str">
            <v>HIC03S1</v>
          </cell>
        </row>
        <row r="57">
          <cell r="C57" t="str">
            <v>A &amp; C Hickey Pty Ltd Superannuation Fund</v>
          </cell>
        </row>
        <row r="75">
          <cell r="C75">
            <v>0.01</v>
          </cell>
        </row>
      </sheetData>
      <sheetData sheetId="8">
        <row r="1">
          <cell r="C1" t="str">
            <v>SortId</v>
          </cell>
          <cell r="D1" t="str">
            <v>SortOrder</v>
          </cell>
          <cell r="E1" t="str">
            <v>Level</v>
          </cell>
          <cell r="F1" t="str">
            <v>Formatting</v>
          </cell>
          <cell r="G1" t="str">
            <v>Mode</v>
          </cell>
          <cell r="H1" t="str">
            <v>Commands</v>
          </cell>
          <cell r="I1" t="str">
            <v>AccountName</v>
          </cell>
          <cell r="J1" t="str">
            <v>Balance</v>
          </cell>
          <cell r="K1" t="str">
            <v>Comparatives</v>
          </cell>
          <cell r="L1" t="str">
            <v>Variance</v>
          </cell>
          <cell r="N1" t="str">
            <v>Links</v>
          </cell>
          <cell r="O1" t="str">
            <v>WPCount</v>
          </cell>
          <cell r="P1" t="str">
            <v>WPTag</v>
          </cell>
          <cell r="Q1" t="str">
            <v>WPType</v>
          </cell>
          <cell r="R1" t="str">
            <v>Ref</v>
          </cell>
          <cell r="S1" t="str">
            <v>Template</v>
          </cell>
          <cell r="T1" t="str">
            <v>RelatedBalance</v>
          </cell>
          <cell r="U1" t="str">
            <v>Reconcile</v>
          </cell>
          <cell r="V1" t="str">
            <v>Reconciled</v>
          </cell>
          <cell r="W1" t="str">
            <v>ReconciledStatus</v>
          </cell>
          <cell r="X1" t="str">
            <v>StatusOrder</v>
          </cell>
          <cell r="Y1" t="str">
            <v>HasChat</v>
          </cell>
          <cell r="Z1" t="str">
            <v>HasUnreadChat</v>
          </cell>
          <cell r="AA1" t="str">
            <v>HasUnresolvedItems</v>
          </cell>
          <cell r="AB1" t="str">
            <v>Items</v>
          </cell>
          <cell r="AC1" t="str">
            <v>Expanded</v>
          </cell>
          <cell r="AD1" t="str">
            <v>Notes</v>
          </cell>
          <cell r="AE1" t="str">
            <v>Flag</v>
          </cell>
          <cell r="AF1" t="str">
            <v>Chat</v>
          </cell>
          <cell r="AG1" t="str">
            <v>Items</v>
          </cell>
          <cell r="AH1" t="str">
            <v>Reconcile To</v>
          </cell>
          <cell r="AI1" t="str">
            <v>Status</v>
          </cell>
          <cell r="AJ1" t="str">
            <v>StatusUpdatedBy</v>
          </cell>
          <cell r="AK1" t="str">
            <v>StatusChangeDate</v>
          </cell>
          <cell r="AL1" t="str">
            <v>RollOver</v>
          </cell>
          <cell r="AM1" t="str">
            <v>Del</v>
          </cell>
        </row>
        <row r="9">
          <cell r="AI9">
            <v>0</v>
          </cell>
          <cell r="AJ9" t="b">
            <v>1</v>
          </cell>
          <cell r="AK9">
            <v>0</v>
          </cell>
          <cell r="AL9">
            <v>0</v>
          </cell>
          <cell r="AM9">
            <v>0</v>
          </cell>
        </row>
        <row r="32">
          <cell r="J32">
            <v>42916</v>
          </cell>
          <cell r="K32">
            <v>42551</v>
          </cell>
          <cell r="M32" t="str">
            <v>+</v>
          </cell>
          <cell r="N32" t="str">
            <v>-</v>
          </cell>
        </row>
        <row r="33">
          <cell r="C33" t="str">
            <v>Income</v>
          </cell>
          <cell r="D33">
            <v>1</v>
          </cell>
          <cell r="E33">
            <v>1</v>
          </cell>
          <cell r="F33" t="str">
            <v>Header_1</v>
          </cell>
          <cell r="G33" t="str">
            <v>AddE</v>
          </cell>
          <cell r="I33" t="str">
            <v>Income</v>
          </cell>
          <cell r="J33">
            <v>0</v>
          </cell>
          <cell r="K33">
            <v>0</v>
          </cell>
          <cell r="L33">
            <v>0</v>
          </cell>
          <cell r="M33">
            <v>0</v>
          </cell>
          <cell r="O33">
            <v>0</v>
          </cell>
          <cell r="V33" t="str">
            <v>NA</v>
          </cell>
          <cell r="X33">
            <v>0</v>
          </cell>
          <cell r="Y33" t="b">
            <v>0</v>
          </cell>
          <cell r="Z33" t="b">
            <v>0</v>
          </cell>
          <cell r="AA33" t="b">
            <v>0</v>
          </cell>
          <cell r="AB33">
            <v>0</v>
          </cell>
          <cell r="AC33" t="b">
            <v>1</v>
          </cell>
          <cell r="AE33" t="str">
            <v>P</v>
          </cell>
          <cell r="AF33">
            <v>0</v>
          </cell>
          <cell r="AG33">
            <v>0</v>
          </cell>
          <cell r="AI33">
            <v>0</v>
          </cell>
        </row>
        <row r="34">
          <cell r="C34" t="str">
            <v>investment_gains</v>
          </cell>
          <cell r="D34">
            <v>2</v>
          </cell>
          <cell r="E34">
            <v>2</v>
          </cell>
          <cell r="F34" t="str">
            <v>Header_2</v>
          </cell>
          <cell r="G34" t="str">
            <v>AddE</v>
          </cell>
          <cell r="I34" t="str">
            <v>Investment Gains</v>
          </cell>
          <cell r="J34">
            <v>0</v>
          </cell>
          <cell r="K34">
            <v>0</v>
          </cell>
          <cell r="L34">
            <v>0</v>
          </cell>
          <cell r="M34">
            <v>0</v>
          </cell>
          <cell r="O34">
            <v>0</v>
          </cell>
          <cell r="V34" t="str">
            <v>NA</v>
          </cell>
          <cell r="X34">
            <v>0</v>
          </cell>
          <cell r="Y34" t="b">
            <v>0</v>
          </cell>
          <cell r="Z34" t="b">
            <v>0</v>
          </cell>
          <cell r="AA34" t="b">
            <v>0</v>
          </cell>
          <cell r="AB34">
            <v>0</v>
          </cell>
          <cell r="AC34" t="b">
            <v>1</v>
          </cell>
          <cell r="AE34" t="str">
            <v>P</v>
          </cell>
          <cell r="AF34">
            <v>0</v>
          </cell>
          <cell r="AG34">
            <v>0</v>
          </cell>
          <cell r="AI34">
            <v>0</v>
          </cell>
        </row>
        <row r="35">
          <cell r="C35" t="str">
            <v>realised_capital_gains</v>
          </cell>
          <cell r="D35">
            <v>3</v>
          </cell>
          <cell r="E35">
            <v>3</v>
          </cell>
          <cell r="F35" t="str">
            <v>Header_3</v>
          </cell>
          <cell r="G35" t="str">
            <v>AddE</v>
          </cell>
          <cell r="I35" t="str">
            <v>Realised Capital Gains</v>
          </cell>
          <cell r="J35">
            <v>0</v>
          </cell>
          <cell r="K35">
            <v>0</v>
          </cell>
          <cell r="L35">
            <v>0</v>
          </cell>
          <cell r="M35">
            <v>0</v>
          </cell>
          <cell r="O35">
            <v>0</v>
          </cell>
          <cell r="V35" t="str">
            <v>NA</v>
          </cell>
          <cell r="X35">
            <v>0</v>
          </cell>
          <cell r="Y35" t="b">
            <v>0</v>
          </cell>
          <cell r="Z35" t="b">
            <v>0</v>
          </cell>
          <cell r="AA35" t="b">
            <v>0</v>
          </cell>
          <cell r="AB35">
            <v>0</v>
          </cell>
          <cell r="AC35" t="b">
            <v>1</v>
          </cell>
          <cell r="AE35" t="str">
            <v>P</v>
          </cell>
          <cell r="AF35">
            <v>0</v>
          </cell>
          <cell r="AG35">
            <v>0</v>
          </cell>
          <cell r="AI35">
            <v>0</v>
          </cell>
        </row>
        <row r="36">
          <cell r="C36" t="str">
            <v>realised_capital_gains.ListedShares</v>
          </cell>
          <cell r="D36">
            <v>4</v>
          </cell>
          <cell r="E36">
            <v>4</v>
          </cell>
          <cell r="F36" t="str">
            <v>Header_4</v>
          </cell>
          <cell r="G36" t="str">
            <v>AddE</v>
          </cell>
          <cell r="I36" t="str">
            <v>Shares in Listed Companies</v>
          </cell>
          <cell r="J36">
            <v>0</v>
          </cell>
          <cell r="K36">
            <v>0</v>
          </cell>
          <cell r="L36">
            <v>0</v>
          </cell>
          <cell r="M36">
            <v>0</v>
          </cell>
          <cell r="O36">
            <v>0</v>
          </cell>
          <cell r="V36" t="str">
            <v>NA</v>
          </cell>
          <cell r="X36">
            <v>0</v>
          </cell>
          <cell r="Y36" t="b">
            <v>0</v>
          </cell>
          <cell r="Z36" t="b">
            <v>0</v>
          </cell>
          <cell r="AA36" t="b">
            <v>0</v>
          </cell>
          <cell r="AB36">
            <v>0</v>
          </cell>
          <cell r="AC36" t="b">
            <v>1</v>
          </cell>
          <cell r="AE36" t="str">
            <v>P</v>
          </cell>
          <cell r="AF36">
            <v>0</v>
          </cell>
          <cell r="AG36">
            <v>0</v>
          </cell>
          <cell r="AI36">
            <v>0</v>
          </cell>
        </row>
        <row r="37">
          <cell r="C37" t="str">
            <v>realised_capital_gains.ListedShares.ea88510b-2578-4e3e-954a-a34881259d6d</v>
          </cell>
          <cell r="D37">
            <v>5</v>
          </cell>
          <cell r="E37">
            <v>5</v>
          </cell>
          <cell r="F37" t="str">
            <v>Line_5</v>
          </cell>
          <cell r="G37" t="str">
            <v>AddE</v>
          </cell>
          <cell r="I37" t="str">
            <v>South32 Limited</v>
          </cell>
          <cell r="J37">
            <v>20654.759999999998</v>
          </cell>
          <cell r="K37">
            <v>0</v>
          </cell>
          <cell r="L37">
            <v>20654.759999999998</v>
          </cell>
          <cell r="M37">
            <v>0</v>
          </cell>
          <cell r="N37" t="str">
            <v>Add</v>
          </cell>
          <cell r="O37">
            <v>0</v>
          </cell>
          <cell r="V37" t="str">
            <v>NA</v>
          </cell>
          <cell r="X37">
            <v>0</v>
          </cell>
          <cell r="Y37" t="b">
            <v>0</v>
          </cell>
          <cell r="Z37" t="b">
            <v>0</v>
          </cell>
          <cell r="AA37" t="b">
            <v>0</v>
          </cell>
          <cell r="AB37">
            <v>0</v>
          </cell>
          <cell r="AC37" t="b">
            <v>1</v>
          </cell>
          <cell r="AE37" t="str">
            <v>P</v>
          </cell>
          <cell r="AF37">
            <v>0</v>
          </cell>
          <cell r="AG37">
            <v>0</v>
          </cell>
          <cell r="AI37">
            <v>0</v>
          </cell>
        </row>
        <row r="38">
          <cell r="C38" t="str">
            <v>Totalrealised_capital_gains.ListedShares</v>
          </cell>
          <cell r="D38">
            <v>6</v>
          </cell>
          <cell r="E38">
            <v>4</v>
          </cell>
          <cell r="F38" t="str">
            <v>Total_4</v>
          </cell>
          <cell r="G38" t="str">
            <v>AddE</v>
          </cell>
          <cell r="I38" t="str">
            <v>Total Shares in Listed Companies</v>
          </cell>
          <cell r="J38">
            <v>20654.759999999998</v>
          </cell>
          <cell r="K38">
            <v>0</v>
          </cell>
          <cell r="L38">
            <v>20654.759999999998</v>
          </cell>
          <cell r="M38">
            <v>0</v>
          </cell>
          <cell r="N38" t="str">
            <v>Add</v>
          </cell>
          <cell r="O38">
            <v>0</v>
          </cell>
          <cell r="V38" t="str">
            <v>NA</v>
          </cell>
          <cell r="X38">
            <v>0</v>
          </cell>
          <cell r="Y38" t="b">
            <v>0</v>
          </cell>
          <cell r="Z38" t="b">
            <v>0</v>
          </cell>
          <cell r="AA38" t="b">
            <v>0</v>
          </cell>
          <cell r="AB38">
            <v>0</v>
          </cell>
          <cell r="AC38" t="b">
            <v>1</v>
          </cell>
          <cell r="AE38" t="str">
            <v>P</v>
          </cell>
          <cell r="AF38">
            <v>0</v>
          </cell>
          <cell r="AG38">
            <v>0</v>
          </cell>
          <cell r="AI38">
            <v>0</v>
          </cell>
        </row>
        <row r="39">
          <cell r="C39" t="str">
            <v>realised_capital_gains.ForeignListedShares</v>
          </cell>
          <cell r="D39">
            <v>7</v>
          </cell>
          <cell r="E39">
            <v>4</v>
          </cell>
          <cell r="F39" t="str">
            <v>Header_4</v>
          </cell>
          <cell r="G39" t="str">
            <v>AddE</v>
          </cell>
          <cell r="I39" t="str">
            <v>Shares in Listed Companies - Foreign</v>
          </cell>
          <cell r="J39">
            <v>0</v>
          </cell>
          <cell r="K39">
            <v>0</v>
          </cell>
          <cell r="L39">
            <v>0</v>
          </cell>
          <cell r="M39">
            <v>0</v>
          </cell>
          <cell r="O39">
            <v>0</v>
          </cell>
          <cell r="V39" t="str">
            <v>NA</v>
          </cell>
          <cell r="X39">
            <v>0</v>
          </cell>
          <cell r="Y39" t="b">
            <v>0</v>
          </cell>
          <cell r="Z39" t="b">
            <v>0</v>
          </cell>
          <cell r="AA39" t="b">
            <v>0</v>
          </cell>
          <cell r="AB39">
            <v>0</v>
          </cell>
          <cell r="AC39" t="b">
            <v>1</v>
          </cell>
          <cell r="AE39" t="str">
            <v>P</v>
          </cell>
          <cell r="AF39">
            <v>0</v>
          </cell>
          <cell r="AG39">
            <v>0</v>
          </cell>
          <cell r="AI39">
            <v>0</v>
          </cell>
        </row>
        <row r="40">
          <cell r="C40" t="str">
            <v>realised_capital_gains.ForeignListedShares.fb5a4a86-f3c8-43ca-8e78-c9c07fb47132</v>
          </cell>
          <cell r="D40">
            <v>8</v>
          </cell>
          <cell r="E40">
            <v>5</v>
          </cell>
          <cell r="F40" t="str">
            <v>Line_5</v>
          </cell>
          <cell r="G40" t="str">
            <v>AddE</v>
          </cell>
          <cell r="I40" t="str">
            <v>Adesto Technologies Corp</v>
          </cell>
          <cell r="J40">
            <v>-1613.96</v>
          </cell>
          <cell r="K40">
            <v>0</v>
          </cell>
          <cell r="L40">
            <v>-1613.96</v>
          </cell>
          <cell r="M40">
            <v>0</v>
          </cell>
          <cell r="N40" t="str">
            <v>Add</v>
          </cell>
          <cell r="O40">
            <v>0</v>
          </cell>
          <cell r="V40" t="str">
            <v>NA</v>
          </cell>
          <cell r="X40">
            <v>0</v>
          </cell>
          <cell r="Y40" t="b">
            <v>0</v>
          </cell>
          <cell r="Z40" t="b">
            <v>0</v>
          </cell>
          <cell r="AA40" t="b">
            <v>0</v>
          </cell>
          <cell r="AB40">
            <v>0</v>
          </cell>
          <cell r="AC40" t="b">
            <v>1</v>
          </cell>
          <cell r="AE40" t="str">
            <v>P</v>
          </cell>
          <cell r="AF40">
            <v>0</v>
          </cell>
          <cell r="AG40">
            <v>0</v>
          </cell>
          <cell r="AI40">
            <v>0</v>
          </cell>
        </row>
        <row r="41">
          <cell r="C41" t="str">
            <v>realised_capital_gains.ForeignListedShares.36446962-3293-4091-a138-5bb5e7dce627</v>
          </cell>
          <cell r="D41">
            <v>9</v>
          </cell>
          <cell r="E41">
            <v>5</v>
          </cell>
          <cell r="F41" t="str">
            <v>Line_5</v>
          </cell>
          <cell r="G41" t="str">
            <v>AddE</v>
          </cell>
          <cell r="I41" t="str">
            <v>Imprivata Inc</v>
          </cell>
          <cell r="J41">
            <v>1167.0899999999999</v>
          </cell>
          <cell r="K41">
            <v>0</v>
          </cell>
          <cell r="L41">
            <v>1167.0899999999999</v>
          </cell>
          <cell r="M41">
            <v>0</v>
          </cell>
          <cell r="N41" t="str">
            <v>Add</v>
          </cell>
          <cell r="O41">
            <v>0</v>
          </cell>
          <cell r="V41" t="str">
            <v>NA</v>
          </cell>
          <cell r="X41">
            <v>0</v>
          </cell>
          <cell r="Y41" t="b">
            <v>0</v>
          </cell>
          <cell r="Z41" t="b">
            <v>0</v>
          </cell>
          <cell r="AA41" t="b">
            <v>0</v>
          </cell>
          <cell r="AB41">
            <v>0</v>
          </cell>
          <cell r="AC41" t="b">
            <v>1</v>
          </cell>
          <cell r="AE41" t="str">
            <v>P</v>
          </cell>
          <cell r="AF41">
            <v>0</v>
          </cell>
          <cell r="AG41">
            <v>0</v>
          </cell>
          <cell r="AI41">
            <v>0</v>
          </cell>
        </row>
        <row r="42">
          <cell r="C42" t="str">
            <v>Totalrealised_capital_gains.ForeignListedShares</v>
          </cell>
          <cell r="D42">
            <v>10</v>
          </cell>
          <cell r="E42">
            <v>4</v>
          </cell>
          <cell r="F42" t="str">
            <v>Total_4</v>
          </cell>
          <cell r="G42" t="str">
            <v>AddE</v>
          </cell>
          <cell r="I42" t="str">
            <v>Total Shares in Listed Companies - Foreign</v>
          </cell>
          <cell r="J42">
            <v>-446.87</v>
          </cell>
          <cell r="K42">
            <v>0</v>
          </cell>
          <cell r="L42">
            <v>-446.87</v>
          </cell>
          <cell r="M42">
            <v>0</v>
          </cell>
          <cell r="N42" t="str">
            <v>Add</v>
          </cell>
          <cell r="O42">
            <v>0</v>
          </cell>
          <cell r="V42" t="str">
            <v>NA</v>
          </cell>
          <cell r="X42">
            <v>0</v>
          </cell>
          <cell r="Y42" t="b">
            <v>0</v>
          </cell>
          <cell r="Z42" t="b">
            <v>0</v>
          </cell>
          <cell r="AA42" t="b">
            <v>0</v>
          </cell>
          <cell r="AB42">
            <v>0</v>
          </cell>
          <cell r="AC42" t="b">
            <v>1</v>
          </cell>
          <cell r="AE42" t="str">
            <v>P</v>
          </cell>
          <cell r="AF42">
            <v>0</v>
          </cell>
          <cell r="AG42">
            <v>0</v>
          </cell>
          <cell r="AI42">
            <v>0</v>
          </cell>
        </row>
        <row r="43">
          <cell r="C43" t="str">
            <v>realised_capital_gains.UnitTrusts</v>
          </cell>
          <cell r="D43">
            <v>11</v>
          </cell>
          <cell r="E43">
            <v>4</v>
          </cell>
          <cell r="F43" t="str">
            <v>Header_4</v>
          </cell>
          <cell r="G43" t="str">
            <v>AddE</v>
          </cell>
          <cell r="I43" t="str">
            <v>Units In Listed Unit Trusts</v>
          </cell>
          <cell r="J43">
            <v>0</v>
          </cell>
          <cell r="K43">
            <v>0</v>
          </cell>
          <cell r="L43">
            <v>0</v>
          </cell>
          <cell r="M43">
            <v>0</v>
          </cell>
          <cell r="O43">
            <v>0</v>
          </cell>
          <cell r="V43" t="str">
            <v>NA</v>
          </cell>
          <cell r="X43">
            <v>0</v>
          </cell>
          <cell r="Y43" t="b">
            <v>0</v>
          </cell>
          <cell r="Z43" t="b">
            <v>0</v>
          </cell>
          <cell r="AA43" t="b">
            <v>0</v>
          </cell>
          <cell r="AB43">
            <v>0</v>
          </cell>
          <cell r="AC43" t="b">
            <v>1</v>
          </cell>
          <cell r="AE43" t="str">
            <v>P</v>
          </cell>
          <cell r="AF43">
            <v>0</v>
          </cell>
          <cell r="AG43">
            <v>0</v>
          </cell>
          <cell r="AI43">
            <v>0</v>
          </cell>
        </row>
        <row r="44">
          <cell r="C44" t="str">
            <v>realised_capital_gains.UnitTrusts.585f5263-8705-4fe9-a474-8235212ecee1</v>
          </cell>
          <cell r="D44">
            <v>12</v>
          </cell>
          <cell r="E44">
            <v>5</v>
          </cell>
          <cell r="F44" t="str">
            <v>Line_5</v>
          </cell>
          <cell r="G44" t="str">
            <v>AddE</v>
          </cell>
          <cell r="I44" t="str">
            <v>Vanguard Us Total Market Shares Index ETF - CDI's 1:1</v>
          </cell>
          <cell r="J44">
            <v>1549.2</v>
          </cell>
          <cell r="K44">
            <v>0</v>
          </cell>
          <cell r="L44">
            <v>1549.2</v>
          </cell>
          <cell r="M44">
            <v>0</v>
          </cell>
          <cell r="N44" t="str">
            <v>Add</v>
          </cell>
          <cell r="O44">
            <v>0</v>
          </cell>
          <cell r="V44" t="str">
            <v>NA</v>
          </cell>
          <cell r="X44">
            <v>0</v>
          </cell>
          <cell r="Y44" t="b">
            <v>0</v>
          </cell>
          <cell r="Z44" t="b">
            <v>0</v>
          </cell>
          <cell r="AA44" t="b">
            <v>0</v>
          </cell>
          <cell r="AB44">
            <v>0</v>
          </cell>
          <cell r="AC44" t="b">
            <v>1</v>
          </cell>
          <cell r="AE44" t="str">
            <v>P</v>
          </cell>
          <cell r="AF44">
            <v>0</v>
          </cell>
          <cell r="AG44">
            <v>0</v>
          </cell>
          <cell r="AI44">
            <v>0</v>
          </cell>
        </row>
        <row r="45">
          <cell r="C45" t="str">
            <v>Totalrealised_capital_gains.UnitTrusts</v>
          </cell>
          <cell r="D45">
            <v>13</v>
          </cell>
          <cell r="E45">
            <v>4</v>
          </cell>
          <cell r="F45" t="str">
            <v>Total_4</v>
          </cell>
          <cell r="G45" t="str">
            <v>AddE</v>
          </cell>
          <cell r="I45" t="str">
            <v>Total Units In Listed Unit Trusts</v>
          </cell>
          <cell r="J45">
            <v>1549.2</v>
          </cell>
          <cell r="K45">
            <v>0</v>
          </cell>
          <cell r="L45">
            <v>1549.2</v>
          </cell>
          <cell r="M45">
            <v>0</v>
          </cell>
          <cell r="N45" t="str">
            <v>Add</v>
          </cell>
          <cell r="O45">
            <v>0</v>
          </cell>
          <cell r="V45" t="str">
            <v>NA</v>
          </cell>
          <cell r="X45">
            <v>0</v>
          </cell>
          <cell r="Y45" t="b">
            <v>0</v>
          </cell>
          <cell r="Z45" t="b">
            <v>0</v>
          </cell>
          <cell r="AA45" t="b">
            <v>0</v>
          </cell>
          <cell r="AB45">
            <v>0</v>
          </cell>
          <cell r="AC45" t="b">
            <v>1</v>
          </cell>
          <cell r="AE45" t="str">
            <v>P</v>
          </cell>
          <cell r="AF45">
            <v>0</v>
          </cell>
          <cell r="AG45">
            <v>0</v>
          </cell>
          <cell r="AI45">
            <v>0</v>
          </cell>
        </row>
        <row r="46">
          <cell r="C46" t="str">
            <v>Totalrealised_capital_gains</v>
          </cell>
          <cell r="D46">
            <v>14</v>
          </cell>
          <cell r="E46">
            <v>3</v>
          </cell>
          <cell r="F46" t="str">
            <v>Total_3</v>
          </cell>
          <cell r="G46" t="str">
            <v>AddE</v>
          </cell>
          <cell r="I46" t="str">
            <v>Total Realised Capital Gains</v>
          </cell>
          <cell r="J46">
            <v>21757.09</v>
          </cell>
          <cell r="K46">
            <v>0</v>
          </cell>
          <cell r="L46">
            <v>21757.09</v>
          </cell>
          <cell r="M46">
            <v>0</v>
          </cell>
          <cell r="N46" t="str">
            <v>Add</v>
          </cell>
          <cell r="O46">
            <v>0</v>
          </cell>
          <cell r="V46" t="str">
            <v>NA</v>
          </cell>
          <cell r="X46">
            <v>0</v>
          </cell>
          <cell r="Y46" t="b">
            <v>0</v>
          </cell>
          <cell r="Z46" t="b">
            <v>0</v>
          </cell>
          <cell r="AA46" t="b">
            <v>0</v>
          </cell>
          <cell r="AB46">
            <v>0</v>
          </cell>
          <cell r="AC46" t="b">
            <v>1</v>
          </cell>
          <cell r="AE46" t="str">
            <v>P</v>
          </cell>
          <cell r="AF46">
            <v>0</v>
          </cell>
          <cell r="AG46">
            <v>0</v>
          </cell>
          <cell r="AI46">
            <v>0</v>
          </cell>
        </row>
        <row r="47">
          <cell r="C47" t="str">
            <v>Totalinvestment_gains</v>
          </cell>
          <cell r="D47">
            <v>15</v>
          </cell>
          <cell r="E47">
            <v>2</v>
          </cell>
          <cell r="F47" t="str">
            <v>Total_2</v>
          </cell>
          <cell r="G47" t="str">
            <v>AddE</v>
          </cell>
          <cell r="I47" t="str">
            <v>Total Investment Gains</v>
          </cell>
          <cell r="J47">
            <v>21757.09</v>
          </cell>
          <cell r="K47">
            <v>0</v>
          </cell>
          <cell r="L47">
            <v>21757.09</v>
          </cell>
          <cell r="M47">
            <v>0</v>
          </cell>
          <cell r="N47" t="str">
            <v>Add</v>
          </cell>
          <cell r="O47">
            <v>0</v>
          </cell>
          <cell r="V47" t="str">
            <v>NA</v>
          </cell>
          <cell r="X47">
            <v>0</v>
          </cell>
          <cell r="Y47" t="b">
            <v>0</v>
          </cell>
          <cell r="Z47" t="b">
            <v>0</v>
          </cell>
          <cell r="AA47" t="b">
            <v>0</v>
          </cell>
          <cell r="AB47">
            <v>0</v>
          </cell>
          <cell r="AC47" t="b">
            <v>1</v>
          </cell>
          <cell r="AE47" t="str">
            <v>P</v>
          </cell>
          <cell r="AF47">
            <v>0</v>
          </cell>
          <cell r="AG47">
            <v>0</v>
          </cell>
          <cell r="AI47">
            <v>0</v>
          </cell>
        </row>
        <row r="48">
          <cell r="C48" t="str">
            <v>investment_income</v>
          </cell>
          <cell r="D48">
            <v>16</v>
          </cell>
          <cell r="E48">
            <v>2</v>
          </cell>
          <cell r="F48" t="str">
            <v>Header_2</v>
          </cell>
          <cell r="G48" t="str">
            <v>AddE</v>
          </cell>
          <cell r="I48" t="str">
            <v>Investment Income</v>
          </cell>
          <cell r="J48">
            <v>0</v>
          </cell>
          <cell r="K48">
            <v>0</v>
          </cell>
          <cell r="L48">
            <v>0</v>
          </cell>
          <cell r="M48">
            <v>0</v>
          </cell>
          <cell r="O48">
            <v>0</v>
          </cell>
          <cell r="V48" t="str">
            <v>NA</v>
          </cell>
          <cell r="X48">
            <v>0</v>
          </cell>
          <cell r="Y48" t="b">
            <v>0</v>
          </cell>
          <cell r="Z48" t="b">
            <v>0</v>
          </cell>
          <cell r="AA48" t="b">
            <v>0</v>
          </cell>
          <cell r="AB48">
            <v>0</v>
          </cell>
          <cell r="AC48" t="b">
            <v>1</v>
          </cell>
          <cell r="AE48" t="str">
            <v>P</v>
          </cell>
          <cell r="AF48">
            <v>0</v>
          </cell>
          <cell r="AG48">
            <v>0</v>
          </cell>
          <cell r="AI48">
            <v>0</v>
          </cell>
        </row>
        <row r="49">
          <cell r="C49" t="str">
            <v>distributions</v>
          </cell>
          <cell r="D49">
            <v>17</v>
          </cell>
          <cell r="E49">
            <v>3</v>
          </cell>
          <cell r="F49" t="str">
            <v>Header_3</v>
          </cell>
          <cell r="G49" t="str">
            <v>AddE</v>
          </cell>
          <cell r="I49" t="str">
            <v>Distributions</v>
          </cell>
          <cell r="J49">
            <v>0</v>
          </cell>
          <cell r="K49">
            <v>0</v>
          </cell>
          <cell r="L49">
            <v>0</v>
          </cell>
          <cell r="M49">
            <v>0</v>
          </cell>
          <cell r="O49">
            <v>0</v>
          </cell>
          <cell r="V49" t="str">
            <v>NA</v>
          </cell>
          <cell r="X49">
            <v>0</v>
          </cell>
          <cell r="Y49" t="b">
            <v>0</v>
          </cell>
          <cell r="Z49" t="b">
            <v>0</v>
          </cell>
          <cell r="AA49" t="b">
            <v>0</v>
          </cell>
          <cell r="AB49">
            <v>0</v>
          </cell>
          <cell r="AC49" t="b">
            <v>1</v>
          </cell>
          <cell r="AE49" t="str">
            <v>P</v>
          </cell>
          <cell r="AF49">
            <v>0</v>
          </cell>
          <cell r="AG49">
            <v>0</v>
          </cell>
          <cell r="AI49">
            <v>0</v>
          </cell>
        </row>
        <row r="50">
          <cell r="C50" t="str">
            <v>distributions.Stapled</v>
          </cell>
          <cell r="D50">
            <v>18</v>
          </cell>
          <cell r="E50">
            <v>4</v>
          </cell>
          <cell r="F50" t="str">
            <v>Header_4</v>
          </cell>
          <cell r="G50" t="str">
            <v>AddE</v>
          </cell>
          <cell r="I50" t="str">
            <v>Stapled Securities</v>
          </cell>
          <cell r="J50">
            <v>0</v>
          </cell>
          <cell r="K50">
            <v>0</v>
          </cell>
          <cell r="L50">
            <v>0</v>
          </cell>
          <cell r="M50">
            <v>0</v>
          </cell>
          <cell r="O50">
            <v>0</v>
          </cell>
          <cell r="V50" t="str">
            <v>NA</v>
          </cell>
          <cell r="X50">
            <v>0</v>
          </cell>
          <cell r="Y50" t="b">
            <v>0</v>
          </cell>
          <cell r="Z50" t="b">
            <v>0</v>
          </cell>
          <cell r="AA50" t="b">
            <v>0</v>
          </cell>
          <cell r="AB50">
            <v>0</v>
          </cell>
          <cell r="AC50" t="b">
            <v>1</v>
          </cell>
          <cell r="AE50" t="str">
            <v>P</v>
          </cell>
          <cell r="AF50">
            <v>0</v>
          </cell>
          <cell r="AG50">
            <v>0</v>
          </cell>
          <cell r="AI50">
            <v>0</v>
          </cell>
        </row>
        <row r="51">
          <cell r="C51" t="str">
            <v>distributions.Stapled.8e9a6fc7-bafd-4650-b416-d03fe7049f79</v>
          </cell>
          <cell r="D51">
            <v>19</v>
          </cell>
          <cell r="E51">
            <v>5</v>
          </cell>
          <cell r="F51" t="str">
            <v>Line_5</v>
          </cell>
          <cell r="G51" t="str">
            <v>AddE</v>
          </cell>
          <cell r="I51" t="str">
            <v>Scentre Group - Stapled Securities</v>
          </cell>
          <cell r="J51">
            <v>6752.05</v>
          </cell>
          <cell r="K51">
            <v>0</v>
          </cell>
          <cell r="L51">
            <v>6752.05</v>
          </cell>
          <cell r="M51">
            <v>0</v>
          </cell>
          <cell r="N51" t="str">
            <v>Add</v>
          </cell>
          <cell r="O51">
            <v>0</v>
          </cell>
          <cell r="V51" t="str">
            <v>NA</v>
          </cell>
          <cell r="X51">
            <v>0</v>
          </cell>
          <cell r="Y51" t="b">
            <v>0</v>
          </cell>
          <cell r="Z51" t="b">
            <v>0</v>
          </cell>
          <cell r="AA51" t="b">
            <v>0</v>
          </cell>
          <cell r="AB51">
            <v>0</v>
          </cell>
          <cell r="AC51" t="b">
            <v>1</v>
          </cell>
          <cell r="AE51" t="str">
            <v>P</v>
          </cell>
          <cell r="AF51">
            <v>0</v>
          </cell>
          <cell r="AG51">
            <v>0</v>
          </cell>
          <cell r="AI51">
            <v>0</v>
          </cell>
        </row>
        <row r="52">
          <cell r="C52" t="str">
            <v>distributions.Stapled.b8dc8ea2-cad6-47a7-854d-100beb381eae</v>
          </cell>
          <cell r="D52">
            <v>20</v>
          </cell>
          <cell r="E52">
            <v>5</v>
          </cell>
          <cell r="F52" t="str">
            <v>Line_5</v>
          </cell>
          <cell r="G52" t="str">
            <v>AddE</v>
          </cell>
          <cell r="I52" t="str">
            <v>Spark Infrastructure Group - Stapled $0.65 Loan Note And Unit Us Prohibited</v>
          </cell>
          <cell r="J52">
            <v>24990.76</v>
          </cell>
          <cell r="K52">
            <v>0</v>
          </cell>
          <cell r="L52">
            <v>24990.76</v>
          </cell>
          <cell r="M52">
            <v>0</v>
          </cell>
          <cell r="N52" t="str">
            <v>Add</v>
          </cell>
          <cell r="O52">
            <v>0</v>
          </cell>
          <cell r="V52" t="str">
            <v>NA</v>
          </cell>
          <cell r="X52">
            <v>0</v>
          </cell>
          <cell r="Y52" t="b">
            <v>0</v>
          </cell>
          <cell r="Z52" t="b">
            <v>0</v>
          </cell>
          <cell r="AA52" t="b">
            <v>0</v>
          </cell>
          <cell r="AB52">
            <v>0</v>
          </cell>
          <cell r="AC52" t="b">
            <v>1</v>
          </cell>
          <cell r="AE52" t="str">
            <v>P</v>
          </cell>
          <cell r="AF52">
            <v>0</v>
          </cell>
          <cell r="AG52">
            <v>0</v>
          </cell>
          <cell r="AI52">
            <v>0</v>
          </cell>
        </row>
        <row r="53">
          <cell r="C53" t="str">
            <v>distributions.Stapled.dcba5c26-922b-4e46-b526-e0abc4efb0a4</v>
          </cell>
          <cell r="D53">
            <v>21</v>
          </cell>
          <cell r="E53">
            <v>5</v>
          </cell>
          <cell r="F53" t="str">
            <v>Line_5</v>
          </cell>
          <cell r="G53" t="str">
            <v>AddE</v>
          </cell>
          <cell r="I53" t="str">
            <v>Westfield Corporation - Stapled Securities</v>
          </cell>
          <cell r="J53">
            <v>8890.9</v>
          </cell>
          <cell r="K53">
            <v>0</v>
          </cell>
          <cell r="L53">
            <v>8890.9</v>
          </cell>
          <cell r="M53">
            <v>0</v>
          </cell>
          <cell r="N53" t="str">
            <v>Add</v>
          </cell>
          <cell r="O53">
            <v>0</v>
          </cell>
          <cell r="V53" t="str">
            <v>NA</v>
          </cell>
          <cell r="X53">
            <v>0</v>
          </cell>
          <cell r="Y53" t="b">
            <v>0</v>
          </cell>
          <cell r="Z53" t="b">
            <v>0</v>
          </cell>
          <cell r="AA53" t="b">
            <v>0</v>
          </cell>
          <cell r="AB53">
            <v>0</v>
          </cell>
          <cell r="AC53" t="b">
            <v>1</v>
          </cell>
          <cell r="AE53" t="str">
            <v>P</v>
          </cell>
          <cell r="AF53">
            <v>0</v>
          </cell>
          <cell r="AG53">
            <v>0</v>
          </cell>
          <cell r="AI53">
            <v>0</v>
          </cell>
        </row>
        <row r="54">
          <cell r="C54" t="str">
            <v>Totaldistributions.Stapled</v>
          </cell>
          <cell r="D54">
            <v>22</v>
          </cell>
          <cell r="E54">
            <v>4</v>
          </cell>
          <cell r="F54" t="str">
            <v>Total_4</v>
          </cell>
          <cell r="G54" t="str">
            <v>AddE</v>
          </cell>
          <cell r="I54" t="str">
            <v>Total Stapled Securities</v>
          </cell>
          <cell r="J54">
            <v>40633.71</v>
          </cell>
          <cell r="K54">
            <v>0</v>
          </cell>
          <cell r="L54">
            <v>40633.71</v>
          </cell>
          <cell r="M54">
            <v>0</v>
          </cell>
          <cell r="N54" t="str">
            <v>Add</v>
          </cell>
          <cell r="O54">
            <v>0</v>
          </cell>
          <cell r="V54" t="str">
            <v>NA</v>
          </cell>
          <cell r="X54">
            <v>0</v>
          </cell>
          <cell r="Y54" t="b">
            <v>0</v>
          </cell>
          <cell r="Z54" t="b">
            <v>0</v>
          </cell>
          <cell r="AA54" t="b">
            <v>0</v>
          </cell>
          <cell r="AB54">
            <v>0</v>
          </cell>
          <cell r="AC54" t="b">
            <v>1</v>
          </cell>
          <cell r="AE54" t="str">
            <v>P</v>
          </cell>
          <cell r="AF54">
            <v>0</v>
          </cell>
          <cell r="AG54">
            <v>0</v>
          </cell>
          <cell r="AI54">
            <v>0</v>
          </cell>
        </row>
        <row r="55">
          <cell r="C55" t="str">
            <v>Totaldistributions</v>
          </cell>
          <cell r="D55">
            <v>23</v>
          </cell>
          <cell r="E55">
            <v>3</v>
          </cell>
          <cell r="F55" t="str">
            <v>Total_3</v>
          </cell>
          <cell r="G55" t="str">
            <v>AddE</v>
          </cell>
          <cell r="I55" t="str">
            <v>Total Distributions</v>
          </cell>
          <cell r="J55">
            <v>40633.71</v>
          </cell>
          <cell r="K55">
            <v>0</v>
          </cell>
          <cell r="L55">
            <v>40633.71</v>
          </cell>
          <cell r="M55">
            <v>0</v>
          </cell>
          <cell r="N55" t="str">
            <v>Add</v>
          </cell>
          <cell r="O55">
            <v>0</v>
          </cell>
          <cell r="V55" t="str">
            <v>NA</v>
          </cell>
          <cell r="X55">
            <v>0</v>
          </cell>
          <cell r="Y55" t="b">
            <v>0</v>
          </cell>
          <cell r="Z55" t="b">
            <v>0</v>
          </cell>
          <cell r="AA55" t="b">
            <v>0</v>
          </cell>
          <cell r="AB55">
            <v>0</v>
          </cell>
          <cell r="AC55" t="b">
            <v>1</v>
          </cell>
          <cell r="AE55" t="str">
            <v>P</v>
          </cell>
          <cell r="AF55">
            <v>0</v>
          </cell>
          <cell r="AG55">
            <v>0</v>
          </cell>
          <cell r="AI55">
            <v>0</v>
          </cell>
        </row>
        <row r="56">
          <cell r="C56" t="str">
            <v>dividends</v>
          </cell>
          <cell r="D56">
            <v>24</v>
          </cell>
          <cell r="E56">
            <v>3</v>
          </cell>
          <cell r="F56" t="str">
            <v>Header_3</v>
          </cell>
          <cell r="G56" t="str">
            <v>AddE</v>
          </cell>
          <cell r="I56" t="str">
            <v>Dividends</v>
          </cell>
          <cell r="J56">
            <v>0</v>
          </cell>
          <cell r="K56">
            <v>0</v>
          </cell>
          <cell r="L56">
            <v>0</v>
          </cell>
          <cell r="M56">
            <v>0</v>
          </cell>
          <cell r="O56">
            <v>0</v>
          </cell>
          <cell r="V56" t="str">
            <v>NA</v>
          </cell>
          <cell r="X56">
            <v>0</v>
          </cell>
          <cell r="Y56" t="b">
            <v>0</v>
          </cell>
          <cell r="Z56" t="b">
            <v>0</v>
          </cell>
          <cell r="AA56" t="b">
            <v>0</v>
          </cell>
          <cell r="AB56">
            <v>0</v>
          </cell>
          <cell r="AC56" t="b">
            <v>1</v>
          </cell>
          <cell r="AE56" t="str">
            <v>P</v>
          </cell>
          <cell r="AF56">
            <v>0</v>
          </cell>
          <cell r="AG56">
            <v>0</v>
          </cell>
          <cell r="AI56">
            <v>0</v>
          </cell>
        </row>
        <row r="57">
          <cell r="C57" t="str">
            <v>dividends.OtherFixedInterest</v>
          </cell>
          <cell r="D57">
            <v>25</v>
          </cell>
          <cell r="E57">
            <v>4</v>
          </cell>
          <cell r="F57" t="str">
            <v>Header_4</v>
          </cell>
          <cell r="G57" t="str">
            <v>AddE</v>
          </cell>
          <cell r="I57" t="str">
            <v>Other Fixed Interest Securities</v>
          </cell>
          <cell r="J57">
            <v>0</v>
          </cell>
          <cell r="K57">
            <v>0</v>
          </cell>
          <cell r="L57">
            <v>0</v>
          </cell>
          <cell r="M57">
            <v>0</v>
          </cell>
          <cell r="O57">
            <v>0</v>
          </cell>
          <cell r="V57" t="str">
            <v>NA</v>
          </cell>
          <cell r="X57">
            <v>0</v>
          </cell>
          <cell r="Y57" t="b">
            <v>0</v>
          </cell>
          <cell r="Z57" t="b">
            <v>0</v>
          </cell>
          <cell r="AA57" t="b">
            <v>0</v>
          </cell>
          <cell r="AB57">
            <v>0</v>
          </cell>
          <cell r="AC57" t="b">
            <v>1</v>
          </cell>
          <cell r="AE57" t="str">
            <v>P</v>
          </cell>
          <cell r="AF57">
            <v>0</v>
          </cell>
          <cell r="AG57">
            <v>0</v>
          </cell>
          <cell r="AI57">
            <v>0</v>
          </cell>
        </row>
        <row r="58">
          <cell r="C58" t="str">
            <v>dividends.OtherFixedInterest.8095f795-30a9-40b9-8e6f-d3cb26fb2897</v>
          </cell>
          <cell r="D58">
            <v>26</v>
          </cell>
          <cell r="E58">
            <v>5</v>
          </cell>
          <cell r="F58" t="str">
            <v>Line_5</v>
          </cell>
          <cell r="G58" t="str">
            <v>AddE</v>
          </cell>
          <cell r="I58" t="str">
            <v>NAB Ltd - Hybrid 3-Bbsw+1.25% Perp Sub Exch Non-Cum Stap</v>
          </cell>
          <cell r="J58">
            <v>613.89</v>
          </cell>
          <cell r="K58">
            <v>0</v>
          </cell>
          <cell r="L58">
            <v>613.89</v>
          </cell>
          <cell r="M58">
            <v>0</v>
          </cell>
          <cell r="N58" t="str">
            <v>Add</v>
          </cell>
          <cell r="O58">
            <v>0</v>
          </cell>
          <cell r="V58" t="str">
            <v>NA</v>
          </cell>
          <cell r="X58">
            <v>0</v>
          </cell>
          <cell r="Y58" t="b">
            <v>0</v>
          </cell>
          <cell r="Z58" t="b">
            <v>0</v>
          </cell>
          <cell r="AA58" t="b">
            <v>0</v>
          </cell>
          <cell r="AB58">
            <v>0</v>
          </cell>
          <cell r="AC58" t="b">
            <v>1</v>
          </cell>
          <cell r="AE58" t="str">
            <v>P</v>
          </cell>
          <cell r="AF58">
            <v>0</v>
          </cell>
          <cell r="AG58">
            <v>0</v>
          </cell>
          <cell r="AI58">
            <v>0</v>
          </cell>
        </row>
        <row r="59">
          <cell r="C59" t="str">
            <v>Totaldividends.OtherFixedInterest</v>
          </cell>
          <cell r="D59">
            <v>27</v>
          </cell>
          <cell r="E59">
            <v>4</v>
          </cell>
          <cell r="F59" t="str">
            <v>Total_4</v>
          </cell>
          <cell r="G59" t="str">
            <v>AddE</v>
          </cell>
          <cell r="I59" t="str">
            <v>Total Other Fixed Interest Securities</v>
          </cell>
          <cell r="J59">
            <v>613.89</v>
          </cell>
          <cell r="K59">
            <v>0</v>
          </cell>
          <cell r="L59">
            <v>613.89</v>
          </cell>
          <cell r="M59">
            <v>0</v>
          </cell>
          <cell r="N59" t="str">
            <v>Add</v>
          </cell>
          <cell r="O59">
            <v>0</v>
          </cell>
          <cell r="V59" t="str">
            <v>NA</v>
          </cell>
          <cell r="X59">
            <v>0</v>
          </cell>
          <cell r="Y59" t="b">
            <v>0</v>
          </cell>
          <cell r="Z59" t="b">
            <v>0</v>
          </cell>
          <cell r="AA59" t="b">
            <v>0</v>
          </cell>
          <cell r="AB59">
            <v>0</v>
          </cell>
          <cell r="AC59" t="b">
            <v>1</v>
          </cell>
          <cell r="AE59" t="str">
            <v>P</v>
          </cell>
          <cell r="AF59">
            <v>0</v>
          </cell>
          <cell r="AG59">
            <v>0</v>
          </cell>
          <cell r="AI59">
            <v>0</v>
          </cell>
        </row>
        <row r="60">
          <cell r="C60" t="str">
            <v>dividends.ListedShares</v>
          </cell>
          <cell r="D60">
            <v>28</v>
          </cell>
          <cell r="E60">
            <v>4</v>
          </cell>
          <cell r="F60" t="str">
            <v>Header_4</v>
          </cell>
          <cell r="G60" t="str">
            <v>AddE</v>
          </cell>
          <cell r="I60" t="str">
            <v>Shares in Listed Companies</v>
          </cell>
          <cell r="J60">
            <v>0</v>
          </cell>
          <cell r="K60">
            <v>0</v>
          </cell>
          <cell r="L60">
            <v>0</v>
          </cell>
          <cell r="M60">
            <v>0</v>
          </cell>
          <cell r="O60">
            <v>0</v>
          </cell>
          <cell r="V60" t="str">
            <v>NA</v>
          </cell>
          <cell r="X60">
            <v>0</v>
          </cell>
          <cell r="Y60" t="b">
            <v>0</v>
          </cell>
          <cell r="Z60" t="b">
            <v>0</v>
          </cell>
          <cell r="AA60" t="b">
            <v>0</v>
          </cell>
          <cell r="AB60">
            <v>0</v>
          </cell>
          <cell r="AC60" t="b">
            <v>1</v>
          </cell>
          <cell r="AE60" t="str">
            <v>P</v>
          </cell>
          <cell r="AF60">
            <v>0</v>
          </cell>
          <cell r="AG60">
            <v>0</v>
          </cell>
          <cell r="AI60">
            <v>0</v>
          </cell>
        </row>
        <row r="61">
          <cell r="C61" t="str">
            <v>dividends.ListedShares.ea7fe5a2-6a50-4e1c-b2bf-ab7ac3754bf6</v>
          </cell>
          <cell r="D61">
            <v>29</v>
          </cell>
          <cell r="E61">
            <v>5</v>
          </cell>
          <cell r="F61" t="str">
            <v>Line_5</v>
          </cell>
          <cell r="G61" t="str">
            <v>AddE</v>
          </cell>
          <cell r="I61" t="str">
            <v>ANZ Banking Group Ltd - Cnv Pref 6-Bbsw+3.10% Perp Sub Non-Cum T-09-19</v>
          </cell>
          <cell r="J61">
            <v>5261.86</v>
          </cell>
          <cell r="K61">
            <v>0</v>
          </cell>
          <cell r="L61">
            <v>5261.86</v>
          </cell>
          <cell r="M61">
            <v>0</v>
          </cell>
          <cell r="N61" t="str">
            <v>Add</v>
          </cell>
          <cell r="O61">
            <v>0</v>
          </cell>
          <cell r="V61" t="str">
            <v>NA</v>
          </cell>
          <cell r="X61">
            <v>0</v>
          </cell>
          <cell r="Y61" t="b">
            <v>0</v>
          </cell>
          <cell r="Z61" t="b">
            <v>0</v>
          </cell>
          <cell r="AA61" t="b">
            <v>0</v>
          </cell>
          <cell r="AB61">
            <v>0</v>
          </cell>
          <cell r="AC61" t="b">
            <v>1</v>
          </cell>
          <cell r="AE61" t="str">
            <v>P</v>
          </cell>
          <cell r="AF61">
            <v>0</v>
          </cell>
          <cell r="AG61">
            <v>0</v>
          </cell>
          <cell r="AI61">
            <v>0</v>
          </cell>
        </row>
        <row r="62">
          <cell r="C62" t="str">
            <v>dividends.ListedShares.c661fd1f-7227-4c8d-84cb-8704d5b3ff83</v>
          </cell>
          <cell r="D62">
            <v>30</v>
          </cell>
          <cell r="E62">
            <v>5</v>
          </cell>
          <cell r="F62" t="str">
            <v>Line_5</v>
          </cell>
          <cell r="G62" t="str">
            <v>AddE</v>
          </cell>
          <cell r="I62" t="str">
            <v>BHP Billiton Limited</v>
          </cell>
          <cell r="J62">
            <v>9966.07</v>
          </cell>
          <cell r="K62">
            <v>0</v>
          </cell>
          <cell r="L62">
            <v>9966.07</v>
          </cell>
          <cell r="M62">
            <v>0</v>
          </cell>
          <cell r="N62" t="str">
            <v>Add</v>
          </cell>
          <cell r="O62">
            <v>0</v>
          </cell>
          <cell r="V62" t="str">
            <v>NA</v>
          </cell>
          <cell r="X62">
            <v>0</v>
          </cell>
          <cell r="Y62" t="b">
            <v>0</v>
          </cell>
          <cell r="Z62" t="b">
            <v>0</v>
          </cell>
          <cell r="AA62" t="b">
            <v>0</v>
          </cell>
          <cell r="AB62">
            <v>0</v>
          </cell>
          <cell r="AC62" t="b">
            <v>1</v>
          </cell>
          <cell r="AE62" t="str">
            <v>P</v>
          </cell>
          <cell r="AF62">
            <v>0</v>
          </cell>
          <cell r="AG62">
            <v>0</v>
          </cell>
          <cell r="AI62">
            <v>0</v>
          </cell>
        </row>
        <row r="63">
          <cell r="C63" t="str">
            <v>dividends.ListedShares.1eaa5cbe-0ce4-470e-83e9-f0eda6d6e2da</v>
          </cell>
          <cell r="D63">
            <v>31</v>
          </cell>
          <cell r="E63">
            <v>5</v>
          </cell>
          <cell r="F63" t="str">
            <v>Line_5</v>
          </cell>
          <cell r="G63" t="str">
            <v>AddE</v>
          </cell>
          <cell r="I63" t="str">
            <v>Commonwealth Bank Of Australia.</v>
          </cell>
          <cell r="J63">
            <v>20105.759999999998</v>
          </cell>
          <cell r="K63">
            <v>0</v>
          </cell>
          <cell r="L63">
            <v>20105.759999999998</v>
          </cell>
          <cell r="M63">
            <v>0</v>
          </cell>
          <cell r="N63" t="str">
            <v>Add</v>
          </cell>
          <cell r="O63">
            <v>0</v>
          </cell>
          <cell r="V63" t="str">
            <v>NA</v>
          </cell>
          <cell r="X63">
            <v>0</v>
          </cell>
          <cell r="Y63" t="b">
            <v>0</v>
          </cell>
          <cell r="Z63" t="b">
            <v>0</v>
          </cell>
          <cell r="AA63" t="b">
            <v>0</v>
          </cell>
          <cell r="AB63">
            <v>0</v>
          </cell>
          <cell r="AC63" t="b">
            <v>1</v>
          </cell>
          <cell r="AE63" t="str">
            <v>P</v>
          </cell>
          <cell r="AF63">
            <v>0</v>
          </cell>
          <cell r="AG63">
            <v>0</v>
          </cell>
          <cell r="AI63">
            <v>0</v>
          </cell>
        </row>
        <row r="64">
          <cell r="C64" t="str">
            <v>dividends.ListedShares.24fef001-f628-4dc4-9bf6-8ee82dd62ed3</v>
          </cell>
          <cell r="D64">
            <v>32</v>
          </cell>
          <cell r="E64">
            <v>5</v>
          </cell>
          <cell r="F64" t="str">
            <v>Line_5</v>
          </cell>
          <cell r="G64" t="str">
            <v>AddE</v>
          </cell>
          <cell r="I64" t="str">
            <v>Lycopodium Limited</v>
          </cell>
          <cell r="J64">
            <v>7521.43</v>
          </cell>
          <cell r="K64">
            <v>0</v>
          </cell>
          <cell r="L64">
            <v>7521.43</v>
          </cell>
          <cell r="M64">
            <v>0</v>
          </cell>
          <cell r="N64" t="str">
            <v>Add</v>
          </cell>
          <cell r="O64">
            <v>0</v>
          </cell>
          <cell r="V64" t="str">
            <v>NA</v>
          </cell>
          <cell r="X64">
            <v>0</v>
          </cell>
          <cell r="Y64" t="b">
            <v>0</v>
          </cell>
          <cell r="Z64" t="b">
            <v>0</v>
          </cell>
          <cell r="AA64" t="b">
            <v>0</v>
          </cell>
          <cell r="AB64">
            <v>0</v>
          </cell>
          <cell r="AC64" t="b">
            <v>1</v>
          </cell>
          <cell r="AE64" t="str">
            <v>P</v>
          </cell>
          <cell r="AF64">
            <v>0</v>
          </cell>
          <cell r="AG64">
            <v>0</v>
          </cell>
          <cell r="AI64">
            <v>0</v>
          </cell>
        </row>
        <row r="65">
          <cell r="C65" t="str">
            <v>dividends.ListedShares.11031a76-c558-42b0-9844-9a11dee4c1e8</v>
          </cell>
          <cell r="D65">
            <v>33</v>
          </cell>
          <cell r="E65">
            <v>5</v>
          </cell>
          <cell r="F65" t="str">
            <v>Line_5</v>
          </cell>
          <cell r="G65" t="str">
            <v>AddE</v>
          </cell>
          <cell r="I65" t="str">
            <v>RCG Corporation Limited</v>
          </cell>
          <cell r="J65">
            <v>49696.72</v>
          </cell>
          <cell r="K65">
            <v>0</v>
          </cell>
          <cell r="L65">
            <v>49696.72</v>
          </cell>
          <cell r="M65">
            <v>0</v>
          </cell>
          <cell r="N65" t="str">
            <v>Add</v>
          </cell>
          <cell r="O65">
            <v>0</v>
          </cell>
          <cell r="V65" t="str">
            <v>NA</v>
          </cell>
          <cell r="X65">
            <v>0</v>
          </cell>
          <cell r="Y65" t="b">
            <v>0</v>
          </cell>
          <cell r="Z65" t="b">
            <v>0</v>
          </cell>
          <cell r="AA65" t="b">
            <v>0</v>
          </cell>
          <cell r="AB65">
            <v>0</v>
          </cell>
          <cell r="AC65" t="b">
            <v>1</v>
          </cell>
          <cell r="AE65" t="str">
            <v>P</v>
          </cell>
          <cell r="AF65">
            <v>0</v>
          </cell>
          <cell r="AG65">
            <v>0</v>
          </cell>
          <cell r="AI65">
            <v>0</v>
          </cell>
        </row>
        <row r="66">
          <cell r="C66" t="str">
            <v>dividends.ListedShares.ea88510b-2578-4e3e-954a-a34881259d6d</v>
          </cell>
          <cell r="D66">
            <v>34</v>
          </cell>
          <cell r="E66">
            <v>5</v>
          </cell>
          <cell r="F66" t="str">
            <v>Line_5</v>
          </cell>
          <cell r="G66" t="str">
            <v>AddE</v>
          </cell>
          <cell r="I66" t="str">
            <v>South32 Limited</v>
          </cell>
          <cell r="J66">
            <v>108.16</v>
          </cell>
          <cell r="K66">
            <v>0</v>
          </cell>
          <cell r="L66">
            <v>108.16</v>
          </cell>
          <cell r="M66">
            <v>0</v>
          </cell>
          <cell r="N66" t="str">
            <v>Add</v>
          </cell>
          <cell r="O66">
            <v>0</v>
          </cell>
          <cell r="V66" t="str">
            <v>NA</v>
          </cell>
          <cell r="X66">
            <v>0</v>
          </cell>
          <cell r="Y66" t="b">
            <v>0</v>
          </cell>
          <cell r="Z66" t="b">
            <v>0</v>
          </cell>
          <cell r="AA66" t="b">
            <v>0</v>
          </cell>
          <cell r="AB66">
            <v>0</v>
          </cell>
          <cell r="AC66" t="b">
            <v>1</v>
          </cell>
          <cell r="AE66" t="str">
            <v>P</v>
          </cell>
          <cell r="AF66">
            <v>0</v>
          </cell>
          <cell r="AG66">
            <v>0</v>
          </cell>
          <cell r="AI66">
            <v>0</v>
          </cell>
        </row>
        <row r="67">
          <cell r="C67" t="str">
            <v>dividends.ListedShares.70ba86ed-c44b-4771-b5a2-be7e62412e91</v>
          </cell>
          <cell r="D67">
            <v>35</v>
          </cell>
          <cell r="E67">
            <v>5</v>
          </cell>
          <cell r="F67" t="str">
            <v>Line_5</v>
          </cell>
          <cell r="G67" t="str">
            <v>AddE</v>
          </cell>
          <cell r="I67" t="str">
            <v>Wesfarmers Limited</v>
          </cell>
          <cell r="J67">
            <v>15059.32</v>
          </cell>
          <cell r="K67">
            <v>0</v>
          </cell>
          <cell r="L67">
            <v>15059.32</v>
          </cell>
          <cell r="M67">
            <v>0</v>
          </cell>
          <cell r="N67" t="str">
            <v>Add</v>
          </cell>
          <cell r="O67">
            <v>0</v>
          </cell>
          <cell r="V67" t="str">
            <v>NA</v>
          </cell>
          <cell r="X67">
            <v>0</v>
          </cell>
          <cell r="Y67" t="b">
            <v>0</v>
          </cell>
          <cell r="Z67" t="b">
            <v>0</v>
          </cell>
          <cell r="AA67" t="b">
            <v>0</v>
          </cell>
          <cell r="AB67">
            <v>0</v>
          </cell>
          <cell r="AC67" t="b">
            <v>1</v>
          </cell>
          <cell r="AE67" t="str">
            <v>P</v>
          </cell>
          <cell r="AF67">
            <v>0</v>
          </cell>
          <cell r="AG67">
            <v>0</v>
          </cell>
          <cell r="AI67">
            <v>0</v>
          </cell>
        </row>
        <row r="68">
          <cell r="C68" t="str">
            <v>Totaldividends.ListedShares</v>
          </cell>
          <cell r="D68">
            <v>36</v>
          </cell>
          <cell r="E68">
            <v>4</v>
          </cell>
          <cell r="F68" t="str">
            <v>Total_4</v>
          </cell>
          <cell r="G68" t="str">
            <v>AddE</v>
          </cell>
          <cell r="I68" t="str">
            <v>Total Shares in Listed Companies</v>
          </cell>
          <cell r="J68">
            <v>107719.32</v>
          </cell>
          <cell r="K68">
            <v>0</v>
          </cell>
          <cell r="L68">
            <v>107719.32</v>
          </cell>
          <cell r="M68">
            <v>0</v>
          </cell>
          <cell r="N68" t="str">
            <v>Add</v>
          </cell>
          <cell r="O68">
            <v>0</v>
          </cell>
          <cell r="V68" t="str">
            <v>NA</v>
          </cell>
          <cell r="X68">
            <v>0</v>
          </cell>
          <cell r="Y68" t="b">
            <v>0</v>
          </cell>
          <cell r="Z68" t="b">
            <v>0</v>
          </cell>
          <cell r="AA68" t="b">
            <v>0</v>
          </cell>
          <cell r="AB68">
            <v>0</v>
          </cell>
          <cell r="AC68" t="b">
            <v>1</v>
          </cell>
          <cell r="AE68" t="str">
            <v>P</v>
          </cell>
          <cell r="AF68">
            <v>0</v>
          </cell>
          <cell r="AG68">
            <v>0</v>
          </cell>
          <cell r="AI68">
            <v>0</v>
          </cell>
        </row>
        <row r="69">
          <cell r="C69" t="str">
            <v>Totaldividends</v>
          </cell>
          <cell r="D69">
            <v>37</v>
          </cell>
          <cell r="E69">
            <v>3</v>
          </cell>
          <cell r="F69" t="str">
            <v>Total_3</v>
          </cell>
          <cell r="G69" t="str">
            <v>AddE</v>
          </cell>
          <cell r="I69" t="str">
            <v>Total Dividends</v>
          </cell>
          <cell r="J69">
            <v>108333.21</v>
          </cell>
          <cell r="K69">
            <v>0</v>
          </cell>
          <cell r="L69">
            <v>108333.21</v>
          </cell>
          <cell r="M69">
            <v>0</v>
          </cell>
          <cell r="N69" t="str">
            <v>Add</v>
          </cell>
          <cell r="O69">
            <v>0</v>
          </cell>
          <cell r="V69" t="str">
            <v>NA</v>
          </cell>
          <cell r="X69">
            <v>0</v>
          </cell>
          <cell r="Y69" t="b">
            <v>0</v>
          </cell>
          <cell r="Z69" t="b">
            <v>0</v>
          </cell>
          <cell r="AA69" t="b">
            <v>0</v>
          </cell>
          <cell r="AB69">
            <v>0</v>
          </cell>
          <cell r="AC69" t="b">
            <v>1</v>
          </cell>
          <cell r="AE69" t="str">
            <v>P</v>
          </cell>
          <cell r="AF69">
            <v>0</v>
          </cell>
          <cell r="AG69">
            <v>0</v>
          </cell>
          <cell r="AI69">
            <v>0</v>
          </cell>
        </row>
        <row r="70">
          <cell r="C70" t="str">
            <v>foreign_income</v>
          </cell>
          <cell r="D70">
            <v>38</v>
          </cell>
          <cell r="E70">
            <v>3</v>
          </cell>
          <cell r="F70" t="str">
            <v>Header_3</v>
          </cell>
          <cell r="G70" t="str">
            <v>AddE</v>
          </cell>
          <cell r="I70" t="str">
            <v>Foreign Income</v>
          </cell>
          <cell r="J70">
            <v>0</v>
          </cell>
          <cell r="K70">
            <v>0</v>
          </cell>
          <cell r="L70">
            <v>0</v>
          </cell>
          <cell r="M70">
            <v>0</v>
          </cell>
          <cell r="O70">
            <v>0</v>
          </cell>
          <cell r="V70" t="str">
            <v>NA</v>
          </cell>
          <cell r="X70">
            <v>0</v>
          </cell>
          <cell r="Y70" t="b">
            <v>0</v>
          </cell>
          <cell r="Z70" t="b">
            <v>0</v>
          </cell>
          <cell r="AA70" t="b">
            <v>0</v>
          </cell>
          <cell r="AB70">
            <v>0</v>
          </cell>
          <cell r="AC70" t="b">
            <v>1</v>
          </cell>
          <cell r="AE70" t="str">
            <v>P</v>
          </cell>
          <cell r="AF70">
            <v>0</v>
          </cell>
          <cell r="AG70">
            <v>0</v>
          </cell>
          <cell r="AI70">
            <v>0</v>
          </cell>
        </row>
        <row r="71">
          <cell r="C71" t="str">
            <v>foreign_income.ForeignIncome.ForeignDividend</v>
          </cell>
          <cell r="D71">
            <v>39</v>
          </cell>
          <cell r="E71">
            <v>4</v>
          </cell>
          <cell r="F71" t="str">
            <v>Header_4</v>
          </cell>
          <cell r="G71" t="str">
            <v>AddE</v>
          </cell>
          <cell r="I71" t="str">
            <v>Foreign Dividend</v>
          </cell>
          <cell r="J71">
            <v>0</v>
          </cell>
          <cell r="K71">
            <v>0</v>
          </cell>
          <cell r="L71">
            <v>0</v>
          </cell>
          <cell r="M71">
            <v>0</v>
          </cell>
          <cell r="O71">
            <v>0</v>
          </cell>
          <cell r="V71" t="str">
            <v>NA</v>
          </cell>
          <cell r="X71">
            <v>0</v>
          </cell>
          <cell r="Y71" t="b">
            <v>0</v>
          </cell>
          <cell r="Z71" t="b">
            <v>0</v>
          </cell>
          <cell r="AA71" t="b">
            <v>0</v>
          </cell>
          <cell r="AB71">
            <v>0</v>
          </cell>
          <cell r="AC71" t="b">
            <v>1</v>
          </cell>
          <cell r="AE71" t="str">
            <v>P</v>
          </cell>
          <cell r="AF71">
            <v>0</v>
          </cell>
          <cell r="AG71">
            <v>0</v>
          </cell>
          <cell r="AI71">
            <v>0</v>
          </cell>
        </row>
        <row r="72">
          <cell r="C72" t="str">
            <v>foreign_income.ForeignIncome.ForeignDividend.UnitTrusts</v>
          </cell>
          <cell r="D72">
            <v>40</v>
          </cell>
          <cell r="E72">
            <v>5</v>
          </cell>
          <cell r="F72" t="str">
            <v>Header_5</v>
          </cell>
          <cell r="G72" t="str">
            <v>AddE</v>
          </cell>
          <cell r="I72" t="str">
            <v>Units In Listed Unit Trusts</v>
          </cell>
          <cell r="J72">
            <v>0</v>
          </cell>
          <cell r="K72">
            <v>0</v>
          </cell>
          <cell r="L72">
            <v>0</v>
          </cell>
          <cell r="M72">
            <v>0</v>
          </cell>
          <cell r="O72">
            <v>0</v>
          </cell>
          <cell r="V72" t="str">
            <v>NA</v>
          </cell>
          <cell r="X72">
            <v>0</v>
          </cell>
          <cell r="Y72" t="b">
            <v>0</v>
          </cell>
          <cell r="Z72" t="b">
            <v>0</v>
          </cell>
          <cell r="AA72" t="b">
            <v>0</v>
          </cell>
          <cell r="AB72">
            <v>0</v>
          </cell>
          <cell r="AC72" t="b">
            <v>1</v>
          </cell>
          <cell r="AE72" t="str">
            <v>P</v>
          </cell>
          <cell r="AF72">
            <v>0</v>
          </cell>
          <cell r="AG72">
            <v>0</v>
          </cell>
          <cell r="AI72">
            <v>0</v>
          </cell>
        </row>
        <row r="73">
          <cell r="C73" t="str">
            <v>foreign_income.ForeignIncome.ForeignDividend.UnitTrusts.585f5263-8705-4fe9-a474-8235212ecee1</v>
          </cell>
          <cell r="D73">
            <v>41</v>
          </cell>
          <cell r="E73">
            <v>6</v>
          </cell>
          <cell r="F73" t="str">
            <v>Line_6</v>
          </cell>
          <cell r="G73" t="str">
            <v>AddE</v>
          </cell>
          <cell r="I73" t="str">
            <v>Vanguard Us Total Market Shares Index ETF - CDI's 1:1</v>
          </cell>
          <cell r="J73">
            <v>178.51</v>
          </cell>
          <cell r="K73">
            <v>0</v>
          </cell>
          <cell r="L73">
            <v>178.51</v>
          </cell>
          <cell r="M73">
            <v>0</v>
          </cell>
          <cell r="N73" t="str">
            <v>Add</v>
          </cell>
          <cell r="O73">
            <v>0</v>
          </cell>
          <cell r="V73" t="str">
            <v>NA</v>
          </cell>
          <cell r="X73">
            <v>0</v>
          </cell>
          <cell r="Y73" t="b">
            <v>0</v>
          </cell>
          <cell r="Z73" t="b">
            <v>0</v>
          </cell>
          <cell r="AA73" t="b">
            <v>0</v>
          </cell>
          <cell r="AB73">
            <v>0</v>
          </cell>
          <cell r="AC73" t="b">
            <v>1</v>
          </cell>
          <cell r="AE73" t="str">
            <v>P</v>
          </cell>
          <cell r="AF73">
            <v>0</v>
          </cell>
          <cell r="AG73">
            <v>0</v>
          </cell>
          <cell r="AI73">
            <v>0</v>
          </cell>
        </row>
        <row r="74">
          <cell r="C74" t="str">
            <v>Totalforeign_income.ForeignIncome.ForeignDividend.UnitTrusts</v>
          </cell>
          <cell r="D74">
            <v>42</v>
          </cell>
          <cell r="E74">
            <v>5</v>
          </cell>
          <cell r="F74" t="str">
            <v>Total_5</v>
          </cell>
          <cell r="G74" t="str">
            <v>AddE</v>
          </cell>
          <cell r="I74" t="str">
            <v>Total Units In Listed Unit Trusts</v>
          </cell>
          <cell r="J74">
            <v>178.51</v>
          </cell>
          <cell r="K74">
            <v>0</v>
          </cell>
          <cell r="L74">
            <v>178.51</v>
          </cell>
          <cell r="M74">
            <v>0</v>
          </cell>
          <cell r="N74" t="str">
            <v>Add</v>
          </cell>
          <cell r="O74">
            <v>0</v>
          </cell>
          <cell r="V74" t="str">
            <v>NA</v>
          </cell>
          <cell r="X74">
            <v>0</v>
          </cell>
          <cell r="Y74" t="b">
            <v>0</v>
          </cell>
          <cell r="Z74" t="b">
            <v>0</v>
          </cell>
          <cell r="AA74" t="b">
            <v>0</v>
          </cell>
          <cell r="AB74">
            <v>0</v>
          </cell>
          <cell r="AC74" t="b">
            <v>1</v>
          </cell>
          <cell r="AE74" t="str">
            <v>P</v>
          </cell>
          <cell r="AF74">
            <v>0</v>
          </cell>
          <cell r="AG74">
            <v>0</v>
          </cell>
          <cell r="AI74">
            <v>0</v>
          </cell>
        </row>
        <row r="75">
          <cell r="C75" t="str">
            <v>Totalforeign_income.ForeignIncome.ForeignDividend</v>
          </cell>
          <cell r="D75">
            <v>43</v>
          </cell>
          <cell r="E75">
            <v>4</v>
          </cell>
          <cell r="F75" t="str">
            <v>Total_4</v>
          </cell>
          <cell r="G75" t="str">
            <v>AddE</v>
          </cell>
          <cell r="I75" t="str">
            <v>Total Foreign Dividend</v>
          </cell>
          <cell r="J75">
            <v>178.51</v>
          </cell>
          <cell r="K75">
            <v>0</v>
          </cell>
          <cell r="L75">
            <v>178.51</v>
          </cell>
          <cell r="M75">
            <v>0</v>
          </cell>
          <cell r="N75" t="str">
            <v>Add</v>
          </cell>
          <cell r="O75">
            <v>0</v>
          </cell>
          <cell r="V75" t="str">
            <v>NA</v>
          </cell>
          <cell r="X75">
            <v>0</v>
          </cell>
          <cell r="Y75" t="b">
            <v>0</v>
          </cell>
          <cell r="Z75" t="b">
            <v>0</v>
          </cell>
          <cell r="AA75" t="b">
            <v>0</v>
          </cell>
          <cell r="AB75">
            <v>0</v>
          </cell>
          <cell r="AC75" t="b">
            <v>1</v>
          </cell>
          <cell r="AE75" t="str">
            <v>P</v>
          </cell>
          <cell r="AF75">
            <v>0</v>
          </cell>
          <cell r="AG75">
            <v>0</v>
          </cell>
          <cell r="AI75">
            <v>0</v>
          </cell>
        </row>
        <row r="76">
          <cell r="C76" t="str">
            <v>Totalforeign_income</v>
          </cell>
          <cell r="D76">
            <v>44</v>
          </cell>
          <cell r="E76">
            <v>3</v>
          </cell>
          <cell r="F76" t="str">
            <v>Total_3</v>
          </cell>
          <cell r="G76" t="str">
            <v>AddE</v>
          </cell>
          <cell r="I76" t="str">
            <v>Total Foreign Income</v>
          </cell>
          <cell r="J76">
            <v>178.51</v>
          </cell>
          <cell r="K76">
            <v>0</v>
          </cell>
          <cell r="L76">
            <v>178.51</v>
          </cell>
          <cell r="M76">
            <v>0</v>
          </cell>
          <cell r="N76" t="str">
            <v>Add</v>
          </cell>
          <cell r="O76">
            <v>0</v>
          </cell>
          <cell r="V76" t="str">
            <v>NA</v>
          </cell>
          <cell r="X76">
            <v>0</v>
          </cell>
          <cell r="Y76" t="b">
            <v>0</v>
          </cell>
          <cell r="Z76" t="b">
            <v>0</v>
          </cell>
          <cell r="AA76" t="b">
            <v>0</v>
          </cell>
          <cell r="AB76">
            <v>0</v>
          </cell>
          <cell r="AC76" t="b">
            <v>1</v>
          </cell>
          <cell r="AE76" t="str">
            <v>P</v>
          </cell>
          <cell r="AF76">
            <v>0</v>
          </cell>
          <cell r="AG76">
            <v>0</v>
          </cell>
          <cell r="AI76">
            <v>0</v>
          </cell>
        </row>
        <row r="77">
          <cell r="C77" t="str">
            <v>interest</v>
          </cell>
          <cell r="D77">
            <v>45</v>
          </cell>
          <cell r="E77">
            <v>3</v>
          </cell>
          <cell r="F77" t="str">
            <v>Header_3</v>
          </cell>
          <cell r="G77" t="str">
            <v>AddE</v>
          </cell>
          <cell r="I77" t="str">
            <v>Interest</v>
          </cell>
          <cell r="J77">
            <v>0</v>
          </cell>
          <cell r="K77">
            <v>0</v>
          </cell>
          <cell r="L77">
            <v>0</v>
          </cell>
          <cell r="M77">
            <v>0</v>
          </cell>
          <cell r="O77">
            <v>0</v>
          </cell>
          <cell r="V77" t="str">
            <v>NA</v>
          </cell>
          <cell r="X77">
            <v>0</v>
          </cell>
          <cell r="Y77" t="b">
            <v>0</v>
          </cell>
          <cell r="Z77" t="b">
            <v>0</v>
          </cell>
          <cell r="AA77" t="b">
            <v>0</v>
          </cell>
          <cell r="AB77">
            <v>0</v>
          </cell>
          <cell r="AC77" t="b">
            <v>1</v>
          </cell>
          <cell r="AE77" t="str">
            <v>P</v>
          </cell>
          <cell r="AF77">
            <v>0</v>
          </cell>
          <cell r="AG77">
            <v>0</v>
          </cell>
          <cell r="AI77">
            <v>0</v>
          </cell>
        </row>
        <row r="78">
          <cell r="C78" t="str">
            <v>interest.Cash</v>
          </cell>
          <cell r="D78">
            <v>46</v>
          </cell>
          <cell r="E78">
            <v>4</v>
          </cell>
          <cell r="F78" t="str">
            <v>Header_4</v>
          </cell>
          <cell r="G78" t="str">
            <v>AddE</v>
          </cell>
          <cell r="I78" t="str">
            <v>Cash and Cash Equivalents</v>
          </cell>
          <cell r="J78">
            <v>0</v>
          </cell>
          <cell r="K78">
            <v>0</v>
          </cell>
          <cell r="L78">
            <v>0</v>
          </cell>
          <cell r="M78">
            <v>0</v>
          </cell>
          <cell r="O78">
            <v>0</v>
          </cell>
          <cell r="V78" t="str">
            <v>NA</v>
          </cell>
          <cell r="X78">
            <v>0</v>
          </cell>
          <cell r="Y78" t="b">
            <v>0</v>
          </cell>
          <cell r="Z78" t="b">
            <v>0</v>
          </cell>
          <cell r="AA78" t="b">
            <v>0</v>
          </cell>
          <cell r="AB78">
            <v>0</v>
          </cell>
          <cell r="AC78" t="b">
            <v>1</v>
          </cell>
          <cell r="AE78" t="str">
            <v>P</v>
          </cell>
          <cell r="AF78">
            <v>0</v>
          </cell>
          <cell r="AG78">
            <v>0</v>
          </cell>
          <cell r="AI78">
            <v>0</v>
          </cell>
        </row>
        <row r="79">
          <cell r="C79" t="str">
            <v>interest.Cash.9a1a4a8d-126a-4a73-82c7-f3888256c7d5</v>
          </cell>
          <cell r="D79">
            <v>47</v>
          </cell>
          <cell r="E79">
            <v>5</v>
          </cell>
          <cell r="F79" t="str">
            <v>Line_5</v>
          </cell>
          <cell r="G79" t="str">
            <v>AddE</v>
          </cell>
          <cell r="I79" t="str">
            <v>Term Deposit ING 84613066</v>
          </cell>
          <cell r="J79">
            <v>8643.41</v>
          </cell>
          <cell r="K79">
            <v>0</v>
          </cell>
          <cell r="L79">
            <v>8643.41</v>
          </cell>
          <cell r="M79">
            <v>0</v>
          </cell>
          <cell r="N79" t="str">
            <v>Add</v>
          </cell>
          <cell r="O79">
            <v>0</v>
          </cell>
          <cell r="V79" t="str">
            <v>NA</v>
          </cell>
          <cell r="X79">
            <v>0</v>
          </cell>
          <cell r="Y79" t="b">
            <v>0</v>
          </cell>
          <cell r="Z79" t="b">
            <v>0</v>
          </cell>
          <cell r="AA79" t="b">
            <v>0</v>
          </cell>
          <cell r="AB79">
            <v>0</v>
          </cell>
          <cell r="AC79" t="b">
            <v>1</v>
          </cell>
          <cell r="AE79" t="str">
            <v>P</v>
          </cell>
          <cell r="AF79">
            <v>0</v>
          </cell>
          <cell r="AG79">
            <v>0</v>
          </cell>
          <cell r="AI79">
            <v>0</v>
          </cell>
        </row>
        <row r="80">
          <cell r="C80" t="str">
            <v>interest.Cash.4f350160-46c5-4076-bb84-401c0a4fbb02</v>
          </cell>
          <cell r="D80">
            <v>48</v>
          </cell>
          <cell r="E80">
            <v>5</v>
          </cell>
          <cell r="F80" t="str">
            <v>Line_5</v>
          </cell>
          <cell r="G80" t="str">
            <v>AddE</v>
          </cell>
          <cell r="I80" t="str">
            <v>Term Deposit UBank</v>
          </cell>
          <cell r="J80">
            <v>46946.28</v>
          </cell>
          <cell r="K80">
            <v>0</v>
          </cell>
          <cell r="L80">
            <v>46946.28</v>
          </cell>
          <cell r="M80">
            <v>0</v>
          </cell>
          <cell r="N80" t="str">
            <v>Add</v>
          </cell>
          <cell r="O80">
            <v>0</v>
          </cell>
          <cell r="V80" t="str">
            <v>NA</v>
          </cell>
          <cell r="X80">
            <v>0</v>
          </cell>
          <cell r="Y80" t="b">
            <v>0</v>
          </cell>
          <cell r="Z80" t="b">
            <v>0</v>
          </cell>
          <cell r="AA80" t="b">
            <v>0</v>
          </cell>
          <cell r="AB80">
            <v>0</v>
          </cell>
          <cell r="AC80" t="b">
            <v>1</v>
          </cell>
          <cell r="AE80" t="str">
            <v>P</v>
          </cell>
          <cell r="AF80">
            <v>0</v>
          </cell>
          <cell r="AG80">
            <v>0</v>
          </cell>
          <cell r="AI80">
            <v>0</v>
          </cell>
        </row>
        <row r="81">
          <cell r="C81" t="str">
            <v>interest.Cash.2c8e0546-25be-49ff-aef4-a427b595b974</v>
          </cell>
          <cell r="D81">
            <v>49</v>
          </cell>
          <cell r="E81">
            <v>5</v>
          </cell>
          <cell r="F81" t="str">
            <v>Line_5</v>
          </cell>
          <cell r="G81" t="str">
            <v>AddE</v>
          </cell>
          <cell r="I81" t="str">
            <v>Westpac Term Deposit 344139</v>
          </cell>
          <cell r="J81">
            <v>39784.74</v>
          </cell>
          <cell r="K81">
            <v>0</v>
          </cell>
          <cell r="L81">
            <v>39784.74</v>
          </cell>
          <cell r="M81">
            <v>0</v>
          </cell>
          <cell r="N81" t="str">
            <v>Add</v>
          </cell>
          <cell r="O81">
            <v>0</v>
          </cell>
          <cell r="V81" t="str">
            <v>NA</v>
          </cell>
          <cell r="X81">
            <v>0</v>
          </cell>
          <cell r="Y81" t="b">
            <v>0</v>
          </cell>
          <cell r="Z81" t="b">
            <v>0</v>
          </cell>
          <cell r="AA81" t="b">
            <v>0</v>
          </cell>
          <cell r="AB81">
            <v>0</v>
          </cell>
          <cell r="AC81" t="b">
            <v>1</v>
          </cell>
          <cell r="AE81" t="str">
            <v>P</v>
          </cell>
          <cell r="AF81">
            <v>0</v>
          </cell>
          <cell r="AG81">
            <v>0</v>
          </cell>
          <cell r="AI81">
            <v>0</v>
          </cell>
        </row>
        <row r="82">
          <cell r="C82" t="str">
            <v>interest.Cash.31e47dab-4edc-46a3-b1fb-dc9e2e3fbf4e</v>
          </cell>
          <cell r="D82">
            <v>50</v>
          </cell>
          <cell r="E82">
            <v>5</v>
          </cell>
          <cell r="F82" t="str">
            <v>Line_5</v>
          </cell>
          <cell r="G82" t="str">
            <v>AddE</v>
          </cell>
          <cell r="I82" t="str">
            <v>Westpac Term Deposit 365028</v>
          </cell>
          <cell r="J82">
            <v>1325.81</v>
          </cell>
          <cell r="K82">
            <v>0</v>
          </cell>
          <cell r="L82">
            <v>1325.81</v>
          </cell>
          <cell r="M82">
            <v>0</v>
          </cell>
          <cell r="N82" t="str">
            <v>Add</v>
          </cell>
          <cell r="O82">
            <v>0</v>
          </cell>
          <cell r="V82" t="str">
            <v>NA</v>
          </cell>
          <cell r="X82">
            <v>0</v>
          </cell>
          <cell r="Y82" t="b">
            <v>0</v>
          </cell>
          <cell r="Z82" t="b">
            <v>0</v>
          </cell>
          <cell r="AA82" t="b">
            <v>0</v>
          </cell>
          <cell r="AB82">
            <v>0</v>
          </cell>
          <cell r="AC82" t="b">
            <v>1</v>
          </cell>
          <cell r="AE82" t="str">
            <v>P</v>
          </cell>
          <cell r="AF82">
            <v>0</v>
          </cell>
          <cell r="AG82">
            <v>0</v>
          </cell>
          <cell r="AI82">
            <v>0</v>
          </cell>
        </row>
        <row r="83">
          <cell r="C83" t="str">
            <v>interest.Cash.a8b2f80e-0607-4219-88b6-91dde001f434</v>
          </cell>
          <cell r="D83">
            <v>51</v>
          </cell>
          <cell r="E83">
            <v>5</v>
          </cell>
          <cell r="F83" t="str">
            <v>Line_5</v>
          </cell>
          <cell r="G83" t="str">
            <v>AddE</v>
          </cell>
          <cell r="I83" t="str">
            <v>Westpac Term Deposit 384413</v>
          </cell>
          <cell r="J83">
            <v>21871.14</v>
          </cell>
          <cell r="K83">
            <v>0</v>
          </cell>
          <cell r="L83">
            <v>21871.14</v>
          </cell>
          <cell r="M83">
            <v>0</v>
          </cell>
          <cell r="N83" t="str">
            <v>Add</v>
          </cell>
          <cell r="O83">
            <v>0</v>
          </cell>
          <cell r="V83" t="str">
            <v>NA</v>
          </cell>
          <cell r="X83">
            <v>0</v>
          </cell>
          <cell r="Y83" t="b">
            <v>0</v>
          </cell>
          <cell r="Z83" t="b">
            <v>0</v>
          </cell>
          <cell r="AA83" t="b">
            <v>0</v>
          </cell>
          <cell r="AB83">
            <v>0</v>
          </cell>
          <cell r="AC83" t="b">
            <v>1</v>
          </cell>
          <cell r="AE83" t="str">
            <v>P</v>
          </cell>
          <cell r="AF83">
            <v>0</v>
          </cell>
          <cell r="AG83">
            <v>0</v>
          </cell>
          <cell r="AI83">
            <v>0</v>
          </cell>
        </row>
        <row r="84">
          <cell r="C84" t="str">
            <v>Totalinterest.Cash</v>
          </cell>
          <cell r="D84">
            <v>52</v>
          </cell>
          <cell r="E84">
            <v>4</v>
          </cell>
          <cell r="F84" t="str">
            <v>Total_4</v>
          </cell>
          <cell r="G84" t="str">
            <v>AddE</v>
          </cell>
          <cell r="I84" t="str">
            <v>Total Cash and Cash Equivalents</v>
          </cell>
          <cell r="J84">
            <v>118571.38</v>
          </cell>
          <cell r="K84">
            <v>0</v>
          </cell>
          <cell r="L84">
            <v>118571.38</v>
          </cell>
          <cell r="M84">
            <v>0</v>
          </cell>
          <cell r="N84" t="str">
            <v>Add</v>
          </cell>
          <cell r="O84">
            <v>0</v>
          </cell>
          <cell r="V84" t="str">
            <v>NA</v>
          </cell>
          <cell r="X84">
            <v>0</v>
          </cell>
          <cell r="Y84" t="b">
            <v>0</v>
          </cell>
          <cell r="Z84" t="b">
            <v>0</v>
          </cell>
          <cell r="AA84" t="b">
            <v>0</v>
          </cell>
          <cell r="AB84">
            <v>0</v>
          </cell>
          <cell r="AC84" t="b">
            <v>1</v>
          </cell>
          <cell r="AE84" t="str">
            <v>P</v>
          </cell>
          <cell r="AF84">
            <v>0</v>
          </cell>
          <cell r="AG84">
            <v>0</v>
          </cell>
          <cell r="AI84">
            <v>0</v>
          </cell>
        </row>
        <row r="85">
          <cell r="C85" t="str">
            <v>interest.OtherAssets.CashAtBank</v>
          </cell>
          <cell r="D85">
            <v>53</v>
          </cell>
          <cell r="E85">
            <v>4</v>
          </cell>
          <cell r="F85" t="str">
            <v>Header_4</v>
          </cell>
          <cell r="G85" t="str">
            <v>AddE</v>
          </cell>
          <cell r="I85" t="str">
            <v>Cash At Bank</v>
          </cell>
          <cell r="J85">
            <v>0</v>
          </cell>
          <cell r="K85">
            <v>0</v>
          </cell>
          <cell r="L85">
            <v>0</v>
          </cell>
          <cell r="M85">
            <v>0</v>
          </cell>
          <cell r="O85">
            <v>0</v>
          </cell>
          <cell r="V85" t="str">
            <v>NA</v>
          </cell>
          <cell r="X85">
            <v>0</v>
          </cell>
          <cell r="Y85" t="b">
            <v>0</v>
          </cell>
          <cell r="Z85" t="b">
            <v>0</v>
          </cell>
          <cell r="AA85" t="b">
            <v>0</v>
          </cell>
          <cell r="AB85">
            <v>0</v>
          </cell>
          <cell r="AC85" t="b">
            <v>1</v>
          </cell>
          <cell r="AE85" t="str">
            <v>P</v>
          </cell>
          <cell r="AF85">
            <v>0</v>
          </cell>
          <cell r="AG85">
            <v>0</v>
          </cell>
          <cell r="AI85">
            <v>0</v>
          </cell>
        </row>
        <row r="86">
          <cell r="C86" t="str">
            <v>interest.OtherAssets.CashAtBank.7ffe9331-78e5-4460-9afe-2b7177093c72</v>
          </cell>
          <cell r="D86">
            <v>54</v>
          </cell>
          <cell r="E86">
            <v>5</v>
          </cell>
          <cell r="F86" t="str">
            <v>Line_5</v>
          </cell>
          <cell r="G86" t="str">
            <v>AddE</v>
          </cell>
          <cell r="I86" t="str">
            <v>ANZ E*Trade Account</v>
          </cell>
          <cell r="J86">
            <v>1871.03</v>
          </cell>
          <cell r="K86">
            <v>0</v>
          </cell>
          <cell r="L86">
            <v>1871.03</v>
          </cell>
          <cell r="M86">
            <v>0</v>
          </cell>
          <cell r="N86" t="str">
            <v>Add</v>
          </cell>
          <cell r="O86">
            <v>0</v>
          </cell>
          <cell r="V86" t="str">
            <v>NA</v>
          </cell>
          <cell r="X86">
            <v>0</v>
          </cell>
          <cell r="Y86" t="b">
            <v>0</v>
          </cell>
          <cell r="Z86" t="b">
            <v>0</v>
          </cell>
          <cell r="AA86" t="b">
            <v>0</v>
          </cell>
          <cell r="AB86">
            <v>0</v>
          </cell>
          <cell r="AC86" t="b">
            <v>1</v>
          </cell>
          <cell r="AE86" t="str">
            <v>P</v>
          </cell>
          <cell r="AF86">
            <v>0</v>
          </cell>
          <cell r="AG86">
            <v>0</v>
          </cell>
          <cell r="AI86">
            <v>0</v>
          </cell>
        </row>
        <row r="87">
          <cell r="C87" t="str">
            <v>interest.OtherAssets.CashAtBank.6d42be5e-0a5b-47d5-8489-fa3dd40ed86a</v>
          </cell>
          <cell r="D87">
            <v>55</v>
          </cell>
          <cell r="E87">
            <v>5</v>
          </cell>
          <cell r="F87" t="str">
            <v>Line_5</v>
          </cell>
          <cell r="G87" t="str">
            <v>AddE</v>
          </cell>
          <cell r="I87" t="str">
            <v>ING Term Deposit 84613066</v>
          </cell>
          <cell r="J87">
            <v>45868</v>
          </cell>
          <cell r="K87">
            <v>0</v>
          </cell>
          <cell r="L87">
            <v>45868</v>
          </cell>
          <cell r="M87">
            <v>0</v>
          </cell>
          <cell r="N87" t="str">
            <v>Add</v>
          </cell>
          <cell r="O87">
            <v>0</v>
          </cell>
          <cell r="V87" t="str">
            <v>NA</v>
          </cell>
          <cell r="X87">
            <v>0</v>
          </cell>
          <cell r="Y87" t="b">
            <v>0</v>
          </cell>
          <cell r="Z87" t="b">
            <v>0</v>
          </cell>
          <cell r="AA87" t="b">
            <v>0</v>
          </cell>
          <cell r="AB87">
            <v>0</v>
          </cell>
          <cell r="AC87" t="b">
            <v>1</v>
          </cell>
          <cell r="AE87" t="str">
            <v>P</v>
          </cell>
          <cell r="AF87">
            <v>0</v>
          </cell>
          <cell r="AG87">
            <v>0</v>
          </cell>
          <cell r="AI87">
            <v>0</v>
          </cell>
        </row>
        <row r="88">
          <cell r="C88" t="str">
            <v>interest.OtherAssets.CashAtBank.1a98a0aa-e515-4c2e-bb22-eee2d2d27856</v>
          </cell>
          <cell r="D88">
            <v>56</v>
          </cell>
          <cell r="E88">
            <v>5</v>
          </cell>
          <cell r="F88" t="str">
            <v>Line_5</v>
          </cell>
          <cell r="G88" t="str">
            <v>AddE</v>
          </cell>
          <cell r="I88" t="str">
            <v>Westpac Business Cash Reserve</v>
          </cell>
          <cell r="J88">
            <v>1633.66</v>
          </cell>
          <cell r="K88">
            <v>0</v>
          </cell>
          <cell r="L88">
            <v>1633.66</v>
          </cell>
          <cell r="M88">
            <v>0</v>
          </cell>
          <cell r="N88" t="str">
            <v>Add</v>
          </cell>
          <cell r="O88">
            <v>0</v>
          </cell>
          <cell r="V88" t="str">
            <v>NA</v>
          </cell>
          <cell r="X88">
            <v>0</v>
          </cell>
          <cell r="Y88" t="b">
            <v>0</v>
          </cell>
          <cell r="Z88" t="b">
            <v>0</v>
          </cell>
          <cell r="AA88" t="b">
            <v>0</v>
          </cell>
          <cell r="AB88">
            <v>0</v>
          </cell>
          <cell r="AC88" t="b">
            <v>1</v>
          </cell>
          <cell r="AE88" t="str">
            <v>P</v>
          </cell>
          <cell r="AF88">
            <v>0</v>
          </cell>
          <cell r="AG88">
            <v>0</v>
          </cell>
          <cell r="AI88">
            <v>0</v>
          </cell>
        </row>
        <row r="89">
          <cell r="C89" t="str">
            <v>Totalinterest.OtherAssets.CashAtBank</v>
          </cell>
          <cell r="D89">
            <v>57</v>
          </cell>
          <cell r="E89">
            <v>4</v>
          </cell>
          <cell r="F89" t="str">
            <v>Total_4</v>
          </cell>
          <cell r="G89" t="str">
            <v>AddE</v>
          </cell>
          <cell r="I89" t="str">
            <v>Total Cash At Bank</v>
          </cell>
          <cell r="J89">
            <v>49372.69</v>
          </cell>
          <cell r="K89">
            <v>0</v>
          </cell>
          <cell r="L89">
            <v>49372.69</v>
          </cell>
          <cell r="M89">
            <v>0</v>
          </cell>
          <cell r="N89" t="str">
            <v>Add</v>
          </cell>
          <cell r="O89">
            <v>0</v>
          </cell>
          <cell r="V89" t="str">
            <v>NA</v>
          </cell>
          <cell r="X89">
            <v>0</v>
          </cell>
          <cell r="Y89" t="b">
            <v>0</v>
          </cell>
          <cell r="Z89" t="b">
            <v>0</v>
          </cell>
          <cell r="AA89" t="b">
            <v>0</v>
          </cell>
          <cell r="AB89">
            <v>0</v>
          </cell>
          <cell r="AC89" t="b">
            <v>1</v>
          </cell>
          <cell r="AE89" t="str">
            <v>P</v>
          </cell>
          <cell r="AF89">
            <v>0</v>
          </cell>
          <cell r="AG89">
            <v>0</v>
          </cell>
          <cell r="AI89">
            <v>0</v>
          </cell>
        </row>
        <row r="90">
          <cell r="C90" t="str">
            <v>interest.OtherFixedInterest</v>
          </cell>
          <cell r="D90">
            <v>58</v>
          </cell>
          <cell r="E90">
            <v>4</v>
          </cell>
          <cell r="F90" t="str">
            <v>Header_4</v>
          </cell>
          <cell r="G90" t="str">
            <v>AddE</v>
          </cell>
          <cell r="I90" t="str">
            <v>Other Fixed Interest Securities</v>
          </cell>
          <cell r="J90">
            <v>0</v>
          </cell>
          <cell r="K90">
            <v>0</v>
          </cell>
          <cell r="L90">
            <v>0</v>
          </cell>
          <cell r="M90">
            <v>0</v>
          </cell>
          <cell r="O90">
            <v>0</v>
          </cell>
          <cell r="V90" t="str">
            <v>NA</v>
          </cell>
          <cell r="X90">
            <v>0</v>
          </cell>
          <cell r="Y90" t="b">
            <v>0</v>
          </cell>
          <cell r="Z90" t="b">
            <v>0</v>
          </cell>
          <cell r="AA90" t="b">
            <v>0</v>
          </cell>
          <cell r="AB90">
            <v>0</v>
          </cell>
          <cell r="AC90" t="b">
            <v>1</v>
          </cell>
          <cell r="AE90" t="str">
            <v>P</v>
          </cell>
          <cell r="AF90">
            <v>0</v>
          </cell>
          <cell r="AG90">
            <v>0</v>
          </cell>
          <cell r="AI90">
            <v>0</v>
          </cell>
        </row>
        <row r="91">
          <cell r="C91" t="str">
            <v>interest.OtherFixedInterest.fadeec77-42db-4e5e-85db-6bf9ece3a26c</v>
          </cell>
          <cell r="D91">
            <v>59</v>
          </cell>
          <cell r="E91">
            <v>5</v>
          </cell>
          <cell r="F91" t="str">
            <v>Line_5</v>
          </cell>
          <cell r="G91" t="str">
            <v>AddE</v>
          </cell>
          <cell r="I91" t="str">
            <v>AGL Energy Limited. - Hybrid 3-Bbsw+3.80% 08-06-39 Sub Step T-06-19</v>
          </cell>
          <cell r="J91">
            <v>5624.3</v>
          </cell>
          <cell r="K91">
            <v>0</v>
          </cell>
          <cell r="L91">
            <v>5624.3</v>
          </cell>
          <cell r="M91">
            <v>0</v>
          </cell>
          <cell r="N91" t="str">
            <v>Add</v>
          </cell>
          <cell r="O91">
            <v>0</v>
          </cell>
          <cell r="V91" t="str">
            <v>NA</v>
          </cell>
          <cell r="X91">
            <v>0</v>
          </cell>
          <cell r="Y91" t="b">
            <v>0</v>
          </cell>
          <cell r="Z91" t="b">
            <v>0</v>
          </cell>
          <cell r="AA91" t="b">
            <v>0</v>
          </cell>
          <cell r="AB91">
            <v>0</v>
          </cell>
          <cell r="AC91" t="b">
            <v>1</v>
          </cell>
          <cell r="AE91" t="str">
            <v>P</v>
          </cell>
          <cell r="AF91">
            <v>0</v>
          </cell>
          <cell r="AG91">
            <v>0</v>
          </cell>
          <cell r="AI91">
            <v>0</v>
          </cell>
        </row>
        <row r="92">
          <cell r="C92" t="str">
            <v>interest.OtherFixedInterest.f0f4db9a-7385-4541-ae22-c5c550e0f92e</v>
          </cell>
          <cell r="D92">
            <v>60</v>
          </cell>
          <cell r="E92">
            <v>5</v>
          </cell>
          <cell r="F92" t="str">
            <v>Line_5</v>
          </cell>
          <cell r="G92" t="str">
            <v>AddE</v>
          </cell>
          <cell r="I92" t="str">
            <v>Macquarie Bank Limited - Hybrid 3-Bbsw+1.70% Perp Sub Non-Cum Stap</v>
          </cell>
          <cell r="J92">
            <v>728.99</v>
          </cell>
          <cell r="K92">
            <v>0</v>
          </cell>
          <cell r="L92">
            <v>728.99</v>
          </cell>
          <cell r="M92">
            <v>0</v>
          </cell>
          <cell r="N92" t="str">
            <v>Add</v>
          </cell>
          <cell r="O92">
            <v>0</v>
          </cell>
          <cell r="V92" t="str">
            <v>NA</v>
          </cell>
          <cell r="X92">
            <v>0</v>
          </cell>
          <cell r="Y92" t="b">
            <v>0</v>
          </cell>
          <cell r="Z92" t="b">
            <v>0</v>
          </cell>
          <cell r="AA92" t="b">
            <v>0</v>
          </cell>
          <cell r="AB92">
            <v>0</v>
          </cell>
          <cell r="AC92" t="b">
            <v>1</v>
          </cell>
          <cell r="AE92" t="str">
            <v>P</v>
          </cell>
          <cell r="AF92">
            <v>0</v>
          </cell>
          <cell r="AG92">
            <v>0</v>
          </cell>
          <cell r="AI92">
            <v>0</v>
          </cell>
        </row>
        <row r="93">
          <cell r="C93" t="str">
            <v>interest.OtherFixedInterest.d8df9507-7f52-4c67-a6eb-65c956241327</v>
          </cell>
          <cell r="D93">
            <v>61</v>
          </cell>
          <cell r="E93">
            <v>5</v>
          </cell>
          <cell r="F93" t="str">
            <v>Line_5</v>
          </cell>
          <cell r="G93" t="str">
            <v>AddE</v>
          </cell>
          <cell r="I93" t="str">
            <v>Origin Energy Limited - Hybrid 3-Bbsw+4.00% 22-12-71 Sub Cum Red T-12-16</v>
          </cell>
          <cell r="J93">
            <v>2940</v>
          </cell>
          <cell r="K93">
            <v>0</v>
          </cell>
          <cell r="L93">
            <v>2940</v>
          </cell>
          <cell r="M93">
            <v>0</v>
          </cell>
          <cell r="N93" t="str">
            <v>Add</v>
          </cell>
          <cell r="O93">
            <v>0</v>
          </cell>
          <cell r="V93" t="str">
            <v>NA</v>
          </cell>
          <cell r="X93">
            <v>0</v>
          </cell>
          <cell r="Y93" t="b">
            <v>0</v>
          </cell>
          <cell r="Z93" t="b">
            <v>0</v>
          </cell>
          <cell r="AA93" t="b">
            <v>0</v>
          </cell>
          <cell r="AB93">
            <v>0</v>
          </cell>
          <cell r="AC93" t="b">
            <v>1</v>
          </cell>
          <cell r="AE93" t="str">
            <v>P</v>
          </cell>
          <cell r="AF93">
            <v>0</v>
          </cell>
          <cell r="AG93">
            <v>0</v>
          </cell>
          <cell r="AI93">
            <v>0</v>
          </cell>
        </row>
        <row r="94">
          <cell r="C94" t="str">
            <v>interest.OtherFixedInterest.919b1fa8-a96c-4861-942b-8aad5464e14d</v>
          </cell>
          <cell r="D94">
            <v>62</v>
          </cell>
          <cell r="E94">
            <v>5</v>
          </cell>
          <cell r="F94" t="str">
            <v>Line_5</v>
          </cell>
          <cell r="G94" t="str">
            <v>AddE</v>
          </cell>
          <cell r="I94" t="str">
            <v>Westpac Banking Corporation - Sub Bond 3-Bbsw+2.75% 23-8-22 Red T-08-17</v>
          </cell>
          <cell r="J94">
            <v>4564</v>
          </cell>
          <cell r="K94">
            <v>0</v>
          </cell>
          <cell r="L94">
            <v>4564</v>
          </cell>
          <cell r="M94">
            <v>0</v>
          </cell>
          <cell r="N94" t="str">
            <v>Add</v>
          </cell>
          <cell r="O94">
            <v>0</v>
          </cell>
          <cell r="V94" t="str">
            <v>NA</v>
          </cell>
          <cell r="X94">
            <v>0</v>
          </cell>
          <cell r="Y94" t="b">
            <v>0</v>
          </cell>
          <cell r="Z94" t="b">
            <v>0</v>
          </cell>
          <cell r="AA94" t="b">
            <v>0</v>
          </cell>
          <cell r="AB94">
            <v>0</v>
          </cell>
          <cell r="AC94" t="b">
            <v>1</v>
          </cell>
          <cell r="AE94" t="str">
            <v>P</v>
          </cell>
          <cell r="AF94">
            <v>0</v>
          </cell>
          <cell r="AG94">
            <v>0</v>
          </cell>
          <cell r="AI94">
            <v>0</v>
          </cell>
        </row>
        <row r="95">
          <cell r="C95" t="str">
            <v>Totalinterest.OtherFixedInterest</v>
          </cell>
          <cell r="D95">
            <v>63</v>
          </cell>
          <cell r="E95">
            <v>4</v>
          </cell>
          <cell r="F95" t="str">
            <v>Total_4</v>
          </cell>
          <cell r="G95" t="str">
            <v>AddE</v>
          </cell>
          <cell r="I95" t="str">
            <v>Total Other Fixed Interest Securities</v>
          </cell>
          <cell r="J95">
            <v>13857.29</v>
          </cell>
          <cell r="K95">
            <v>0</v>
          </cell>
          <cell r="L95">
            <v>13857.29</v>
          </cell>
          <cell r="M95">
            <v>0</v>
          </cell>
          <cell r="N95" t="str">
            <v>Add</v>
          </cell>
          <cell r="O95">
            <v>0</v>
          </cell>
          <cell r="V95" t="str">
            <v>NA</v>
          </cell>
          <cell r="X95">
            <v>0</v>
          </cell>
          <cell r="Y95" t="b">
            <v>0</v>
          </cell>
          <cell r="Z95" t="b">
            <v>0</v>
          </cell>
          <cell r="AA95" t="b">
            <v>0</v>
          </cell>
          <cell r="AB95">
            <v>0</v>
          </cell>
          <cell r="AC95" t="b">
            <v>1</v>
          </cell>
          <cell r="AE95" t="str">
            <v>P</v>
          </cell>
          <cell r="AF95">
            <v>0</v>
          </cell>
          <cell r="AG95">
            <v>0</v>
          </cell>
          <cell r="AI95">
            <v>0</v>
          </cell>
        </row>
        <row r="96">
          <cell r="C96" t="str">
            <v>Totalinterest</v>
          </cell>
          <cell r="D96">
            <v>64</v>
          </cell>
          <cell r="E96">
            <v>3</v>
          </cell>
          <cell r="F96" t="str">
            <v>Total_3</v>
          </cell>
          <cell r="G96" t="str">
            <v>AddE</v>
          </cell>
          <cell r="I96" t="str">
            <v>Total Interest</v>
          </cell>
          <cell r="J96">
            <v>181801.36</v>
          </cell>
          <cell r="K96">
            <v>0</v>
          </cell>
          <cell r="L96">
            <v>181801.36</v>
          </cell>
          <cell r="M96">
            <v>0</v>
          </cell>
          <cell r="N96" t="str">
            <v>Add</v>
          </cell>
          <cell r="O96">
            <v>0</v>
          </cell>
          <cell r="V96" t="str">
            <v>NA</v>
          </cell>
          <cell r="X96">
            <v>0</v>
          </cell>
          <cell r="Y96" t="b">
            <v>0</v>
          </cell>
          <cell r="Z96" t="b">
            <v>0</v>
          </cell>
          <cell r="AA96" t="b">
            <v>0</v>
          </cell>
          <cell r="AB96">
            <v>0</v>
          </cell>
          <cell r="AC96" t="b">
            <v>1</v>
          </cell>
          <cell r="AE96" t="str">
            <v>P</v>
          </cell>
          <cell r="AF96">
            <v>0</v>
          </cell>
          <cell r="AG96">
            <v>0</v>
          </cell>
          <cell r="AI96">
            <v>0</v>
          </cell>
        </row>
        <row r="97">
          <cell r="C97" t="str">
            <v>rent</v>
          </cell>
          <cell r="D97">
            <v>65</v>
          </cell>
          <cell r="E97">
            <v>3</v>
          </cell>
          <cell r="F97" t="str">
            <v>Header_3</v>
          </cell>
          <cell r="G97" t="str">
            <v>AddE</v>
          </cell>
          <cell r="I97" t="str">
            <v>Rent</v>
          </cell>
          <cell r="J97">
            <v>0</v>
          </cell>
          <cell r="K97">
            <v>0</v>
          </cell>
          <cell r="L97">
            <v>0</v>
          </cell>
          <cell r="M97">
            <v>0</v>
          </cell>
          <cell r="O97">
            <v>0</v>
          </cell>
          <cell r="V97" t="str">
            <v>NA</v>
          </cell>
          <cell r="X97">
            <v>0</v>
          </cell>
          <cell r="Y97" t="b">
            <v>0</v>
          </cell>
          <cell r="Z97" t="b">
            <v>0</v>
          </cell>
          <cell r="AA97" t="b">
            <v>0</v>
          </cell>
          <cell r="AB97">
            <v>0</v>
          </cell>
          <cell r="AC97" t="b">
            <v>1</v>
          </cell>
          <cell r="AE97" t="str">
            <v>P</v>
          </cell>
          <cell r="AF97">
            <v>0</v>
          </cell>
          <cell r="AG97">
            <v>0</v>
          </cell>
          <cell r="AI97">
            <v>0</v>
          </cell>
        </row>
        <row r="98">
          <cell r="C98" t="str">
            <v>rent.Property</v>
          </cell>
          <cell r="D98">
            <v>66</v>
          </cell>
          <cell r="E98">
            <v>4</v>
          </cell>
          <cell r="F98" t="str">
            <v>Header_4</v>
          </cell>
          <cell r="G98" t="str">
            <v>AddE</v>
          </cell>
          <cell r="I98" t="str">
            <v>Direct Property</v>
          </cell>
          <cell r="J98">
            <v>0</v>
          </cell>
          <cell r="K98">
            <v>0</v>
          </cell>
          <cell r="L98">
            <v>0</v>
          </cell>
          <cell r="M98">
            <v>0</v>
          </cell>
          <cell r="O98">
            <v>0</v>
          </cell>
          <cell r="V98" t="str">
            <v>NA</v>
          </cell>
          <cell r="X98">
            <v>0</v>
          </cell>
          <cell r="Y98" t="b">
            <v>0</v>
          </cell>
          <cell r="Z98" t="b">
            <v>0</v>
          </cell>
          <cell r="AA98" t="b">
            <v>0</v>
          </cell>
          <cell r="AB98">
            <v>0</v>
          </cell>
          <cell r="AC98" t="b">
            <v>1</v>
          </cell>
          <cell r="AE98" t="str">
            <v>P</v>
          </cell>
          <cell r="AF98">
            <v>0</v>
          </cell>
          <cell r="AG98">
            <v>0</v>
          </cell>
          <cell r="AI98">
            <v>0</v>
          </cell>
        </row>
        <row r="99">
          <cell r="C99" t="str">
            <v>rent.Property.cb4fb5de-b893-454a-af8c-39d2f9dd8591</v>
          </cell>
          <cell r="D99">
            <v>67</v>
          </cell>
          <cell r="E99">
            <v>5</v>
          </cell>
          <cell r="F99" t="str">
            <v>Line_5</v>
          </cell>
          <cell r="G99" t="str">
            <v>AddE</v>
          </cell>
          <cell r="H99" t="str">
            <v>Class.ImportProperty</v>
          </cell>
          <cell r="I99" t="str">
            <v>Unit 6004, The Peninsular, Mooloolaba</v>
          </cell>
          <cell r="J99">
            <v>82644.72</v>
          </cell>
          <cell r="K99">
            <v>0</v>
          </cell>
          <cell r="L99">
            <v>82644.72</v>
          </cell>
          <cell r="M99">
            <v>0</v>
          </cell>
          <cell r="N99" t="str">
            <v>Add</v>
          </cell>
          <cell r="O99">
            <v>0</v>
          </cell>
          <cell r="V99" t="str">
            <v>NA</v>
          </cell>
          <cell r="X99">
            <v>0</v>
          </cell>
          <cell r="Y99" t="b">
            <v>0</v>
          </cell>
          <cell r="Z99" t="b">
            <v>0</v>
          </cell>
          <cell r="AA99" t="b">
            <v>0</v>
          </cell>
          <cell r="AB99">
            <v>0</v>
          </cell>
          <cell r="AC99" t="b">
            <v>1</v>
          </cell>
          <cell r="AE99" t="str">
            <v>P</v>
          </cell>
          <cell r="AF99">
            <v>0</v>
          </cell>
          <cell r="AG99">
            <v>0</v>
          </cell>
          <cell r="AI99">
            <v>0</v>
          </cell>
        </row>
        <row r="100">
          <cell r="C100" t="str">
            <v>Totalrent.Property</v>
          </cell>
          <cell r="D100">
            <v>68</v>
          </cell>
          <cell r="E100">
            <v>4</v>
          </cell>
          <cell r="F100" t="str">
            <v>Total_4</v>
          </cell>
          <cell r="G100" t="str">
            <v>AddE</v>
          </cell>
          <cell r="I100" t="str">
            <v>Total Direct Property</v>
          </cell>
          <cell r="J100">
            <v>82644.72</v>
          </cell>
          <cell r="K100">
            <v>0</v>
          </cell>
          <cell r="L100">
            <v>82644.72</v>
          </cell>
          <cell r="M100">
            <v>0</v>
          </cell>
          <cell r="N100" t="str">
            <v>Add</v>
          </cell>
          <cell r="O100">
            <v>0</v>
          </cell>
          <cell r="V100" t="str">
            <v>NA</v>
          </cell>
          <cell r="X100">
            <v>0</v>
          </cell>
          <cell r="Y100" t="b">
            <v>0</v>
          </cell>
          <cell r="Z100" t="b">
            <v>0</v>
          </cell>
          <cell r="AA100" t="b">
            <v>0</v>
          </cell>
          <cell r="AB100">
            <v>0</v>
          </cell>
          <cell r="AC100" t="b">
            <v>1</v>
          </cell>
          <cell r="AE100" t="str">
            <v>P</v>
          </cell>
          <cell r="AF100">
            <v>0</v>
          </cell>
          <cell r="AG100">
            <v>0</v>
          </cell>
          <cell r="AI100">
            <v>0</v>
          </cell>
        </row>
        <row r="101">
          <cell r="C101" t="str">
            <v>Totalrent</v>
          </cell>
          <cell r="D101">
            <v>69</v>
          </cell>
          <cell r="E101">
            <v>3</v>
          </cell>
          <cell r="F101" t="str">
            <v>Total_3</v>
          </cell>
          <cell r="G101" t="str">
            <v>AddE</v>
          </cell>
          <cell r="I101" t="str">
            <v>Total Rent</v>
          </cell>
          <cell r="J101">
            <v>82644.72</v>
          </cell>
          <cell r="K101">
            <v>0</v>
          </cell>
          <cell r="L101">
            <v>82644.72</v>
          </cell>
          <cell r="M101">
            <v>0</v>
          </cell>
          <cell r="N101" t="str">
            <v>Add</v>
          </cell>
          <cell r="O101">
            <v>0</v>
          </cell>
          <cell r="V101" t="str">
            <v>NA</v>
          </cell>
          <cell r="X101">
            <v>0</v>
          </cell>
          <cell r="Y101" t="b">
            <v>0</v>
          </cell>
          <cell r="Z101" t="b">
            <v>0</v>
          </cell>
          <cell r="AA101" t="b">
            <v>0</v>
          </cell>
          <cell r="AB101">
            <v>0</v>
          </cell>
          <cell r="AC101" t="b">
            <v>1</v>
          </cell>
          <cell r="AE101" t="str">
            <v>P</v>
          </cell>
          <cell r="AF101">
            <v>0</v>
          </cell>
          <cell r="AG101">
            <v>0</v>
          </cell>
          <cell r="AI101">
            <v>0</v>
          </cell>
        </row>
        <row r="102">
          <cell r="C102" t="str">
            <v>Totalinvestment_income</v>
          </cell>
          <cell r="D102">
            <v>70</v>
          </cell>
          <cell r="E102">
            <v>2</v>
          </cell>
          <cell r="F102" t="str">
            <v>Total_2</v>
          </cell>
          <cell r="G102" t="str">
            <v>AddE</v>
          </cell>
          <cell r="I102" t="str">
            <v>Total Investment Income</v>
          </cell>
          <cell r="J102">
            <v>413591.51</v>
          </cell>
          <cell r="K102">
            <v>0</v>
          </cell>
          <cell r="L102">
            <v>413591.51</v>
          </cell>
          <cell r="M102">
            <v>0</v>
          </cell>
          <cell r="N102" t="str">
            <v>Add</v>
          </cell>
          <cell r="O102">
            <v>0</v>
          </cell>
          <cell r="V102" t="str">
            <v>NA</v>
          </cell>
          <cell r="X102">
            <v>0</v>
          </cell>
          <cell r="Y102" t="b">
            <v>0</v>
          </cell>
          <cell r="Z102" t="b">
            <v>0</v>
          </cell>
          <cell r="AA102" t="b">
            <v>0</v>
          </cell>
          <cell r="AB102">
            <v>0</v>
          </cell>
          <cell r="AC102" t="b">
            <v>1</v>
          </cell>
          <cell r="AE102" t="str">
            <v>P</v>
          </cell>
          <cell r="AF102">
            <v>0</v>
          </cell>
          <cell r="AG102">
            <v>0</v>
          </cell>
          <cell r="AI102">
            <v>0</v>
          </cell>
        </row>
        <row r="103">
          <cell r="C103" t="str">
            <v>TotalIncome</v>
          </cell>
          <cell r="D103">
            <v>71</v>
          </cell>
          <cell r="E103">
            <v>1</v>
          </cell>
          <cell r="F103" t="str">
            <v>Total_1</v>
          </cell>
          <cell r="G103" t="str">
            <v>AddE</v>
          </cell>
          <cell r="I103" t="str">
            <v>Total Income</v>
          </cell>
          <cell r="J103">
            <v>435348.6</v>
          </cell>
          <cell r="K103">
            <v>0</v>
          </cell>
          <cell r="L103">
            <v>435348.6</v>
          </cell>
          <cell r="M103">
            <v>0</v>
          </cell>
          <cell r="N103" t="str">
            <v>Add</v>
          </cell>
          <cell r="O103">
            <v>0</v>
          </cell>
          <cell r="V103" t="str">
            <v>NA</v>
          </cell>
          <cell r="X103">
            <v>0</v>
          </cell>
          <cell r="Y103" t="b">
            <v>0</v>
          </cell>
          <cell r="Z103" t="b">
            <v>0</v>
          </cell>
          <cell r="AA103" t="b">
            <v>0</v>
          </cell>
          <cell r="AB103">
            <v>0</v>
          </cell>
          <cell r="AC103" t="b">
            <v>1</v>
          </cell>
          <cell r="AE103" t="str">
            <v>P</v>
          </cell>
          <cell r="AF103">
            <v>0</v>
          </cell>
          <cell r="AG103">
            <v>0</v>
          </cell>
          <cell r="AI103">
            <v>0</v>
          </cell>
        </row>
        <row r="104">
          <cell r="C104" t="str">
            <v>Expense</v>
          </cell>
          <cell r="D104">
            <v>72</v>
          </cell>
          <cell r="E104">
            <v>1</v>
          </cell>
          <cell r="F104" t="str">
            <v>Header_1</v>
          </cell>
          <cell r="G104" t="str">
            <v>AddF</v>
          </cell>
          <cell r="I104" t="str">
            <v>Expense</v>
          </cell>
          <cell r="J104">
            <v>0</v>
          </cell>
          <cell r="K104">
            <v>0</v>
          </cell>
          <cell r="L104">
            <v>0</v>
          </cell>
          <cell r="M104">
            <v>0</v>
          </cell>
          <cell r="O104">
            <v>0</v>
          </cell>
          <cell r="V104" t="str">
            <v>NA</v>
          </cell>
          <cell r="X104">
            <v>0</v>
          </cell>
          <cell r="Y104" t="b">
            <v>0</v>
          </cell>
          <cell r="Z104" t="b">
            <v>0</v>
          </cell>
          <cell r="AA104" t="b">
            <v>0</v>
          </cell>
          <cell r="AB104">
            <v>0</v>
          </cell>
          <cell r="AC104" t="b">
            <v>1</v>
          </cell>
          <cell r="AE104" t="str">
            <v>P</v>
          </cell>
          <cell r="AF104">
            <v>0</v>
          </cell>
          <cell r="AG104">
            <v>0</v>
          </cell>
          <cell r="AI104">
            <v>0</v>
          </cell>
        </row>
        <row r="105">
          <cell r="C105" t="str">
            <v>member_payments</v>
          </cell>
          <cell r="D105">
            <v>73</v>
          </cell>
          <cell r="E105">
            <v>2</v>
          </cell>
          <cell r="F105" t="str">
            <v>Header_2</v>
          </cell>
          <cell r="G105" t="str">
            <v>AddF</v>
          </cell>
          <cell r="I105" t="str">
            <v>Member Payments</v>
          </cell>
          <cell r="J105">
            <v>0</v>
          </cell>
          <cell r="K105">
            <v>0</v>
          </cell>
          <cell r="L105">
            <v>0</v>
          </cell>
          <cell r="M105">
            <v>0</v>
          </cell>
          <cell r="O105">
            <v>0</v>
          </cell>
          <cell r="V105" t="str">
            <v>NA</v>
          </cell>
          <cell r="X105">
            <v>0</v>
          </cell>
          <cell r="Y105" t="b">
            <v>0</v>
          </cell>
          <cell r="Z105" t="b">
            <v>0</v>
          </cell>
          <cell r="AA105" t="b">
            <v>0</v>
          </cell>
          <cell r="AB105">
            <v>0</v>
          </cell>
          <cell r="AC105" t="b">
            <v>1</v>
          </cell>
          <cell r="AE105" t="str">
            <v>P</v>
          </cell>
          <cell r="AF105">
            <v>0</v>
          </cell>
          <cell r="AG105">
            <v>0</v>
          </cell>
          <cell r="AI105">
            <v>0</v>
          </cell>
        </row>
        <row r="106">
          <cell r="C106" t="str">
            <v>lump_sums_paid</v>
          </cell>
          <cell r="D106">
            <v>74</v>
          </cell>
          <cell r="E106">
            <v>3</v>
          </cell>
          <cell r="F106" t="str">
            <v>Header_3</v>
          </cell>
          <cell r="G106" t="str">
            <v>AddF</v>
          </cell>
          <cell r="I106" t="str">
            <v>Lump Sums Paid</v>
          </cell>
          <cell r="J106">
            <v>0</v>
          </cell>
          <cell r="K106">
            <v>0</v>
          </cell>
          <cell r="L106">
            <v>0</v>
          </cell>
          <cell r="M106">
            <v>0</v>
          </cell>
          <cell r="O106">
            <v>0</v>
          </cell>
          <cell r="V106" t="str">
            <v>NA</v>
          </cell>
          <cell r="X106">
            <v>0</v>
          </cell>
          <cell r="Y106" t="b">
            <v>0</v>
          </cell>
          <cell r="Z106" t="b">
            <v>0</v>
          </cell>
          <cell r="AA106" t="b">
            <v>0</v>
          </cell>
          <cell r="AB106">
            <v>0</v>
          </cell>
          <cell r="AC106" t="b">
            <v>1</v>
          </cell>
          <cell r="AE106" t="str">
            <v>P</v>
          </cell>
          <cell r="AF106">
            <v>0</v>
          </cell>
          <cell r="AG106">
            <v>0</v>
          </cell>
          <cell r="AI106">
            <v>0</v>
          </cell>
        </row>
        <row r="107">
          <cell r="C107" t="str">
            <v>lump_sums_paid.HICKEA0</v>
          </cell>
          <cell r="D107">
            <v>75</v>
          </cell>
          <cell r="E107">
            <v>4</v>
          </cell>
          <cell r="F107" t="str">
            <v>Header_4</v>
          </cell>
          <cell r="G107" t="str">
            <v>AddF</v>
          </cell>
          <cell r="I107" t="str">
            <v>Dr Andrew Hickey</v>
          </cell>
          <cell r="J107">
            <v>0</v>
          </cell>
          <cell r="K107">
            <v>0</v>
          </cell>
          <cell r="L107">
            <v>0</v>
          </cell>
          <cell r="M107">
            <v>0</v>
          </cell>
          <cell r="O107">
            <v>0</v>
          </cell>
          <cell r="V107" t="str">
            <v>NA</v>
          </cell>
          <cell r="X107">
            <v>0</v>
          </cell>
          <cell r="Y107" t="b">
            <v>0</v>
          </cell>
          <cell r="Z107" t="b">
            <v>0</v>
          </cell>
          <cell r="AA107" t="b">
            <v>0</v>
          </cell>
          <cell r="AB107">
            <v>0</v>
          </cell>
          <cell r="AC107" t="b">
            <v>1</v>
          </cell>
          <cell r="AE107" t="str">
            <v>P</v>
          </cell>
          <cell r="AF107">
            <v>0</v>
          </cell>
          <cell r="AG107">
            <v>0</v>
          </cell>
          <cell r="AI107">
            <v>0</v>
          </cell>
        </row>
        <row r="108">
          <cell r="C108" t="str">
            <v>lump_sums_paid.HICKEA0.2a94b71c-6e95-4036-ad4c-abcdde0ecbce</v>
          </cell>
          <cell r="D108">
            <v>76</v>
          </cell>
          <cell r="E108">
            <v>5</v>
          </cell>
          <cell r="F108" t="str">
            <v>Line_5</v>
          </cell>
          <cell r="G108" t="str">
            <v>AddF</v>
          </cell>
          <cell r="I108" t="str">
            <v>Account Based Pension 3% tax free</v>
          </cell>
          <cell r="J108">
            <v>1269254.42</v>
          </cell>
          <cell r="K108">
            <v>0</v>
          </cell>
          <cell r="L108">
            <v>1269254.42</v>
          </cell>
          <cell r="M108">
            <v>0</v>
          </cell>
          <cell r="N108" t="str">
            <v>Add</v>
          </cell>
          <cell r="O108">
            <v>0</v>
          </cell>
          <cell r="V108" t="str">
            <v>NA</v>
          </cell>
          <cell r="X108">
            <v>0</v>
          </cell>
          <cell r="Y108" t="b">
            <v>0</v>
          </cell>
          <cell r="Z108" t="b">
            <v>0</v>
          </cell>
          <cell r="AA108" t="b">
            <v>0</v>
          </cell>
          <cell r="AB108">
            <v>0</v>
          </cell>
          <cell r="AC108" t="b">
            <v>1</v>
          </cell>
          <cell r="AE108" t="str">
            <v>P</v>
          </cell>
          <cell r="AF108">
            <v>0</v>
          </cell>
          <cell r="AG108">
            <v>0</v>
          </cell>
          <cell r="AI108">
            <v>0</v>
          </cell>
        </row>
        <row r="109">
          <cell r="C109" t="str">
            <v>Totallump_sums_paid.HICKEA0</v>
          </cell>
          <cell r="D109">
            <v>77</v>
          </cell>
          <cell r="E109">
            <v>4</v>
          </cell>
          <cell r="F109" t="str">
            <v>Total_4</v>
          </cell>
          <cell r="G109" t="str">
            <v>AddF</v>
          </cell>
          <cell r="I109" t="str">
            <v>Total Dr Andrew Hickey</v>
          </cell>
          <cell r="J109">
            <v>1269254.42</v>
          </cell>
          <cell r="K109">
            <v>0</v>
          </cell>
          <cell r="L109">
            <v>1269254.42</v>
          </cell>
          <cell r="M109">
            <v>0</v>
          </cell>
          <cell r="N109" t="str">
            <v>Add</v>
          </cell>
          <cell r="O109">
            <v>0</v>
          </cell>
          <cell r="V109" t="str">
            <v>NA</v>
          </cell>
          <cell r="X109">
            <v>0</v>
          </cell>
          <cell r="Y109" t="b">
            <v>0</v>
          </cell>
          <cell r="Z109" t="b">
            <v>0</v>
          </cell>
          <cell r="AA109" t="b">
            <v>0</v>
          </cell>
          <cell r="AB109">
            <v>0</v>
          </cell>
          <cell r="AC109" t="b">
            <v>1</v>
          </cell>
          <cell r="AE109" t="str">
            <v>P</v>
          </cell>
          <cell r="AF109">
            <v>0</v>
          </cell>
          <cell r="AG109">
            <v>0</v>
          </cell>
          <cell r="AI109">
            <v>0</v>
          </cell>
        </row>
        <row r="110">
          <cell r="C110" t="str">
            <v>Totallump_sums_paid</v>
          </cell>
          <cell r="D110">
            <v>78</v>
          </cell>
          <cell r="E110">
            <v>3</v>
          </cell>
          <cell r="F110" t="str">
            <v>Total_3</v>
          </cell>
          <cell r="G110" t="str">
            <v>AddF</v>
          </cell>
          <cell r="I110" t="str">
            <v>Total Lump Sums Paid</v>
          </cell>
          <cell r="J110">
            <v>1269254.42</v>
          </cell>
          <cell r="K110">
            <v>0</v>
          </cell>
          <cell r="L110">
            <v>1269254.42</v>
          </cell>
          <cell r="M110">
            <v>0</v>
          </cell>
          <cell r="N110" t="str">
            <v>Add</v>
          </cell>
          <cell r="O110">
            <v>0</v>
          </cell>
          <cell r="V110" t="str">
            <v>NA</v>
          </cell>
          <cell r="X110">
            <v>0</v>
          </cell>
          <cell r="Y110" t="b">
            <v>0</v>
          </cell>
          <cell r="Z110" t="b">
            <v>0</v>
          </cell>
          <cell r="AA110" t="b">
            <v>0</v>
          </cell>
          <cell r="AB110">
            <v>0</v>
          </cell>
          <cell r="AC110" t="b">
            <v>1</v>
          </cell>
          <cell r="AE110" t="str">
            <v>P</v>
          </cell>
          <cell r="AF110">
            <v>0</v>
          </cell>
          <cell r="AG110">
            <v>0</v>
          </cell>
          <cell r="AI110">
            <v>0</v>
          </cell>
        </row>
        <row r="111">
          <cell r="C111" t="str">
            <v>pensions_paid</v>
          </cell>
          <cell r="D111">
            <v>79</v>
          </cell>
          <cell r="E111">
            <v>3</v>
          </cell>
          <cell r="F111" t="str">
            <v>Header_3</v>
          </cell>
          <cell r="G111" t="str">
            <v>AddF</v>
          </cell>
          <cell r="I111" t="str">
            <v>Pensions Paid</v>
          </cell>
          <cell r="J111">
            <v>0</v>
          </cell>
          <cell r="K111">
            <v>0</v>
          </cell>
          <cell r="L111">
            <v>0</v>
          </cell>
          <cell r="M111">
            <v>0</v>
          </cell>
          <cell r="O111">
            <v>0</v>
          </cell>
          <cell r="V111" t="str">
            <v>NA</v>
          </cell>
          <cell r="X111">
            <v>0</v>
          </cell>
          <cell r="Y111" t="b">
            <v>0</v>
          </cell>
          <cell r="Z111" t="b">
            <v>0</v>
          </cell>
          <cell r="AA111" t="b">
            <v>0</v>
          </cell>
          <cell r="AB111">
            <v>0</v>
          </cell>
          <cell r="AC111" t="b">
            <v>1</v>
          </cell>
          <cell r="AE111" t="str">
            <v>P</v>
          </cell>
          <cell r="AF111">
            <v>0</v>
          </cell>
          <cell r="AG111">
            <v>0</v>
          </cell>
          <cell r="AI111">
            <v>0</v>
          </cell>
        </row>
        <row r="112">
          <cell r="C112" t="str">
            <v>pensions_paid.HICKEA0</v>
          </cell>
          <cell r="D112">
            <v>80</v>
          </cell>
          <cell r="E112">
            <v>4</v>
          </cell>
          <cell r="F112" t="str">
            <v>Header_4</v>
          </cell>
          <cell r="G112" t="str">
            <v>AddF</v>
          </cell>
          <cell r="I112" t="str">
            <v>Dr Andrew Hickey</v>
          </cell>
          <cell r="J112">
            <v>0</v>
          </cell>
          <cell r="K112">
            <v>0</v>
          </cell>
          <cell r="L112">
            <v>0</v>
          </cell>
          <cell r="M112">
            <v>0</v>
          </cell>
          <cell r="O112">
            <v>0</v>
          </cell>
          <cell r="V112" t="str">
            <v>NA</v>
          </cell>
          <cell r="X112">
            <v>0</v>
          </cell>
          <cell r="Y112" t="b">
            <v>0</v>
          </cell>
          <cell r="Z112" t="b">
            <v>0</v>
          </cell>
          <cell r="AA112" t="b">
            <v>0</v>
          </cell>
          <cell r="AB112">
            <v>0</v>
          </cell>
          <cell r="AC112" t="b">
            <v>1</v>
          </cell>
          <cell r="AE112" t="str">
            <v>P</v>
          </cell>
          <cell r="AF112">
            <v>0</v>
          </cell>
          <cell r="AG112">
            <v>0</v>
          </cell>
          <cell r="AI112">
            <v>0</v>
          </cell>
        </row>
        <row r="113">
          <cell r="C113" t="str">
            <v>pensions_paid.HICKEA0.2a94b71c-6e95-4036-ad4c-abcdde0ecbce</v>
          </cell>
          <cell r="D113">
            <v>81</v>
          </cell>
          <cell r="E113">
            <v>5</v>
          </cell>
          <cell r="F113" t="str">
            <v>Line_5</v>
          </cell>
          <cell r="G113" t="str">
            <v>AddF</v>
          </cell>
          <cell r="I113" t="str">
            <v>Account Based Pension 3% tax free</v>
          </cell>
          <cell r="J113">
            <v>227765.48</v>
          </cell>
          <cell r="K113">
            <v>0</v>
          </cell>
          <cell r="L113">
            <v>227765.48</v>
          </cell>
          <cell r="M113">
            <v>0</v>
          </cell>
          <cell r="N113" t="str">
            <v>Add</v>
          </cell>
          <cell r="O113">
            <v>0</v>
          </cell>
          <cell r="V113" t="str">
            <v>NA</v>
          </cell>
          <cell r="X113">
            <v>0</v>
          </cell>
          <cell r="Y113" t="b">
            <v>0</v>
          </cell>
          <cell r="Z113" t="b">
            <v>0</v>
          </cell>
          <cell r="AA113" t="b">
            <v>0</v>
          </cell>
          <cell r="AB113">
            <v>0</v>
          </cell>
          <cell r="AC113" t="b">
            <v>1</v>
          </cell>
          <cell r="AE113" t="str">
            <v>P</v>
          </cell>
          <cell r="AF113">
            <v>0</v>
          </cell>
          <cell r="AG113">
            <v>0</v>
          </cell>
          <cell r="AI113">
            <v>0</v>
          </cell>
        </row>
        <row r="114">
          <cell r="C114" t="str">
            <v>pensions_paid.HICKEA0.fbf7df15-0869-46dc-aed8-306d1e38c235</v>
          </cell>
          <cell r="D114">
            <v>82</v>
          </cell>
          <cell r="E114">
            <v>5</v>
          </cell>
          <cell r="F114" t="str">
            <v>Line_5</v>
          </cell>
          <cell r="G114" t="str">
            <v>AddF</v>
          </cell>
          <cell r="I114" t="str">
            <v>Account Based Pension 89% tax free</v>
          </cell>
          <cell r="J114">
            <v>26660</v>
          </cell>
          <cell r="K114">
            <v>0</v>
          </cell>
          <cell r="L114">
            <v>26660</v>
          </cell>
          <cell r="M114">
            <v>0</v>
          </cell>
          <cell r="N114" t="str">
            <v>Add</v>
          </cell>
          <cell r="O114">
            <v>0</v>
          </cell>
          <cell r="V114" t="str">
            <v>NA</v>
          </cell>
          <cell r="X114">
            <v>0</v>
          </cell>
          <cell r="Y114" t="b">
            <v>0</v>
          </cell>
          <cell r="Z114" t="b">
            <v>0</v>
          </cell>
          <cell r="AA114" t="b">
            <v>0</v>
          </cell>
          <cell r="AB114">
            <v>0</v>
          </cell>
          <cell r="AC114" t="b">
            <v>1</v>
          </cell>
          <cell r="AE114" t="str">
            <v>P</v>
          </cell>
          <cell r="AF114">
            <v>0</v>
          </cell>
          <cell r="AG114">
            <v>0</v>
          </cell>
          <cell r="AI114">
            <v>0</v>
          </cell>
        </row>
        <row r="115">
          <cell r="C115" t="str">
            <v>pensions_paid.HICKEA0.4326ec00-7d85-4879-b886-bb776bd4c9e0</v>
          </cell>
          <cell r="D115">
            <v>83</v>
          </cell>
          <cell r="E115">
            <v>5</v>
          </cell>
          <cell r="F115" t="str">
            <v>Line_5</v>
          </cell>
          <cell r="G115" t="str">
            <v>AddF</v>
          </cell>
          <cell r="I115" t="str">
            <v>Account Based Pension 95% tax free</v>
          </cell>
          <cell r="J115">
            <v>24210</v>
          </cell>
          <cell r="K115">
            <v>0</v>
          </cell>
          <cell r="L115">
            <v>24210</v>
          </cell>
          <cell r="M115">
            <v>0</v>
          </cell>
          <cell r="N115" t="str">
            <v>Add</v>
          </cell>
          <cell r="O115">
            <v>0</v>
          </cell>
          <cell r="V115" t="str">
            <v>NA</v>
          </cell>
          <cell r="X115">
            <v>0</v>
          </cell>
          <cell r="Y115" t="b">
            <v>0</v>
          </cell>
          <cell r="Z115" t="b">
            <v>0</v>
          </cell>
          <cell r="AA115" t="b">
            <v>0</v>
          </cell>
          <cell r="AB115">
            <v>0</v>
          </cell>
          <cell r="AC115" t="b">
            <v>1</v>
          </cell>
          <cell r="AE115" t="str">
            <v>P</v>
          </cell>
          <cell r="AF115">
            <v>0</v>
          </cell>
          <cell r="AG115">
            <v>0</v>
          </cell>
          <cell r="AI115">
            <v>0</v>
          </cell>
        </row>
        <row r="116">
          <cell r="C116" t="str">
            <v>Totalpensions_paid.HICKEA0</v>
          </cell>
          <cell r="D116">
            <v>84</v>
          </cell>
          <cell r="E116">
            <v>4</v>
          </cell>
          <cell r="F116" t="str">
            <v>Total_4</v>
          </cell>
          <cell r="G116" t="str">
            <v>AddF</v>
          </cell>
          <cell r="I116" t="str">
            <v>Total Dr Andrew Hickey</v>
          </cell>
          <cell r="J116">
            <v>278635.48</v>
          </cell>
          <cell r="K116">
            <v>0</v>
          </cell>
          <cell r="L116">
            <v>278635.48</v>
          </cell>
          <cell r="M116">
            <v>0</v>
          </cell>
          <cell r="N116" t="str">
            <v>Add</v>
          </cell>
          <cell r="O116">
            <v>0</v>
          </cell>
          <cell r="V116" t="str">
            <v>NA</v>
          </cell>
          <cell r="X116">
            <v>0</v>
          </cell>
          <cell r="Y116" t="b">
            <v>0</v>
          </cell>
          <cell r="Z116" t="b">
            <v>0</v>
          </cell>
          <cell r="AA116" t="b">
            <v>0</v>
          </cell>
          <cell r="AB116">
            <v>0</v>
          </cell>
          <cell r="AC116" t="b">
            <v>1</v>
          </cell>
          <cell r="AE116" t="str">
            <v>P</v>
          </cell>
          <cell r="AF116">
            <v>0</v>
          </cell>
          <cell r="AG116">
            <v>0</v>
          </cell>
          <cell r="AI116">
            <v>0</v>
          </cell>
        </row>
        <row r="117">
          <cell r="C117" t="str">
            <v>pensions_paid.HICKEC0</v>
          </cell>
          <cell r="D117">
            <v>85</v>
          </cell>
          <cell r="E117">
            <v>4</v>
          </cell>
          <cell r="F117" t="str">
            <v>Header_4</v>
          </cell>
          <cell r="G117" t="str">
            <v>AddF</v>
          </cell>
          <cell r="I117" t="str">
            <v>Dr Camille Hickey</v>
          </cell>
          <cell r="J117">
            <v>0</v>
          </cell>
          <cell r="K117">
            <v>0</v>
          </cell>
          <cell r="L117">
            <v>0</v>
          </cell>
          <cell r="M117">
            <v>0</v>
          </cell>
          <cell r="O117">
            <v>0</v>
          </cell>
          <cell r="V117" t="str">
            <v>NA</v>
          </cell>
          <cell r="X117">
            <v>0</v>
          </cell>
          <cell r="Y117" t="b">
            <v>0</v>
          </cell>
          <cell r="Z117" t="b">
            <v>0</v>
          </cell>
          <cell r="AA117" t="b">
            <v>0</v>
          </cell>
          <cell r="AB117">
            <v>0</v>
          </cell>
          <cell r="AC117" t="b">
            <v>1</v>
          </cell>
          <cell r="AE117" t="str">
            <v>P</v>
          </cell>
          <cell r="AF117">
            <v>0</v>
          </cell>
          <cell r="AG117">
            <v>0</v>
          </cell>
          <cell r="AI117">
            <v>0</v>
          </cell>
        </row>
        <row r="118">
          <cell r="C118" t="str">
            <v>pensions_paid.HICKEC0.222fc773-3513-479b-bf62-f35fe4556112</v>
          </cell>
          <cell r="D118">
            <v>86</v>
          </cell>
          <cell r="E118">
            <v>5</v>
          </cell>
          <cell r="F118" t="str">
            <v>Line_5</v>
          </cell>
          <cell r="G118" t="str">
            <v>AddF</v>
          </cell>
          <cell r="I118" t="str">
            <v>Account Based Pension 100% tax free</v>
          </cell>
          <cell r="J118">
            <v>16420</v>
          </cell>
          <cell r="K118">
            <v>0</v>
          </cell>
          <cell r="L118">
            <v>16420</v>
          </cell>
          <cell r="M118">
            <v>0</v>
          </cell>
          <cell r="N118" t="str">
            <v>Add</v>
          </cell>
          <cell r="O118">
            <v>0</v>
          </cell>
          <cell r="V118" t="str">
            <v>NA</v>
          </cell>
          <cell r="X118">
            <v>0</v>
          </cell>
          <cell r="Y118" t="b">
            <v>0</v>
          </cell>
          <cell r="Z118" t="b">
            <v>0</v>
          </cell>
          <cell r="AA118" t="b">
            <v>0</v>
          </cell>
          <cell r="AB118">
            <v>0</v>
          </cell>
          <cell r="AC118" t="b">
            <v>1</v>
          </cell>
          <cell r="AE118" t="str">
            <v>P</v>
          </cell>
          <cell r="AF118">
            <v>0</v>
          </cell>
          <cell r="AG118">
            <v>0</v>
          </cell>
          <cell r="AI118">
            <v>0</v>
          </cell>
        </row>
        <row r="119">
          <cell r="C119" t="str">
            <v>pensions_paid.HICKEC0.c88ac5ce-b438-4bf3-96de-ce502ca7dc08</v>
          </cell>
          <cell r="D119">
            <v>87</v>
          </cell>
          <cell r="E119">
            <v>5</v>
          </cell>
          <cell r="F119" t="str">
            <v>Line_5</v>
          </cell>
          <cell r="G119" t="str">
            <v>AddF</v>
          </cell>
          <cell r="I119" t="str">
            <v>Account Based Pension 8% tax free</v>
          </cell>
          <cell r="J119">
            <v>165570</v>
          </cell>
          <cell r="K119">
            <v>0</v>
          </cell>
          <cell r="L119">
            <v>165570</v>
          </cell>
          <cell r="M119">
            <v>0</v>
          </cell>
          <cell r="N119" t="str">
            <v>Add</v>
          </cell>
          <cell r="O119">
            <v>0</v>
          </cell>
          <cell r="V119" t="str">
            <v>NA</v>
          </cell>
          <cell r="X119">
            <v>0</v>
          </cell>
          <cell r="Y119" t="b">
            <v>0</v>
          </cell>
          <cell r="Z119" t="b">
            <v>0</v>
          </cell>
          <cell r="AA119" t="b">
            <v>0</v>
          </cell>
          <cell r="AB119">
            <v>0</v>
          </cell>
          <cell r="AC119" t="b">
            <v>1</v>
          </cell>
          <cell r="AE119" t="str">
            <v>P</v>
          </cell>
          <cell r="AF119">
            <v>0</v>
          </cell>
          <cell r="AG119">
            <v>0</v>
          </cell>
          <cell r="AI119">
            <v>0</v>
          </cell>
        </row>
        <row r="120">
          <cell r="C120" t="str">
            <v>pensions_paid.HICKEC0.f17f7707-d89f-48cb-bb50-91f13fa40157</v>
          </cell>
          <cell r="D120">
            <v>88</v>
          </cell>
          <cell r="E120">
            <v>5</v>
          </cell>
          <cell r="F120" t="str">
            <v>Line_5</v>
          </cell>
          <cell r="G120" t="str">
            <v>AddF</v>
          </cell>
          <cell r="I120" t="str">
            <v>Account Based Pension 94% tax free</v>
          </cell>
          <cell r="J120">
            <v>6030.1</v>
          </cell>
          <cell r="K120">
            <v>0</v>
          </cell>
          <cell r="L120">
            <v>6030.1</v>
          </cell>
          <cell r="M120">
            <v>0</v>
          </cell>
          <cell r="N120" t="str">
            <v>Add</v>
          </cell>
          <cell r="O120">
            <v>0</v>
          </cell>
          <cell r="V120" t="str">
            <v>NA</v>
          </cell>
          <cell r="X120">
            <v>0</v>
          </cell>
          <cell r="Y120" t="b">
            <v>0</v>
          </cell>
          <cell r="Z120" t="b">
            <v>0</v>
          </cell>
          <cell r="AA120" t="b">
            <v>0</v>
          </cell>
          <cell r="AB120">
            <v>0</v>
          </cell>
          <cell r="AC120" t="b">
            <v>1</v>
          </cell>
          <cell r="AE120" t="str">
            <v>P</v>
          </cell>
          <cell r="AF120">
            <v>0</v>
          </cell>
          <cell r="AG120">
            <v>0</v>
          </cell>
          <cell r="AI120">
            <v>0</v>
          </cell>
        </row>
        <row r="121">
          <cell r="C121" t="str">
            <v>pensions_paid.HICKEC0.0a494c12-39e5-45a1-8b07-1dde1f534960</v>
          </cell>
          <cell r="D121">
            <v>89</v>
          </cell>
          <cell r="E121">
            <v>5</v>
          </cell>
          <cell r="F121" t="str">
            <v>Line_5</v>
          </cell>
          <cell r="G121" t="str">
            <v>AddF</v>
          </cell>
          <cell r="I121" t="str">
            <v>Account Based Pension 99% tax free</v>
          </cell>
          <cell r="J121">
            <v>26140</v>
          </cell>
          <cell r="K121">
            <v>0</v>
          </cell>
          <cell r="L121">
            <v>26140</v>
          </cell>
          <cell r="M121">
            <v>0</v>
          </cell>
          <cell r="N121" t="str">
            <v>Add</v>
          </cell>
          <cell r="O121">
            <v>0</v>
          </cell>
          <cell r="V121" t="str">
            <v>NA</v>
          </cell>
          <cell r="X121">
            <v>0</v>
          </cell>
          <cell r="Y121" t="b">
            <v>0</v>
          </cell>
          <cell r="Z121" t="b">
            <v>0</v>
          </cell>
          <cell r="AA121" t="b">
            <v>0</v>
          </cell>
          <cell r="AB121">
            <v>0</v>
          </cell>
          <cell r="AC121" t="b">
            <v>1</v>
          </cell>
          <cell r="AE121" t="str">
            <v>P</v>
          </cell>
          <cell r="AF121">
            <v>0</v>
          </cell>
          <cell r="AG121">
            <v>0</v>
          </cell>
          <cell r="AI121">
            <v>0</v>
          </cell>
        </row>
        <row r="122">
          <cell r="C122" t="str">
            <v>Totalpensions_paid.HICKEC0</v>
          </cell>
          <cell r="D122">
            <v>90</v>
          </cell>
          <cell r="E122">
            <v>4</v>
          </cell>
          <cell r="F122" t="str">
            <v>Total_4</v>
          </cell>
          <cell r="G122" t="str">
            <v>AddF</v>
          </cell>
          <cell r="I122" t="str">
            <v>Total Dr Camille Hickey</v>
          </cell>
          <cell r="J122">
            <v>214160.1</v>
          </cell>
          <cell r="K122">
            <v>0</v>
          </cell>
          <cell r="L122">
            <v>214160.1</v>
          </cell>
          <cell r="M122">
            <v>0</v>
          </cell>
          <cell r="N122" t="str">
            <v>Add</v>
          </cell>
          <cell r="O122">
            <v>0</v>
          </cell>
          <cell r="V122" t="str">
            <v>NA</v>
          </cell>
          <cell r="X122">
            <v>0</v>
          </cell>
          <cell r="Y122" t="b">
            <v>0</v>
          </cell>
          <cell r="Z122" t="b">
            <v>0</v>
          </cell>
          <cell r="AA122" t="b">
            <v>0</v>
          </cell>
          <cell r="AB122">
            <v>0</v>
          </cell>
          <cell r="AC122" t="b">
            <v>1</v>
          </cell>
          <cell r="AE122" t="str">
            <v>P</v>
          </cell>
          <cell r="AF122">
            <v>0</v>
          </cell>
          <cell r="AG122">
            <v>0</v>
          </cell>
          <cell r="AI122">
            <v>0</v>
          </cell>
        </row>
        <row r="123">
          <cell r="C123" t="str">
            <v>Totalpensions_paid</v>
          </cell>
          <cell r="D123">
            <v>91</v>
          </cell>
          <cell r="E123">
            <v>3</v>
          </cell>
          <cell r="F123" t="str">
            <v>Total_3</v>
          </cell>
          <cell r="G123" t="str">
            <v>AddF</v>
          </cell>
          <cell r="I123" t="str">
            <v>Total Pensions Paid</v>
          </cell>
          <cell r="J123">
            <v>492795.58</v>
          </cell>
          <cell r="K123">
            <v>0</v>
          </cell>
          <cell r="L123">
            <v>492795.58</v>
          </cell>
          <cell r="M123">
            <v>0</v>
          </cell>
          <cell r="N123" t="str">
            <v>Add</v>
          </cell>
          <cell r="O123">
            <v>0</v>
          </cell>
          <cell r="V123" t="str">
            <v>NA</v>
          </cell>
          <cell r="X123">
            <v>0</v>
          </cell>
          <cell r="Y123" t="b">
            <v>0</v>
          </cell>
          <cell r="Z123" t="b">
            <v>0</v>
          </cell>
          <cell r="AA123" t="b">
            <v>0</v>
          </cell>
          <cell r="AB123">
            <v>0</v>
          </cell>
          <cell r="AC123" t="b">
            <v>1</v>
          </cell>
          <cell r="AE123" t="str">
            <v>P</v>
          </cell>
          <cell r="AF123">
            <v>0</v>
          </cell>
          <cell r="AG123">
            <v>0</v>
          </cell>
          <cell r="AI123">
            <v>0</v>
          </cell>
        </row>
        <row r="124">
          <cell r="C124" t="str">
            <v>Totalmember_payments</v>
          </cell>
          <cell r="D124">
            <v>92</v>
          </cell>
          <cell r="E124">
            <v>2</v>
          </cell>
          <cell r="F124" t="str">
            <v>Total_2</v>
          </cell>
          <cell r="G124" t="str">
            <v>AddF</v>
          </cell>
          <cell r="I124" t="str">
            <v>Total Member Payments</v>
          </cell>
          <cell r="J124">
            <v>1762050</v>
          </cell>
          <cell r="K124">
            <v>0</v>
          </cell>
          <cell r="L124">
            <v>1762050</v>
          </cell>
          <cell r="M124">
            <v>0</v>
          </cell>
          <cell r="N124" t="str">
            <v>Add</v>
          </cell>
          <cell r="O124">
            <v>0</v>
          </cell>
          <cell r="V124" t="str">
            <v>NA</v>
          </cell>
          <cell r="X124">
            <v>0</v>
          </cell>
          <cell r="Y124" t="b">
            <v>0</v>
          </cell>
          <cell r="Z124" t="b">
            <v>0</v>
          </cell>
          <cell r="AA124" t="b">
            <v>0</v>
          </cell>
          <cell r="AB124">
            <v>0</v>
          </cell>
          <cell r="AC124" t="b">
            <v>1</v>
          </cell>
          <cell r="AE124" t="str">
            <v>P</v>
          </cell>
          <cell r="AF124">
            <v>0</v>
          </cell>
          <cell r="AG124">
            <v>0</v>
          </cell>
          <cell r="AI124">
            <v>0</v>
          </cell>
        </row>
        <row r="125">
          <cell r="C125" t="str">
            <v>other_expenses</v>
          </cell>
          <cell r="D125">
            <v>93</v>
          </cell>
          <cell r="E125">
            <v>2</v>
          </cell>
          <cell r="F125" t="str">
            <v>Header_2</v>
          </cell>
          <cell r="G125" t="str">
            <v>AddF</v>
          </cell>
          <cell r="I125" t="str">
            <v>Other Expenses</v>
          </cell>
          <cell r="J125">
            <v>0</v>
          </cell>
          <cell r="K125">
            <v>0</v>
          </cell>
          <cell r="L125">
            <v>0</v>
          </cell>
          <cell r="M125">
            <v>0</v>
          </cell>
          <cell r="O125">
            <v>0</v>
          </cell>
          <cell r="V125" t="str">
            <v>NA</v>
          </cell>
          <cell r="X125">
            <v>0</v>
          </cell>
          <cell r="Y125" t="b">
            <v>0</v>
          </cell>
          <cell r="Z125" t="b">
            <v>0</v>
          </cell>
          <cell r="AA125" t="b">
            <v>0</v>
          </cell>
          <cell r="AB125">
            <v>0</v>
          </cell>
          <cell r="AC125" t="b">
            <v>1</v>
          </cell>
          <cell r="AE125" t="str">
            <v>P</v>
          </cell>
          <cell r="AF125">
            <v>0</v>
          </cell>
          <cell r="AG125">
            <v>0</v>
          </cell>
          <cell r="AI125">
            <v>0</v>
          </cell>
        </row>
        <row r="126">
          <cell r="C126" t="str">
            <v>sundries_expense.AdministrationExpense.AccountancyFee</v>
          </cell>
          <cell r="D126">
            <v>94</v>
          </cell>
          <cell r="E126">
            <v>3</v>
          </cell>
          <cell r="F126" t="str">
            <v>Line_3</v>
          </cell>
          <cell r="G126" t="str">
            <v>AddF</v>
          </cell>
          <cell r="I126" t="str">
            <v>Accountancy Fee</v>
          </cell>
          <cell r="J126">
            <v>13750</v>
          </cell>
          <cell r="K126">
            <v>0</v>
          </cell>
          <cell r="L126">
            <v>13750</v>
          </cell>
          <cell r="M126">
            <v>0</v>
          </cell>
          <cell r="N126" t="str">
            <v>Add</v>
          </cell>
          <cell r="O126">
            <v>0</v>
          </cell>
          <cell r="V126" t="str">
            <v>NA</v>
          </cell>
          <cell r="X126">
            <v>0</v>
          </cell>
          <cell r="Y126" t="b">
            <v>0</v>
          </cell>
          <cell r="Z126" t="b">
            <v>0</v>
          </cell>
          <cell r="AA126" t="b">
            <v>0</v>
          </cell>
          <cell r="AB126">
            <v>0</v>
          </cell>
          <cell r="AC126" t="b">
            <v>1</v>
          </cell>
          <cell r="AE126" t="str">
            <v>P</v>
          </cell>
          <cell r="AF126">
            <v>0</v>
          </cell>
          <cell r="AG126">
            <v>0</v>
          </cell>
          <cell r="AI126">
            <v>0</v>
          </cell>
        </row>
        <row r="127">
          <cell r="C127" t="str">
            <v>sundries_expense.AdministrationExpense.AuditorFee</v>
          </cell>
          <cell r="D127">
            <v>95</v>
          </cell>
          <cell r="E127">
            <v>3</v>
          </cell>
          <cell r="F127" t="str">
            <v>Line_3</v>
          </cell>
          <cell r="G127" t="str">
            <v>AddF</v>
          </cell>
          <cell r="I127" t="str">
            <v>Auditor Fee</v>
          </cell>
          <cell r="J127">
            <v>1760</v>
          </cell>
          <cell r="K127">
            <v>0</v>
          </cell>
          <cell r="L127">
            <v>1760</v>
          </cell>
          <cell r="M127">
            <v>0</v>
          </cell>
          <cell r="N127" t="str">
            <v>Add</v>
          </cell>
          <cell r="O127">
            <v>0</v>
          </cell>
          <cell r="V127" t="str">
            <v>NA</v>
          </cell>
          <cell r="X127">
            <v>0</v>
          </cell>
          <cell r="Y127" t="b">
            <v>0</v>
          </cell>
          <cell r="Z127" t="b">
            <v>0</v>
          </cell>
          <cell r="AA127" t="b">
            <v>0</v>
          </cell>
          <cell r="AB127">
            <v>0</v>
          </cell>
          <cell r="AC127" t="b">
            <v>1</v>
          </cell>
          <cell r="AE127" t="str">
            <v>P</v>
          </cell>
          <cell r="AF127">
            <v>0</v>
          </cell>
          <cell r="AG127">
            <v>0</v>
          </cell>
          <cell r="AI127">
            <v>0</v>
          </cell>
        </row>
        <row r="128">
          <cell r="C128" t="str">
            <v>bank_fees_expense</v>
          </cell>
          <cell r="D128">
            <v>96</v>
          </cell>
          <cell r="E128">
            <v>3</v>
          </cell>
          <cell r="F128" t="str">
            <v>Header_3</v>
          </cell>
          <cell r="G128" t="str">
            <v>AddF</v>
          </cell>
          <cell r="I128" t="str">
            <v>Bank Fees</v>
          </cell>
          <cell r="J128">
            <v>0</v>
          </cell>
          <cell r="K128">
            <v>0</v>
          </cell>
          <cell r="L128">
            <v>0</v>
          </cell>
          <cell r="M128">
            <v>0</v>
          </cell>
          <cell r="O128">
            <v>0</v>
          </cell>
          <cell r="V128" t="str">
            <v>NA</v>
          </cell>
          <cell r="X128">
            <v>0</v>
          </cell>
          <cell r="Y128" t="b">
            <v>0</v>
          </cell>
          <cell r="Z128" t="b">
            <v>0</v>
          </cell>
          <cell r="AA128" t="b">
            <v>0</v>
          </cell>
          <cell r="AB128">
            <v>0</v>
          </cell>
          <cell r="AC128" t="b">
            <v>1</v>
          </cell>
          <cell r="AE128" t="str">
            <v>P</v>
          </cell>
          <cell r="AF128">
            <v>0</v>
          </cell>
          <cell r="AG128">
            <v>0</v>
          </cell>
          <cell r="AI128">
            <v>0</v>
          </cell>
        </row>
        <row r="129">
          <cell r="C129" t="str">
            <v>bank_fees_expense.OtherAssets.CashAtBank</v>
          </cell>
          <cell r="D129">
            <v>97</v>
          </cell>
          <cell r="E129">
            <v>4</v>
          </cell>
          <cell r="F129" t="str">
            <v>Header_4</v>
          </cell>
          <cell r="G129" t="str">
            <v>AddF</v>
          </cell>
          <cell r="I129" t="str">
            <v>Cash At Bank</v>
          </cell>
          <cell r="J129">
            <v>0</v>
          </cell>
          <cell r="K129">
            <v>0</v>
          </cell>
          <cell r="L129">
            <v>0</v>
          </cell>
          <cell r="M129">
            <v>0</v>
          </cell>
          <cell r="O129">
            <v>0</v>
          </cell>
          <cell r="V129" t="str">
            <v>NA</v>
          </cell>
          <cell r="X129">
            <v>0</v>
          </cell>
          <cell r="Y129" t="b">
            <v>0</v>
          </cell>
          <cell r="Z129" t="b">
            <v>0</v>
          </cell>
          <cell r="AA129" t="b">
            <v>0</v>
          </cell>
          <cell r="AB129">
            <v>0</v>
          </cell>
          <cell r="AC129" t="b">
            <v>1</v>
          </cell>
          <cell r="AE129" t="str">
            <v>P</v>
          </cell>
          <cell r="AF129">
            <v>0</v>
          </cell>
          <cell r="AG129">
            <v>0</v>
          </cell>
          <cell r="AI129">
            <v>0</v>
          </cell>
        </row>
        <row r="130">
          <cell r="C130" t="str">
            <v>bank_fees_expense.OtherAssets.CashAtBank.1a98a0aa-e515-4c2e-bb22-eee2d2d27856</v>
          </cell>
          <cell r="D130">
            <v>98</v>
          </cell>
          <cell r="E130">
            <v>5</v>
          </cell>
          <cell r="F130" t="str">
            <v>Line_5</v>
          </cell>
          <cell r="G130" t="str">
            <v>AddF</v>
          </cell>
          <cell r="I130" t="str">
            <v>Westpac Business Cash Reserve</v>
          </cell>
          <cell r="J130">
            <v>5</v>
          </cell>
          <cell r="K130">
            <v>0</v>
          </cell>
          <cell r="L130">
            <v>5</v>
          </cell>
          <cell r="M130">
            <v>0</v>
          </cell>
          <cell r="N130" t="str">
            <v>Add</v>
          </cell>
          <cell r="O130">
            <v>0</v>
          </cell>
          <cell r="V130" t="str">
            <v>NA</v>
          </cell>
          <cell r="X130">
            <v>0</v>
          </cell>
          <cell r="Y130" t="b">
            <v>0</v>
          </cell>
          <cell r="Z130" t="b">
            <v>0</v>
          </cell>
          <cell r="AA130" t="b">
            <v>0</v>
          </cell>
          <cell r="AB130">
            <v>0</v>
          </cell>
          <cell r="AC130" t="b">
            <v>1</v>
          </cell>
          <cell r="AE130" t="str">
            <v>P</v>
          </cell>
          <cell r="AF130">
            <v>0</v>
          </cell>
          <cell r="AG130">
            <v>0</v>
          </cell>
          <cell r="AI130">
            <v>0</v>
          </cell>
        </row>
        <row r="131">
          <cell r="C131" t="str">
            <v>bank_fees_expense.OtherAssets.CashAtBank.5beeaf26-9c2c-40d4-b3e6-157f339c75a5</v>
          </cell>
          <cell r="D131">
            <v>99</v>
          </cell>
          <cell r="E131">
            <v>5</v>
          </cell>
          <cell r="F131" t="str">
            <v>Line_5</v>
          </cell>
          <cell r="G131" t="str">
            <v>AddF</v>
          </cell>
          <cell r="I131" t="str">
            <v>Westpac Cheque Account</v>
          </cell>
          <cell r="J131">
            <v>17</v>
          </cell>
          <cell r="K131">
            <v>0</v>
          </cell>
          <cell r="L131">
            <v>17</v>
          </cell>
          <cell r="M131">
            <v>0</v>
          </cell>
          <cell r="N131" t="str">
            <v>Add</v>
          </cell>
          <cell r="O131">
            <v>0</v>
          </cell>
          <cell r="V131" t="str">
            <v>NA</v>
          </cell>
          <cell r="X131">
            <v>0</v>
          </cell>
          <cell r="Y131" t="b">
            <v>0</v>
          </cell>
          <cell r="Z131" t="b">
            <v>0</v>
          </cell>
          <cell r="AA131" t="b">
            <v>0</v>
          </cell>
          <cell r="AB131">
            <v>0</v>
          </cell>
          <cell r="AC131" t="b">
            <v>1</v>
          </cell>
          <cell r="AE131" t="str">
            <v>P</v>
          </cell>
          <cell r="AF131">
            <v>0</v>
          </cell>
          <cell r="AG131">
            <v>0</v>
          </cell>
          <cell r="AI131">
            <v>0</v>
          </cell>
        </row>
        <row r="132">
          <cell r="C132" t="str">
            <v>Totalbank_fees_expense.OtherAssets.CashAtBank</v>
          </cell>
          <cell r="D132">
            <v>100</v>
          </cell>
          <cell r="E132">
            <v>4</v>
          </cell>
          <cell r="F132" t="str">
            <v>Total_4</v>
          </cell>
          <cell r="G132" t="str">
            <v>AddF</v>
          </cell>
          <cell r="I132" t="str">
            <v>Total Cash At Bank</v>
          </cell>
          <cell r="J132">
            <v>22</v>
          </cell>
          <cell r="K132">
            <v>0</v>
          </cell>
          <cell r="L132">
            <v>22</v>
          </cell>
          <cell r="M132">
            <v>0</v>
          </cell>
          <cell r="N132" t="str">
            <v>Add</v>
          </cell>
          <cell r="O132">
            <v>0</v>
          </cell>
          <cell r="V132" t="str">
            <v>NA</v>
          </cell>
          <cell r="X132">
            <v>0</v>
          </cell>
          <cell r="Y132" t="b">
            <v>0</v>
          </cell>
          <cell r="Z132" t="b">
            <v>0</v>
          </cell>
          <cell r="AA132" t="b">
            <v>0</v>
          </cell>
          <cell r="AB132">
            <v>0</v>
          </cell>
          <cell r="AC132" t="b">
            <v>1</v>
          </cell>
          <cell r="AE132" t="str">
            <v>P</v>
          </cell>
          <cell r="AF132">
            <v>0</v>
          </cell>
          <cell r="AG132">
            <v>0</v>
          </cell>
          <cell r="AI132">
            <v>0</v>
          </cell>
        </row>
        <row r="133">
          <cell r="C133" t="str">
            <v>Totalbank_fees_expense</v>
          </cell>
          <cell r="D133">
            <v>101</v>
          </cell>
          <cell r="E133">
            <v>3</v>
          </cell>
          <cell r="F133" t="str">
            <v>Total_3</v>
          </cell>
          <cell r="G133" t="str">
            <v>AddF</v>
          </cell>
          <cell r="I133" t="str">
            <v>Total Bank Fees</v>
          </cell>
          <cell r="J133">
            <v>22</v>
          </cell>
          <cell r="K133">
            <v>0</v>
          </cell>
          <cell r="L133">
            <v>22</v>
          </cell>
          <cell r="M133">
            <v>0</v>
          </cell>
          <cell r="N133" t="str">
            <v>Add</v>
          </cell>
          <cell r="O133">
            <v>0</v>
          </cell>
          <cell r="V133" t="str">
            <v>NA</v>
          </cell>
          <cell r="X133">
            <v>0</v>
          </cell>
          <cell r="Y133" t="b">
            <v>0</v>
          </cell>
          <cell r="Z133" t="b">
            <v>0</v>
          </cell>
          <cell r="AA133" t="b">
            <v>0</v>
          </cell>
          <cell r="AB133">
            <v>0</v>
          </cell>
          <cell r="AC133" t="b">
            <v>1</v>
          </cell>
          <cell r="AE133" t="str">
            <v>P</v>
          </cell>
          <cell r="AF133">
            <v>0</v>
          </cell>
          <cell r="AG133">
            <v>0</v>
          </cell>
          <cell r="AI133">
            <v>0</v>
          </cell>
        </row>
        <row r="134">
          <cell r="C134" t="str">
            <v>depreciation_expense</v>
          </cell>
          <cell r="D134">
            <v>102</v>
          </cell>
          <cell r="E134">
            <v>3</v>
          </cell>
          <cell r="F134" t="str">
            <v>Header_3</v>
          </cell>
          <cell r="G134" t="str">
            <v>AddF</v>
          </cell>
          <cell r="I134" t="str">
            <v>Depreciation</v>
          </cell>
          <cell r="J134">
            <v>0</v>
          </cell>
          <cell r="K134">
            <v>0</v>
          </cell>
          <cell r="L134">
            <v>0</v>
          </cell>
          <cell r="M134">
            <v>0</v>
          </cell>
          <cell r="O134">
            <v>0</v>
          </cell>
          <cell r="V134" t="str">
            <v>NA</v>
          </cell>
          <cell r="X134">
            <v>0</v>
          </cell>
          <cell r="Y134" t="b">
            <v>0</v>
          </cell>
          <cell r="Z134" t="b">
            <v>0</v>
          </cell>
          <cell r="AA134" t="b">
            <v>0</v>
          </cell>
          <cell r="AB134">
            <v>0</v>
          </cell>
          <cell r="AC134" t="b">
            <v>1</v>
          </cell>
          <cell r="AE134" t="str">
            <v>P</v>
          </cell>
          <cell r="AF134">
            <v>0</v>
          </cell>
          <cell r="AG134">
            <v>0</v>
          </cell>
          <cell r="AI134">
            <v>0</v>
          </cell>
        </row>
        <row r="135">
          <cell r="C135" t="str">
            <v>depreciation_expense.DepreciationExpense.PropertyDepreciation</v>
          </cell>
          <cell r="D135">
            <v>103</v>
          </cell>
          <cell r="E135">
            <v>4</v>
          </cell>
          <cell r="F135" t="str">
            <v>Header_4</v>
          </cell>
          <cell r="G135" t="str">
            <v>AddF</v>
          </cell>
          <cell r="I135" t="str">
            <v>Capital Allowances</v>
          </cell>
          <cell r="J135">
            <v>0</v>
          </cell>
          <cell r="K135">
            <v>0</v>
          </cell>
          <cell r="L135">
            <v>0</v>
          </cell>
          <cell r="M135">
            <v>0</v>
          </cell>
          <cell r="O135">
            <v>0</v>
          </cell>
          <cell r="V135" t="str">
            <v>NA</v>
          </cell>
          <cell r="X135">
            <v>0</v>
          </cell>
          <cell r="Y135" t="b">
            <v>0</v>
          </cell>
          <cell r="Z135" t="b">
            <v>0</v>
          </cell>
          <cell r="AA135" t="b">
            <v>0</v>
          </cell>
          <cell r="AB135">
            <v>0</v>
          </cell>
          <cell r="AC135" t="b">
            <v>1</v>
          </cell>
          <cell r="AE135" t="str">
            <v>P</v>
          </cell>
          <cell r="AF135">
            <v>0</v>
          </cell>
          <cell r="AG135">
            <v>0</v>
          </cell>
          <cell r="AI135">
            <v>0</v>
          </cell>
        </row>
        <row r="136">
          <cell r="C136" t="str">
            <v>depreciation_expense.DepreciationExpense.PropertyDepreciation.Property</v>
          </cell>
          <cell r="D136">
            <v>104</v>
          </cell>
          <cell r="E136">
            <v>5</v>
          </cell>
          <cell r="F136" t="str">
            <v>Header_5</v>
          </cell>
          <cell r="G136" t="str">
            <v>AddF</v>
          </cell>
          <cell r="I136" t="str">
            <v>Direct Property</v>
          </cell>
          <cell r="J136">
            <v>0</v>
          </cell>
          <cell r="K136">
            <v>0</v>
          </cell>
          <cell r="L136">
            <v>0</v>
          </cell>
          <cell r="M136">
            <v>0</v>
          </cell>
          <cell r="O136">
            <v>0</v>
          </cell>
          <cell r="V136" t="str">
            <v>NA</v>
          </cell>
          <cell r="X136">
            <v>0</v>
          </cell>
          <cell r="Y136" t="b">
            <v>0</v>
          </cell>
          <cell r="Z136" t="b">
            <v>0</v>
          </cell>
          <cell r="AA136" t="b">
            <v>0</v>
          </cell>
          <cell r="AB136">
            <v>0</v>
          </cell>
          <cell r="AC136" t="b">
            <v>1</v>
          </cell>
          <cell r="AE136" t="str">
            <v>P</v>
          </cell>
          <cell r="AF136">
            <v>0</v>
          </cell>
          <cell r="AG136">
            <v>0</v>
          </cell>
          <cell r="AI136">
            <v>0</v>
          </cell>
        </row>
        <row r="137">
          <cell r="C137" t="str">
            <v>depreciation_expense.DepreciationExpense.PropertyDepreciation.Property.cb4fb5de-b893-454a-af8c-39d2f9dd8591</v>
          </cell>
          <cell r="D137">
            <v>105</v>
          </cell>
          <cell r="E137">
            <v>6</v>
          </cell>
          <cell r="F137" t="str">
            <v>Line_6</v>
          </cell>
          <cell r="G137" t="str">
            <v>AddF</v>
          </cell>
          <cell r="H137" t="str">
            <v>Class.ImportProperty</v>
          </cell>
          <cell r="I137" t="str">
            <v>Unit 6004, The Peninsular, Mooloolaba</v>
          </cell>
          <cell r="J137">
            <v>1644.16</v>
          </cell>
          <cell r="K137">
            <v>0</v>
          </cell>
          <cell r="L137">
            <v>1644.16</v>
          </cell>
          <cell r="M137">
            <v>0</v>
          </cell>
          <cell r="N137" t="str">
            <v>Add</v>
          </cell>
          <cell r="O137">
            <v>0</v>
          </cell>
          <cell r="V137" t="str">
            <v>NA</v>
          </cell>
          <cell r="X137">
            <v>0</v>
          </cell>
          <cell r="Y137" t="b">
            <v>0</v>
          </cell>
          <cell r="Z137" t="b">
            <v>0</v>
          </cell>
          <cell r="AA137" t="b">
            <v>0</v>
          </cell>
          <cell r="AB137">
            <v>0</v>
          </cell>
          <cell r="AC137" t="b">
            <v>1</v>
          </cell>
          <cell r="AE137" t="str">
            <v>P</v>
          </cell>
          <cell r="AF137">
            <v>0</v>
          </cell>
          <cell r="AG137">
            <v>0</v>
          </cell>
          <cell r="AI137">
            <v>0</v>
          </cell>
        </row>
        <row r="138">
          <cell r="C138" t="str">
            <v>Totaldepreciation_expense.DepreciationExpense.PropertyDepreciation.Property</v>
          </cell>
          <cell r="D138">
            <v>106</v>
          </cell>
          <cell r="E138">
            <v>5</v>
          </cell>
          <cell r="F138" t="str">
            <v>Total_5</v>
          </cell>
          <cell r="G138" t="str">
            <v>AddF</v>
          </cell>
          <cell r="I138" t="str">
            <v>Total Direct Property</v>
          </cell>
          <cell r="J138">
            <v>1644.16</v>
          </cell>
          <cell r="K138">
            <v>0</v>
          </cell>
          <cell r="L138">
            <v>1644.16</v>
          </cell>
          <cell r="M138">
            <v>0</v>
          </cell>
          <cell r="N138" t="str">
            <v>Add</v>
          </cell>
          <cell r="O138">
            <v>0</v>
          </cell>
          <cell r="V138" t="str">
            <v>NA</v>
          </cell>
          <cell r="X138">
            <v>0</v>
          </cell>
          <cell r="Y138" t="b">
            <v>0</v>
          </cell>
          <cell r="Z138" t="b">
            <v>0</v>
          </cell>
          <cell r="AA138" t="b">
            <v>0</v>
          </cell>
          <cell r="AB138">
            <v>0</v>
          </cell>
          <cell r="AC138" t="b">
            <v>1</v>
          </cell>
          <cell r="AE138" t="str">
            <v>P</v>
          </cell>
          <cell r="AF138">
            <v>0</v>
          </cell>
          <cell r="AG138">
            <v>0</v>
          </cell>
          <cell r="AI138">
            <v>0</v>
          </cell>
        </row>
        <row r="139">
          <cell r="C139" t="str">
            <v>Totaldepreciation_expense.DepreciationExpense.PropertyDepreciation</v>
          </cell>
          <cell r="D139">
            <v>107</v>
          </cell>
          <cell r="E139">
            <v>4</v>
          </cell>
          <cell r="F139" t="str">
            <v>Total_4</v>
          </cell>
          <cell r="G139" t="str">
            <v>AddF</v>
          </cell>
          <cell r="I139" t="str">
            <v>Total Capital Allowances</v>
          </cell>
          <cell r="J139">
            <v>1644.16</v>
          </cell>
          <cell r="K139">
            <v>0</v>
          </cell>
          <cell r="L139">
            <v>1644.16</v>
          </cell>
          <cell r="M139">
            <v>0</v>
          </cell>
          <cell r="N139" t="str">
            <v>Add</v>
          </cell>
          <cell r="O139">
            <v>0</v>
          </cell>
          <cell r="V139" t="str">
            <v>NA</v>
          </cell>
          <cell r="X139">
            <v>0</v>
          </cell>
          <cell r="Y139" t="b">
            <v>0</v>
          </cell>
          <cell r="Z139" t="b">
            <v>0</v>
          </cell>
          <cell r="AA139" t="b">
            <v>0</v>
          </cell>
          <cell r="AB139">
            <v>0</v>
          </cell>
          <cell r="AC139" t="b">
            <v>1</v>
          </cell>
          <cell r="AE139" t="str">
            <v>P</v>
          </cell>
          <cell r="AF139">
            <v>0</v>
          </cell>
          <cell r="AG139">
            <v>0</v>
          </cell>
          <cell r="AI139">
            <v>0</v>
          </cell>
        </row>
        <row r="140">
          <cell r="C140" t="str">
            <v>Totaldepreciation_expense</v>
          </cell>
          <cell r="D140">
            <v>108</v>
          </cell>
          <cell r="E140">
            <v>3</v>
          </cell>
          <cell r="F140" t="str">
            <v>Total_3</v>
          </cell>
          <cell r="G140" t="str">
            <v>AddF</v>
          </cell>
          <cell r="I140" t="str">
            <v>Total Depreciation</v>
          </cell>
          <cell r="J140">
            <v>1644.16</v>
          </cell>
          <cell r="K140">
            <v>0</v>
          </cell>
          <cell r="L140">
            <v>1644.16</v>
          </cell>
          <cell r="M140">
            <v>0</v>
          </cell>
          <cell r="N140" t="str">
            <v>Add</v>
          </cell>
          <cell r="O140">
            <v>0</v>
          </cell>
          <cell r="V140" t="str">
            <v>NA</v>
          </cell>
          <cell r="X140">
            <v>0</v>
          </cell>
          <cell r="Y140" t="b">
            <v>0</v>
          </cell>
          <cell r="Z140" t="b">
            <v>0</v>
          </cell>
          <cell r="AA140" t="b">
            <v>0</v>
          </cell>
          <cell r="AB140">
            <v>0</v>
          </cell>
          <cell r="AC140" t="b">
            <v>1</v>
          </cell>
          <cell r="AE140" t="str">
            <v>P</v>
          </cell>
          <cell r="AF140">
            <v>0</v>
          </cell>
          <cell r="AG140">
            <v>0</v>
          </cell>
          <cell r="AI140">
            <v>0</v>
          </cell>
        </row>
        <row r="141">
          <cell r="C141" t="str">
            <v>property_expenses_expense</v>
          </cell>
          <cell r="D141">
            <v>109</v>
          </cell>
          <cell r="E141">
            <v>3</v>
          </cell>
          <cell r="F141" t="str">
            <v>Header_3</v>
          </cell>
          <cell r="G141" t="str">
            <v>AddF</v>
          </cell>
          <cell r="I141" t="str">
            <v>Property Expenses</v>
          </cell>
          <cell r="J141">
            <v>0</v>
          </cell>
          <cell r="K141">
            <v>0</v>
          </cell>
          <cell r="L141">
            <v>0</v>
          </cell>
          <cell r="M141">
            <v>0</v>
          </cell>
          <cell r="O141">
            <v>0</v>
          </cell>
          <cell r="V141" t="str">
            <v>NA</v>
          </cell>
          <cell r="X141">
            <v>0</v>
          </cell>
          <cell r="Y141" t="b">
            <v>0</v>
          </cell>
          <cell r="Z141" t="b">
            <v>0</v>
          </cell>
          <cell r="AA141" t="b">
            <v>0</v>
          </cell>
          <cell r="AB141">
            <v>0</v>
          </cell>
          <cell r="AC141" t="b">
            <v>1</v>
          </cell>
          <cell r="AE141" t="str">
            <v>P</v>
          </cell>
          <cell r="AF141">
            <v>0</v>
          </cell>
          <cell r="AG141">
            <v>0</v>
          </cell>
          <cell r="AI141">
            <v>0</v>
          </cell>
        </row>
        <row r="142">
          <cell r="C142" t="str">
            <v>property_expenses_expense.PropertyExpenses.Advertising</v>
          </cell>
          <cell r="D142">
            <v>110</v>
          </cell>
          <cell r="E142">
            <v>4</v>
          </cell>
          <cell r="F142" t="str">
            <v>Header_4</v>
          </cell>
          <cell r="G142" t="str">
            <v>AddF</v>
          </cell>
          <cell r="I142" t="str">
            <v>Advertising</v>
          </cell>
          <cell r="J142">
            <v>0</v>
          </cell>
          <cell r="K142">
            <v>0</v>
          </cell>
          <cell r="L142">
            <v>0</v>
          </cell>
          <cell r="M142">
            <v>0</v>
          </cell>
          <cell r="O142">
            <v>0</v>
          </cell>
          <cell r="V142" t="str">
            <v>NA</v>
          </cell>
          <cell r="X142">
            <v>0</v>
          </cell>
          <cell r="Y142" t="b">
            <v>0</v>
          </cell>
          <cell r="Z142" t="b">
            <v>0</v>
          </cell>
          <cell r="AA142" t="b">
            <v>0</v>
          </cell>
          <cell r="AB142">
            <v>0</v>
          </cell>
          <cell r="AC142" t="b">
            <v>1</v>
          </cell>
          <cell r="AE142" t="str">
            <v>P</v>
          </cell>
          <cell r="AF142">
            <v>0</v>
          </cell>
          <cell r="AG142">
            <v>0</v>
          </cell>
          <cell r="AI142">
            <v>0</v>
          </cell>
        </row>
        <row r="143">
          <cell r="C143" t="str">
            <v>property_expenses_expense.PropertyExpenses.Advertising.Property</v>
          </cell>
          <cell r="D143">
            <v>111</v>
          </cell>
          <cell r="E143">
            <v>5</v>
          </cell>
          <cell r="F143" t="str">
            <v>Header_5</v>
          </cell>
          <cell r="G143" t="str">
            <v>AddF</v>
          </cell>
          <cell r="I143" t="str">
            <v>Direct Property</v>
          </cell>
          <cell r="J143">
            <v>0</v>
          </cell>
          <cell r="K143">
            <v>0</v>
          </cell>
          <cell r="L143">
            <v>0</v>
          </cell>
          <cell r="M143">
            <v>0</v>
          </cell>
          <cell r="O143">
            <v>0</v>
          </cell>
          <cell r="V143" t="str">
            <v>NA</v>
          </cell>
          <cell r="X143">
            <v>0</v>
          </cell>
          <cell r="Y143" t="b">
            <v>0</v>
          </cell>
          <cell r="Z143" t="b">
            <v>0</v>
          </cell>
          <cell r="AA143" t="b">
            <v>0</v>
          </cell>
          <cell r="AB143">
            <v>0</v>
          </cell>
          <cell r="AC143" t="b">
            <v>1</v>
          </cell>
          <cell r="AE143" t="str">
            <v>P</v>
          </cell>
          <cell r="AF143">
            <v>0</v>
          </cell>
          <cell r="AG143">
            <v>0</v>
          </cell>
          <cell r="AI143">
            <v>0</v>
          </cell>
        </row>
        <row r="144">
          <cell r="C144" t="str">
            <v>property_expenses_expense.PropertyExpenses.Advertising.Property.cb4fb5de-b893-454a-af8c-39d2f9dd8591</v>
          </cell>
          <cell r="D144">
            <v>112</v>
          </cell>
          <cell r="E144">
            <v>6</v>
          </cell>
          <cell r="F144" t="str">
            <v>Line_6</v>
          </cell>
          <cell r="G144" t="str">
            <v>AddF</v>
          </cell>
          <cell r="H144" t="str">
            <v>Class.ImportProperty</v>
          </cell>
          <cell r="I144" t="str">
            <v>Unit 6004, The Peninsular, Mooloolaba</v>
          </cell>
          <cell r="J144">
            <v>2063.84</v>
          </cell>
          <cell r="K144">
            <v>0</v>
          </cell>
          <cell r="L144">
            <v>2063.84</v>
          </cell>
          <cell r="M144">
            <v>0</v>
          </cell>
          <cell r="N144" t="str">
            <v>Add</v>
          </cell>
          <cell r="O144">
            <v>0</v>
          </cell>
          <cell r="V144" t="str">
            <v>NA</v>
          </cell>
          <cell r="X144">
            <v>0</v>
          </cell>
          <cell r="Y144" t="b">
            <v>0</v>
          </cell>
          <cell r="Z144" t="b">
            <v>0</v>
          </cell>
          <cell r="AA144" t="b">
            <v>0</v>
          </cell>
          <cell r="AB144">
            <v>0</v>
          </cell>
          <cell r="AC144" t="b">
            <v>1</v>
          </cell>
          <cell r="AE144" t="str">
            <v>P</v>
          </cell>
          <cell r="AF144">
            <v>0</v>
          </cell>
          <cell r="AG144">
            <v>0</v>
          </cell>
          <cell r="AI144">
            <v>0</v>
          </cell>
        </row>
        <row r="145">
          <cell r="C145" t="str">
            <v>Totalproperty_expenses_expense.PropertyExpenses.Advertising.Property</v>
          </cell>
          <cell r="D145">
            <v>113</v>
          </cell>
          <cell r="E145">
            <v>5</v>
          </cell>
          <cell r="F145" t="str">
            <v>Total_5</v>
          </cell>
          <cell r="G145" t="str">
            <v>AddF</v>
          </cell>
          <cell r="I145" t="str">
            <v>Total Direct Property</v>
          </cell>
          <cell r="J145">
            <v>2063.84</v>
          </cell>
          <cell r="K145">
            <v>0</v>
          </cell>
          <cell r="L145">
            <v>2063.84</v>
          </cell>
          <cell r="M145">
            <v>0</v>
          </cell>
          <cell r="N145" t="str">
            <v>Add</v>
          </cell>
          <cell r="O145">
            <v>0</v>
          </cell>
          <cell r="V145" t="str">
            <v>NA</v>
          </cell>
          <cell r="X145">
            <v>0</v>
          </cell>
          <cell r="Y145" t="b">
            <v>0</v>
          </cell>
          <cell r="Z145" t="b">
            <v>0</v>
          </cell>
          <cell r="AA145" t="b">
            <v>0</v>
          </cell>
          <cell r="AB145">
            <v>0</v>
          </cell>
          <cell r="AC145" t="b">
            <v>1</v>
          </cell>
          <cell r="AE145" t="str">
            <v>P</v>
          </cell>
          <cell r="AF145">
            <v>0</v>
          </cell>
          <cell r="AG145">
            <v>0</v>
          </cell>
          <cell r="AI145">
            <v>0</v>
          </cell>
        </row>
        <row r="146">
          <cell r="C146" t="str">
            <v>Totalproperty_expenses_expense.PropertyExpenses.Advertising</v>
          </cell>
          <cell r="D146">
            <v>114</v>
          </cell>
          <cell r="E146">
            <v>4</v>
          </cell>
          <cell r="F146" t="str">
            <v>Total_4</v>
          </cell>
          <cell r="G146" t="str">
            <v>AddF</v>
          </cell>
          <cell r="I146" t="str">
            <v>Total Advertising</v>
          </cell>
          <cell r="J146">
            <v>2063.84</v>
          </cell>
          <cell r="K146">
            <v>0</v>
          </cell>
          <cell r="L146">
            <v>2063.84</v>
          </cell>
          <cell r="M146">
            <v>0</v>
          </cell>
          <cell r="N146" t="str">
            <v>Add</v>
          </cell>
          <cell r="O146">
            <v>0</v>
          </cell>
          <cell r="V146" t="str">
            <v>NA</v>
          </cell>
          <cell r="X146">
            <v>0</v>
          </cell>
          <cell r="Y146" t="b">
            <v>0</v>
          </cell>
          <cell r="Z146" t="b">
            <v>0</v>
          </cell>
          <cell r="AA146" t="b">
            <v>0</v>
          </cell>
          <cell r="AB146">
            <v>0</v>
          </cell>
          <cell r="AC146" t="b">
            <v>1</v>
          </cell>
          <cell r="AE146" t="str">
            <v>P</v>
          </cell>
          <cell r="AF146">
            <v>0</v>
          </cell>
          <cell r="AG146">
            <v>0</v>
          </cell>
          <cell r="AI146">
            <v>0</v>
          </cell>
        </row>
        <row r="147">
          <cell r="C147" t="str">
            <v>property_expenses_expense.PropertyExpenses.AgentsManagementFee</v>
          </cell>
          <cell r="D147">
            <v>115</v>
          </cell>
          <cell r="E147">
            <v>4</v>
          </cell>
          <cell r="F147" t="str">
            <v>Header_4</v>
          </cell>
          <cell r="G147" t="str">
            <v>AddF</v>
          </cell>
          <cell r="I147" t="str">
            <v>Agents Management Fee</v>
          </cell>
          <cell r="J147">
            <v>0</v>
          </cell>
          <cell r="K147">
            <v>0</v>
          </cell>
          <cell r="L147">
            <v>0</v>
          </cell>
          <cell r="M147">
            <v>0</v>
          </cell>
          <cell r="O147">
            <v>0</v>
          </cell>
          <cell r="V147" t="str">
            <v>NA</v>
          </cell>
          <cell r="X147">
            <v>0</v>
          </cell>
          <cell r="Y147" t="b">
            <v>0</v>
          </cell>
          <cell r="Z147" t="b">
            <v>0</v>
          </cell>
          <cell r="AA147" t="b">
            <v>0</v>
          </cell>
          <cell r="AB147">
            <v>0</v>
          </cell>
          <cell r="AC147" t="b">
            <v>1</v>
          </cell>
          <cell r="AE147" t="str">
            <v>P</v>
          </cell>
          <cell r="AF147">
            <v>0</v>
          </cell>
          <cell r="AG147">
            <v>0</v>
          </cell>
          <cell r="AI147">
            <v>0</v>
          </cell>
        </row>
        <row r="148">
          <cell r="C148" t="str">
            <v>property_expenses_expense.PropertyExpenses.AgentsManagementFee.Property</v>
          </cell>
          <cell r="D148">
            <v>116</v>
          </cell>
          <cell r="E148">
            <v>5</v>
          </cell>
          <cell r="F148" t="str">
            <v>Header_5</v>
          </cell>
          <cell r="G148" t="str">
            <v>AddF</v>
          </cell>
          <cell r="I148" t="str">
            <v>Direct Property</v>
          </cell>
          <cell r="J148">
            <v>0</v>
          </cell>
          <cell r="K148">
            <v>0</v>
          </cell>
          <cell r="L148">
            <v>0</v>
          </cell>
          <cell r="M148">
            <v>0</v>
          </cell>
          <cell r="O148">
            <v>0</v>
          </cell>
          <cell r="V148" t="str">
            <v>NA</v>
          </cell>
          <cell r="X148">
            <v>0</v>
          </cell>
          <cell r="Y148" t="b">
            <v>0</v>
          </cell>
          <cell r="Z148" t="b">
            <v>0</v>
          </cell>
          <cell r="AA148" t="b">
            <v>0</v>
          </cell>
          <cell r="AB148">
            <v>0</v>
          </cell>
          <cell r="AC148" t="b">
            <v>1</v>
          </cell>
          <cell r="AE148" t="str">
            <v>P</v>
          </cell>
          <cell r="AF148">
            <v>0</v>
          </cell>
          <cell r="AG148">
            <v>0</v>
          </cell>
          <cell r="AI148">
            <v>0</v>
          </cell>
        </row>
        <row r="149">
          <cell r="C149" t="str">
            <v>property_expenses_expense.PropertyExpenses.AgentsManagementFee.Property.cb4fb5de-b893-454a-af8c-39d2f9dd8591</v>
          </cell>
          <cell r="D149">
            <v>117</v>
          </cell>
          <cell r="E149">
            <v>6</v>
          </cell>
          <cell r="F149" t="str">
            <v>Line_6</v>
          </cell>
          <cell r="G149" t="str">
            <v>AddF</v>
          </cell>
          <cell r="H149" t="str">
            <v>Class.ImportProperty</v>
          </cell>
          <cell r="I149" t="str">
            <v>Unit 6004, The Peninsular, Mooloolaba</v>
          </cell>
          <cell r="J149">
            <v>14595.55</v>
          </cell>
          <cell r="K149">
            <v>0</v>
          </cell>
          <cell r="L149">
            <v>14595.55</v>
          </cell>
          <cell r="M149">
            <v>0</v>
          </cell>
          <cell r="N149" t="str">
            <v>Add</v>
          </cell>
          <cell r="O149">
            <v>0</v>
          </cell>
          <cell r="V149" t="str">
            <v>NA</v>
          </cell>
          <cell r="X149">
            <v>0</v>
          </cell>
          <cell r="Y149" t="b">
            <v>0</v>
          </cell>
          <cell r="Z149" t="b">
            <v>0</v>
          </cell>
          <cell r="AA149" t="b">
            <v>0</v>
          </cell>
          <cell r="AB149">
            <v>0</v>
          </cell>
          <cell r="AC149" t="b">
            <v>1</v>
          </cell>
          <cell r="AE149" t="str">
            <v>P</v>
          </cell>
          <cell r="AF149">
            <v>0</v>
          </cell>
          <cell r="AG149">
            <v>0</v>
          </cell>
          <cell r="AI149">
            <v>0</v>
          </cell>
        </row>
        <row r="150">
          <cell r="C150" t="str">
            <v>Totalproperty_expenses_expense.PropertyExpenses.AgentsManagementFee.Property</v>
          </cell>
          <cell r="D150">
            <v>118</v>
          </cell>
          <cell r="E150">
            <v>5</v>
          </cell>
          <cell r="F150" t="str">
            <v>Total_5</v>
          </cell>
          <cell r="G150" t="str">
            <v>AddF</v>
          </cell>
          <cell r="I150" t="str">
            <v>Total Direct Property</v>
          </cell>
          <cell r="J150">
            <v>14595.55</v>
          </cell>
          <cell r="K150">
            <v>0</v>
          </cell>
          <cell r="L150">
            <v>14595.55</v>
          </cell>
          <cell r="M150">
            <v>0</v>
          </cell>
          <cell r="N150" t="str">
            <v>Add</v>
          </cell>
          <cell r="O150">
            <v>0</v>
          </cell>
          <cell r="V150" t="str">
            <v>NA</v>
          </cell>
          <cell r="X150">
            <v>0</v>
          </cell>
          <cell r="Y150" t="b">
            <v>0</v>
          </cell>
          <cell r="Z150" t="b">
            <v>0</v>
          </cell>
          <cell r="AA150" t="b">
            <v>0</v>
          </cell>
          <cell r="AB150">
            <v>0</v>
          </cell>
          <cell r="AC150" t="b">
            <v>1</v>
          </cell>
          <cell r="AE150" t="str">
            <v>P</v>
          </cell>
          <cell r="AF150">
            <v>0</v>
          </cell>
          <cell r="AG150">
            <v>0</v>
          </cell>
          <cell r="AI150">
            <v>0</v>
          </cell>
        </row>
        <row r="151">
          <cell r="C151" t="str">
            <v>Totalproperty_expenses_expense.PropertyExpenses.AgentsManagementFee</v>
          </cell>
          <cell r="D151">
            <v>119</v>
          </cell>
          <cell r="E151">
            <v>4</v>
          </cell>
          <cell r="F151" t="str">
            <v>Total_4</v>
          </cell>
          <cell r="G151" t="str">
            <v>AddF</v>
          </cell>
          <cell r="I151" t="str">
            <v>Total Agents Management Fee</v>
          </cell>
          <cell r="J151">
            <v>14595.55</v>
          </cell>
          <cell r="K151">
            <v>0</v>
          </cell>
          <cell r="L151">
            <v>14595.55</v>
          </cell>
          <cell r="M151">
            <v>0</v>
          </cell>
          <cell r="N151" t="str">
            <v>Add</v>
          </cell>
          <cell r="O151">
            <v>0</v>
          </cell>
          <cell r="V151" t="str">
            <v>NA</v>
          </cell>
          <cell r="X151">
            <v>0</v>
          </cell>
          <cell r="Y151" t="b">
            <v>0</v>
          </cell>
          <cell r="Z151" t="b">
            <v>0</v>
          </cell>
          <cell r="AA151" t="b">
            <v>0</v>
          </cell>
          <cell r="AB151">
            <v>0</v>
          </cell>
          <cell r="AC151" t="b">
            <v>1</v>
          </cell>
          <cell r="AE151" t="str">
            <v>P</v>
          </cell>
          <cell r="AF151">
            <v>0</v>
          </cell>
          <cell r="AG151">
            <v>0</v>
          </cell>
          <cell r="AI151">
            <v>0</v>
          </cell>
        </row>
        <row r="152">
          <cell r="C152" t="str">
            <v>property_expenses_expense.PropertyExpenses.Cleaning</v>
          </cell>
          <cell r="D152">
            <v>120</v>
          </cell>
          <cell r="E152">
            <v>4</v>
          </cell>
          <cell r="F152" t="str">
            <v>Header_4</v>
          </cell>
          <cell r="G152" t="str">
            <v>AddF</v>
          </cell>
          <cell r="I152" t="str">
            <v>Cleaning</v>
          </cell>
          <cell r="J152">
            <v>0</v>
          </cell>
          <cell r="K152">
            <v>0</v>
          </cell>
          <cell r="L152">
            <v>0</v>
          </cell>
          <cell r="M152">
            <v>0</v>
          </cell>
          <cell r="O152">
            <v>0</v>
          </cell>
          <cell r="V152" t="str">
            <v>NA</v>
          </cell>
          <cell r="X152">
            <v>0</v>
          </cell>
          <cell r="Y152" t="b">
            <v>0</v>
          </cell>
          <cell r="Z152" t="b">
            <v>0</v>
          </cell>
          <cell r="AA152" t="b">
            <v>0</v>
          </cell>
          <cell r="AB152">
            <v>0</v>
          </cell>
          <cell r="AC152" t="b">
            <v>1</v>
          </cell>
          <cell r="AE152" t="str">
            <v>P</v>
          </cell>
          <cell r="AF152">
            <v>0</v>
          </cell>
          <cell r="AG152">
            <v>0</v>
          </cell>
          <cell r="AI152">
            <v>0</v>
          </cell>
        </row>
        <row r="153">
          <cell r="C153" t="str">
            <v>property_expenses_expense.PropertyExpenses.Cleaning.Property</v>
          </cell>
          <cell r="D153">
            <v>121</v>
          </cell>
          <cell r="E153">
            <v>5</v>
          </cell>
          <cell r="F153" t="str">
            <v>Header_5</v>
          </cell>
          <cell r="G153" t="str">
            <v>AddF</v>
          </cell>
          <cell r="I153" t="str">
            <v>Direct Property</v>
          </cell>
          <cell r="J153">
            <v>0</v>
          </cell>
          <cell r="K153">
            <v>0</v>
          </cell>
          <cell r="L153">
            <v>0</v>
          </cell>
          <cell r="M153">
            <v>0</v>
          </cell>
          <cell r="O153">
            <v>0</v>
          </cell>
          <cell r="V153" t="str">
            <v>NA</v>
          </cell>
          <cell r="X153">
            <v>0</v>
          </cell>
          <cell r="Y153" t="b">
            <v>0</v>
          </cell>
          <cell r="Z153" t="b">
            <v>0</v>
          </cell>
          <cell r="AA153" t="b">
            <v>0</v>
          </cell>
          <cell r="AB153">
            <v>0</v>
          </cell>
          <cell r="AC153" t="b">
            <v>1</v>
          </cell>
          <cell r="AE153" t="str">
            <v>P</v>
          </cell>
          <cell r="AF153">
            <v>0</v>
          </cell>
          <cell r="AG153">
            <v>0</v>
          </cell>
          <cell r="AI153">
            <v>0</v>
          </cell>
        </row>
        <row r="154">
          <cell r="C154" t="str">
            <v>property_expenses_expense.PropertyExpenses.Cleaning.Property.cb4fb5de-b893-454a-af8c-39d2f9dd8591</v>
          </cell>
          <cell r="D154">
            <v>122</v>
          </cell>
          <cell r="E154">
            <v>6</v>
          </cell>
          <cell r="F154" t="str">
            <v>Line_6</v>
          </cell>
          <cell r="G154" t="str">
            <v>AddF</v>
          </cell>
          <cell r="H154" t="str">
            <v>Class.ImportProperty</v>
          </cell>
          <cell r="I154" t="str">
            <v>Unit 6004, The Peninsular, Mooloolaba</v>
          </cell>
          <cell r="J154">
            <v>10979.85</v>
          </cell>
          <cell r="K154">
            <v>0</v>
          </cell>
          <cell r="L154">
            <v>10979.85</v>
          </cell>
          <cell r="M154">
            <v>0</v>
          </cell>
          <cell r="N154" t="str">
            <v>Add</v>
          </cell>
          <cell r="O154">
            <v>0</v>
          </cell>
          <cell r="V154" t="str">
            <v>NA</v>
          </cell>
          <cell r="X154">
            <v>0</v>
          </cell>
          <cell r="Y154" t="b">
            <v>0</v>
          </cell>
          <cell r="Z154" t="b">
            <v>0</v>
          </cell>
          <cell r="AA154" t="b">
            <v>0</v>
          </cell>
          <cell r="AB154">
            <v>0</v>
          </cell>
          <cell r="AC154" t="b">
            <v>1</v>
          </cell>
          <cell r="AE154" t="str">
            <v>P</v>
          </cell>
          <cell r="AF154">
            <v>0</v>
          </cell>
          <cell r="AG154">
            <v>0</v>
          </cell>
          <cell r="AI154">
            <v>0</v>
          </cell>
        </row>
        <row r="155">
          <cell r="C155" t="str">
            <v>Totalproperty_expenses_expense.PropertyExpenses.Cleaning.Property</v>
          </cell>
          <cell r="D155">
            <v>123</v>
          </cell>
          <cell r="E155">
            <v>5</v>
          </cell>
          <cell r="F155" t="str">
            <v>Total_5</v>
          </cell>
          <cell r="G155" t="str">
            <v>AddF</v>
          </cell>
          <cell r="I155" t="str">
            <v>Total Direct Property</v>
          </cell>
          <cell r="J155">
            <v>10979.85</v>
          </cell>
          <cell r="K155">
            <v>0</v>
          </cell>
          <cell r="L155">
            <v>10979.85</v>
          </cell>
          <cell r="M155">
            <v>0</v>
          </cell>
          <cell r="N155" t="str">
            <v>Add</v>
          </cell>
          <cell r="O155">
            <v>0</v>
          </cell>
          <cell r="V155" t="str">
            <v>NA</v>
          </cell>
          <cell r="X155">
            <v>0</v>
          </cell>
          <cell r="Y155" t="b">
            <v>0</v>
          </cell>
          <cell r="Z155" t="b">
            <v>0</v>
          </cell>
          <cell r="AA155" t="b">
            <v>0</v>
          </cell>
          <cell r="AB155">
            <v>0</v>
          </cell>
          <cell r="AC155" t="b">
            <v>1</v>
          </cell>
          <cell r="AE155" t="str">
            <v>P</v>
          </cell>
          <cell r="AF155">
            <v>0</v>
          </cell>
          <cell r="AG155">
            <v>0</v>
          </cell>
          <cell r="AI155">
            <v>0</v>
          </cell>
        </row>
        <row r="156">
          <cell r="C156" t="str">
            <v>Totalproperty_expenses_expense.PropertyExpenses.Cleaning</v>
          </cell>
          <cell r="D156">
            <v>124</v>
          </cell>
          <cell r="E156">
            <v>4</v>
          </cell>
          <cell r="F156" t="str">
            <v>Total_4</v>
          </cell>
          <cell r="G156" t="str">
            <v>AddF</v>
          </cell>
          <cell r="I156" t="str">
            <v>Total Cleaning</v>
          </cell>
          <cell r="J156">
            <v>10979.85</v>
          </cell>
          <cell r="K156">
            <v>0</v>
          </cell>
          <cell r="L156">
            <v>10979.85</v>
          </cell>
          <cell r="M156">
            <v>0</v>
          </cell>
          <cell r="N156" t="str">
            <v>Add</v>
          </cell>
          <cell r="O156">
            <v>0</v>
          </cell>
          <cell r="V156" t="str">
            <v>NA</v>
          </cell>
          <cell r="X156">
            <v>0</v>
          </cell>
          <cell r="Y156" t="b">
            <v>0</v>
          </cell>
          <cell r="Z156" t="b">
            <v>0</v>
          </cell>
          <cell r="AA156" t="b">
            <v>0</v>
          </cell>
          <cell r="AB156">
            <v>0</v>
          </cell>
          <cell r="AC156" t="b">
            <v>1</v>
          </cell>
          <cell r="AE156" t="str">
            <v>P</v>
          </cell>
          <cell r="AF156">
            <v>0</v>
          </cell>
          <cell r="AG156">
            <v>0</v>
          </cell>
          <cell r="AI156">
            <v>0</v>
          </cell>
        </row>
        <row r="157">
          <cell r="C157" t="str">
            <v>property_expenses_expense.PropertyExpenses.Rates</v>
          </cell>
          <cell r="D157">
            <v>125</v>
          </cell>
          <cell r="E157">
            <v>4</v>
          </cell>
          <cell r="F157" t="str">
            <v>Header_4</v>
          </cell>
          <cell r="G157" t="str">
            <v>AddF</v>
          </cell>
          <cell r="I157" t="str">
            <v>Council Rates</v>
          </cell>
          <cell r="J157">
            <v>0</v>
          </cell>
          <cell r="K157">
            <v>0</v>
          </cell>
          <cell r="L157">
            <v>0</v>
          </cell>
          <cell r="M157">
            <v>0</v>
          </cell>
          <cell r="O157">
            <v>0</v>
          </cell>
          <cell r="V157" t="str">
            <v>NA</v>
          </cell>
          <cell r="X157">
            <v>0</v>
          </cell>
          <cell r="Y157" t="b">
            <v>0</v>
          </cell>
          <cell r="Z157" t="b">
            <v>0</v>
          </cell>
          <cell r="AA157" t="b">
            <v>0</v>
          </cell>
          <cell r="AB157">
            <v>0</v>
          </cell>
          <cell r="AC157" t="b">
            <v>1</v>
          </cell>
          <cell r="AE157" t="str">
            <v>P</v>
          </cell>
          <cell r="AF157">
            <v>0</v>
          </cell>
          <cell r="AG157">
            <v>0</v>
          </cell>
          <cell r="AI157">
            <v>0</v>
          </cell>
        </row>
        <row r="158">
          <cell r="C158" t="str">
            <v>property_expenses_expense.PropertyExpenses.Rates.Property</v>
          </cell>
          <cell r="D158">
            <v>126</v>
          </cell>
          <cell r="E158">
            <v>5</v>
          </cell>
          <cell r="F158" t="str">
            <v>Header_5</v>
          </cell>
          <cell r="G158" t="str">
            <v>AddF</v>
          </cell>
          <cell r="I158" t="str">
            <v>Direct Property</v>
          </cell>
          <cell r="J158">
            <v>0</v>
          </cell>
          <cell r="K158">
            <v>0</v>
          </cell>
          <cell r="L158">
            <v>0</v>
          </cell>
          <cell r="M158">
            <v>0</v>
          </cell>
          <cell r="O158">
            <v>0</v>
          </cell>
          <cell r="V158" t="str">
            <v>NA</v>
          </cell>
          <cell r="X158">
            <v>0</v>
          </cell>
          <cell r="Y158" t="b">
            <v>0</v>
          </cell>
          <cell r="Z158" t="b">
            <v>0</v>
          </cell>
          <cell r="AA158" t="b">
            <v>0</v>
          </cell>
          <cell r="AB158">
            <v>0</v>
          </cell>
          <cell r="AC158" t="b">
            <v>1</v>
          </cell>
          <cell r="AE158" t="str">
            <v>P</v>
          </cell>
          <cell r="AF158">
            <v>0</v>
          </cell>
          <cell r="AG158">
            <v>0</v>
          </cell>
          <cell r="AI158">
            <v>0</v>
          </cell>
        </row>
        <row r="159">
          <cell r="C159" t="str">
            <v>property_expenses_expense.PropertyExpenses.Rates.Property.cb4fb5de-b893-454a-af8c-39d2f9dd8591</v>
          </cell>
          <cell r="D159">
            <v>127</v>
          </cell>
          <cell r="E159">
            <v>6</v>
          </cell>
          <cell r="F159" t="str">
            <v>Line_6</v>
          </cell>
          <cell r="G159" t="str">
            <v>AddF</v>
          </cell>
          <cell r="H159" t="str">
            <v>Class.ImportProperty</v>
          </cell>
          <cell r="I159" t="str">
            <v>Unit 6004, The Peninsular, Mooloolaba</v>
          </cell>
          <cell r="J159">
            <v>3217.06</v>
          </cell>
          <cell r="K159">
            <v>0</v>
          </cell>
          <cell r="L159">
            <v>3217.06</v>
          </cell>
          <cell r="M159">
            <v>0</v>
          </cell>
          <cell r="N159" t="str">
            <v>Add</v>
          </cell>
          <cell r="O159">
            <v>0</v>
          </cell>
          <cell r="V159" t="str">
            <v>NA</v>
          </cell>
          <cell r="X159">
            <v>0</v>
          </cell>
          <cell r="Y159" t="b">
            <v>0</v>
          </cell>
          <cell r="Z159" t="b">
            <v>0</v>
          </cell>
          <cell r="AA159" t="b">
            <v>0</v>
          </cell>
          <cell r="AB159">
            <v>0</v>
          </cell>
          <cell r="AC159" t="b">
            <v>1</v>
          </cell>
          <cell r="AE159" t="str">
            <v>P</v>
          </cell>
          <cell r="AF159">
            <v>0</v>
          </cell>
          <cell r="AG159">
            <v>0</v>
          </cell>
          <cell r="AI159">
            <v>0</v>
          </cell>
        </row>
        <row r="160">
          <cell r="C160" t="str">
            <v>Totalproperty_expenses_expense.PropertyExpenses.Rates.Property</v>
          </cell>
          <cell r="D160">
            <v>128</v>
          </cell>
          <cell r="E160">
            <v>5</v>
          </cell>
          <cell r="F160" t="str">
            <v>Total_5</v>
          </cell>
          <cell r="G160" t="str">
            <v>AddF</v>
          </cell>
          <cell r="I160" t="str">
            <v>Total Direct Property</v>
          </cell>
          <cell r="J160">
            <v>3217.06</v>
          </cell>
          <cell r="K160">
            <v>0</v>
          </cell>
          <cell r="L160">
            <v>3217.06</v>
          </cell>
          <cell r="M160">
            <v>0</v>
          </cell>
          <cell r="N160" t="str">
            <v>Add</v>
          </cell>
          <cell r="O160">
            <v>0</v>
          </cell>
          <cell r="V160" t="str">
            <v>NA</v>
          </cell>
          <cell r="X160">
            <v>0</v>
          </cell>
          <cell r="Y160" t="b">
            <v>0</v>
          </cell>
          <cell r="Z160" t="b">
            <v>0</v>
          </cell>
          <cell r="AA160" t="b">
            <v>0</v>
          </cell>
          <cell r="AB160">
            <v>0</v>
          </cell>
          <cell r="AC160" t="b">
            <v>1</v>
          </cell>
          <cell r="AE160" t="str">
            <v>P</v>
          </cell>
          <cell r="AF160">
            <v>0</v>
          </cell>
          <cell r="AG160">
            <v>0</v>
          </cell>
          <cell r="AI160">
            <v>0</v>
          </cell>
        </row>
        <row r="161">
          <cell r="C161" t="str">
            <v>Totalproperty_expenses_expense.PropertyExpenses.Rates</v>
          </cell>
          <cell r="D161">
            <v>129</v>
          </cell>
          <cell r="E161">
            <v>4</v>
          </cell>
          <cell r="F161" t="str">
            <v>Total_4</v>
          </cell>
          <cell r="G161" t="str">
            <v>AddF</v>
          </cell>
          <cell r="I161" t="str">
            <v>Total Council Rates</v>
          </cell>
          <cell r="J161">
            <v>3217.06</v>
          </cell>
          <cell r="K161">
            <v>0</v>
          </cell>
          <cell r="L161">
            <v>3217.06</v>
          </cell>
          <cell r="M161">
            <v>0</v>
          </cell>
          <cell r="N161" t="str">
            <v>Add</v>
          </cell>
          <cell r="O161">
            <v>0</v>
          </cell>
          <cell r="V161" t="str">
            <v>NA</v>
          </cell>
          <cell r="X161">
            <v>0</v>
          </cell>
          <cell r="Y161" t="b">
            <v>0</v>
          </cell>
          <cell r="Z161" t="b">
            <v>0</v>
          </cell>
          <cell r="AA161" t="b">
            <v>0</v>
          </cell>
          <cell r="AB161">
            <v>0</v>
          </cell>
          <cell r="AC161" t="b">
            <v>1</v>
          </cell>
          <cell r="AE161" t="str">
            <v>P</v>
          </cell>
          <cell r="AF161">
            <v>0</v>
          </cell>
          <cell r="AG161">
            <v>0</v>
          </cell>
          <cell r="AI161">
            <v>0</v>
          </cell>
        </row>
        <row r="162">
          <cell r="C162" t="str">
            <v>property_expenses_expense.PropertyExpenses.ELECT</v>
          </cell>
          <cell r="D162">
            <v>130</v>
          </cell>
          <cell r="E162">
            <v>4</v>
          </cell>
          <cell r="F162" t="str">
            <v>Header_4</v>
          </cell>
          <cell r="G162" t="str">
            <v>AddF</v>
          </cell>
          <cell r="I162" t="str">
            <v>Electricity</v>
          </cell>
          <cell r="J162">
            <v>0</v>
          </cell>
          <cell r="K162">
            <v>0</v>
          </cell>
          <cell r="L162">
            <v>0</v>
          </cell>
          <cell r="M162">
            <v>0</v>
          </cell>
          <cell r="O162">
            <v>0</v>
          </cell>
          <cell r="V162" t="str">
            <v>NA</v>
          </cell>
          <cell r="X162">
            <v>0</v>
          </cell>
          <cell r="Y162" t="b">
            <v>0</v>
          </cell>
          <cell r="Z162" t="b">
            <v>0</v>
          </cell>
          <cell r="AA162" t="b">
            <v>0</v>
          </cell>
          <cell r="AB162">
            <v>0</v>
          </cell>
          <cell r="AC162" t="b">
            <v>1</v>
          </cell>
          <cell r="AE162" t="str">
            <v>P</v>
          </cell>
          <cell r="AF162">
            <v>0</v>
          </cell>
          <cell r="AG162">
            <v>0</v>
          </cell>
          <cell r="AI162">
            <v>0</v>
          </cell>
        </row>
        <row r="163">
          <cell r="C163" t="str">
            <v>property_expenses_expense.PropertyExpenses.ELECT.Property</v>
          </cell>
          <cell r="D163">
            <v>131</v>
          </cell>
          <cell r="E163">
            <v>5</v>
          </cell>
          <cell r="F163" t="str">
            <v>Header_5</v>
          </cell>
          <cell r="G163" t="str">
            <v>AddF</v>
          </cell>
          <cell r="I163" t="str">
            <v>Direct Property</v>
          </cell>
          <cell r="J163">
            <v>0</v>
          </cell>
          <cell r="K163">
            <v>0</v>
          </cell>
          <cell r="L163">
            <v>0</v>
          </cell>
          <cell r="M163">
            <v>0</v>
          </cell>
          <cell r="O163">
            <v>0</v>
          </cell>
          <cell r="V163" t="str">
            <v>NA</v>
          </cell>
          <cell r="X163">
            <v>0</v>
          </cell>
          <cell r="Y163" t="b">
            <v>0</v>
          </cell>
          <cell r="Z163" t="b">
            <v>0</v>
          </cell>
          <cell r="AA163" t="b">
            <v>0</v>
          </cell>
          <cell r="AB163">
            <v>0</v>
          </cell>
          <cell r="AC163" t="b">
            <v>1</v>
          </cell>
          <cell r="AE163" t="str">
            <v>P</v>
          </cell>
          <cell r="AF163">
            <v>0</v>
          </cell>
          <cell r="AG163">
            <v>0</v>
          </cell>
          <cell r="AI163">
            <v>0</v>
          </cell>
        </row>
        <row r="164">
          <cell r="C164" t="str">
            <v>property_expenses_expense.PropertyExpenses.ELECT.Property.cb4fb5de-b893-454a-af8c-39d2f9dd8591</v>
          </cell>
          <cell r="D164">
            <v>132</v>
          </cell>
          <cell r="E164">
            <v>6</v>
          </cell>
          <cell r="F164" t="str">
            <v>Line_6</v>
          </cell>
          <cell r="G164" t="str">
            <v>AddF</v>
          </cell>
          <cell r="H164" t="str">
            <v>Class.ImportProperty</v>
          </cell>
          <cell r="I164" t="str">
            <v>Unit 6004, The Peninsular, Mooloolaba</v>
          </cell>
          <cell r="J164">
            <v>968.6</v>
          </cell>
          <cell r="K164">
            <v>0</v>
          </cell>
          <cell r="L164">
            <v>968.6</v>
          </cell>
          <cell r="M164">
            <v>0</v>
          </cell>
          <cell r="N164" t="str">
            <v>Add</v>
          </cell>
          <cell r="O164">
            <v>0</v>
          </cell>
          <cell r="V164" t="str">
            <v>NA</v>
          </cell>
          <cell r="X164">
            <v>0</v>
          </cell>
          <cell r="Y164" t="b">
            <v>0</v>
          </cell>
          <cell r="Z164" t="b">
            <v>0</v>
          </cell>
          <cell r="AA164" t="b">
            <v>0</v>
          </cell>
          <cell r="AB164">
            <v>0</v>
          </cell>
          <cell r="AC164" t="b">
            <v>1</v>
          </cell>
          <cell r="AE164" t="str">
            <v>P</v>
          </cell>
          <cell r="AF164">
            <v>0</v>
          </cell>
          <cell r="AG164">
            <v>0</v>
          </cell>
          <cell r="AI164">
            <v>0</v>
          </cell>
        </row>
        <row r="165">
          <cell r="C165" t="str">
            <v>Totalproperty_expenses_expense.PropertyExpenses.ELECT.Property</v>
          </cell>
          <cell r="D165">
            <v>133</v>
          </cell>
          <cell r="E165">
            <v>5</v>
          </cell>
          <cell r="F165" t="str">
            <v>Total_5</v>
          </cell>
          <cell r="G165" t="str">
            <v>AddF</v>
          </cell>
          <cell r="I165" t="str">
            <v>Total Direct Property</v>
          </cell>
          <cell r="J165">
            <v>968.6</v>
          </cell>
          <cell r="K165">
            <v>0</v>
          </cell>
          <cell r="L165">
            <v>968.6</v>
          </cell>
          <cell r="M165">
            <v>0</v>
          </cell>
          <cell r="N165" t="str">
            <v>Add</v>
          </cell>
          <cell r="O165">
            <v>0</v>
          </cell>
          <cell r="V165" t="str">
            <v>NA</v>
          </cell>
          <cell r="X165">
            <v>0</v>
          </cell>
          <cell r="Y165" t="b">
            <v>0</v>
          </cell>
          <cell r="Z165" t="b">
            <v>0</v>
          </cell>
          <cell r="AA165" t="b">
            <v>0</v>
          </cell>
          <cell r="AB165">
            <v>0</v>
          </cell>
          <cell r="AC165" t="b">
            <v>1</v>
          </cell>
          <cell r="AE165" t="str">
            <v>P</v>
          </cell>
          <cell r="AF165">
            <v>0</v>
          </cell>
          <cell r="AG165">
            <v>0</v>
          </cell>
          <cell r="AI165">
            <v>0</v>
          </cell>
        </row>
        <row r="166">
          <cell r="C166" t="str">
            <v>Totalproperty_expenses_expense.PropertyExpenses.ELECT</v>
          </cell>
          <cell r="D166">
            <v>134</v>
          </cell>
          <cell r="E166">
            <v>4</v>
          </cell>
          <cell r="F166" t="str">
            <v>Total_4</v>
          </cell>
          <cell r="G166" t="str">
            <v>AddF</v>
          </cell>
          <cell r="I166" t="str">
            <v>Total Electricity</v>
          </cell>
          <cell r="J166">
            <v>968.6</v>
          </cell>
          <cell r="K166">
            <v>0</v>
          </cell>
          <cell r="L166">
            <v>968.6</v>
          </cell>
          <cell r="M166">
            <v>0</v>
          </cell>
          <cell r="N166" t="str">
            <v>Add</v>
          </cell>
          <cell r="O166">
            <v>0</v>
          </cell>
          <cell r="V166" t="str">
            <v>NA</v>
          </cell>
          <cell r="X166">
            <v>0</v>
          </cell>
          <cell r="Y166" t="b">
            <v>0</v>
          </cell>
          <cell r="Z166" t="b">
            <v>0</v>
          </cell>
          <cell r="AA166" t="b">
            <v>0</v>
          </cell>
          <cell r="AB166">
            <v>0</v>
          </cell>
          <cell r="AC166" t="b">
            <v>1</v>
          </cell>
          <cell r="AE166" t="str">
            <v>P</v>
          </cell>
          <cell r="AF166">
            <v>0</v>
          </cell>
          <cell r="AG166">
            <v>0</v>
          </cell>
          <cell r="AI166">
            <v>0</v>
          </cell>
        </row>
        <row r="167">
          <cell r="C167" t="str">
            <v>property_expenses_expense.PropertyExpenses.RepairsMaintenance</v>
          </cell>
          <cell r="D167">
            <v>135</v>
          </cell>
          <cell r="E167">
            <v>4</v>
          </cell>
          <cell r="F167" t="str">
            <v>Header_4</v>
          </cell>
          <cell r="G167" t="str">
            <v>AddF</v>
          </cell>
          <cell r="I167" t="str">
            <v>Repairs Maintenance</v>
          </cell>
          <cell r="J167">
            <v>0</v>
          </cell>
          <cell r="K167">
            <v>0</v>
          </cell>
          <cell r="L167">
            <v>0</v>
          </cell>
          <cell r="M167">
            <v>0</v>
          </cell>
          <cell r="O167">
            <v>0</v>
          </cell>
          <cell r="V167" t="str">
            <v>NA</v>
          </cell>
          <cell r="X167">
            <v>0</v>
          </cell>
          <cell r="Y167" t="b">
            <v>0</v>
          </cell>
          <cell r="Z167" t="b">
            <v>0</v>
          </cell>
          <cell r="AA167" t="b">
            <v>0</v>
          </cell>
          <cell r="AB167">
            <v>0</v>
          </cell>
          <cell r="AC167" t="b">
            <v>1</v>
          </cell>
          <cell r="AE167" t="str">
            <v>P</v>
          </cell>
          <cell r="AF167">
            <v>0</v>
          </cell>
          <cell r="AG167">
            <v>0</v>
          </cell>
          <cell r="AI167">
            <v>0</v>
          </cell>
        </row>
        <row r="168">
          <cell r="C168" t="str">
            <v>property_expenses_expense.PropertyExpenses.RepairsMaintenance.Property</v>
          </cell>
          <cell r="D168">
            <v>136</v>
          </cell>
          <cell r="E168">
            <v>5</v>
          </cell>
          <cell r="F168" t="str">
            <v>Header_5</v>
          </cell>
          <cell r="G168" t="str">
            <v>AddF</v>
          </cell>
          <cell r="I168" t="str">
            <v>Direct Property</v>
          </cell>
          <cell r="J168">
            <v>0</v>
          </cell>
          <cell r="K168">
            <v>0</v>
          </cell>
          <cell r="L168">
            <v>0</v>
          </cell>
          <cell r="M168">
            <v>0</v>
          </cell>
          <cell r="O168">
            <v>0</v>
          </cell>
          <cell r="V168" t="str">
            <v>NA</v>
          </cell>
          <cell r="X168">
            <v>0</v>
          </cell>
          <cell r="Y168" t="b">
            <v>0</v>
          </cell>
          <cell r="Z168" t="b">
            <v>0</v>
          </cell>
          <cell r="AA168" t="b">
            <v>0</v>
          </cell>
          <cell r="AB168">
            <v>0</v>
          </cell>
          <cell r="AC168" t="b">
            <v>1</v>
          </cell>
          <cell r="AE168" t="str">
            <v>P</v>
          </cell>
          <cell r="AF168">
            <v>0</v>
          </cell>
          <cell r="AG168">
            <v>0</v>
          </cell>
          <cell r="AI168">
            <v>0</v>
          </cell>
        </row>
        <row r="169">
          <cell r="C169" t="str">
            <v>property_expenses_expense.PropertyExpenses.RepairsMaintenance.Property.cb4fb5de-b893-454a-af8c-39d2f9dd8591</v>
          </cell>
          <cell r="D169">
            <v>137</v>
          </cell>
          <cell r="E169">
            <v>6</v>
          </cell>
          <cell r="F169" t="str">
            <v>Line_6</v>
          </cell>
          <cell r="G169" t="str">
            <v>AddF</v>
          </cell>
          <cell r="H169" t="str">
            <v>Class.ImportProperty</v>
          </cell>
          <cell r="I169" t="str">
            <v>Unit 6004, The Peninsular, Mooloolaba</v>
          </cell>
          <cell r="J169">
            <v>4441.07</v>
          </cell>
          <cell r="K169">
            <v>0</v>
          </cell>
          <cell r="L169">
            <v>4441.07</v>
          </cell>
          <cell r="M169">
            <v>0</v>
          </cell>
          <cell r="N169" t="str">
            <v>Add</v>
          </cell>
          <cell r="O169">
            <v>0</v>
          </cell>
          <cell r="V169" t="str">
            <v>NA</v>
          </cell>
          <cell r="X169">
            <v>0</v>
          </cell>
          <cell r="Y169" t="b">
            <v>0</v>
          </cell>
          <cell r="Z169" t="b">
            <v>0</v>
          </cell>
          <cell r="AA169" t="b">
            <v>0</v>
          </cell>
          <cell r="AB169">
            <v>0</v>
          </cell>
          <cell r="AC169" t="b">
            <v>1</v>
          </cell>
          <cell r="AE169" t="str">
            <v>P</v>
          </cell>
          <cell r="AF169">
            <v>0</v>
          </cell>
          <cell r="AG169">
            <v>0</v>
          </cell>
          <cell r="AI169">
            <v>0</v>
          </cell>
        </row>
        <row r="170">
          <cell r="C170" t="str">
            <v>Totalproperty_expenses_expense.PropertyExpenses.RepairsMaintenance.Property</v>
          </cell>
          <cell r="D170">
            <v>138</v>
          </cell>
          <cell r="E170">
            <v>5</v>
          </cell>
          <cell r="F170" t="str">
            <v>Total_5</v>
          </cell>
          <cell r="G170" t="str">
            <v>AddF</v>
          </cell>
          <cell r="I170" t="str">
            <v>Total Direct Property</v>
          </cell>
          <cell r="J170">
            <v>4441.07</v>
          </cell>
          <cell r="K170">
            <v>0</v>
          </cell>
          <cell r="L170">
            <v>4441.07</v>
          </cell>
          <cell r="M170">
            <v>0</v>
          </cell>
          <cell r="N170" t="str">
            <v>Add</v>
          </cell>
          <cell r="O170">
            <v>0</v>
          </cell>
          <cell r="V170" t="str">
            <v>NA</v>
          </cell>
          <cell r="X170">
            <v>0</v>
          </cell>
          <cell r="Y170" t="b">
            <v>0</v>
          </cell>
          <cell r="Z170" t="b">
            <v>0</v>
          </cell>
          <cell r="AA170" t="b">
            <v>0</v>
          </cell>
          <cell r="AB170">
            <v>0</v>
          </cell>
          <cell r="AC170" t="b">
            <v>1</v>
          </cell>
          <cell r="AE170" t="str">
            <v>P</v>
          </cell>
          <cell r="AF170">
            <v>0</v>
          </cell>
          <cell r="AG170">
            <v>0</v>
          </cell>
          <cell r="AI170">
            <v>0</v>
          </cell>
        </row>
        <row r="171">
          <cell r="C171" t="str">
            <v>Totalproperty_expenses_expense.PropertyExpenses.RepairsMaintenance</v>
          </cell>
          <cell r="D171">
            <v>139</v>
          </cell>
          <cell r="E171">
            <v>4</v>
          </cell>
          <cell r="F171" t="str">
            <v>Total_4</v>
          </cell>
          <cell r="G171" t="str">
            <v>AddF</v>
          </cell>
          <cell r="I171" t="str">
            <v>Total Repairs Maintenance</v>
          </cell>
          <cell r="J171">
            <v>4441.07</v>
          </cell>
          <cell r="K171">
            <v>0</v>
          </cell>
          <cell r="L171">
            <v>4441.07</v>
          </cell>
          <cell r="M171">
            <v>0</v>
          </cell>
          <cell r="N171" t="str">
            <v>Add</v>
          </cell>
          <cell r="O171">
            <v>0</v>
          </cell>
          <cell r="V171" t="str">
            <v>NA</v>
          </cell>
          <cell r="X171">
            <v>0</v>
          </cell>
          <cell r="Y171" t="b">
            <v>0</v>
          </cell>
          <cell r="Z171" t="b">
            <v>0</v>
          </cell>
          <cell r="AA171" t="b">
            <v>0</v>
          </cell>
          <cell r="AB171">
            <v>0</v>
          </cell>
          <cell r="AC171" t="b">
            <v>1</v>
          </cell>
          <cell r="AE171" t="str">
            <v>P</v>
          </cell>
          <cell r="AF171">
            <v>0</v>
          </cell>
          <cell r="AG171">
            <v>0</v>
          </cell>
          <cell r="AI171">
            <v>0</v>
          </cell>
        </row>
        <row r="172">
          <cell r="C172" t="str">
            <v>property_expenses_expense.PropertyExpenses.StrataLevyFee</v>
          </cell>
          <cell r="D172">
            <v>140</v>
          </cell>
          <cell r="E172">
            <v>4</v>
          </cell>
          <cell r="F172" t="str">
            <v>Header_4</v>
          </cell>
          <cell r="G172" t="str">
            <v>AddF</v>
          </cell>
          <cell r="I172" t="str">
            <v>Strata Levy Fee</v>
          </cell>
          <cell r="J172">
            <v>0</v>
          </cell>
          <cell r="K172">
            <v>0</v>
          </cell>
          <cell r="L172">
            <v>0</v>
          </cell>
          <cell r="M172">
            <v>0</v>
          </cell>
          <cell r="O172">
            <v>0</v>
          </cell>
          <cell r="V172" t="str">
            <v>NA</v>
          </cell>
          <cell r="X172">
            <v>0</v>
          </cell>
          <cell r="Y172" t="b">
            <v>0</v>
          </cell>
          <cell r="Z172" t="b">
            <v>0</v>
          </cell>
          <cell r="AA172" t="b">
            <v>0</v>
          </cell>
          <cell r="AB172">
            <v>0</v>
          </cell>
          <cell r="AC172" t="b">
            <v>1</v>
          </cell>
          <cell r="AE172" t="str">
            <v>P</v>
          </cell>
          <cell r="AF172">
            <v>0</v>
          </cell>
          <cell r="AG172">
            <v>0</v>
          </cell>
          <cell r="AI172">
            <v>0</v>
          </cell>
        </row>
        <row r="173">
          <cell r="C173" t="str">
            <v>property_expenses_expense.PropertyExpenses.StrataLevyFee.Property</v>
          </cell>
          <cell r="D173">
            <v>141</v>
          </cell>
          <cell r="E173">
            <v>5</v>
          </cell>
          <cell r="F173" t="str">
            <v>Header_5</v>
          </cell>
          <cell r="G173" t="str">
            <v>AddF</v>
          </cell>
          <cell r="I173" t="str">
            <v>Direct Property</v>
          </cell>
          <cell r="J173">
            <v>0</v>
          </cell>
          <cell r="K173">
            <v>0</v>
          </cell>
          <cell r="L173">
            <v>0</v>
          </cell>
          <cell r="M173">
            <v>0</v>
          </cell>
          <cell r="O173">
            <v>0</v>
          </cell>
          <cell r="V173" t="str">
            <v>NA</v>
          </cell>
          <cell r="X173">
            <v>0</v>
          </cell>
          <cell r="Y173" t="b">
            <v>0</v>
          </cell>
          <cell r="Z173" t="b">
            <v>0</v>
          </cell>
          <cell r="AA173" t="b">
            <v>0</v>
          </cell>
          <cell r="AB173">
            <v>0</v>
          </cell>
          <cell r="AC173" t="b">
            <v>1</v>
          </cell>
          <cell r="AE173" t="str">
            <v>P</v>
          </cell>
          <cell r="AF173">
            <v>0</v>
          </cell>
          <cell r="AG173">
            <v>0</v>
          </cell>
          <cell r="AI173">
            <v>0</v>
          </cell>
        </row>
        <row r="174">
          <cell r="C174" t="str">
            <v>property_expenses_expense.PropertyExpenses.StrataLevyFee.Property.cb4fb5de-b893-454a-af8c-39d2f9dd8591</v>
          </cell>
          <cell r="D174">
            <v>142</v>
          </cell>
          <cell r="E174">
            <v>6</v>
          </cell>
          <cell r="F174" t="str">
            <v>Line_6</v>
          </cell>
          <cell r="G174" t="str">
            <v>AddF</v>
          </cell>
          <cell r="H174" t="str">
            <v>Class.ImportProperty</v>
          </cell>
          <cell r="I174" t="str">
            <v>Unit 6004, The Peninsular, Mooloolaba</v>
          </cell>
          <cell r="J174">
            <v>4221</v>
          </cell>
          <cell r="K174">
            <v>0</v>
          </cell>
          <cell r="L174">
            <v>4221</v>
          </cell>
          <cell r="M174">
            <v>0</v>
          </cell>
          <cell r="N174" t="str">
            <v>Add</v>
          </cell>
          <cell r="O174">
            <v>0</v>
          </cell>
          <cell r="V174" t="str">
            <v>NA</v>
          </cell>
          <cell r="X174">
            <v>0</v>
          </cell>
          <cell r="Y174" t="b">
            <v>0</v>
          </cell>
          <cell r="Z174" t="b">
            <v>0</v>
          </cell>
          <cell r="AA174" t="b">
            <v>0</v>
          </cell>
          <cell r="AB174">
            <v>0</v>
          </cell>
          <cell r="AC174" t="b">
            <v>1</v>
          </cell>
          <cell r="AE174" t="str">
            <v>P</v>
          </cell>
          <cell r="AF174">
            <v>0</v>
          </cell>
          <cell r="AG174">
            <v>0</v>
          </cell>
          <cell r="AI174">
            <v>0</v>
          </cell>
        </row>
        <row r="175">
          <cell r="C175" t="str">
            <v>Totalproperty_expenses_expense.PropertyExpenses.StrataLevyFee.Property</v>
          </cell>
          <cell r="D175">
            <v>143</v>
          </cell>
          <cell r="E175">
            <v>5</v>
          </cell>
          <cell r="F175" t="str">
            <v>Total_5</v>
          </cell>
          <cell r="G175" t="str">
            <v>AddF</v>
          </cell>
          <cell r="I175" t="str">
            <v>Total Direct Property</v>
          </cell>
          <cell r="J175">
            <v>4221</v>
          </cell>
          <cell r="K175">
            <v>0</v>
          </cell>
          <cell r="L175">
            <v>4221</v>
          </cell>
          <cell r="M175">
            <v>0</v>
          </cell>
          <cell r="N175" t="str">
            <v>Add</v>
          </cell>
          <cell r="O175">
            <v>0</v>
          </cell>
          <cell r="V175" t="str">
            <v>NA</v>
          </cell>
          <cell r="X175">
            <v>0</v>
          </cell>
          <cell r="Y175" t="b">
            <v>0</v>
          </cell>
          <cell r="Z175" t="b">
            <v>0</v>
          </cell>
          <cell r="AA175" t="b">
            <v>0</v>
          </cell>
          <cell r="AB175">
            <v>0</v>
          </cell>
          <cell r="AC175" t="b">
            <v>1</v>
          </cell>
          <cell r="AE175" t="str">
            <v>P</v>
          </cell>
          <cell r="AF175">
            <v>0</v>
          </cell>
          <cell r="AG175">
            <v>0</v>
          </cell>
          <cell r="AI175">
            <v>0</v>
          </cell>
        </row>
        <row r="176">
          <cell r="C176" t="str">
            <v>Totalproperty_expenses_expense.PropertyExpenses.StrataLevyFee</v>
          </cell>
          <cell r="D176">
            <v>144</v>
          </cell>
          <cell r="E176">
            <v>4</v>
          </cell>
          <cell r="F176" t="str">
            <v>Total_4</v>
          </cell>
          <cell r="G176" t="str">
            <v>AddF</v>
          </cell>
          <cell r="I176" t="str">
            <v>Total Strata Levy Fee</v>
          </cell>
          <cell r="J176">
            <v>4221</v>
          </cell>
          <cell r="K176">
            <v>0</v>
          </cell>
          <cell r="L176">
            <v>4221</v>
          </cell>
          <cell r="M176">
            <v>0</v>
          </cell>
          <cell r="N176" t="str">
            <v>Add</v>
          </cell>
          <cell r="O176">
            <v>0</v>
          </cell>
          <cell r="V176" t="str">
            <v>NA</v>
          </cell>
          <cell r="X176">
            <v>0</v>
          </cell>
          <cell r="Y176" t="b">
            <v>0</v>
          </cell>
          <cell r="Z176" t="b">
            <v>0</v>
          </cell>
          <cell r="AA176" t="b">
            <v>0</v>
          </cell>
          <cell r="AB176">
            <v>0</v>
          </cell>
          <cell r="AC176" t="b">
            <v>1</v>
          </cell>
          <cell r="AE176" t="str">
            <v>P</v>
          </cell>
          <cell r="AF176">
            <v>0</v>
          </cell>
          <cell r="AG176">
            <v>0</v>
          </cell>
          <cell r="AI176">
            <v>0</v>
          </cell>
        </row>
        <row r="177">
          <cell r="C177" t="str">
            <v>property_expenses_expense.PropertyExpenses.WaterLevyFee</v>
          </cell>
          <cell r="D177">
            <v>145</v>
          </cell>
          <cell r="E177">
            <v>4</v>
          </cell>
          <cell r="F177" t="str">
            <v>Header_4</v>
          </cell>
          <cell r="G177" t="str">
            <v>AddF</v>
          </cell>
          <cell r="I177" t="str">
            <v>Water Rates</v>
          </cell>
          <cell r="J177">
            <v>0</v>
          </cell>
          <cell r="K177">
            <v>0</v>
          </cell>
          <cell r="L177">
            <v>0</v>
          </cell>
          <cell r="M177">
            <v>0</v>
          </cell>
          <cell r="O177">
            <v>0</v>
          </cell>
          <cell r="V177" t="str">
            <v>NA</v>
          </cell>
          <cell r="X177">
            <v>0</v>
          </cell>
          <cell r="Y177" t="b">
            <v>0</v>
          </cell>
          <cell r="Z177" t="b">
            <v>0</v>
          </cell>
          <cell r="AA177" t="b">
            <v>0</v>
          </cell>
          <cell r="AB177">
            <v>0</v>
          </cell>
          <cell r="AC177" t="b">
            <v>1</v>
          </cell>
          <cell r="AE177" t="str">
            <v>P</v>
          </cell>
          <cell r="AF177">
            <v>0</v>
          </cell>
          <cell r="AG177">
            <v>0</v>
          </cell>
          <cell r="AI177">
            <v>0</v>
          </cell>
        </row>
        <row r="178">
          <cell r="C178" t="str">
            <v>property_expenses_expense.PropertyExpenses.WaterLevyFee.Property</v>
          </cell>
          <cell r="D178">
            <v>146</v>
          </cell>
          <cell r="E178">
            <v>5</v>
          </cell>
          <cell r="F178" t="str">
            <v>Header_5</v>
          </cell>
          <cell r="G178" t="str">
            <v>AddF</v>
          </cell>
          <cell r="I178" t="str">
            <v>Direct Property</v>
          </cell>
          <cell r="J178">
            <v>0</v>
          </cell>
          <cell r="K178">
            <v>0</v>
          </cell>
          <cell r="L178">
            <v>0</v>
          </cell>
          <cell r="M178">
            <v>0</v>
          </cell>
          <cell r="O178">
            <v>0</v>
          </cell>
          <cell r="V178" t="str">
            <v>NA</v>
          </cell>
          <cell r="X178">
            <v>0</v>
          </cell>
          <cell r="Y178" t="b">
            <v>0</v>
          </cell>
          <cell r="Z178" t="b">
            <v>0</v>
          </cell>
          <cell r="AA178" t="b">
            <v>0</v>
          </cell>
          <cell r="AB178">
            <v>0</v>
          </cell>
          <cell r="AC178" t="b">
            <v>1</v>
          </cell>
          <cell r="AE178" t="str">
            <v>P</v>
          </cell>
          <cell r="AF178">
            <v>0</v>
          </cell>
          <cell r="AG178">
            <v>0</v>
          </cell>
          <cell r="AI178">
            <v>0</v>
          </cell>
        </row>
        <row r="179">
          <cell r="C179" t="str">
            <v>property_expenses_expense.PropertyExpenses.WaterLevyFee.Property.cb4fb5de-b893-454a-af8c-39d2f9dd8591</v>
          </cell>
          <cell r="D179">
            <v>147</v>
          </cell>
          <cell r="E179">
            <v>6</v>
          </cell>
          <cell r="F179" t="str">
            <v>Line_6</v>
          </cell>
          <cell r="G179" t="str">
            <v>AddF</v>
          </cell>
          <cell r="H179" t="str">
            <v>Class.ImportProperty</v>
          </cell>
          <cell r="I179" t="str">
            <v>Unit 6004, The Peninsular, Mooloolaba</v>
          </cell>
          <cell r="J179">
            <v>1041.8499999999999</v>
          </cell>
          <cell r="K179">
            <v>0</v>
          </cell>
          <cell r="L179">
            <v>1041.8499999999999</v>
          </cell>
          <cell r="M179">
            <v>0</v>
          </cell>
          <cell r="N179" t="str">
            <v>Add</v>
          </cell>
          <cell r="O179">
            <v>0</v>
          </cell>
          <cell r="V179" t="str">
            <v>NA</v>
          </cell>
          <cell r="X179">
            <v>0</v>
          </cell>
          <cell r="Y179" t="b">
            <v>0</v>
          </cell>
          <cell r="Z179" t="b">
            <v>0</v>
          </cell>
          <cell r="AA179" t="b">
            <v>0</v>
          </cell>
          <cell r="AB179">
            <v>0</v>
          </cell>
          <cell r="AC179" t="b">
            <v>1</v>
          </cell>
          <cell r="AE179" t="str">
            <v>P</v>
          </cell>
          <cell r="AF179">
            <v>0</v>
          </cell>
          <cell r="AG179">
            <v>0</v>
          </cell>
          <cell r="AI179">
            <v>0</v>
          </cell>
        </row>
        <row r="180">
          <cell r="C180" t="str">
            <v>Totalproperty_expenses_expense.PropertyExpenses.WaterLevyFee.Property</v>
          </cell>
          <cell r="D180">
            <v>148</v>
          </cell>
          <cell r="E180">
            <v>5</v>
          </cell>
          <cell r="F180" t="str">
            <v>Total_5</v>
          </cell>
          <cell r="G180" t="str">
            <v>AddF</v>
          </cell>
          <cell r="I180" t="str">
            <v>Total Direct Property</v>
          </cell>
          <cell r="J180">
            <v>1041.8499999999999</v>
          </cell>
          <cell r="K180">
            <v>0</v>
          </cell>
          <cell r="L180">
            <v>1041.8499999999999</v>
          </cell>
          <cell r="M180">
            <v>0</v>
          </cell>
          <cell r="N180" t="str">
            <v>Add</v>
          </cell>
          <cell r="O180">
            <v>0</v>
          </cell>
          <cell r="V180" t="str">
            <v>NA</v>
          </cell>
          <cell r="X180">
            <v>0</v>
          </cell>
          <cell r="Y180" t="b">
            <v>0</v>
          </cell>
          <cell r="Z180" t="b">
            <v>0</v>
          </cell>
          <cell r="AA180" t="b">
            <v>0</v>
          </cell>
          <cell r="AB180">
            <v>0</v>
          </cell>
          <cell r="AC180" t="b">
            <v>1</v>
          </cell>
          <cell r="AE180" t="str">
            <v>P</v>
          </cell>
          <cell r="AF180">
            <v>0</v>
          </cell>
          <cell r="AG180">
            <v>0</v>
          </cell>
          <cell r="AI180">
            <v>0</v>
          </cell>
        </row>
        <row r="181">
          <cell r="C181" t="str">
            <v>Totalproperty_expenses_expense.PropertyExpenses.WaterLevyFee</v>
          </cell>
          <cell r="D181">
            <v>149</v>
          </cell>
          <cell r="E181">
            <v>4</v>
          </cell>
          <cell r="F181" t="str">
            <v>Total_4</v>
          </cell>
          <cell r="G181" t="str">
            <v>AddF</v>
          </cell>
          <cell r="I181" t="str">
            <v>Total Water Rates</v>
          </cell>
          <cell r="J181">
            <v>1041.8499999999999</v>
          </cell>
          <cell r="K181">
            <v>0</v>
          </cell>
          <cell r="L181">
            <v>1041.8499999999999</v>
          </cell>
          <cell r="M181">
            <v>0</v>
          </cell>
          <cell r="N181" t="str">
            <v>Add</v>
          </cell>
          <cell r="O181">
            <v>0</v>
          </cell>
          <cell r="V181" t="str">
            <v>NA</v>
          </cell>
          <cell r="X181">
            <v>0</v>
          </cell>
          <cell r="Y181" t="b">
            <v>0</v>
          </cell>
          <cell r="Z181" t="b">
            <v>0</v>
          </cell>
          <cell r="AA181" t="b">
            <v>0</v>
          </cell>
          <cell r="AB181">
            <v>0</v>
          </cell>
          <cell r="AC181" t="b">
            <v>1</v>
          </cell>
          <cell r="AE181" t="str">
            <v>P</v>
          </cell>
          <cell r="AF181">
            <v>0</v>
          </cell>
          <cell r="AG181">
            <v>0</v>
          </cell>
          <cell r="AI181">
            <v>0</v>
          </cell>
        </row>
        <row r="182">
          <cell r="C182" t="str">
            <v>Totalproperty_expenses_expense</v>
          </cell>
          <cell r="D182">
            <v>150</v>
          </cell>
          <cell r="E182">
            <v>3</v>
          </cell>
          <cell r="F182" t="str">
            <v>Total_3</v>
          </cell>
          <cell r="G182" t="str">
            <v>AddF</v>
          </cell>
          <cell r="I182" t="str">
            <v>Total Property Expenses</v>
          </cell>
          <cell r="J182">
            <v>41528.82</v>
          </cell>
          <cell r="K182">
            <v>0</v>
          </cell>
          <cell r="L182">
            <v>41528.82</v>
          </cell>
          <cell r="M182">
            <v>0</v>
          </cell>
          <cell r="N182" t="str">
            <v>Add</v>
          </cell>
          <cell r="O182">
            <v>0</v>
          </cell>
          <cell r="V182" t="str">
            <v>NA</v>
          </cell>
          <cell r="X182">
            <v>0</v>
          </cell>
          <cell r="Y182" t="b">
            <v>0</v>
          </cell>
          <cell r="Z182" t="b">
            <v>0</v>
          </cell>
          <cell r="AA182" t="b">
            <v>0</v>
          </cell>
          <cell r="AB182">
            <v>0</v>
          </cell>
          <cell r="AC182" t="b">
            <v>1</v>
          </cell>
          <cell r="AE182" t="str">
            <v>P</v>
          </cell>
          <cell r="AF182">
            <v>0</v>
          </cell>
          <cell r="AG182">
            <v>0</v>
          </cell>
          <cell r="AI182">
            <v>0</v>
          </cell>
        </row>
        <row r="183">
          <cell r="C183" t="str">
            <v>regulatory_fees_expense</v>
          </cell>
          <cell r="D183">
            <v>151</v>
          </cell>
          <cell r="E183">
            <v>3</v>
          </cell>
          <cell r="F183" t="str">
            <v>Line_3</v>
          </cell>
          <cell r="G183" t="str">
            <v>AddF</v>
          </cell>
          <cell r="I183" t="str">
            <v>Regulatory Fees</v>
          </cell>
          <cell r="J183">
            <v>47</v>
          </cell>
          <cell r="K183">
            <v>0</v>
          </cell>
          <cell r="L183">
            <v>47</v>
          </cell>
          <cell r="M183">
            <v>0</v>
          </cell>
          <cell r="N183" t="str">
            <v>Add</v>
          </cell>
          <cell r="O183">
            <v>0</v>
          </cell>
          <cell r="V183" t="str">
            <v>NA</v>
          </cell>
          <cell r="X183">
            <v>0</v>
          </cell>
          <cell r="Y183" t="b">
            <v>0</v>
          </cell>
          <cell r="Z183" t="b">
            <v>0</v>
          </cell>
          <cell r="AA183" t="b">
            <v>0</v>
          </cell>
          <cell r="AB183">
            <v>0</v>
          </cell>
          <cell r="AC183" t="b">
            <v>1</v>
          </cell>
          <cell r="AE183" t="str">
            <v>P</v>
          </cell>
          <cell r="AF183">
            <v>0</v>
          </cell>
          <cell r="AG183">
            <v>0</v>
          </cell>
          <cell r="AI183">
            <v>0</v>
          </cell>
        </row>
        <row r="184">
          <cell r="C184" t="str">
            <v>sundries_expense.RegulatoryExpense.SMSFSupervisoryLevy</v>
          </cell>
          <cell r="D184">
            <v>152</v>
          </cell>
          <cell r="E184">
            <v>3</v>
          </cell>
          <cell r="F184" t="str">
            <v>Line_3</v>
          </cell>
          <cell r="G184" t="str">
            <v>AddF</v>
          </cell>
          <cell r="I184" t="str">
            <v>SMSF Supervisory Levy</v>
          </cell>
          <cell r="J184">
            <v>259</v>
          </cell>
          <cell r="K184">
            <v>0</v>
          </cell>
          <cell r="L184">
            <v>259</v>
          </cell>
          <cell r="M184">
            <v>0</v>
          </cell>
          <cell r="N184" t="str">
            <v>Add</v>
          </cell>
          <cell r="O184">
            <v>0</v>
          </cell>
          <cell r="V184" t="str">
            <v>NA</v>
          </cell>
          <cell r="X184">
            <v>0</v>
          </cell>
          <cell r="Y184" t="b">
            <v>0</v>
          </cell>
          <cell r="Z184" t="b">
            <v>0</v>
          </cell>
          <cell r="AA184" t="b">
            <v>0</v>
          </cell>
          <cell r="AB184">
            <v>0</v>
          </cell>
          <cell r="AC184" t="b">
            <v>1</v>
          </cell>
          <cell r="AE184" t="str">
            <v>P</v>
          </cell>
          <cell r="AF184">
            <v>0</v>
          </cell>
          <cell r="AG184">
            <v>0</v>
          </cell>
          <cell r="AI184">
            <v>0</v>
          </cell>
        </row>
        <row r="185">
          <cell r="C185" t="str">
            <v>Totalother_expenses</v>
          </cell>
          <cell r="D185">
            <v>153</v>
          </cell>
          <cell r="E185">
            <v>2</v>
          </cell>
          <cell r="F185" t="str">
            <v>Total_2</v>
          </cell>
          <cell r="G185" t="str">
            <v>AddF</v>
          </cell>
          <cell r="I185" t="str">
            <v>Total Other Expenses</v>
          </cell>
          <cell r="J185">
            <v>59010.98</v>
          </cell>
          <cell r="K185">
            <v>0</v>
          </cell>
          <cell r="L185">
            <v>59010.98</v>
          </cell>
          <cell r="M185">
            <v>0</v>
          </cell>
          <cell r="N185" t="str">
            <v>Add</v>
          </cell>
          <cell r="O185">
            <v>0</v>
          </cell>
          <cell r="V185" t="str">
            <v>NA</v>
          </cell>
          <cell r="X185">
            <v>0</v>
          </cell>
          <cell r="Y185" t="b">
            <v>0</v>
          </cell>
          <cell r="Z185" t="b">
            <v>0</v>
          </cell>
          <cell r="AA185" t="b">
            <v>0</v>
          </cell>
          <cell r="AB185">
            <v>0</v>
          </cell>
          <cell r="AC185" t="b">
            <v>1</v>
          </cell>
          <cell r="AE185" t="str">
            <v>P</v>
          </cell>
          <cell r="AF185">
            <v>0</v>
          </cell>
          <cell r="AG185">
            <v>0</v>
          </cell>
          <cell r="AI185">
            <v>0</v>
          </cell>
        </row>
        <row r="186">
          <cell r="C186" t="str">
            <v>investment_losses</v>
          </cell>
          <cell r="D186">
            <v>154</v>
          </cell>
          <cell r="E186">
            <v>2</v>
          </cell>
          <cell r="F186" t="str">
            <v>Header_2</v>
          </cell>
          <cell r="G186" t="str">
            <v>AddF</v>
          </cell>
          <cell r="I186" t="str">
            <v>Investment Losses</v>
          </cell>
          <cell r="J186">
            <v>0</v>
          </cell>
          <cell r="K186">
            <v>0</v>
          </cell>
          <cell r="L186">
            <v>0</v>
          </cell>
          <cell r="M186">
            <v>0</v>
          </cell>
          <cell r="O186">
            <v>0</v>
          </cell>
          <cell r="V186" t="str">
            <v>NA</v>
          </cell>
          <cell r="X186">
            <v>0</v>
          </cell>
          <cell r="Y186" t="b">
            <v>0</v>
          </cell>
          <cell r="Z186" t="b">
            <v>0</v>
          </cell>
          <cell r="AA186" t="b">
            <v>0</v>
          </cell>
          <cell r="AB186">
            <v>0</v>
          </cell>
          <cell r="AC186" t="b">
            <v>1</v>
          </cell>
          <cell r="AE186" t="str">
            <v>P</v>
          </cell>
          <cell r="AF186">
            <v>0</v>
          </cell>
          <cell r="AG186">
            <v>0</v>
          </cell>
          <cell r="AI186">
            <v>0</v>
          </cell>
        </row>
        <row r="187">
          <cell r="C187" t="str">
            <v>increase_in_market_value</v>
          </cell>
          <cell r="D187">
            <v>155</v>
          </cell>
          <cell r="E187">
            <v>3</v>
          </cell>
          <cell r="F187" t="str">
            <v>Header_3</v>
          </cell>
          <cell r="G187" t="str">
            <v>AddF</v>
          </cell>
          <cell r="I187" t="str">
            <v>Decrease in Market Value</v>
          </cell>
          <cell r="J187">
            <v>0</v>
          </cell>
          <cell r="K187">
            <v>0</v>
          </cell>
          <cell r="L187">
            <v>0</v>
          </cell>
          <cell r="M187">
            <v>0</v>
          </cell>
          <cell r="O187">
            <v>0</v>
          </cell>
          <cell r="V187" t="str">
            <v>NA</v>
          </cell>
          <cell r="X187">
            <v>0</v>
          </cell>
          <cell r="Y187" t="b">
            <v>0</v>
          </cell>
          <cell r="Z187" t="b">
            <v>0</v>
          </cell>
          <cell r="AA187" t="b">
            <v>0</v>
          </cell>
          <cell r="AB187">
            <v>0</v>
          </cell>
          <cell r="AC187" t="b">
            <v>1</v>
          </cell>
          <cell r="AE187" t="str">
            <v>P</v>
          </cell>
          <cell r="AF187">
            <v>0</v>
          </cell>
          <cell r="AG187">
            <v>0</v>
          </cell>
          <cell r="AI187">
            <v>0</v>
          </cell>
        </row>
        <row r="188">
          <cell r="C188" t="str">
            <v>increase_in_market_value.Property</v>
          </cell>
          <cell r="D188">
            <v>156</v>
          </cell>
          <cell r="E188">
            <v>4</v>
          </cell>
          <cell r="F188" t="str">
            <v>Header_4</v>
          </cell>
          <cell r="G188" t="str">
            <v>AddF</v>
          </cell>
          <cell r="I188" t="str">
            <v>Direct Property</v>
          </cell>
          <cell r="J188">
            <v>0</v>
          </cell>
          <cell r="K188">
            <v>0</v>
          </cell>
          <cell r="L188">
            <v>0</v>
          </cell>
          <cell r="M188">
            <v>0</v>
          </cell>
          <cell r="O188">
            <v>0</v>
          </cell>
          <cell r="V188" t="str">
            <v>NA</v>
          </cell>
          <cell r="X188">
            <v>0</v>
          </cell>
          <cell r="Y188" t="b">
            <v>0</v>
          </cell>
          <cell r="Z188" t="b">
            <v>0</v>
          </cell>
          <cell r="AA188" t="b">
            <v>0</v>
          </cell>
          <cell r="AB188">
            <v>0</v>
          </cell>
          <cell r="AC188" t="b">
            <v>1</v>
          </cell>
          <cell r="AE188" t="str">
            <v>P</v>
          </cell>
          <cell r="AF188">
            <v>0</v>
          </cell>
          <cell r="AG188">
            <v>0</v>
          </cell>
          <cell r="AI188">
            <v>0</v>
          </cell>
        </row>
        <row r="189">
          <cell r="C189" t="str">
            <v>increase_in_market_value.Property.cb4fb5de-b893-454a-af8c-39d2f9dd8591</v>
          </cell>
          <cell r="D189">
            <v>157</v>
          </cell>
          <cell r="E189">
            <v>5</v>
          </cell>
          <cell r="F189" t="str">
            <v>Line_5</v>
          </cell>
          <cell r="G189" t="str">
            <v>AddF</v>
          </cell>
          <cell r="H189" t="str">
            <v>Class.ImportProperty</v>
          </cell>
          <cell r="I189" t="str">
            <v>Unit 6004, The Peninsular, Mooloolaba</v>
          </cell>
          <cell r="J189">
            <v>-1644.16</v>
          </cell>
          <cell r="K189">
            <v>0</v>
          </cell>
          <cell r="L189">
            <v>-1644.16</v>
          </cell>
          <cell r="M189">
            <v>0</v>
          </cell>
          <cell r="N189" t="str">
            <v>Add</v>
          </cell>
          <cell r="O189">
            <v>0</v>
          </cell>
          <cell r="V189" t="str">
            <v>NA</v>
          </cell>
          <cell r="X189">
            <v>0</v>
          </cell>
          <cell r="Y189" t="b">
            <v>0</v>
          </cell>
          <cell r="Z189" t="b">
            <v>0</v>
          </cell>
          <cell r="AA189" t="b">
            <v>0</v>
          </cell>
          <cell r="AB189">
            <v>0</v>
          </cell>
          <cell r="AC189" t="b">
            <v>1</v>
          </cell>
          <cell r="AE189" t="str">
            <v>P</v>
          </cell>
          <cell r="AF189">
            <v>0</v>
          </cell>
          <cell r="AG189">
            <v>0</v>
          </cell>
          <cell r="AI189">
            <v>0</v>
          </cell>
        </row>
        <row r="190">
          <cell r="C190" t="str">
            <v>Totalincrease_in_market_value.Property</v>
          </cell>
          <cell r="D190">
            <v>158</v>
          </cell>
          <cell r="E190">
            <v>4</v>
          </cell>
          <cell r="F190" t="str">
            <v>Total_4</v>
          </cell>
          <cell r="G190" t="str">
            <v>AddF</v>
          </cell>
          <cell r="I190" t="str">
            <v>Total Direct Property</v>
          </cell>
          <cell r="J190">
            <v>-1644.16</v>
          </cell>
          <cell r="K190">
            <v>0</v>
          </cell>
          <cell r="L190">
            <v>-1644.16</v>
          </cell>
          <cell r="M190">
            <v>0</v>
          </cell>
          <cell r="N190" t="str">
            <v>Add</v>
          </cell>
          <cell r="O190">
            <v>0</v>
          </cell>
          <cell r="V190" t="str">
            <v>NA</v>
          </cell>
          <cell r="X190">
            <v>0</v>
          </cell>
          <cell r="Y190" t="b">
            <v>0</v>
          </cell>
          <cell r="Z190" t="b">
            <v>0</v>
          </cell>
          <cell r="AA190" t="b">
            <v>0</v>
          </cell>
          <cell r="AB190">
            <v>0</v>
          </cell>
          <cell r="AC190" t="b">
            <v>1</v>
          </cell>
          <cell r="AE190" t="str">
            <v>P</v>
          </cell>
          <cell r="AF190">
            <v>0</v>
          </cell>
          <cell r="AG190">
            <v>0</v>
          </cell>
          <cell r="AI190">
            <v>0</v>
          </cell>
        </row>
        <row r="191">
          <cell r="C191" t="str">
            <v>increase_in_market_value.OtherFixedInterest</v>
          </cell>
          <cell r="D191">
            <v>159</v>
          </cell>
          <cell r="E191">
            <v>4</v>
          </cell>
          <cell r="F191" t="str">
            <v>Header_4</v>
          </cell>
          <cell r="G191" t="str">
            <v>AddF</v>
          </cell>
          <cell r="I191" t="str">
            <v>Other Fixed Interest Securities</v>
          </cell>
          <cell r="J191">
            <v>0</v>
          </cell>
          <cell r="K191">
            <v>0</v>
          </cell>
          <cell r="L191">
            <v>0</v>
          </cell>
          <cell r="M191">
            <v>0</v>
          </cell>
          <cell r="O191">
            <v>0</v>
          </cell>
          <cell r="V191" t="str">
            <v>NA</v>
          </cell>
          <cell r="X191">
            <v>0</v>
          </cell>
          <cell r="Y191" t="b">
            <v>0</v>
          </cell>
          <cell r="Z191" t="b">
            <v>0</v>
          </cell>
          <cell r="AA191" t="b">
            <v>0</v>
          </cell>
          <cell r="AB191">
            <v>0</v>
          </cell>
          <cell r="AC191" t="b">
            <v>1</v>
          </cell>
          <cell r="AE191" t="str">
            <v>P</v>
          </cell>
          <cell r="AF191">
            <v>0</v>
          </cell>
          <cell r="AG191">
            <v>0</v>
          </cell>
          <cell r="AI191">
            <v>0</v>
          </cell>
        </row>
        <row r="192">
          <cell r="C192" t="str">
            <v>increase_in_market_value.OtherFixedInterest.fadeec77-42db-4e5e-85db-6bf9ece3a26c</v>
          </cell>
          <cell r="D192">
            <v>160</v>
          </cell>
          <cell r="E192">
            <v>5</v>
          </cell>
          <cell r="F192" t="str">
            <v>Line_5</v>
          </cell>
          <cell r="G192" t="str">
            <v>AddF</v>
          </cell>
          <cell r="I192" t="str">
            <v>AGL Energy Limited. - Hybrid 3-Bbsw+3.80% 08-06-39 Sub Step T-06-19</v>
          </cell>
          <cell r="J192">
            <v>-3980</v>
          </cell>
          <cell r="K192">
            <v>0</v>
          </cell>
          <cell r="L192">
            <v>-3980</v>
          </cell>
          <cell r="M192">
            <v>0</v>
          </cell>
          <cell r="N192" t="str">
            <v>Add</v>
          </cell>
          <cell r="O192">
            <v>0</v>
          </cell>
          <cell r="V192" t="str">
            <v>NA</v>
          </cell>
          <cell r="X192">
            <v>0</v>
          </cell>
          <cell r="Y192" t="b">
            <v>0</v>
          </cell>
          <cell r="Z192" t="b">
            <v>0</v>
          </cell>
          <cell r="AA192" t="b">
            <v>0</v>
          </cell>
          <cell r="AB192">
            <v>0</v>
          </cell>
          <cell r="AC192" t="b">
            <v>1</v>
          </cell>
          <cell r="AE192" t="str">
            <v>P</v>
          </cell>
          <cell r="AF192">
            <v>0</v>
          </cell>
          <cell r="AG192">
            <v>0</v>
          </cell>
          <cell r="AI192">
            <v>0</v>
          </cell>
        </row>
        <row r="193">
          <cell r="C193" t="str">
            <v>increase_in_market_value.OtherFixedInterest.f0f4db9a-7385-4541-ae22-c5c550e0f92e</v>
          </cell>
          <cell r="D193">
            <v>161</v>
          </cell>
          <cell r="E193">
            <v>5</v>
          </cell>
          <cell r="F193" t="str">
            <v>Line_5</v>
          </cell>
          <cell r="G193" t="str">
            <v>AddF</v>
          </cell>
          <cell r="I193" t="str">
            <v>Macquarie Bank Limited - Hybrid 3-Bbsw+1.70% Perp Sub Non-Cum Stap</v>
          </cell>
          <cell r="J193">
            <v>-2410</v>
          </cell>
          <cell r="K193">
            <v>0</v>
          </cell>
          <cell r="L193">
            <v>-2410</v>
          </cell>
          <cell r="M193">
            <v>0</v>
          </cell>
          <cell r="N193" t="str">
            <v>Add</v>
          </cell>
          <cell r="O193">
            <v>0</v>
          </cell>
          <cell r="V193" t="str">
            <v>NA</v>
          </cell>
          <cell r="X193">
            <v>0</v>
          </cell>
          <cell r="Y193" t="b">
            <v>0</v>
          </cell>
          <cell r="Z193" t="b">
            <v>0</v>
          </cell>
          <cell r="AA193" t="b">
            <v>0</v>
          </cell>
          <cell r="AB193">
            <v>0</v>
          </cell>
          <cell r="AC193" t="b">
            <v>1</v>
          </cell>
          <cell r="AE193" t="str">
            <v>P</v>
          </cell>
          <cell r="AF193">
            <v>0</v>
          </cell>
          <cell r="AG193">
            <v>0</v>
          </cell>
          <cell r="AI193">
            <v>0</v>
          </cell>
        </row>
        <row r="194">
          <cell r="C194" t="str">
            <v>increase_in_market_value.OtherFixedInterest.8095f795-30a9-40b9-8e6f-d3cb26fb2897</v>
          </cell>
          <cell r="D194">
            <v>162</v>
          </cell>
          <cell r="E194">
            <v>5</v>
          </cell>
          <cell r="F194" t="str">
            <v>Line_5</v>
          </cell>
          <cell r="G194" t="str">
            <v>AddF</v>
          </cell>
          <cell r="I194" t="str">
            <v>NAB Ltd - Hybrid 3-Bbsw+1.25% Perp Sub Exch Non-Cum Stap</v>
          </cell>
          <cell r="J194">
            <v>-2414.1999999999998</v>
          </cell>
          <cell r="K194">
            <v>0</v>
          </cell>
          <cell r="L194">
            <v>-2414.1999999999998</v>
          </cell>
          <cell r="M194">
            <v>0</v>
          </cell>
          <cell r="N194" t="str">
            <v>Add</v>
          </cell>
          <cell r="O194">
            <v>0</v>
          </cell>
          <cell r="V194" t="str">
            <v>NA</v>
          </cell>
          <cell r="X194">
            <v>0</v>
          </cell>
          <cell r="Y194" t="b">
            <v>0</v>
          </cell>
          <cell r="Z194" t="b">
            <v>0</v>
          </cell>
          <cell r="AA194" t="b">
            <v>0</v>
          </cell>
          <cell r="AB194">
            <v>0</v>
          </cell>
          <cell r="AC194" t="b">
            <v>1</v>
          </cell>
          <cell r="AE194" t="str">
            <v>P</v>
          </cell>
          <cell r="AF194">
            <v>0</v>
          </cell>
          <cell r="AG194">
            <v>0</v>
          </cell>
          <cell r="AI194">
            <v>0</v>
          </cell>
        </row>
        <row r="195">
          <cell r="C195" t="str">
            <v>increase_in_market_value.OtherFixedInterest.d8df9507-7f52-4c67-a6eb-65c956241327</v>
          </cell>
          <cell r="D195">
            <v>163</v>
          </cell>
          <cell r="E195">
            <v>5</v>
          </cell>
          <cell r="F195" t="str">
            <v>Line_5</v>
          </cell>
          <cell r="G195" t="str">
            <v>AddF</v>
          </cell>
          <cell r="I195" t="str">
            <v>Origin Energy Limited - Hybrid 3-Bbsw+4.00% 22-12-71 Sub Cum Red T-12-16</v>
          </cell>
          <cell r="J195">
            <v>-1180</v>
          </cell>
          <cell r="K195">
            <v>0</v>
          </cell>
          <cell r="L195">
            <v>-1180</v>
          </cell>
          <cell r="M195">
            <v>0</v>
          </cell>
          <cell r="N195" t="str">
            <v>Add</v>
          </cell>
          <cell r="O195">
            <v>0</v>
          </cell>
          <cell r="V195" t="str">
            <v>NA</v>
          </cell>
          <cell r="X195">
            <v>0</v>
          </cell>
          <cell r="Y195" t="b">
            <v>0</v>
          </cell>
          <cell r="Z195" t="b">
            <v>0</v>
          </cell>
          <cell r="AA195" t="b">
            <v>0</v>
          </cell>
          <cell r="AB195">
            <v>0</v>
          </cell>
          <cell r="AC195" t="b">
            <v>1</v>
          </cell>
          <cell r="AE195" t="str">
            <v>P</v>
          </cell>
          <cell r="AF195">
            <v>0</v>
          </cell>
          <cell r="AG195">
            <v>0</v>
          </cell>
          <cell r="AI195">
            <v>0</v>
          </cell>
        </row>
        <row r="196">
          <cell r="C196" t="str">
            <v>increase_in_market_value.OtherFixedInterest.919b1fa8-a96c-4861-942b-8aad5464e14d</v>
          </cell>
          <cell r="D196">
            <v>164</v>
          </cell>
          <cell r="E196">
            <v>5</v>
          </cell>
          <cell r="F196" t="str">
            <v>Line_5</v>
          </cell>
          <cell r="G196" t="str">
            <v>AddF</v>
          </cell>
          <cell r="I196" t="str">
            <v>Westpac Banking Corporation - Sub Bond 3-Bbsw+2.75% 23-8-22 Red T-08-17</v>
          </cell>
          <cell r="J196">
            <v>1240</v>
          </cell>
          <cell r="K196">
            <v>0</v>
          </cell>
          <cell r="L196">
            <v>1240</v>
          </cell>
          <cell r="M196">
            <v>0</v>
          </cell>
          <cell r="N196" t="str">
            <v>Add</v>
          </cell>
          <cell r="O196">
            <v>0</v>
          </cell>
          <cell r="V196" t="str">
            <v>NA</v>
          </cell>
          <cell r="X196">
            <v>0</v>
          </cell>
          <cell r="Y196" t="b">
            <v>0</v>
          </cell>
          <cell r="Z196" t="b">
            <v>0</v>
          </cell>
          <cell r="AA196" t="b">
            <v>0</v>
          </cell>
          <cell r="AB196">
            <v>0</v>
          </cell>
          <cell r="AC196" t="b">
            <v>1</v>
          </cell>
          <cell r="AE196" t="str">
            <v>P</v>
          </cell>
          <cell r="AF196">
            <v>0</v>
          </cell>
          <cell r="AG196">
            <v>0</v>
          </cell>
          <cell r="AI196">
            <v>0</v>
          </cell>
        </row>
        <row r="197">
          <cell r="C197" t="str">
            <v>Totalincrease_in_market_value.OtherFixedInterest</v>
          </cell>
          <cell r="D197">
            <v>165</v>
          </cell>
          <cell r="E197">
            <v>4</v>
          </cell>
          <cell r="F197" t="str">
            <v>Total_4</v>
          </cell>
          <cell r="G197" t="str">
            <v>AddF</v>
          </cell>
          <cell r="I197" t="str">
            <v>Total Other Fixed Interest Securities</v>
          </cell>
          <cell r="J197">
            <v>-8744.2000000000007</v>
          </cell>
          <cell r="K197">
            <v>0</v>
          </cell>
          <cell r="L197">
            <v>-8744.2000000000007</v>
          </cell>
          <cell r="M197">
            <v>0</v>
          </cell>
          <cell r="N197" t="str">
            <v>Add</v>
          </cell>
          <cell r="O197">
            <v>0</v>
          </cell>
          <cell r="V197" t="str">
            <v>NA</v>
          </cell>
          <cell r="X197">
            <v>0</v>
          </cell>
          <cell r="Y197" t="b">
            <v>0</v>
          </cell>
          <cell r="Z197" t="b">
            <v>0</v>
          </cell>
          <cell r="AA197" t="b">
            <v>0</v>
          </cell>
          <cell r="AB197">
            <v>0</v>
          </cell>
          <cell r="AC197" t="b">
            <v>1</v>
          </cell>
          <cell r="AE197" t="str">
            <v>P</v>
          </cell>
          <cell r="AF197">
            <v>0</v>
          </cell>
          <cell r="AG197">
            <v>0</v>
          </cell>
          <cell r="AI197">
            <v>0</v>
          </cell>
        </row>
        <row r="198">
          <cell r="C198" t="str">
            <v>increase_in_market_value.ListedShares</v>
          </cell>
          <cell r="D198">
            <v>166</v>
          </cell>
          <cell r="E198">
            <v>4</v>
          </cell>
          <cell r="F198" t="str">
            <v>Header_4</v>
          </cell>
          <cell r="G198" t="str">
            <v>AddF</v>
          </cell>
          <cell r="I198" t="str">
            <v>Shares in Listed Companies</v>
          </cell>
          <cell r="J198">
            <v>0</v>
          </cell>
          <cell r="K198">
            <v>0</v>
          </cell>
          <cell r="L198">
            <v>0</v>
          </cell>
          <cell r="M198">
            <v>0</v>
          </cell>
          <cell r="O198">
            <v>0</v>
          </cell>
          <cell r="V198" t="str">
            <v>NA</v>
          </cell>
          <cell r="X198">
            <v>0</v>
          </cell>
          <cell r="Y198" t="b">
            <v>0</v>
          </cell>
          <cell r="Z198" t="b">
            <v>0</v>
          </cell>
          <cell r="AA198" t="b">
            <v>0</v>
          </cell>
          <cell r="AB198">
            <v>0</v>
          </cell>
          <cell r="AC198" t="b">
            <v>1</v>
          </cell>
          <cell r="AE198" t="str">
            <v>P</v>
          </cell>
          <cell r="AF198">
            <v>0</v>
          </cell>
          <cell r="AG198">
            <v>0</v>
          </cell>
          <cell r="AI198">
            <v>0</v>
          </cell>
        </row>
        <row r="199">
          <cell r="C199" t="str">
            <v>increase_in_market_value.ListedShares.ea7fe5a2-6a50-4e1c-b2bf-ab7ac3754bf6</v>
          </cell>
          <cell r="D199">
            <v>167</v>
          </cell>
          <cell r="E199">
            <v>5</v>
          </cell>
          <cell r="F199" t="str">
            <v>Line_5</v>
          </cell>
          <cell r="G199" t="str">
            <v>AddF</v>
          </cell>
          <cell r="I199" t="str">
            <v>ANZ Banking Group Ltd - Cnv Pref 6-Bbsw+3.10% Perp Sub Non-Cum T-09-19</v>
          </cell>
          <cell r="J199">
            <v>-900</v>
          </cell>
          <cell r="K199">
            <v>0</v>
          </cell>
          <cell r="L199">
            <v>-900</v>
          </cell>
          <cell r="M199">
            <v>0</v>
          </cell>
          <cell r="N199" t="str">
            <v>Add</v>
          </cell>
          <cell r="O199">
            <v>0</v>
          </cell>
          <cell r="V199" t="str">
            <v>NA</v>
          </cell>
          <cell r="X199">
            <v>0</v>
          </cell>
          <cell r="Y199" t="b">
            <v>0</v>
          </cell>
          <cell r="Z199" t="b">
            <v>0</v>
          </cell>
          <cell r="AA199" t="b">
            <v>0</v>
          </cell>
          <cell r="AB199">
            <v>0</v>
          </cell>
          <cell r="AC199" t="b">
            <v>1</v>
          </cell>
          <cell r="AE199" t="str">
            <v>P</v>
          </cell>
          <cell r="AF199">
            <v>0</v>
          </cell>
          <cell r="AG199">
            <v>0</v>
          </cell>
          <cell r="AI199">
            <v>0</v>
          </cell>
        </row>
        <row r="200">
          <cell r="C200" t="str">
            <v>increase_in_market_value.ListedShares.c661fd1f-7227-4c8d-84cb-8704d5b3ff83</v>
          </cell>
          <cell r="D200">
            <v>168</v>
          </cell>
          <cell r="E200">
            <v>5</v>
          </cell>
          <cell r="F200" t="str">
            <v>Line_5</v>
          </cell>
          <cell r="G200" t="str">
            <v>AddF</v>
          </cell>
          <cell r="I200" t="str">
            <v>BHP Billiton Limited</v>
          </cell>
          <cell r="J200">
            <v>-45049.9</v>
          </cell>
          <cell r="K200">
            <v>0</v>
          </cell>
          <cell r="L200">
            <v>-45049.9</v>
          </cell>
          <cell r="M200">
            <v>0</v>
          </cell>
          <cell r="N200" t="str">
            <v>Add</v>
          </cell>
          <cell r="O200">
            <v>0</v>
          </cell>
          <cell r="V200" t="str">
            <v>NA</v>
          </cell>
          <cell r="X200">
            <v>0</v>
          </cell>
          <cell r="Y200" t="b">
            <v>0</v>
          </cell>
          <cell r="Z200" t="b">
            <v>0</v>
          </cell>
          <cell r="AA200" t="b">
            <v>0</v>
          </cell>
          <cell r="AB200">
            <v>0</v>
          </cell>
          <cell r="AC200" t="b">
            <v>1</v>
          </cell>
          <cell r="AE200" t="str">
            <v>P</v>
          </cell>
          <cell r="AF200">
            <v>0</v>
          </cell>
          <cell r="AG200">
            <v>0</v>
          </cell>
          <cell r="AI200">
            <v>0</v>
          </cell>
        </row>
        <row r="201">
          <cell r="C201" t="str">
            <v>increase_in_market_value.ListedShares.1eaa5cbe-0ce4-470e-83e9-f0eda6d6e2da</v>
          </cell>
          <cell r="D201">
            <v>169</v>
          </cell>
          <cell r="E201">
            <v>5</v>
          </cell>
          <cell r="F201" t="str">
            <v>Line_5</v>
          </cell>
          <cell r="G201" t="str">
            <v>AddF</v>
          </cell>
          <cell r="I201" t="str">
            <v>Commonwealth Bank Of Australia.</v>
          </cell>
          <cell r="J201">
            <v>-28214.92</v>
          </cell>
          <cell r="K201">
            <v>0</v>
          </cell>
          <cell r="L201">
            <v>-28214.92</v>
          </cell>
          <cell r="M201">
            <v>0</v>
          </cell>
          <cell r="N201" t="str">
            <v>Add</v>
          </cell>
          <cell r="O201">
            <v>0</v>
          </cell>
          <cell r="V201" t="str">
            <v>NA</v>
          </cell>
          <cell r="X201">
            <v>0</v>
          </cell>
          <cell r="Y201" t="b">
            <v>0</v>
          </cell>
          <cell r="Z201" t="b">
            <v>0</v>
          </cell>
          <cell r="AA201" t="b">
            <v>0</v>
          </cell>
          <cell r="AB201">
            <v>0</v>
          </cell>
          <cell r="AC201" t="b">
            <v>1</v>
          </cell>
          <cell r="AE201" t="str">
            <v>P</v>
          </cell>
          <cell r="AF201">
            <v>0</v>
          </cell>
          <cell r="AG201">
            <v>0</v>
          </cell>
          <cell r="AI201">
            <v>0</v>
          </cell>
        </row>
        <row r="202">
          <cell r="C202" t="str">
            <v>increase_in_market_value.ListedShares.24fef001-f628-4dc4-9bf6-8ee82dd62ed3</v>
          </cell>
          <cell r="D202">
            <v>170</v>
          </cell>
          <cell r="E202">
            <v>5</v>
          </cell>
          <cell r="F202" t="str">
            <v>Line_5</v>
          </cell>
          <cell r="G202" t="str">
            <v>AddF</v>
          </cell>
          <cell r="I202" t="str">
            <v>Lycopodium Limited</v>
          </cell>
          <cell r="J202">
            <v>-42120</v>
          </cell>
          <cell r="K202">
            <v>0</v>
          </cell>
          <cell r="L202">
            <v>-42120</v>
          </cell>
          <cell r="M202">
            <v>0</v>
          </cell>
          <cell r="N202" t="str">
            <v>Add</v>
          </cell>
          <cell r="O202">
            <v>0</v>
          </cell>
          <cell r="V202" t="str">
            <v>NA</v>
          </cell>
          <cell r="X202">
            <v>0</v>
          </cell>
          <cell r="Y202" t="b">
            <v>0</v>
          </cell>
          <cell r="Z202" t="b">
            <v>0</v>
          </cell>
          <cell r="AA202" t="b">
            <v>0</v>
          </cell>
          <cell r="AB202">
            <v>0</v>
          </cell>
          <cell r="AC202" t="b">
            <v>1</v>
          </cell>
          <cell r="AE202" t="str">
            <v>P</v>
          </cell>
          <cell r="AF202">
            <v>0</v>
          </cell>
          <cell r="AG202">
            <v>0</v>
          </cell>
          <cell r="AI202">
            <v>0</v>
          </cell>
        </row>
        <row r="203">
          <cell r="C203" t="str">
            <v>increase_in_market_value.ListedShares.9818f6d6-d4e9-4dcd-9995-29f54b31d4ac</v>
          </cell>
          <cell r="D203">
            <v>171</v>
          </cell>
          <cell r="E203">
            <v>5</v>
          </cell>
          <cell r="F203" t="str">
            <v>Line_5</v>
          </cell>
          <cell r="G203" t="str">
            <v>AddF</v>
          </cell>
          <cell r="I203" t="str">
            <v>NRW Holdings Limited</v>
          </cell>
          <cell r="J203">
            <v>-39228.300000000003</v>
          </cell>
          <cell r="K203">
            <v>0</v>
          </cell>
          <cell r="L203">
            <v>-39228.300000000003</v>
          </cell>
          <cell r="M203">
            <v>0</v>
          </cell>
          <cell r="N203" t="str">
            <v>Add</v>
          </cell>
          <cell r="O203">
            <v>0</v>
          </cell>
          <cell r="V203" t="str">
            <v>NA</v>
          </cell>
          <cell r="X203">
            <v>0</v>
          </cell>
          <cell r="Y203" t="b">
            <v>0</v>
          </cell>
          <cell r="Z203" t="b">
            <v>0</v>
          </cell>
          <cell r="AA203" t="b">
            <v>0</v>
          </cell>
          <cell r="AB203">
            <v>0</v>
          </cell>
          <cell r="AC203" t="b">
            <v>1</v>
          </cell>
          <cell r="AE203" t="str">
            <v>P</v>
          </cell>
          <cell r="AF203">
            <v>0</v>
          </cell>
          <cell r="AG203">
            <v>0</v>
          </cell>
          <cell r="AI203">
            <v>0</v>
          </cell>
        </row>
        <row r="204">
          <cell r="C204" t="str">
            <v>increase_in_market_value.ListedShares.11031a76-c558-42b0-9844-9a11dee4c1e8</v>
          </cell>
          <cell r="D204">
            <v>172</v>
          </cell>
          <cell r="E204">
            <v>5</v>
          </cell>
          <cell r="F204" t="str">
            <v>Line_5</v>
          </cell>
          <cell r="G204" t="str">
            <v>AddF</v>
          </cell>
          <cell r="I204" t="str">
            <v>RCG Corporation Limited</v>
          </cell>
          <cell r="J204">
            <v>359472.9</v>
          </cell>
          <cell r="K204">
            <v>0</v>
          </cell>
          <cell r="L204">
            <v>359472.9</v>
          </cell>
          <cell r="M204">
            <v>0</v>
          </cell>
          <cell r="N204" t="str">
            <v>Add</v>
          </cell>
          <cell r="O204">
            <v>0</v>
          </cell>
          <cell r="V204" t="str">
            <v>NA</v>
          </cell>
          <cell r="X204">
            <v>0</v>
          </cell>
          <cell r="Y204" t="b">
            <v>0</v>
          </cell>
          <cell r="Z204" t="b">
            <v>0</v>
          </cell>
          <cell r="AA204" t="b">
            <v>0</v>
          </cell>
          <cell r="AB204">
            <v>0</v>
          </cell>
          <cell r="AC204" t="b">
            <v>1</v>
          </cell>
          <cell r="AE204" t="str">
            <v>P</v>
          </cell>
          <cell r="AF204">
            <v>0</v>
          </cell>
          <cell r="AG204">
            <v>0</v>
          </cell>
          <cell r="AI204">
            <v>0</v>
          </cell>
        </row>
        <row r="205">
          <cell r="C205" t="str">
            <v>increase_in_market_value.ListedShares.ea88510b-2578-4e3e-954a-a34881259d6d</v>
          </cell>
          <cell r="D205">
            <v>173</v>
          </cell>
          <cell r="E205">
            <v>5</v>
          </cell>
          <cell r="F205" t="str">
            <v>Line_5</v>
          </cell>
          <cell r="G205" t="str">
            <v>AddF</v>
          </cell>
          <cell r="I205" t="str">
            <v>South32 Limited</v>
          </cell>
          <cell r="J205">
            <v>10314.629999999999</v>
          </cell>
          <cell r="K205">
            <v>0</v>
          </cell>
          <cell r="L205">
            <v>10314.629999999999</v>
          </cell>
          <cell r="M205">
            <v>0</v>
          </cell>
          <cell r="N205" t="str">
            <v>Add</v>
          </cell>
          <cell r="O205">
            <v>0</v>
          </cell>
          <cell r="V205" t="str">
            <v>NA</v>
          </cell>
          <cell r="X205">
            <v>0</v>
          </cell>
          <cell r="Y205" t="b">
            <v>0</v>
          </cell>
          <cell r="Z205" t="b">
            <v>0</v>
          </cell>
          <cell r="AA205" t="b">
            <v>0</v>
          </cell>
          <cell r="AB205">
            <v>0</v>
          </cell>
          <cell r="AC205" t="b">
            <v>1</v>
          </cell>
          <cell r="AE205" t="str">
            <v>P</v>
          </cell>
          <cell r="AF205">
            <v>0</v>
          </cell>
          <cell r="AG205">
            <v>0</v>
          </cell>
          <cell r="AI205">
            <v>0</v>
          </cell>
        </row>
        <row r="206">
          <cell r="C206" t="str">
            <v>increase_in_market_value.ListedShares.70ba86ed-c44b-4771-b5a2-be7e62412e91</v>
          </cell>
          <cell r="D206">
            <v>174</v>
          </cell>
          <cell r="E206">
            <v>5</v>
          </cell>
          <cell r="F206" t="str">
            <v>Line_5</v>
          </cell>
          <cell r="G206" t="str">
            <v>AddF</v>
          </cell>
          <cell r="I206" t="str">
            <v>Wesfarmers Limited</v>
          </cell>
          <cell r="J206">
            <v>-106.48</v>
          </cell>
          <cell r="K206">
            <v>0</v>
          </cell>
          <cell r="L206">
            <v>-106.48</v>
          </cell>
          <cell r="M206">
            <v>0</v>
          </cell>
          <cell r="N206" t="str">
            <v>Add</v>
          </cell>
          <cell r="O206">
            <v>0</v>
          </cell>
          <cell r="V206" t="str">
            <v>NA</v>
          </cell>
          <cell r="X206">
            <v>0</v>
          </cell>
          <cell r="Y206" t="b">
            <v>0</v>
          </cell>
          <cell r="Z206" t="b">
            <v>0</v>
          </cell>
          <cell r="AA206" t="b">
            <v>0</v>
          </cell>
          <cell r="AB206">
            <v>0</v>
          </cell>
          <cell r="AC206" t="b">
            <v>1</v>
          </cell>
          <cell r="AE206" t="str">
            <v>P</v>
          </cell>
          <cell r="AF206">
            <v>0</v>
          </cell>
          <cell r="AG206">
            <v>0</v>
          </cell>
          <cell r="AI206">
            <v>0</v>
          </cell>
        </row>
        <row r="207">
          <cell r="C207" t="str">
            <v>Totalincrease_in_market_value.ListedShares</v>
          </cell>
          <cell r="D207">
            <v>175</v>
          </cell>
          <cell r="E207">
            <v>4</v>
          </cell>
          <cell r="F207" t="str">
            <v>Total_4</v>
          </cell>
          <cell r="G207" t="str">
            <v>AddF</v>
          </cell>
          <cell r="I207" t="str">
            <v>Total Shares in Listed Companies</v>
          </cell>
          <cell r="J207">
            <v>214167.93</v>
          </cell>
          <cell r="K207">
            <v>0</v>
          </cell>
          <cell r="L207">
            <v>214167.93</v>
          </cell>
          <cell r="M207">
            <v>0</v>
          </cell>
          <cell r="N207" t="str">
            <v>Add</v>
          </cell>
          <cell r="O207">
            <v>0</v>
          </cell>
          <cell r="V207" t="str">
            <v>NA</v>
          </cell>
          <cell r="X207">
            <v>0</v>
          </cell>
          <cell r="Y207" t="b">
            <v>0</v>
          </cell>
          <cell r="Z207" t="b">
            <v>0</v>
          </cell>
          <cell r="AA207" t="b">
            <v>0</v>
          </cell>
          <cell r="AB207">
            <v>0</v>
          </cell>
          <cell r="AC207" t="b">
            <v>1</v>
          </cell>
          <cell r="AE207" t="str">
            <v>P</v>
          </cell>
          <cell r="AF207">
            <v>0</v>
          </cell>
          <cell r="AG207">
            <v>0</v>
          </cell>
          <cell r="AI207">
            <v>0</v>
          </cell>
        </row>
        <row r="208">
          <cell r="C208" t="str">
            <v>increase_in_market_value.ForeignListedShares</v>
          </cell>
          <cell r="D208">
            <v>176</v>
          </cell>
          <cell r="E208">
            <v>4</v>
          </cell>
          <cell r="F208" t="str">
            <v>Header_4</v>
          </cell>
          <cell r="G208" t="str">
            <v>AddF</v>
          </cell>
          <cell r="I208" t="str">
            <v>Shares in Listed Companies - Foreign</v>
          </cell>
          <cell r="J208">
            <v>0</v>
          </cell>
          <cell r="K208">
            <v>0</v>
          </cell>
          <cell r="L208">
            <v>0</v>
          </cell>
          <cell r="M208">
            <v>0</v>
          </cell>
          <cell r="O208">
            <v>0</v>
          </cell>
          <cell r="V208" t="str">
            <v>NA</v>
          </cell>
          <cell r="X208">
            <v>0</v>
          </cell>
          <cell r="Y208" t="b">
            <v>0</v>
          </cell>
          <cell r="Z208" t="b">
            <v>0</v>
          </cell>
          <cell r="AA208" t="b">
            <v>0</v>
          </cell>
          <cell r="AB208">
            <v>0</v>
          </cell>
          <cell r="AC208" t="b">
            <v>1</v>
          </cell>
          <cell r="AE208" t="str">
            <v>P</v>
          </cell>
          <cell r="AF208">
            <v>0</v>
          </cell>
          <cell r="AG208">
            <v>0</v>
          </cell>
          <cell r="AI208">
            <v>0</v>
          </cell>
        </row>
        <row r="209">
          <cell r="C209" t="str">
            <v>increase_in_market_value.ForeignListedShares.e87701d6-7496-4f79-9059-0e7138d9968e</v>
          </cell>
          <cell r="D209">
            <v>177</v>
          </cell>
          <cell r="E209">
            <v>5</v>
          </cell>
          <cell r="F209" t="str">
            <v>Line_5</v>
          </cell>
          <cell r="G209" t="str">
            <v>AddF</v>
          </cell>
          <cell r="I209" t="str">
            <v>A10 Networks Inc</v>
          </cell>
          <cell r="J209">
            <v>92.07</v>
          </cell>
          <cell r="K209">
            <v>0</v>
          </cell>
          <cell r="L209">
            <v>92.07</v>
          </cell>
          <cell r="M209">
            <v>0</v>
          </cell>
          <cell r="N209" t="str">
            <v>Add</v>
          </cell>
          <cell r="O209">
            <v>0</v>
          </cell>
          <cell r="V209" t="str">
            <v>NA</v>
          </cell>
          <cell r="X209">
            <v>0</v>
          </cell>
          <cell r="Y209" t="b">
            <v>0</v>
          </cell>
          <cell r="Z209" t="b">
            <v>0</v>
          </cell>
          <cell r="AA209" t="b">
            <v>0</v>
          </cell>
          <cell r="AB209">
            <v>0</v>
          </cell>
          <cell r="AC209" t="b">
            <v>1</v>
          </cell>
          <cell r="AE209" t="str">
            <v>P</v>
          </cell>
          <cell r="AF209">
            <v>0</v>
          </cell>
          <cell r="AG209">
            <v>0</v>
          </cell>
          <cell r="AI209">
            <v>0</v>
          </cell>
        </row>
        <row r="210">
          <cell r="C210" t="str">
            <v>increase_in_market_value.ForeignListedShares.fb5a4a86-f3c8-43ca-8e78-c9c07fb47132</v>
          </cell>
          <cell r="D210">
            <v>178</v>
          </cell>
          <cell r="E210">
            <v>5</v>
          </cell>
          <cell r="F210" t="str">
            <v>Line_5</v>
          </cell>
          <cell r="G210" t="str">
            <v>AddF</v>
          </cell>
          <cell r="I210" t="str">
            <v>Adesto Technologies Corp</v>
          </cell>
          <cell r="J210">
            <v>-713.74</v>
          </cell>
          <cell r="K210">
            <v>0</v>
          </cell>
          <cell r="L210">
            <v>-713.74</v>
          </cell>
          <cell r="M210">
            <v>0</v>
          </cell>
          <cell r="N210" t="str">
            <v>Add</v>
          </cell>
          <cell r="O210">
            <v>0</v>
          </cell>
          <cell r="V210" t="str">
            <v>NA</v>
          </cell>
          <cell r="X210">
            <v>0</v>
          </cell>
          <cell r="Y210" t="b">
            <v>0</v>
          </cell>
          <cell r="Z210" t="b">
            <v>0</v>
          </cell>
          <cell r="AA210" t="b">
            <v>0</v>
          </cell>
          <cell r="AB210">
            <v>0</v>
          </cell>
          <cell r="AC210" t="b">
            <v>1</v>
          </cell>
          <cell r="AE210" t="str">
            <v>P</v>
          </cell>
          <cell r="AF210">
            <v>0</v>
          </cell>
          <cell r="AG210">
            <v>0</v>
          </cell>
          <cell r="AI210">
            <v>0</v>
          </cell>
        </row>
        <row r="211">
          <cell r="C211" t="str">
            <v>increase_in_market_value.ForeignListedShares.d7e30246-20df-40c8-b778-d270538ebbfa</v>
          </cell>
          <cell r="D211">
            <v>179</v>
          </cell>
          <cell r="E211">
            <v>5</v>
          </cell>
          <cell r="F211" t="str">
            <v>Line_5</v>
          </cell>
          <cell r="G211" t="str">
            <v>AddF</v>
          </cell>
          <cell r="I211" t="str">
            <v>Akoustis Technologies Inc</v>
          </cell>
          <cell r="J211">
            <v>411.03</v>
          </cell>
          <cell r="K211">
            <v>0</v>
          </cell>
          <cell r="L211">
            <v>411.03</v>
          </cell>
          <cell r="M211">
            <v>0</v>
          </cell>
          <cell r="N211" t="str">
            <v>Add</v>
          </cell>
          <cell r="O211">
            <v>0</v>
          </cell>
          <cell r="V211" t="str">
            <v>NA</v>
          </cell>
          <cell r="X211">
            <v>0</v>
          </cell>
          <cell r="Y211" t="b">
            <v>0</v>
          </cell>
          <cell r="Z211" t="b">
            <v>0</v>
          </cell>
          <cell r="AA211" t="b">
            <v>0</v>
          </cell>
          <cell r="AB211">
            <v>0</v>
          </cell>
          <cell r="AC211" t="b">
            <v>1</v>
          </cell>
          <cell r="AE211" t="str">
            <v>P</v>
          </cell>
          <cell r="AF211">
            <v>0</v>
          </cell>
          <cell r="AG211">
            <v>0</v>
          </cell>
          <cell r="AI211">
            <v>0</v>
          </cell>
        </row>
        <row r="212">
          <cell r="C212" t="str">
            <v>increase_in_market_value.ForeignListedShares.9aca6185-2e14-4e4f-8b87-2ce54e74e09b</v>
          </cell>
          <cell r="D212">
            <v>180</v>
          </cell>
          <cell r="E212">
            <v>5</v>
          </cell>
          <cell r="F212" t="str">
            <v>Line_5</v>
          </cell>
          <cell r="G212" t="str">
            <v>AddF</v>
          </cell>
          <cell r="I212" t="str">
            <v>CRISPR Therapeutics Ltd</v>
          </cell>
          <cell r="J212">
            <v>-17.98</v>
          </cell>
          <cell r="K212">
            <v>0</v>
          </cell>
          <cell r="L212">
            <v>-17.98</v>
          </cell>
          <cell r="M212">
            <v>0</v>
          </cell>
          <cell r="N212" t="str">
            <v>Add</v>
          </cell>
          <cell r="O212">
            <v>0</v>
          </cell>
          <cell r="V212" t="str">
            <v>NA</v>
          </cell>
          <cell r="X212">
            <v>0</v>
          </cell>
          <cell r="Y212" t="b">
            <v>0</v>
          </cell>
          <cell r="Z212" t="b">
            <v>0</v>
          </cell>
          <cell r="AA212" t="b">
            <v>0</v>
          </cell>
          <cell r="AB212">
            <v>0</v>
          </cell>
          <cell r="AC212" t="b">
            <v>1</v>
          </cell>
          <cell r="AE212" t="str">
            <v>P</v>
          </cell>
          <cell r="AF212">
            <v>0</v>
          </cell>
          <cell r="AG212">
            <v>0</v>
          </cell>
          <cell r="AI212">
            <v>0</v>
          </cell>
        </row>
        <row r="213">
          <cell r="C213" t="str">
            <v>increase_in_market_value.ForeignListedShares.bfd7dfaf-4df6-4c4f-8704-d100dfaf158f</v>
          </cell>
          <cell r="D213">
            <v>181</v>
          </cell>
          <cell r="E213">
            <v>5</v>
          </cell>
          <cell r="F213" t="str">
            <v>Line_5</v>
          </cell>
          <cell r="G213" t="str">
            <v>AddF</v>
          </cell>
          <cell r="I213" t="str">
            <v>Hortonworks Inc</v>
          </cell>
          <cell r="J213">
            <v>-723.67</v>
          </cell>
          <cell r="K213">
            <v>0</v>
          </cell>
          <cell r="L213">
            <v>-723.67</v>
          </cell>
          <cell r="M213">
            <v>0</v>
          </cell>
          <cell r="N213" t="str">
            <v>Add</v>
          </cell>
          <cell r="O213">
            <v>0</v>
          </cell>
          <cell r="V213" t="str">
            <v>NA</v>
          </cell>
          <cell r="X213">
            <v>0</v>
          </cell>
          <cell r="Y213" t="b">
            <v>0</v>
          </cell>
          <cell r="Z213" t="b">
            <v>0</v>
          </cell>
          <cell r="AA213" t="b">
            <v>0</v>
          </cell>
          <cell r="AB213">
            <v>0</v>
          </cell>
          <cell r="AC213" t="b">
            <v>1</v>
          </cell>
          <cell r="AE213" t="str">
            <v>P</v>
          </cell>
          <cell r="AF213">
            <v>0</v>
          </cell>
          <cell r="AG213">
            <v>0</v>
          </cell>
          <cell r="AI213">
            <v>0</v>
          </cell>
        </row>
        <row r="214">
          <cell r="C214" t="str">
            <v>increase_in_market_value.ForeignListedShares.36446962-3293-4091-a138-5bb5e7dce627</v>
          </cell>
          <cell r="D214">
            <v>182</v>
          </cell>
          <cell r="E214">
            <v>5</v>
          </cell>
          <cell r="F214" t="str">
            <v>Line_5</v>
          </cell>
          <cell r="G214" t="str">
            <v>AddF</v>
          </cell>
          <cell r="I214" t="str">
            <v>Imprivata Inc</v>
          </cell>
          <cell r="J214">
            <v>411.99</v>
          </cell>
          <cell r="K214">
            <v>0</v>
          </cell>
          <cell r="L214">
            <v>411.99</v>
          </cell>
          <cell r="M214">
            <v>0</v>
          </cell>
          <cell r="N214" t="str">
            <v>Add</v>
          </cell>
          <cell r="O214">
            <v>0</v>
          </cell>
          <cell r="V214" t="str">
            <v>NA</v>
          </cell>
          <cell r="X214">
            <v>0</v>
          </cell>
          <cell r="Y214" t="b">
            <v>0</v>
          </cell>
          <cell r="Z214" t="b">
            <v>0</v>
          </cell>
          <cell r="AA214" t="b">
            <v>0</v>
          </cell>
          <cell r="AB214">
            <v>0</v>
          </cell>
          <cell r="AC214" t="b">
            <v>1</v>
          </cell>
          <cell r="AE214" t="str">
            <v>P</v>
          </cell>
          <cell r="AF214">
            <v>0</v>
          </cell>
          <cell r="AG214">
            <v>0</v>
          </cell>
          <cell r="AI214">
            <v>0</v>
          </cell>
        </row>
        <row r="215">
          <cell r="C215" t="str">
            <v>increase_in_market_value.ForeignListedShares.7d9a5e51-e567-4405-ba9c-8ce37e624fdb</v>
          </cell>
          <cell r="D215">
            <v>183</v>
          </cell>
          <cell r="E215">
            <v>5</v>
          </cell>
          <cell r="F215" t="str">
            <v>Line_5</v>
          </cell>
          <cell r="G215" t="str">
            <v>AddF</v>
          </cell>
          <cell r="I215" t="str">
            <v>New Relic Inc</v>
          </cell>
          <cell r="J215">
            <v>-361.66</v>
          </cell>
          <cell r="K215">
            <v>0</v>
          </cell>
          <cell r="L215">
            <v>-361.66</v>
          </cell>
          <cell r="M215">
            <v>0</v>
          </cell>
          <cell r="N215" t="str">
            <v>Add</v>
          </cell>
          <cell r="O215">
            <v>0</v>
          </cell>
          <cell r="V215" t="str">
            <v>NA</v>
          </cell>
          <cell r="X215">
            <v>0</v>
          </cell>
          <cell r="Y215" t="b">
            <v>0</v>
          </cell>
          <cell r="Z215" t="b">
            <v>0</v>
          </cell>
          <cell r="AA215" t="b">
            <v>0</v>
          </cell>
          <cell r="AB215">
            <v>0</v>
          </cell>
          <cell r="AC215" t="b">
            <v>1</v>
          </cell>
          <cell r="AE215" t="str">
            <v>P</v>
          </cell>
          <cell r="AF215">
            <v>0</v>
          </cell>
          <cell r="AG215">
            <v>0</v>
          </cell>
          <cell r="AI215">
            <v>0</v>
          </cell>
        </row>
        <row r="216">
          <cell r="C216" t="str">
            <v>increase_in_market_value.ForeignListedShares.3eb76e74-ac1f-4a1c-ba87-ba69905659d4</v>
          </cell>
          <cell r="D216">
            <v>184</v>
          </cell>
          <cell r="E216">
            <v>5</v>
          </cell>
          <cell r="F216" t="str">
            <v>Line_5</v>
          </cell>
          <cell r="G216" t="str">
            <v>AddF</v>
          </cell>
          <cell r="I216" t="str">
            <v>Quantenna Communications Inc</v>
          </cell>
          <cell r="J216">
            <v>118.6</v>
          </cell>
          <cell r="K216">
            <v>0</v>
          </cell>
          <cell r="L216">
            <v>118.6</v>
          </cell>
          <cell r="M216">
            <v>0</v>
          </cell>
          <cell r="N216" t="str">
            <v>Add</v>
          </cell>
          <cell r="O216">
            <v>0</v>
          </cell>
          <cell r="V216" t="str">
            <v>NA</v>
          </cell>
          <cell r="X216">
            <v>0</v>
          </cell>
          <cell r="Y216" t="b">
            <v>0</v>
          </cell>
          <cell r="Z216" t="b">
            <v>0</v>
          </cell>
          <cell r="AA216" t="b">
            <v>0</v>
          </cell>
          <cell r="AB216">
            <v>0</v>
          </cell>
          <cell r="AC216" t="b">
            <v>1</v>
          </cell>
          <cell r="AE216" t="str">
            <v>P</v>
          </cell>
          <cell r="AF216">
            <v>0</v>
          </cell>
          <cell r="AG216">
            <v>0</v>
          </cell>
          <cell r="AI216">
            <v>0</v>
          </cell>
        </row>
        <row r="217">
          <cell r="C217" t="str">
            <v>increase_in_market_value.ForeignListedShares.6553bc95-9866-4980-af28-be3b3f5bab81</v>
          </cell>
          <cell r="D217">
            <v>185</v>
          </cell>
          <cell r="E217">
            <v>5</v>
          </cell>
          <cell r="F217" t="str">
            <v>Line_5</v>
          </cell>
          <cell r="G217" t="str">
            <v>AddF</v>
          </cell>
          <cell r="I217" t="str">
            <v>Square Inc</v>
          </cell>
          <cell r="J217">
            <v>-2131.33</v>
          </cell>
          <cell r="K217">
            <v>0</v>
          </cell>
          <cell r="L217">
            <v>-2131.33</v>
          </cell>
          <cell r="M217">
            <v>0</v>
          </cell>
          <cell r="N217" t="str">
            <v>Add</v>
          </cell>
          <cell r="O217">
            <v>0</v>
          </cell>
          <cell r="V217" t="str">
            <v>NA</v>
          </cell>
          <cell r="X217">
            <v>0</v>
          </cell>
          <cell r="Y217" t="b">
            <v>0</v>
          </cell>
          <cell r="Z217" t="b">
            <v>0</v>
          </cell>
          <cell r="AA217" t="b">
            <v>0</v>
          </cell>
          <cell r="AB217">
            <v>0</v>
          </cell>
          <cell r="AC217" t="b">
            <v>1</v>
          </cell>
          <cell r="AE217" t="str">
            <v>P</v>
          </cell>
          <cell r="AF217">
            <v>0</v>
          </cell>
          <cell r="AG217">
            <v>0</v>
          </cell>
          <cell r="AI217">
            <v>0</v>
          </cell>
        </row>
        <row r="218">
          <cell r="C218" t="str">
            <v>increase_in_market_value.ForeignListedShares.330b3d40-a1fc-4475-9aba-0bd61cfcd8be</v>
          </cell>
          <cell r="D218">
            <v>186</v>
          </cell>
          <cell r="E218">
            <v>5</v>
          </cell>
          <cell r="F218" t="str">
            <v>Line_5</v>
          </cell>
          <cell r="G218" t="str">
            <v>AddF</v>
          </cell>
          <cell r="I218" t="str">
            <v>The ExOne Co</v>
          </cell>
          <cell r="J218">
            <v>-381.1</v>
          </cell>
          <cell r="K218">
            <v>0</v>
          </cell>
          <cell r="L218">
            <v>-381.1</v>
          </cell>
          <cell r="M218">
            <v>0</v>
          </cell>
          <cell r="N218" t="str">
            <v>Add</v>
          </cell>
          <cell r="O218">
            <v>0</v>
          </cell>
          <cell r="V218" t="str">
            <v>NA</v>
          </cell>
          <cell r="X218">
            <v>0</v>
          </cell>
          <cell r="Y218" t="b">
            <v>0</v>
          </cell>
          <cell r="Z218" t="b">
            <v>0</v>
          </cell>
          <cell r="AA218" t="b">
            <v>0</v>
          </cell>
          <cell r="AB218">
            <v>0</v>
          </cell>
          <cell r="AC218" t="b">
            <v>1</v>
          </cell>
          <cell r="AE218" t="str">
            <v>P</v>
          </cell>
          <cell r="AF218">
            <v>0</v>
          </cell>
          <cell r="AG218">
            <v>0</v>
          </cell>
          <cell r="AI218">
            <v>0</v>
          </cell>
        </row>
        <row r="219">
          <cell r="C219" t="str">
            <v>Totalincrease_in_market_value.ForeignListedShares</v>
          </cell>
          <cell r="D219">
            <v>187</v>
          </cell>
          <cell r="E219">
            <v>4</v>
          </cell>
          <cell r="F219" t="str">
            <v>Total_4</v>
          </cell>
          <cell r="G219" t="str">
            <v>AddF</v>
          </cell>
          <cell r="I219" t="str">
            <v>Total Shares in Listed Companies - Foreign</v>
          </cell>
          <cell r="J219">
            <v>-3295.79</v>
          </cell>
          <cell r="K219">
            <v>0</v>
          </cell>
          <cell r="L219">
            <v>-3295.79</v>
          </cell>
          <cell r="M219">
            <v>0</v>
          </cell>
          <cell r="N219" t="str">
            <v>Add</v>
          </cell>
          <cell r="O219">
            <v>0</v>
          </cell>
          <cell r="V219" t="str">
            <v>NA</v>
          </cell>
          <cell r="X219">
            <v>0</v>
          </cell>
          <cell r="Y219" t="b">
            <v>0</v>
          </cell>
          <cell r="Z219" t="b">
            <v>0</v>
          </cell>
          <cell r="AA219" t="b">
            <v>0</v>
          </cell>
          <cell r="AB219">
            <v>0</v>
          </cell>
          <cell r="AC219" t="b">
            <v>1</v>
          </cell>
          <cell r="AE219" t="str">
            <v>P</v>
          </cell>
          <cell r="AF219">
            <v>0</v>
          </cell>
          <cell r="AG219">
            <v>0</v>
          </cell>
          <cell r="AI219">
            <v>0</v>
          </cell>
        </row>
        <row r="220">
          <cell r="C220" t="str">
            <v>increase_in_market_value.Stapled</v>
          </cell>
          <cell r="D220">
            <v>188</v>
          </cell>
          <cell r="E220">
            <v>4</v>
          </cell>
          <cell r="F220" t="str">
            <v>Header_4</v>
          </cell>
          <cell r="G220" t="str">
            <v>AddF</v>
          </cell>
          <cell r="I220" t="str">
            <v>Stapled Securities</v>
          </cell>
          <cell r="J220">
            <v>0</v>
          </cell>
          <cell r="K220">
            <v>0</v>
          </cell>
          <cell r="L220">
            <v>0</v>
          </cell>
          <cell r="M220">
            <v>0</v>
          </cell>
          <cell r="O220">
            <v>0</v>
          </cell>
          <cell r="V220" t="str">
            <v>NA</v>
          </cell>
          <cell r="X220">
            <v>0</v>
          </cell>
          <cell r="Y220" t="b">
            <v>0</v>
          </cell>
          <cell r="Z220" t="b">
            <v>0</v>
          </cell>
          <cell r="AA220" t="b">
            <v>0</v>
          </cell>
          <cell r="AB220">
            <v>0</v>
          </cell>
          <cell r="AC220" t="b">
            <v>1</v>
          </cell>
          <cell r="AE220" t="str">
            <v>P</v>
          </cell>
          <cell r="AF220">
            <v>0</v>
          </cell>
          <cell r="AG220">
            <v>0</v>
          </cell>
          <cell r="AI220">
            <v>0</v>
          </cell>
        </row>
        <row r="221">
          <cell r="C221" t="str">
            <v>increase_in_market_value.Stapled.8e9a6fc7-bafd-4650-b416-d03fe7049f79</v>
          </cell>
          <cell r="D221">
            <v>189</v>
          </cell>
          <cell r="E221">
            <v>5</v>
          </cell>
          <cell r="F221" t="str">
            <v>Line_5</v>
          </cell>
          <cell r="G221" t="str">
            <v>AddF</v>
          </cell>
          <cell r="I221" t="str">
            <v>Scentre Group - Stapled Securities</v>
          </cell>
          <cell r="J221">
            <v>26068.68</v>
          </cell>
          <cell r="K221">
            <v>0</v>
          </cell>
          <cell r="L221">
            <v>26068.68</v>
          </cell>
          <cell r="M221">
            <v>0</v>
          </cell>
          <cell r="N221" t="str">
            <v>Add</v>
          </cell>
          <cell r="O221">
            <v>0</v>
          </cell>
          <cell r="V221" t="str">
            <v>NA</v>
          </cell>
          <cell r="X221">
            <v>0</v>
          </cell>
          <cell r="Y221" t="b">
            <v>0</v>
          </cell>
          <cell r="Z221" t="b">
            <v>0</v>
          </cell>
          <cell r="AA221" t="b">
            <v>0</v>
          </cell>
          <cell r="AB221">
            <v>0</v>
          </cell>
          <cell r="AC221" t="b">
            <v>1</v>
          </cell>
          <cell r="AE221" t="str">
            <v>P</v>
          </cell>
          <cell r="AF221">
            <v>0</v>
          </cell>
          <cell r="AG221">
            <v>0</v>
          </cell>
          <cell r="AI221">
            <v>0</v>
          </cell>
        </row>
        <row r="222">
          <cell r="C222" t="str">
            <v>increase_in_market_value.Stapled.b8dc8ea2-cad6-47a7-854d-100beb381eae</v>
          </cell>
          <cell r="D222">
            <v>190</v>
          </cell>
          <cell r="E222">
            <v>5</v>
          </cell>
          <cell r="F222" t="str">
            <v>Line_5</v>
          </cell>
          <cell r="G222" t="str">
            <v>AddF</v>
          </cell>
          <cell r="I222" t="str">
            <v>Spark Infrastructure Group - Stapled $0.65 Loan Note And Unit Us Prohibited</v>
          </cell>
          <cell r="J222">
            <v>-31023</v>
          </cell>
          <cell r="K222">
            <v>0</v>
          </cell>
          <cell r="L222">
            <v>-31023</v>
          </cell>
          <cell r="M222">
            <v>0</v>
          </cell>
          <cell r="N222" t="str">
            <v>Add</v>
          </cell>
          <cell r="O222">
            <v>0</v>
          </cell>
          <cell r="V222" t="str">
            <v>NA</v>
          </cell>
          <cell r="X222">
            <v>0</v>
          </cell>
          <cell r="Y222" t="b">
            <v>0</v>
          </cell>
          <cell r="Z222" t="b">
            <v>0</v>
          </cell>
          <cell r="AA222" t="b">
            <v>0</v>
          </cell>
          <cell r="AB222">
            <v>0</v>
          </cell>
          <cell r="AC222" t="b">
            <v>1</v>
          </cell>
          <cell r="AE222" t="str">
            <v>P</v>
          </cell>
          <cell r="AF222">
            <v>0</v>
          </cell>
          <cell r="AG222">
            <v>0</v>
          </cell>
          <cell r="AI222">
            <v>0</v>
          </cell>
        </row>
        <row r="223">
          <cell r="C223" t="str">
            <v>increase_in_market_value.Stapled.dcba5c26-922b-4e46-b526-e0abc4efb0a4</v>
          </cell>
          <cell r="D223">
            <v>191</v>
          </cell>
          <cell r="E223">
            <v>5</v>
          </cell>
          <cell r="F223" t="str">
            <v>Line_5</v>
          </cell>
          <cell r="G223" t="str">
            <v>AddF</v>
          </cell>
          <cell r="I223" t="str">
            <v>Westfield Corporation - Stapled Securities</v>
          </cell>
          <cell r="J223">
            <v>67011.740000000005</v>
          </cell>
          <cell r="K223">
            <v>0</v>
          </cell>
          <cell r="L223">
            <v>67011.740000000005</v>
          </cell>
          <cell r="M223">
            <v>0</v>
          </cell>
          <cell r="N223" t="str">
            <v>Add</v>
          </cell>
          <cell r="O223">
            <v>0</v>
          </cell>
          <cell r="V223" t="str">
            <v>NA</v>
          </cell>
          <cell r="X223">
            <v>0</v>
          </cell>
          <cell r="Y223" t="b">
            <v>0</v>
          </cell>
          <cell r="Z223" t="b">
            <v>0</v>
          </cell>
          <cell r="AA223" t="b">
            <v>0</v>
          </cell>
          <cell r="AB223">
            <v>0</v>
          </cell>
          <cell r="AC223" t="b">
            <v>1</v>
          </cell>
          <cell r="AE223" t="str">
            <v>P</v>
          </cell>
          <cell r="AF223">
            <v>0</v>
          </cell>
          <cell r="AG223">
            <v>0</v>
          </cell>
          <cell r="AI223">
            <v>0</v>
          </cell>
        </row>
        <row r="224">
          <cell r="C224" t="str">
            <v>Totalincrease_in_market_value.Stapled</v>
          </cell>
          <cell r="D224">
            <v>192</v>
          </cell>
          <cell r="E224">
            <v>4</v>
          </cell>
          <cell r="F224" t="str">
            <v>Total_4</v>
          </cell>
          <cell r="G224" t="str">
            <v>AddF</v>
          </cell>
          <cell r="I224" t="str">
            <v>Total Stapled Securities</v>
          </cell>
          <cell r="J224">
            <v>62057.42</v>
          </cell>
          <cell r="K224">
            <v>0</v>
          </cell>
          <cell r="L224">
            <v>62057.42</v>
          </cell>
          <cell r="M224">
            <v>0</v>
          </cell>
          <cell r="N224" t="str">
            <v>Add</v>
          </cell>
          <cell r="O224">
            <v>0</v>
          </cell>
          <cell r="V224" t="str">
            <v>NA</v>
          </cell>
          <cell r="X224">
            <v>0</v>
          </cell>
          <cell r="Y224" t="b">
            <v>0</v>
          </cell>
          <cell r="Z224" t="b">
            <v>0</v>
          </cell>
          <cell r="AA224" t="b">
            <v>0</v>
          </cell>
          <cell r="AB224">
            <v>0</v>
          </cell>
          <cell r="AC224" t="b">
            <v>1</v>
          </cell>
          <cell r="AE224" t="str">
            <v>P</v>
          </cell>
          <cell r="AF224">
            <v>0</v>
          </cell>
          <cell r="AG224">
            <v>0</v>
          </cell>
          <cell r="AI224">
            <v>0</v>
          </cell>
        </row>
        <row r="225">
          <cell r="C225" t="str">
            <v>increase_in_market_value.UnitTrusts</v>
          </cell>
          <cell r="D225">
            <v>193</v>
          </cell>
          <cell r="E225">
            <v>4</v>
          </cell>
          <cell r="F225" t="str">
            <v>Header_4</v>
          </cell>
          <cell r="G225" t="str">
            <v>AddF</v>
          </cell>
          <cell r="I225" t="str">
            <v>Units In Listed Unit Trusts</v>
          </cell>
          <cell r="J225">
            <v>0</v>
          </cell>
          <cell r="K225">
            <v>0</v>
          </cell>
          <cell r="L225">
            <v>0</v>
          </cell>
          <cell r="M225">
            <v>0</v>
          </cell>
          <cell r="O225">
            <v>0</v>
          </cell>
          <cell r="V225" t="str">
            <v>NA</v>
          </cell>
          <cell r="X225">
            <v>0</v>
          </cell>
          <cell r="Y225" t="b">
            <v>0</v>
          </cell>
          <cell r="Z225" t="b">
            <v>0</v>
          </cell>
          <cell r="AA225" t="b">
            <v>0</v>
          </cell>
          <cell r="AB225">
            <v>0</v>
          </cell>
          <cell r="AC225" t="b">
            <v>1</v>
          </cell>
          <cell r="AE225" t="str">
            <v>P</v>
          </cell>
          <cell r="AF225">
            <v>0</v>
          </cell>
          <cell r="AG225">
            <v>0</v>
          </cell>
          <cell r="AI225">
            <v>0</v>
          </cell>
        </row>
        <row r="226">
          <cell r="C226" t="str">
            <v>increase_in_market_value.UnitTrusts.585f5263-8705-4fe9-a474-8235212ecee1</v>
          </cell>
          <cell r="D226">
            <v>194</v>
          </cell>
          <cell r="E226">
            <v>5</v>
          </cell>
          <cell r="F226" t="str">
            <v>Line_5</v>
          </cell>
          <cell r="G226" t="str">
            <v>AddF</v>
          </cell>
          <cell r="I226" t="str">
            <v>Vanguard Us Total Market Shares Index ETF - CDI's 1:1</v>
          </cell>
          <cell r="J226">
            <v>771.21</v>
          </cell>
          <cell r="K226">
            <v>0</v>
          </cell>
          <cell r="L226">
            <v>771.21</v>
          </cell>
          <cell r="M226">
            <v>0</v>
          </cell>
          <cell r="N226" t="str">
            <v>Add</v>
          </cell>
          <cell r="O226">
            <v>0</v>
          </cell>
          <cell r="V226" t="str">
            <v>NA</v>
          </cell>
          <cell r="X226">
            <v>0</v>
          </cell>
          <cell r="Y226" t="b">
            <v>0</v>
          </cell>
          <cell r="Z226" t="b">
            <v>0</v>
          </cell>
          <cell r="AA226" t="b">
            <v>0</v>
          </cell>
          <cell r="AB226">
            <v>0</v>
          </cell>
          <cell r="AC226" t="b">
            <v>1</v>
          </cell>
          <cell r="AE226" t="str">
            <v>P</v>
          </cell>
          <cell r="AF226">
            <v>0</v>
          </cell>
          <cell r="AG226">
            <v>0</v>
          </cell>
          <cell r="AI226">
            <v>0</v>
          </cell>
        </row>
        <row r="227">
          <cell r="C227" t="str">
            <v>Totalincrease_in_market_value.UnitTrusts</v>
          </cell>
          <cell r="D227">
            <v>195</v>
          </cell>
          <cell r="E227">
            <v>4</v>
          </cell>
          <cell r="F227" t="str">
            <v>Total_4</v>
          </cell>
          <cell r="G227" t="str">
            <v>AddF</v>
          </cell>
          <cell r="I227" t="str">
            <v>Total Units In Listed Unit Trusts</v>
          </cell>
          <cell r="J227">
            <v>771.21</v>
          </cell>
          <cell r="K227">
            <v>0</v>
          </cell>
          <cell r="L227">
            <v>771.21</v>
          </cell>
          <cell r="M227">
            <v>0</v>
          </cell>
          <cell r="N227" t="str">
            <v>Add</v>
          </cell>
          <cell r="O227">
            <v>0</v>
          </cell>
          <cell r="V227" t="str">
            <v>NA</v>
          </cell>
          <cell r="X227">
            <v>0</v>
          </cell>
          <cell r="Y227" t="b">
            <v>0</v>
          </cell>
          <cell r="Z227" t="b">
            <v>0</v>
          </cell>
          <cell r="AA227" t="b">
            <v>0</v>
          </cell>
          <cell r="AB227">
            <v>0</v>
          </cell>
          <cell r="AC227" t="b">
            <v>1</v>
          </cell>
          <cell r="AE227" t="str">
            <v>P</v>
          </cell>
          <cell r="AF227">
            <v>0</v>
          </cell>
          <cell r="AG227">
            <v>0</v>
          </cell>
          <cell r="AI227">
            <v>0</v>
          </cell>
        </row>
        <row r="228">
          <cell r="C228" t="str">
            <v>Totalincrease_in_market_value</v>
          </cell>
          <cell r="D228">
            <v>196</v>
          </cell>
          <cell r="E228">
            <v>3</v>
          </cell>
          <cell r="F228" t="str">
            <v>Total_3</v>
          </cell>
          <cell r="G228" t="str">
            <v>AddF</v>
          </cell>
          <cell r="I228" t="str">
            <v>Total Decrease in Market Value</v>
          </cell>
          <cell r="J228">
            <v>263312.40999999997</v>
          </cell>
          <cell r="K228">
            <v>0</v>
          </cell>
          <cell r="L228">
            <v>263312.40999999997</v>
          </cell>
          <cell r="M228">
            <v>0</v>
          </cell>
          <cell r="N228" t="str">
            <v>Add</v>
          </cell>
          <cell r="O228">
            <v>0</v>
          </cell>
          <cell r="V228" t="str">
            <v>NA</v>
          </cell>
          <cell r="X228">
            <v>0</v>
          </cell>
          <cell r="Y228" t="b">
            <v>0</v>
          </cell>
          <cell r="Z228" t="b">
            <v>0</v>
          </cell>
          <cell r="AA228" t="b">
            <v>0</v>
          </cell>
          <cell r="AB228">
            <v>0</v>
          </cell>
          <cell r="AC228" t="b">
            <v>1</v>
          </cell>
          <cell r="AE228" t="str">
            <v>P</v>
          </cell>
          <cell r="AF228">
            <v>0</v>
          </cell>
          <cell r="AG228">
            <v>0</v>
          </cell>
          <cell r="AI228">
            <v>0</v>
          </cell>
        </row>
        <row r="229">
          <cell r="C229" t="str">
            <v>Totalinvestment_losses</v>
          </cell>
          <cell r="D229">
            <v>197</v>
          </cell>
          <cell r="E229">
            <v>2</v>
          </cell>
          <cell r="F229" t="str">
            <v>Total_2</v>
          </cell>
          <cell r="G229" t="str">
            <v>AddF</v>
          </cell>
          <cell r="I229" t="str">
            <v>Total Investment Losses</v>
          </cell>
          <cell r="J229">
            <v>263312.40999999997</v>
          </cell>
          <cell r="K229">
            <v>0</v>
          </cell>
          <cell r="L229">
            <v>263312.40999999997</v>
          </cell>
          <cell r="M229">
            <v>0</v>
          </cell>
          <cell r="N229" t="str">
            <v>Add</v>
          </cell>
          <cell r="O229">
            <v>0</v>
          </cell>
          <cell r="V229" t="str">
            <v>NA</v>
          </cell>
          <cell r="X229">
            <v>0</v>
          </cell>
          <cell r="Y229" t="b">
            <v>0</v>
          </cell>
          <cell r="Z229" t="b">
            <v>0</v>
          </cell>
          <cell r="AA229" t="b">
            <v>0</v>
          </cell>
          <cell r="AB229">
            <v>0</v>
          </cell>
          <cell r="AC229" t="b">
            <v>1</v>
          </cell>
          <cell r="AE229" t="str">
            <v>P</v>
          </cell>
          <cell r="AF229">
            <v>0</v>
          </cell>
          <cell r="AG229">
            <v>0</v>
          </cell>
          <cell r="AI229">
            <v>0</v>
          </cell>
        </row>
        <row r="230">
          <cell r="C230" t="str">
            <v>TotalExpense</v>
          </cell>
          <cell r="D230">
            <v>198</v>
          </cell>
          <cell r="E230">
            <v>1</v>
          </cell>
          <cell r="F230" t="str">
            <v>Total_1</v>
          </cell>
          <cell r="G230" t="str">
            <v>AddF</v>
          </cell>
          <cell r="I230" t="str">
            <v>Total Expense</v>
          </cell>
          <cell r="J230">
            <v>2084373.39</v>
          </cell>
          <cell r="K230">
            <v>0</v>
          </cell>
          <cell r="L230">
            <v>2084373.39</v>
          </cell>
          <cell r="M230">
            <v>0</v>
          </cell>
          <cell r="N230" t="str">
            <v>Add</v>
          </cell>
          <cell r="O230">
            <v>0</v>
          </cell>
          <cell r="V230" t="str">
            <v>NA</v>
          </cell>
          <cell r="X230">
            <v>0</v>
          </cell>
          <cell r="Y230" t="b">
            <v>0</v>
          </cell>
          <cell r="Z230" t="b">
            <v>0</v>
          </cell>
          <cell r="AA230" t="b">
            <v>0</v>
          </cell>
          <cell r="AB230">
            <v>0</v>
          </cell>
          <cell r="AC230" t="b">
            <v>1</v>
          </cell>
          <cell r="AE230" t="str">
            <v>P</v>
          </cell>
          <cell r="AF230">
            <v>0</v>
          </cell>
          <cell r="AG230">
            <v>0</v>
          </cell>
          <cell r="AI230">
            <v>0</v>
          </cell>
        </row>
        <row r="231">
          <cell r="C231" t="str">
            <v>Income Tax</v>
          </cell>
          <cell r="D231">
            <v>199</v>
          </cell>
          <cell r="E231">
            <v>1</v>
          </cell>
          <cell r="F231" t="str">
            <v>Header_1</v>
          </cell>
          <cell r="G231" t="str">
            <v>AddG</v>
          </cell>
          <cell r="I231" t="str">
            <v>Income Tax</v>
          </cell>
          <cell r="J231">
            <v>0</v>
          </cell>
          <cell r="K231">
            <v>0</v>
          </cell>
          <cell r="L231">
            <v>0</v>
          </cell>
          <cell r="M231">
            <v>0</v>
          </cell>
          <cell r="O231">
            <v>0</v>
          </cell>
          <cell r="V231" t="str">
            <v>NA</v>
          </cell>
          <cell r="X231">
            <v>0</v>
          </cell>
          <cell r="Y231" t="b">
            <v>0</v>
          </cell>
          <cell r="Z231" t="b">
            <v>0</v>
          </cell>
          <cell r="AA231" t="b">
            <v>0</v>
          </cell>
          <cell r="AB231">
            <v>0</v>
          </cell>
          <cell r="AC231" t="b">
            <v>1</v>
          </cell>
          <cell r="AE231" t="str">
            <v>P</v>
          </cell>
          <cell r="AF231">
            <v>0</v>
          </cell>
          <cell r="AG231">
            <v>0</v>
          </cell>
          <cell r="AI231">
            <v>0</v>
          </cell>
        </row>
        <row r="232">
          <cell r="C232" t="str">
            <v>income_tax_control</v>
          </cell>
          <cell r="D232">
            <v>200</v>
          </cell>
          <cell r="E232">
            <v>2</v>
          </cell>
          <cell r="F232" t="str">
            <v>Header_2</v>
          </cell>
          <cell r="G232" t="str">
            <v>AddG</v>
          </cell>
          <cell r="I232" t="str">
            <v>Income Tax Expense</v>
          </cell>
          <cell r="J232">
            <v>0</v>
          </cell>
          <cell r="K232">
            <v>0</v>
          </cell>
          <cell r="L232">
            <v>0</v>
          </cell>
          <cell r="M232">
            <v>0</v>
          </cell>
          <cell r="O232">
            <v>0</v>
          </cell>
          <cell r="V232" t="str">
            <v>NA</v>
          </cell>
          <cell r="X232">
            <v>0</v>
          </cell>
          <cell r="Y232" t="b">
            <v>0</v>
          </cell>
          <cell r="Z232" t="b">
            <v>0</v>
          </cell>
          <cell r="AA232" t="b">
            <v>0</v>
          </cell>
          <cell r="AB232">
            <v>0</v>
          </cell>
          <cell r="AC232" t="b">
            <v>1</v>
          </cell>
          <cell r="AE232" t="str">
            <v>P</v>
          </cell>
          <cell r="AF232">
            <v>0</v>
          </cell>
          <cell r="AG232">
            <v>0</v>
          </cell>
          <cell r="AI232">
            <v>0</v>
          </cell>
        </row>
        <row r="233">
          <cell r="C233" t="str">
            <v>excessive_foreign_tax_credit_writeoff_expense</v>
          </cell>
          <cell r="D233">
            <v>201</v>
          </cell>
          <cell r="E233">
            <v>3</v>
          </cell>
          <cell r="F233" t="str">
            <v>Line_3</v>
          </cell>
          <cell r="G233" t="str">
            <v>AddG</v>
          </cell>
          <cell r="I233" t="str">
            <v>Excessive Foreign Tax Credit Writeoff Expense</v>
          </cell>
          <cell r="J233">
            <v>551.85</v>
          </cell>
          <cell r="K233">
            <v>0</v>
          </cell>
          <cell r="L233">
            <v>551.85</v>
          </cell>
          <cell r="M233">
            <v>0</v>
          </cell>
          <cell r="N233" t="str">
            <v>Add</v>
          </cell>
          <cell r="O233">
            <v>0</v>
          </cell>
          <cell r="V233" t="str">
            <v>NA</v>
          </cell>
          <cell r="X233">
            <v>0</v>
          </cell>
          <cell r="Y233" t="b">
            <v>0</v>
          </cell>
          <cell r="Z233" t="b">
            <v>0</v>
          </cell>
          <cell r="AA233" t="b">
            <v>0</v>
          </cell>
          <cell r="AB233">
            <v>0</v>
          </cell>
          <cell r="AC233" t="b">
            <v>1</v>
          </cell>
          <cell r="AE233" t="str">
            <v>P</v>
          </cell>
          <cell r="AF233">
            <v>0</v>
          </cell>
          <cell r="AG233">
            <v>0</v>
          </cell>
          <cell r="AI233">
            <v>0</v>
          </cell>
        </row>
        <row r="234">
          <cell r="C234" t="str">
            <v>Totalincome_tax_control</v>
          </cell>
          <cell r="D234">
            <v>202</v>
          </cell>
          <cell r="E234">
            <v>2</v>
          </cell>
          <cell r="F234" t="str">
            <v>Total_2</v>
          </cell>
          <cell r="G234" t="str">
            <v>AddG</v>
          </cell>
          <cell r="I234" t="str">
            <v>Total Income Tax Expense</v>
          </cell>
          <cell r="J234">
            <v>551.85</v>
          </cell>
          <cell r="K234">
            <v>0</v>
          </cell>
          <cell r="L234">
            <v>551.85</v>
          </cell>
          <cell r="M234">
            <v>0</v>
          </cell>
          <cell r="N234" t="str">
            <v>Add</v>
          </cell>
          <cell r="O234">
            <v>0</v>
          </cell>
          <cell r="V234" t="str">
            <v>NA</v>
          </cell>
          <cell r="X234">
            <v>0</v>
          </cell>
          <cell r="Y234" t="b">
            <v>0</v>
          </cell>
          <cell r="Z234" t="b">
            <v>0</v>
          </cell>
          <cell r="AA234" t="b">
            <v>0</v>
          </cell>
          <cell r="AB234">
            <v>0</v>
          </cell>
          <cell r="AC234" t="b">
            <v>1</v>
          </cell>
          <cell r="AE234" t="str">
            <v>P</v>
          </cell>
          <cell r="AF234">
            <v>0</v>
          </cell>
          <cell r="AG234">
            <v>0</v>
          </cell>
          <cell r="AI234">
            <v>0</v>
          </cell>
        </row>
        <row r="235">
          <cell r="C235" t="str">
            <v>TotalIncome Tax</v>
          </cell>
          <cell r="D235">
            <v>203</v>
          </cell>
          <cell r="E235">
            <v>1</v>
          </cell>
          <cell r="F235" t="str">
            <v>Total_1</v>
          </cell>
          <cell r="G235" t="str">
            <v>AddG</v>
          </cell>
          <cell r="I235" t="str">
            <v>Total Income Tax</v>
          </cell>
          <cell r="J235">
            <v>551.85</v>
          </cell>
          <cell r="K235">
            <v>0</v>
          </cell>
          <cell r="L235">
            <v>551.85</v>
          </cell>
          <cell r="M235">
            <v>0</v>
          </cell>
          <cell r="N235" t="str">
            <v>Add</v>
          </cell>
          <cell r="O235">
            <v>0</v>
          </cell>
          <cell r="V235" t="str">
            <v>NA</v>
          </cell>
          <cell r="X235">
            <v>0</v>
          </cell>
          <cell r="Y235" t="b">
            <v>0</v>
          </cell>
          <cell r="Z235" t="b">
            <v>0</v>
          </cell>
          <cell r="AA235" t="b">
            <v>0</v>
          </cell>
          <cell r="AB235">
            <v>0</v>
          </cell>
          <cell r="AC235" t="b">
            <v>1</v>
          </cell>
          <cell r="AE235" t="str">
            <v>P</v>
          </cell>
          <cell r="AF235">
            <v>0</v>
          </cell>
          <cell r="AG235">
            <v>0</v>
          </cell>
          <cell r="AI235">
            <v>0</v>
          </cell>
        </row>
        <row r="236">
          <cell r="C236" t="str">
            <v>Profit &amp; Loss Clearing Account</v>
          </cell>
          <cell r="D236">
            <v>204</v>
          </cell>
          <cell r="E236">
            <v>1</v>
          </cell>
          <cell r="F236" t="str">
            <v>Header_1</v>
          </cell>
          <cell r="G236" t="str">
            <v>AddB</v>
          </cell>
          <cell r="I236" t="str">
            <v>Profit &amp; Loss Clearing Account</v>
          </cell>
          <cell r="J236">
            <v>0</v>
          </cell>
          <cell r="K236">
            <v>0</v>
          </cell>
          <cell r="L236">
            <v>0</v>
          </cell>
          <cell r="M236">
            <v>0</v>
          </cell>
          <cell r="O236">
            <v>0</v>
          </cell>
          <cell r="V236" t="str">
            <v>NA</v>
          </cell>
          <cell r="X236">
            <v>0</v>
          </cell>
          <cell r="Y236" t="b">
            <v>0</v>
          </cell>
          <cell r="Z236" t="b">
            <v>0</v>
          </cell>
          <cell r="AA236" t="b">
            <v>0</v>
          </cell>
          <cell r="AB236">
            <v>0</v>
          </cell>
          <cell r="AC236" t="b">
            <v>1</v>
          </cell>
          <cell r="AE236" t="str">
            <v>P</v>
          </cell>
          <cell r="AF236">
            <v>0</v>
          </cell>
          <cell r="AG236">
            <v>0</v>
          </cell>
          <cell r="AI236">
            <v>0</v>
          </cell>
        </row>
        <row r="237">
          <cell r="C237" t="str">
            <v>unallocated_benefits</v>
          </cell>
          <cell r="D237">
            <v>205</v>
          </cell>
          <cell r="E237">
            <v>2</v>
          </cell>
          <cell r="F237" t="str">
            <v>Line_2</v>
          </cell>
          <cell r="G237" t="str">
            <v>AddB</v>
          </cell>
          <cell r="I237" t="str">
            <v>Profit &amp; Loss Clearing Account</v>
          </cell>
          <cell r="J237">
            <v>-1649576.64</v>
          </cell>
          <cell r="K237">
            <v>0</v>
          </cell>
          <cell r="L237">
            <v>-1649576.64</v>
          </cell>
          <cell r="M237">
            <v>0</v>
          </cell>
          <cell r="N237" t="str">
            <v>Add</v>
          </cell>
          <cell r="O237">
            <v>0</v>
          </cell>
          <cell r="V237" t="str">
            <v>NA</v>
          </cell>
          <cell r="X237">
            <v>0</v>
          </cell>
          <cell r="Y237" t="b">
            <v>0</v>
          </cell>
          <cell r="Z237" t="b">
            <v>0</v>
          </cell>
          <cell r="AA237" t="b">
            <v>0</v>
          </cell>
          <cell r="AB237">
            <v>0</v>
          </cell>
          <cell r="AC237" t="b">
            <v>1</v>
          </cell>
          <cell r="AE237" t="str">
            <v>P</v>
          </cell>
          <cell r="AF237">
            <v>0</v>
          </cell>
          <cell r="AG237">
            <v>0</v>
          </cell>
          <cell r="AI237">
            <v>0</v>
          </cell>
        </row>
        <row r="238">
          <cell r="C238" t="str">
            <v>TotalProfit &amp; Loss Clearing Account</v>
          </cell>
          <cell r="D238">
            <v>206</v>
          </cell>
          <cell r="E238">
            <v>1</v>
          </cell>
          <cell r="F238" t="str">
            <v>Total_1</v>
          </cell>
          <cell r="G238" t="str">
            <v>AddB</v>
          </cell>
          <cell r="I238" t="str">
            <v>Total Profit &amp; Loss Clearing Account</v>
          </cell>
          <cell r="J238">
            <v>-1649576.64</v>
          </cell>
          <cell r="K238">
            <v>0</v>
          </cell>
          <cell r="L238">
            <v>-1649576.64</v>
          </cell>
          <cell r="M238">
            <v>0</v>
          </cell>
          <cell r="N238" t="str">
            <v>Add</v>
          </cell>
          <cell r="O238">
            <v>0</v>
          </cell>
          <cell r="V238" t="str">
            <v>NA</v>
          </cell>
          <cell r="X238">
            <v>0</v>
          </cell>
          <cell r="Y238" t="b">
            <v>0</v>
          </cell>
          <cell r="Z238" t="b">
            <v>0</v>
          </cell>
          <cell r="AA238" t="b">
            <v>0</v>
          </cell>
          <cell r="AB238">
            <v>0</v>
          </cell>
          <cell r="AC238" t="b">
            <v>1</v>
          </cell>
          <cell r="AE238" t="str">
            <v>P</v>
          </cell>
          <cell r="AF238">
            <v>0</v>
          </cell>
          <cell r="AG238">
            <v>0</v>
          </cell>
          <cell r="AI238">
            <v>0</v>
          </cell>
        </row>
        <row r="239">
          <cell r="C239" t="str">
            <v>Assets</v>
          </cell>
          <cell r="D239">
            <v>207</v>
          </cell>
          <cell r="E239">
            <v>1</v>
          </cell>
          <cell r="F239" t="str">
            <v>Header_1</v>
          </cell>
          <cell r="G239" t="str">
            <v>AddB</v>
          </cell>
          <cell r="I239" t="str">
            <v>Assets</v>
          </cell>
          <cell r="J239">
            <v>0</v>
          </cell>
          <cell r="K239">
            <v>0</v>
          </cell>
          <cell r="L239">
            <v>0</v>
          </cell>
          <cell r="M239">
            <v>0</v>
          </cell>
          <cell r="O239">
            <v>0</v>
          </cell>
          <cell r="V239" t="str">
            <v>NA</v>
          </cell>
          <cell r="X239">
            <v>0</v>
          </cell>
          <cell r="Y239" t="b">
            <v>0</v>
          </cell>
          <cell r="Z239" t="b">
            <v>0</v>
          </cell>
          <cell r="AA239" t="b">
            <v>0</v>
          </cell>
          <cell r="AB239">
            <v>0</v>
          </cell>
          <cell r="AC239" t="b">
            <v>1</v>
          </cell>
          <cell r="AE239" t="str">
            <v>P</v>
          </cell>
          <cell r="AF239">
            <v>0</v>
          </cell>
          <cell r="AG239">
            <v>0</v>
          </cell>
          <cell r="AI239">
            <v>0</v>
          </cell>
        </row>
        <row r="240">
          <cell r="C240" t="str">
            <v>investments</v>
          </cell>
          <cell r="D240">
            <v>208</v>
          </cell>
          <cell r="E240">
            <v>2</v>
          </cell>
          <cell r="F240" t="str">
            <v>Header_2</v>
          </cell>
          <cell r="G240" t="str">
            <v>AddB</v>
          </cell>
          <cell r="I240" t="str">
            <v>Investments</v>
          </cell>
          <cell r="J240">
            <v>0</v>
          </cell>
          <cell r="K240">
            <v>0</v>
          </cell>
          <cell r="L240">
            <v>0</v>
          </cell>
          <cell r="M240">
            <v>0</v>
          </cell>
          <cell r="O240">
            <v>0</v>
          </cell>
          <cell r="V240" t="str">
            <v>NA</v>
          </cell>
          <cell r="X240">
            <v>0</v>
          </cell>
          <cell r="Y240" t="b">
            <v>0</v>
          </cell>
          <cell r="Z240" t="b">
            <v>0</v>
          </cell>
          <cell r="AA240" t="b">
            <v>0</v>
          </cell>
          <cell r="AB240">
            <v>0</v>
          </cell>
          <cell r="AC240" t="b">
            <v>1</v>
          </cell>
          <cell r="AE240" t="str">
            <v>P</v>
          </cell>
          <cell r="AF240">
            <v>0</v>
          </cell>
          <cell r="AG240">
            <v>0</v>
          </cell>
          <cell r="AI240">
            <v>0</v>
          </cell>
        </row>
        <row r="241">
          <cell r="C241" t="str">
            <v>investments.Cash</v>
          </cell>
          <cell r="D241">
            <v>209</v>
          </cell>
          <cell r="E241">
            <v>3</v>
          </cell>
          <cell r="F241" t="str">
            <v>Header_3</v>
          </cell>
          <cell r="G241" t="str">
            <v>AddB</v>
          </cell>
          <cell r="I241" t="str">
            <v>Cash and Cash Equivalents</v>
          </cell>
          <cell r="J241">
            <v>0</v>
          </cell>
          <cell r="K241">
            <v>0</v>
          </cell>
          <cell r="L241">
            <v>0</v>
          </cell>
          <cell r="M241">
            <v>0</v>
          </cell>
          <cell r="O241">
            <v>0</v>
          </cell>
          <cell r="V241" t="str">
            <v>NA</v>
          </cell>
          <cell r="X241">
            <v>0</v>
          </cell>
          <cell r="Y241" t="b">
            <v>0</v>
          </cell>
          <cell r="Z241" t="b">
            <v>0</v>
          </cell>
          <cell r="AA241" t="b">
            <v>0</v>
          </cell>
          <cell r="AB241">
            <v>0</v>
          </cell>
          <cell r="AC241" t="b">
            <v>1</v>
          </cell>
          <cell r="AE241" t="str">
            <v>P</v>
          </cell>
          <cell r="AF241">
            <v>0</v>
          </cell>
          <cell r="AG241">
            <v>0</v>
          </cell>
          <cell r="AI241">
            <v>0</v>
          </cell>
        </row>
        <row r="242">
          <cell r="C242" t="str">
            <v>investments.Cash.9a1a4a8d-126a-4a73-82c7-f3888256c7d5</v>
          </cell>
          <cell r="D242">
            <v>210</v>
          </cell>
          <cell r="E242">
            <v>4</v>
          </cell>
          <cell r="F242" t="str">
            <v>Line_4</v>
          </cell>
          <cell r="G242" t="str">
            <v>AddB</v>
          </cell>
          <cell r="I242" t="str">
            <v>Term Deposit ING 84613066</v>
          </cell>
          <cell r="J242">
            <v>1741642.02</v>
          </cell>
          <cell r="K242">
            <v>0</v>
          </cell>
          <cell r="L242">
            <v>1741642.02</v>
          </cell>
          <cell r="M242">
            <v>0</v>
          </cell>
          <cell r="N242" t="str">
            <v>Add</v>
          </cell>
          <cell r="O242">
            <v>0</v>
          </cell>
          <cell r="V242" t="str">
            <v>NA</v>
          </cell>
          <cell r="X242">
            <v>0</v>
          </cell>
          <cell r="Y242" t="b">
            <v>0</v>
          </cell>
          <cell r="Z242" t="b">
            <v>0</v>
          </cell>
          <cell r="AA242" t="b">
            <v>0</v>
          </cell>
          <cell r="AB242">
            <v>0</v>
          </cell>
          <cell r="AC242" t="b">
            <v>1</v>
          </cell>
          <cell r="AE242" t="str">
            <v>P</v>
          </cell>
          <cell r="AF242">
            <v>0</v>
          </cell>
          <cell r="AG242">
            <v>0</v>
          </cell>
          <cell r="AI242">
            <v>0</v>
          </cell>
        </row>
        <row r="243">
          <cell r="C243" t="str">
            <v>investments.Cash.4f350160-46c5-4076-bb84-401c0a4fbb02</v>
          </cell>
          <cell r="D243">
            <v>211</v>
          </cell>
          <cell r="E243">
            <v>4</v>
          </cell>
          <cell r="F243" t="str">
            <v>Line_4</v>
          </cell>
          <cell r="G243" t="str">
            <v>AddB</v>
          </cell>
          <cell r="I243" t="str">
            <v>Term Deposit UBank</v>
          </cell>
          <cell r="J243">
            <v>1294698.22</v>
          </cell>
          <cell r="K243">
            <v>0</v>
          </cell>
          <cell r="L243">
            <v>1294698.22</v>
          </cell>
          <cell r="M243">
            <v>0</v>
          </cell>
          <cell r="N243" t="str">
            <v>Add</v>
          </cell>
          <cell r="O243">
            <v>0</v>
          </cell>
          <cell r="V243" t="str">
            <v>NA</v>
          </cell>
          <cell r="X243">
            <v>0</v>
          </cell>
          <cell r="Y243" t="b">
            <v>0</v>
          </cell>
          <cell r="Z243" t="b">
            <v>0</v>
          </cell>
          <cell r="AA243" t="b">
            <v>0</v>
          </cell>
          <cell r="AB243">
            <v>0</v>
          </cell>
          <cell r="AC243" t="b">
            <v>1</v>
          </cell>
          <cell r="AE243" t="str">
            <v>P</v>
          </cell>
          <cell r="AF243">
            <v>0</v>
          </cell>
          <cell r="AG243">
            <v>0</v>
          </cell>
          <cell r="AI243">
            <v>0</v>
          </cell>
        </row>
        <row r="244">
          <cell r="C244" t="str">
            <v>investments.Cash.2c8e0546-25be-49ff-aef4-a427b595b974</v>
          </cell>
          <cell r="D244">
            <v>212</v>
          </cell>
          <cell r="E244">
            <v>4</v>
          </cell>
          <cell r="F244" t="str">
            <v>Line_4</v>
          </cell>
          <cell r="G244" t="str">
            <v>AddB</v>
          </cell>
          <cell r="I244" t="str">
            <v>Westpac Term Deposit 344139</v>
          </cell>
          <cell r="J244">
            <v>1441296.17</v>
          </cell>
          <cell r="K244">
            <v>0</v>
          </cell>
          <cell r="L244">
            <v>1441296.17</v>
          </cell>
          <cell r="M244">
            <v>0</v>
          </cell>
          <cell r="N244" t="str">
            <v>Add</v>
          </cell>
          <cell r="O244">
            <v>0</v>
          </cell>
          <cell r="V244" t="str">
            <v>NA</v>
          </cell>
          <cell r="X244">
            <v>0</v>
          </cell>
          <cell r="Y244" t="b">
            <v>0</v>
          </cell>
          <cell r="Z244" t="b">
            <v>0</v>
          </cell>
          <cell r="AA244" t="b">
            <v>0</v>
          </cell>
          <cell r="AB244">
            <v>0</v>
          </cell>
          <cell r="AC244" t="b">
            <v>1</v>
          </cell>
          <cell r="AE244" t="str">
            <v>P</v>
          </cell>
          <cell r="AF244">
            <v>0</v>
          </cell>
          <cell r="AG244">
            <v>0</v>
          </cell>
          <cell r="AI244">
            <v>0</v>
          </cell>
        </row>
        <row r="245">
          <cell r="C245" t="str">
            <v>Totalinvestments.Cash</v>
          </cell>
          <cell r="D245">
            <v>213</v>
          </cell>
          <cell r="E245">
            <v>3</v>
          </cell>
          <cell r="F245" t="str">
            <v>Total_3</v>
          </cell>
          <cell r="G245" t="str">
            <v>AddB</v>
          </cell>
          <cell r="I245" t="str">
            <v>Total Cash and Cash Equivalents</v>
          </cell>
          <cell r="J245">
            <v>4477636.41</v>
          </cell>
          <cell r="K245">
            <v>0</v>
          </cell>
          <cell r="L245">
            <v>4477636.41</v>
          </cell>
          <cell r="M245">
            <v>0</v>
          </cell>
          <cell r="N245" t="str">
            <v>Add</v>
          </cell>
          <cell r="O245">
            <v>0</v>
          </cell>
          <cell r="V245" t="str">
            <v>NA</v>
          </cell>
          <cell r="X245">
            <v>0</v>
          </cell>
          <cell r="Y245" t="b">
            <v>0</v>
          </cell>
          <cell r="Z245" t="b">
            <v>0</v>
          </cell>
          <cell r="AA245" t="b">
            <v>0</v>
          </cell>
          <cell r="AB245">
            <v>0</v>
          </cell>
          <cell r="AC245" t="b">
            <v>1</v>
          </cell>
          <cell r="AE245" t="str">
            <v>P</v>
          </cell>
          <cell r="AF245">
            <v>0</v>
          </cell>
          <cell r="AG245">
            <v>0</v>
          </cell>
          <cell r="AI245">
            <v>0</v>
          </cell>
        </row>
        <row r="246">
          <cell r="C246" t="str">
            <v>investments.Property</v>
          </cell>
          <cell r="D246">
            <v>214</v>
          </cell>
          <cell r="E246">
            <v>3</v>
          </cell>
          <cell r="F246" t="str">
            <v>Header_3</v>
          </cell>
          <cell r="G246" t="str">
            <v>AddB</v>
          </cell>
          <cell r="I246" t="str">
            <v>Direct Property</v>
          </cell>
          <cell r="J246">
            <v>0</v>
          </cell>
          <cell r="K246">
            <v>0</v>
          </cell>
          <cell r="L246">
            <v>0</v>
          </cell>
          <cell r="M246">
            <v>0</v>
          </cell>
          <cell r="O246">
            <v>0</v>
          </cell>
          <cell r="V246" t="str">
            <v>NA</v>
          </cell>
          <cell r="X246">
            <v>0</v>
          </cell>
          <cell r="Y246" t="b">
            <v>0</v>
          </cell>
          <cell r="Z246" t="b">
            <v>0</v>
          </cell>
          <cell r="AA246" t="b">
            <v>0</v>
          </cell>
          <cell r="AB246">
            <v>0</v>
          </cell>
          <cell r="AC246" t="b">
            <v>1</v>
          </cell>
          <cell r="AE246" t="str">
            <v>P</v>
          </cell>
          <cell r="AF246">
            <v>0</v>
          </cell>
          <cell r="AG246">
            <v>0</v>
          </cell>
          <cell r="AI246">
            <v>0</v>
          </cell>
        </row>
        <row r="247">
          <cell r="C247" t="str">
            <v>investments.Property.cb4fb5de-b893-454a-af8c-39d2f9dd8591</v>
          </cell>
          <cell r="D247">
            <v>215</v>
          </cell>
          <cell r="E247">
            <v>4</v>
          </cell>
          <cell r="F247" t="str">
            <v>Line_4</v>
          </cell>
          <cell r="G247" t="str">
            <v>AddB</v>
          </cell>
          <cell r="H247" t="str">
            <v>Class.ImportProperty</v>
          </cell>
          <cell r="I247" t="str">
            <v>Unit 6004, The Peninsular, Mooloolaba</v>
          </cell>
          <cell r="J247">
            <v>875000</v>
          </cell>
          <cell r="K247">
            <v>0</v>
          </cell>
          <cell r="L247">
            <v>875000</v>
          </cell>
          <cell r="M247">
            <v>0</v>
          </cell>
          <cell r="N247" t="str">
            <v>Add</v>
          </cell>
          <cell r="O247">
            <v>0</v>
          </cell>
          <cell r="V247" t="str">
            <v>NA</v>
          </cell>
          <cell r="X247">
            <v>0</v>
          </cell>
          <cell r="Y247" t="b">
            <v>0</v>
          </cell>
          <cell r="Z247" t="b">
            <v>0</v>
          </cell>
          <cell r="AA247" t="b">
            <v>0</v>
          </cell>
          <cell r="AB247">
            <v>0</v>
          </cell>
          <cell r="AC247" t="b">
            <v>1</v>
          </cell>
          <cell r="AE247" t="str">
            <v>P</v>
          </cell>
          <cell r="AF247">
            <v>0</v>
          </cell>
          <cell r="AG247">
            <v>0</v>
          </cell>
          <cell r="AI247">
            <v>0</v>
          </cell>
        </row>
        <row r="248">
          <cell r="C248" t="str">
            <v>Totalinvestments.Property</v>
          </cell>
          <cell r="D248">
            <v>216</v>
          </cell>
          <cell r="E248">
            <v>3</v>
          </cell>
          <cell r="F248" t="str">
            <v>Total_3</v>
          </cell>
          <cell r="G248" t="str">
            <v>AddB</v>
          </cell>
          <cell r="I248" t="str">
            <v>Total Direct Property</v>
          </cell>
          <cell r="J248">
            <v>875000</v>
          </cell>
          <cell r="K248">
            <v>0</v>
          </cell>
          <cell r="L248">
            <v>875000</v>
          </cell>
          <cell r="M248">
            <v>0</v>
          </cell>
          <cell r="N248" t="str">
            <v>Add</v>
          </cell>
          <cell r="O248">
            <v>0</v>
          </cell>
          <cell r="V248" t="str">
            <v>NA</v>
          </cell>
          <cell r="X248">
            <v>0</v>
          </cell>
          <cell r="Y248" t="b">
            <v>0</v>
          </cell>
          <cell r="Z248" t="b">
            <v>0</v>
          </cell>
          <cell r="AA248" t="b">
            <v>0</v>
          </cell>
          <cell r="AB248">
            <v>0</v>
          </cell>
          <cell r="AC248" t="b">
            <v>1</v>
          </cell>
          <cell r="AE248" t="str">
            <v>P</v>
          </cell>
          <cell r="AF248">
            <v>0</v>
          </cell>
          <cell r="AG248">
            <v>0</v>
          </cell>
          <cell r="AI248">
            <v>0</v>
          </cell>
        </row>
        <row r="249">
          <cell r="C249" t="str">
            <v>investments.OtherFixedInterest</v>
          </cell>
          <cell r="D249">
            <v>217</v>
          </cell>
          <cell r="E249">
            <v>3</v>
          </cell>
          <cell r="F249" t="str">
            <v>Header_3</v>
          </cell>
          <cell r="G249" t="str">
            <v>AddB</v>
          </cell>
          <cell r="I249" t="str">
            <v>Other Fixed Interest Securities</v>
          </cell>
          <cell r="J249">
            <v>0</v>
          </cell>
          <cell r="K249">
            <v>0</v>
          </cell>
          <cell r="L249">
            <v>0</v>
          </cell>
          <cell r="M249">
            <v>0</v>
          </cell>
          <cell r="O249">
            <v>0</v>
          </cell>
          <cell r="V249" t="str">
            <v>NA</v>
          </cell>
          <cell r="X249">
            <v>0</v>
          </cell>
          <cell r="Y249" t="b">
            <v>0</v>
          </cell>
          <cell r="Z249" t="b">
            <v>0</v>
          </cell>
          <cell r="AA249" t="b">
            <v>0</v>
          </cell>
          <cell r="AB249">
            <v>0</v>
          </cell>
          <cell r="AC249" t="b">
            <v>1</v>
          </cell>
          <cell r="AE249" t="str">
            <v>P</v>
          </cell>
          <cell r="AF249">
            <v>0</v>
          </cell>
          <cell r="AG249">
            <v>0</v>
          </cell>
          <cell r="AI249">
            <v>0</v>
          </cell>
        </row>
        <row r="250">
          <cell r="C250" t="str">
            <v>investments.OtherFixedInterest.fadeec77-42db-4e5e-85db-6bf9ece3a26c</v>
          </cell>
          <cell r="D250">
            <v>218</v>
          </cell>
          <cell r="E250">
            <v>4</v>
          </cell>
          <cell r="F250" t="str">
            <v>Line_4</v>
          </cell>
          <cell r="G250" t="str">
            <v>AddB</v>
          </cell>
          <cell r="I250" t="str">
            <v>AGL Energy Limited. - Hybrid 3-Bbsw+3.80% 08-06-39 Sub Step T-06-19</v>
          </cell>
          <cell r="J250">
            <v>105980</v>
          </cell>
          <cell r="K250">
            <v>0</v>
          </cell>
          <cell r="L250">
            <v>105980</v>
          </cell>
          <cell r="M250">
            <v>0</v>
          </cell>
          <cell r="N250" t="str">
            <v>Add</v>
          </cell>
          <cell r="O250">
            <v>0</v>
          </cell>
          <cell r="V250" t="str">
            <v>NA</v>
          </cell>
          <cell r="X250">
            <v>0</v>
          </cell>
          <cell r="Y250" t="b">
            <v>0</v>
          </cell>
          <cell r="Z250" t="b">
            <v>0</v>
          </cell>
          <cell r="AA250" t="b">
            <v>0</v>
          </cell>
          <cell r="AB250">
            <v>0</v>
          </cell>
          <cell r="AC250" t="b">
            <v>1</v>
          </cell>
          <cell r="AE250" t="str">
            <v>P</v>
          </cell>
          <cell r="AF250">
            <v>0</v>
          </cell>
          <cell r="AG250">
            <v>0</v>
          </cell>
          <cell r="AI250">
            <v>0</v>
          </cell>
        </row>
        <row r="251">
          <cell r="C251" t="str">
            <v>investments.OtherFixedInterest.f0f4db9a-7385-4541-ae22-c5c550e0f92e</v>
          </cell>
          <cell r="D251">
            <v>219</v>
          </cell>
          <cell r="E251">
            <v>4</v>
          </cell>
          <cell r="F251" t="str">
            <v>Line_4</v>
          </cell>
          <cell r="G251" t="str">
            <v>AddB</v>
          </cell>
          <cell r="I251" t="str">
            <v>Macquarie Bank Limited - Hybrid 3-Bbsw+1.70% Perp Sub Non-Cum Stap</v>
          </cell>
          <cell r="J251">
            <v>15312</v>
          </cell>
          <cell r="K251">
            <v>0</v>
          </cell>
          <cell r="L251">
            <v>15312</v>
          </cell>
          <cell r="M251">
            <v>0</v>
          </cell>
          <cell r="N251" t="str">
            <v>Add</v>
          </cell>
          <cell r="O251">
            <v>0</v>
          </cell>
          <cell r="V251" t="str">
            <v>NA</v>
          </cell>
          <cell r="X251">
            <v>0</v>
          </cell>
          <cell r="Y251" t="b">
            <v>0</v>
          </cell>
          <cell r="Z251" t="b">
            <v>0</v>
          </cell>
          <cell r="AA251" t="b">
            <v>0</v>
          </cell>
          <cell r="AB251">
            <v>0</v>
          </cell>
          <cell r="AC251" t="b">
            <v>1</v>
          </cell>
          <cell r="AE251" t="str">
            <v>P</v>
          </cell>
          <cell r="AF251">
            <v>0</v>
          </cell>
          <cell r="AG251">
            <v>0</v>
          </cell>
          <cell r="AI251">
            <v>0</v>
          </cell>
        </row>
        <row r="252">
          <cell r="C252" t="str">
            <v>investments.OtherFixedInterest.8095f795-30a9-40b9-8e6f-d3cb26fb2897</v>
          </cell>
          <cell r="D252">
            <v>220</v>
          </cell>
          <cell r="E252">
            <v>4</v>
          </cell>
          <cell r="F252" t="str">
            <v>Line_4</v>
          </cell>
          <cell r="G252" t="str">
            <v>AddB</v>
          </cell>
          <cell r="I252" t="str">
            <v>NAB Ltd - Hybrid 3-Bbsw+1.25% Perp Sub Exch Non-Cum Stap</v>
          </cell>
          <cell r="J252">
            <v>15320.2</v>
          </cell>
          <cell r="K252">
            <v>0</v>
          </cell>
          <cell r="L252">
            <v>15320.2</v>
          </cell>
          <cell r="M252">
            <v>0</v>
          </cell>
          <cell r="N252" t="str">
            <v>Add</v>
          </cell>
          <cell r="O252">
            <v>0</v>
          </cell>
          <cell r="V252" t="str">
            <v>NA</v>
          </cell>
          <cell r="X252">
            <v>0</v>
          </cell>
          <cell r="Y252" t="b">
            <v>0</v>
          </cell>
          <cell r="Z252" t="b">
            <v>0</v>
          </cell>
          <cell r="AA252" t="b">
            <v>0</v>
          </cell>
          <cell r="AB252">
            <v>0</v>
          </cell>
          <cell r="AC252" t="b">
            <v>1</v>
          </cell>
          <cell r="AE252" t="str">
            <v>P</v>
          </cell>
          <cell r="AF252">
            <v>0</v>
          </cell>
          <cell r="AG252">
            <v>0</v>
          </cell>
          <cell r="AI252">
            <v>0</v>
          </cell>
        </row>
        <row r="253">
          <cell r="C253" t="str">
            <v>investments.OtherFixedInterest.919b1fa8-a96c-4861-942b-8aad5464e14d</v>
          </cell>
          <cell r="D253">
            <v>221</v>
          </cell>
          <cell r="E253">
            <v>4</v>
          </cell>
          <cell r="F253" t="str">
            <v>Line_4</v>
          </cell>
          <cell r="G253" t="str">
            <v>AddB</v>
          </cell>
          <cell r="I253" t="str">
            <v>Westpac Banking Corporation - Sub Bond 3-Bbsw+2.75% 23-8-22 Red T-08-17</v>
          </cell>
          <cell r="J253">
            <v>100760</v>
          </cell>
          <cell r="K253">
            <v>0</v>
          </cell>
          <cell r="L253">
            <v>100760</v>
          </cell>
          <cell r="M253">
            <v>0</v>
          </cell>
          <cell r="N253" t="str">
            <v>Add</v>
          </cell>
          <cell r="O253">
            <v>0</v>
          </cell>
          <cell r="V253" t="str">
            <v>NA</v>
          </cell>
          <cell r="X253">
            <v>0</v>
          </cell>
          <cell r="Y253" t="b">
            <v>0</v>
          </cell>
          <cell r="Z253" t="b">
            <v>0</v>
          </cell>
          <cell r="AA253" t="b">
            <v>0</v>
          </cell>
          <cell r="AB253">
            <v>0</v>
          </cell>
          <cell r="AC253" t="b">
            <v>1</v>
          </cell>
          <cell r="AE253" t="str">
            <v>P</v>
          </cell>
          <cell r="AF253">
            <v>0</v>
          </cell>
          <cell r="AG253">
            <v>0</v>
          </cell>
          <cell r="AI253">
            <v>0</v>
          </cell>
        </row>
        <row r="254">
          <cell r="C254" t="str">
            <v>Totalinvestments.OtherFixedInterest</v>
          </cell>
          <cell r="D254">
            <v>222</v>
          </cell>
          <cell r="E254">
            <v>3</v>
          </cell>
          <cell r="F254" t="str">
            <v>Total_3</v>
          </cell>
          <cell r="G254" t="str">
            <v>AddB</v>
          </cell>
          <cell r="I254" t="str">
            <v>Total Other Fixed Interest Securities</v>
          </cell>
          <cell r="J254">
            <v>237372.2</v>
          </cell>
          <cell r="K254">
            <v>0</v>
          </cell>
          <cell r="L254">
            <v>237372.2</v>
          </cell>
          <cell r="M254">
            <v>0</v>
          </cell>
          <cell r="N254" t="str">
            <v>Add</v>
          </cell>
          <cell r="O254">
            <v>0</v>
          </cell>
          <cell r="V254" t="str">
            <v>NA</v>
          </cell>
          <cell r="X254">
            <v>0</v>
          </cell>
          <cell r="Y254" t="b">
            <v>0</v>
          </cell>
          <cell r="Z254" t="b">
            <v>0</v>
          </cell>
          <cell r="AA254" t="b">
            <v>0</v>
          </cell>
          <cell r="AB254">
            <v>0</v>
          </cell>
          <cell r="AC254" t="b">
            <v>1</v>
          </cell>
          <cell r="AE254" t="str">
            <v>P</v>
          </cell>
          <cell r="AF254">
            <v>0</v>
          </cell>
          <cell r="AG254">
            <v>0</v>
          </cell>
          <cell r="AI254">
            <v>0</v>
          </cell>
        </row>
        <row r="255">
          <cell r="C255" t="str">
            <v>investments.ListedShares</v>
          </cell>
          <cell r="D255">
            <v>223</v>
          </cell>
          <cell r="E255">
            <v>3</v>
          </cell>
          <cell r="F255" t="str">
            <v>Header_3</v>
          </cell>
          <cell r="G255" t="str">
            <v>AddB</v>
          </cell>
          <cell r="I255" t="str">
            <v>Shares in Listed Companies</v>
          </cell>
          <cell r="J255">
            <v>0</v>
          </cell>
          <cell r="K255">
            <v>0</v>
          </cell>
          <cell r="L255">
            <v>0</v>
          </cell>
          <cell r="M255">
            <v>0</v>
          </cell>
          <cell r="O255">
            <v>0</v>
          </cell>
          <cell r="V255" t="str">
            <v>NA</v>
          </cell>
          <cell r="X255">
            <v>0</v>
          </cell>
          <cell r="Y255" t="b">
            <v>0</v>
          </cell>
          <cell r="Z255" t="b">
            <v>0</v>
          </cell>
          <cell r="AA255" t="b">
            <v>0</v>
          </cell>
          <cell r="AB255">
            <v>0</v>
          </cell>
          <cell r="AC255" t="b">
            <v>1</v>
          </cell>
          <cell r="AE255" t="str">
            <v>P</v>
          </cell>
          <cell r="AF255">
            <v>0</v>
          </cell>
          <cell r="AG255">
            <v>0</v>
          </cell>
          <cell r="AI255">
            <v>0</v>
          </cell>
        </row>
        <row r="256">
          <cell r="C256" t="str">
            <v>investments.ListedShares.ea7fe5a2-6a50-4e1c-b2bf-ab7ac3754bf6</v>
          </cell>
          <cell r="D256">
            <v>224</v>
          </cell>
          <cell r="E256">
            <v>4</v>
          </cell>
          <cell r="F256" t="str">
            <v>Line_4</v>
          </cell>
          <cell r="G256" t="str">
            <v>AddB</v>
          </cell>
          <cell r="I256" t="str">
            <v>ANZ Banking Group Ltd - Cnv Pref 6-Bbsw+3.10% Perp Sub Non-Cum T-09-19</v>
          </cell>
          <cell r="J256">
            <v>102100</v>
          </cell>
          <cell r="K256">
            <v>0</v>
          </cell>
          <cell r="L256">
            <v>102100</v>
          </cell>
          <cell r="M256">
            <v>0</v>
          </cell>
          <cell r="N256" t="str">
            <v>Add</v>
          </cell>
          <cell r="O256">
            <v>0</v>
          </cell>
          <cell r="V256" t="str">
            <v>NA</v>
          </cell>
          <cell r="X256">
            <v>0</v>
          </cell>
          <cell r="Y256" t="b">
            <v>0</v>
          </cell>
          <cell r="Z256" t="b">
            <v>0</v>
          </cell>
          <cell r="AA256" t="b">
            <v>0</v>
          </cell>
          <cell r="AB256">
            <v>0</v>
          </cell>
          <cell r="AC256" t="b">
            <v>1</v>
          </cell>
          <cell r="AE256" t="str">
            <v>P</v>
          </cell>
          <cell r="AF256">
            <v>0</v>
          </cell>
          <cell r="AG256">
            <v>0</v>
          </cell>
          <cell r="AI256">
            <v>0</v>
          </cell>
        </row>
        <row r="257">
          <cell r="C257" t="str">
            <v>investments.ListedShares.c661fd1f-7227-4c8d-84cb-8704d5b3ff83</v>
          </cell>
          <cell r="D257">
            <v>225</v>
          </cell>
          <cell r="E257">
            <v>4</v>
          </cell>
          <cell r="F257" t="str">
            <v>Line_4</v>
          </cell>
          <cell r="G257" t="str">
            <v>AddB</v>
          </cell>
          <cell r="I257" t="str">
            <v>BHP Billiton Limited</v>
          </cell>
          <cell r="J257">
            <v>226514.4</v>
          </cell>
          <cell r="K257">
            <v>0</v>
          </cell>
          <cell r="L257">
            <v>226514.4</v>
          </cell>
          <cell r="M257">
            <v>0</v>
          </cell>
          <cell r="N257" t="str">
            <v>Add</v>
          </cell>
          <cell r="O257">
            <v>0</v>
          </cell>
          <cell r="V257" t="str">
            <v>NA</v>
          </cell>
          <cell r="X257">
            <v>0</v>
          </cell>
          <cell r="Y257" t="b">
            <v>0</v>
          </cell>
          <cell r="Z257" t="b">
            <v>0</v>
          </cell>
          <cell r="AA257" t="b">
            <v>0</v>
          </cell>
          <cell r="AB257">
            <v>0</v>
          </cell>
          <cell r="AC257" t="b">
            <v>1</v>
          </cell>
          <cell r="AE257" t="str">
            <v>P</v>
          </cell>
          <cell r="AF257">
            <v>0</v>
          </cell>
          <cell r="AG257">
            <v>0</v>
          </cell>
          <cell r="AI257">
            <v>0</v>
          </cell>
        </row>
        <row r="258">
          <cell r="C258" t="str">
            <v>investments.ListedShares.1eaa5cbe-0ce4-470e-83e9-f0eda6d6e2da</v>
          </cell>
          <cell r="D258">
            <v>226</v>
          </cell>
          <cell r="E258">
            <v>4</v>
          </cell>
          <cell r="F258" t="str">
            <v>Line_4</v>
          </cell>
          <cell r="G258" t="str">
            <v>AddB</v>
          </cell>
          <cell r="I258" t="str">
            <v>Commonwealth Bank Of Australia.</v>
          </cell>
          <cell r="J258">
            <v>276833.83</v>
          </cell>
          <cell r="K258">
            <v>0</v>
          </cell>
          <cell r="L258">
            <v>276833.83</v>
          </cell>
          <cell r="M258">
            <v>0</v>
          </cell>
          <cell r="N258" t="str">
            <v>Add</v>
          </cell>
          <cell r="O258">
            <v>0</v>
          </cell>
          <cell r="V258" t="str">
            <v>NA</v>
          </cell>
          <cell r="X258">
            <v>0</v>
          </cell>
          <cell r="Y258" t="b">
            <v>0</v>
          </cell>
          <cell r="Z258" t="b">
            <v>0</v>
          </cell>
          <cell r="AA258" t="b">
            <v>0</v>
          </cell>
          <cell r="AB258">
            <v>0</v>
          </cell>
          <cell r="AC258" t="b">
            <v>1</v>
          </cell>
          <cell r="AE258" t="str">
            <v>P</v>
          </cell>
          <cell r="AF258">
            <v>0</v>
          </cell>
          <cell r="AG258">
            <v>0</v>
          </cell>
          <cell r="AI258">
            <v>0</v>
          </cell>
        </row>
        <row r="259">
          <cell r="C259" t="str">
            <v>investments.ListedShares.24fef001-f628-4dc4-9bf6-8ee82dd62ed3</v>
          </cell>
          <cell r="D259">
            <v>227</v>
          </cell>
          <cell r="E259">
            <v>4</v>
          </cell>
          <cell r="F259" t="str">
            <v>Line_4</v>
          </cell>
          <cell r="G259" t="str">
            <v>AddB</v>
          </cell>
          <cell r="I259" t="str">
            <v>Lycopodium Limited</v>
          </cell>
          <cell r="J259">
            <v>127575</v>
          </cell>
          <cell r="K259">
            <v>0</v>
          </cell>
          <cell r="L259">
            <v>127575</v>
          </cell>
          <cell r="M259">
            <v>0</v>
          </cell>
          <cell r="N259" t="str">
            <v>Add</v>
          </cell>
          <cell r="O259">
            <v>0</v>
          </cell>
          <cell r="V259" t="str">
            <v>NA</v>
          </cell>
          <cell r="X259">
            <v>0</v>
          </cell>
          <cell r="Y259" t="b">
            <v>0</v>
          </cell>
          <cell r="Z259" t="b">
            <v>0</v>
          </cell>
          <cell r="AA259" t="b">
            <v>0</v>
          </cell>
          <cell r="AB259">
            <v>0</v>
          </cell>
          <cell r="AC259" t="b">
            <v>1</v>
          </cell>
          <cell r="AE259" t="str">
            <v>P</v>
          </cell>
          <cell r="AF259">
            <v>0</v>
          </cell>
          <cell r="AG259">
            <v>0</v>
          </cell>
          <cell r="AI259">
            <v>0</v>
          </cell>
        </row>
        <row r="260">
          <cell r="C260" t="str">
            <v>investments.ListedShares.9818f6d6-d4e9-4dcd-9995-29f54b31d4ac</v>
          </cell>
          <cell r="D260">
            <v>228</v>
          </cell>
          <cell r="E260">
            <v>4</v>
          </cell>
          <cell r="F260" t="str">
            <v>Line_4</v>
          </cell>
          <cell r="G260" t="str">
            <v>AddB</v>
          </cell>
          <cell r="I260" t="str">
            <v>NRW Holdings Limited</v>
          </cell>
          <cell r="J260">
            <v>58166.1</v>
          </cell>
          <cell r="K260">
            <v>0</v>
          </cell>
          <cell r="L260">
            <v>58166.1</v>
          </cell>
          <cell r="M260">
            <v>0</v>
          </cell>
          <cell r="N260" t="str">
            <v>Add</v>
          </cell>
          <cell r="O260">
            <v>0</v>
          </cell>
          <cell r="V260" t="str">
            <v>NA</v>
          </cell>
          <cell r="X260">
            <v>0</v>
          </cell>
          <cell r="Y260" t="b">
            <v>0</v>
          </cell>
          <cell r="Z260" t="b">
            <v>0</v>
          </cell>
          <cell r="AA260" t="b">
            <v>0</v>
          </cell>
          <cell r="AB260">
            <v>0</v>
          </cell>
          <cell r="AC260" t="b">
            <v>1</v>
          </cell>
          <cell r="AE260" t="str">
            <v>P</v>
          </cell>
          <cell r="AF260">
            <v>0</v>
          </cell>
          <cell r="AG260">
            <v>0</v>
          </cell>
          <cell r="AI260">
            <v>0</v>
          </cell>
        </row>
        <row r="261">
          <cell r="C261" t="str">
            <v>investments.ListedShares.11031a76-c558-42b0-9844-9a11dee4c1e8</v>
          </cell>
          <cell r="D261">
            <v>229</v>
          </cell>
          <cell r="E261">
            <v>4</v>
          </cell>
          <cell r="F261" t="str">
            <v>Line_4</v>
          </cell>
          <cell r="G261" t="str">
            <v>AddB</v>
          </cell>
          <cell r="I261" t="str">
            <v>RCG Corporation Limited</v>
          </cell>
          <cell r="J261">
            <v>498623.7</v>
          </cell>
          <cell r="K261">
            <v>0</v>
          </cell>
          <cell r="L261">
            <v>498623.7</v>
          </cell>
          <cell r="M261">
            <v>0</v>
          </cell>
          <cell r="N261" t="str">
            <v>Add</v>
          </cell>
          <cell r="O261">
            <v>0</v>
          </cell>
          <cell r="V261" t="str">
            <v>NA</v>
          </cell>
          <cell r="X261">
            <v>0</v>
          </cell>
          <cell r="Y261" t="b">
            <v>0</v>
          </cell>
          <cell r="Z261" t="b">
            <v>0</v>
          </cell>
          <cell r="AA261" t="b">
            <v>0</v>
          </cell>
          <cell r="AB261">
            <v>0</v>
          </cell>
          <cell r="AC261" t="b">
            <v>1</v>
          </cell>
          <cell r="AE261" t="str">
            <v>P</v>
          </cell>
          <cell r="AF261">
            <v>0</v>
          </cell>
          <cell r="AG261">
            <v>0</v>
          </cell>
          <cell r="AI261">
            <v>0</v>
          </cell>
        </row>
        <row r="262">
          <cell r="C262" t="str">
            <v>investments.ListedShares.70ba86ed-c44b-4771-b5a2-be7e62412e91</v>
          </cell>
          <cell r="D262">
            <v>230</v>
          </cell>
          <cell r="E262">
            <v>4</v>
          </cell>
          <cell r="F262" t="str">
            <v>Line_4</v>
          </cell>
          <cell r="G262" t="str">
            <v>AddB</v>
          </cell>
          <cell r="I262" t="str">
            <v>Wesfarmers Limited</v>
          </cell>
          <cell r="J262">
            <v>213598.88</v>
          </cell>
          <cell r="K262">
            <v>0</v>
          </cell>
          <cell r="L262">
            <v>213598.88</v>
          </cell>
          <cell r="M262">
            <v>0</v>
          </cell>
          <cell r="N262" t="str">
            <v>Add</v>
          </cell>
          <cell r="O262">
            <v>0</v>
          </cell>
          <cell r="V262" t="str">
            <v>NA</v>
          </cell>
          <cell r="X262">
            <v>0</v>
          </cell>
          <cell r="Y262" t="b">
            <v>0</v>
          </cell>
          <cell r="Z262" t="b">
            <v>0</v>
          </cell>
          <cell r="AA262" t="b">
            <v>0</v>
          </cell>
          <cell r="AB262">
            <v>0</v>
          </cell>
          <cell r="AC262" t="b">
            <v>1</v>
          </cell>
          <cell r="AE262" t="str">
            <v>P</v>
          </cell>
          <cell r="AF262">
            <v>0</v>
          </cell>
          <cell r="AG262">
            <v>0</v>
          </cell>
          <cell r="AI262">
            <v>0</v>
          </cell>
        </row>
        <row r="263">
          <cell r="C263" t="str">
            <v>Totalinvestments.ListedShares</v>
          </cell>
          <cell r="D263">
            <v>231</v>
          </cell>
          <cell r="E263">
            <v>3</v>
          </cell>
          <cell r="F263" t="str">
            <v>Total_3</v>
          </cell>
          <cell r="G263" t="str">
            <v>AddB</v>
          </cell>
          <cell r="I263" t="str">
            <v>Total Shares in Listed Companies</v>
          </cell>
          <cell r="J263">
            <v>1503411.91</v>
          </cell>
          <cell r="K263">
            <v>0</v>
          </cell>
          <cell r="L263">
            <v>1503411.91</v>
          </cell>
          <cell r="M263">
            <v>0</v>
          </cell>
          <cell r="N263" t="str">
            <v>Add</v>
          </cell>
          <cell r="O263">
            <v>0</v>
          </cell>
          <cell r="V263" t="str">
            <v>NA</v>
          </cell>
          <cell r="X263">
            <v>0</v>
          </cell>
          <cell r="Y263" t="b">
            <v>0</v>
          </cell>
          <cell r="Z263" t="b">
            <v>0</v>
          </cell>
          <cell r="AA263" t="b">
            <v>0</v>
          </cell>
          <cell r="AB263">
            <v>0</v>
          </cell>
          <cell r="AC263" t="b">
            <v>1</v>
          </cell>
          <cell r="AE263" t="str">
            <v>P</v>
          </cell>
          <cell r="AF263">
            <v>0</v>
          </cell>
          <cell r="AG263">
            <v>0</v>
          </cell>
          <cell r="AI263">
            <v>0</v>
          </cell>
        </row>
        <row r="264">
          <cell r="C264" t="str">
            <v>investments.ForeignListedShares</v>
          </cell>
          <cell r="D264">
            <v>232</v>
          </cell>
          <cell r="E264">
            <v>3</v>
          </cell>
          <cell r="F264" t="str">
            <v>Header_3</v>
          </cell>
          <cell r="G264" t="str">
            <v>AddB</v>
          </cell>
          <cell r="I264" t="str">
            <v>Shares in Listed Companies - Foreign</v>
          </cell>
          <cell r="J264">
            <v>0</v>
          </cell>
          <cell r="K264">
            <v>0</v>
          </cell>
          <cell r="L264">
            <v>0</v>
          </cell>
          <cell r="M264">
            <v>0</v>
          </cell>
          <cell r="O264">
            <v>0</v>
          </cell>
          <cell r="V264" t="str">
            <v>NA</v>
          </cell>
          <cell r="X264">
            <v>0</v>
          </cell>
          <cell r="Y264" t="b">
            <v>0</v>
          </cell>
          <cell r="Z264" t="b">
            <v>0</v>
          </cell>
          <cell r="AA264" t="b">
            <v>0</v>
          </cell>
          <cell r="AB264">
            <v>0</v>
          </cell>
          <cell r="AC264" t="b">
            <v>1</v>
          </cell>
          <cell r="AE264" t="str">
            <v>P</v>
          </cell>
          <cell r="AF264">
            <v>0</v>
          </cell>
          <cell r="AG264">
            <v>0</v>
          </cell>
          <cell r="AI264">
            <v>0</v>
          </cell>
        </row>
        <row r="265">
          <cell r="C265" t="str">
            <v>investments.ForeignListedShares.e87701d6-7496-4f79-9059-0e7138d9968e</v>
          </cell>
          <cell r="D265">
            <v>233</v>
          </cell>
          <cell r="E265">
            <v>4</v>
          </cell>
          <cell r="F265" t="str">
            <v>Line_4</v>
          </cell>
          <cell r="G265" t="str">
            <v>AddB</v>
          </cell>
          <cell r="I265" t="str">
            <v>A10 Networks Inc</v>
          </cell>
          <cell r="J265">
            <v>2249.35</v>
          </cell>
          <cell r="K265">
            <v>0</v>
          </cell>
          <cell r="L265">
            <v>2249.35</v>
          </cell>
          <cell r="M265">
            <v>0</v>
          </cell>
          <cell r="N265" t="str">
            <v>Add</v>
          </cell>
          <cell r="O265">
            <v>0</v>
          </cell>
          <cell r="V265" t="str">
            <v>NA</v>
          </cell>
          <cell r="X265">
            <v>0</v>
          </cell>
          <cell r="Y265" t="b">
            <v>0</v>
          </cell>
          <cell r="Z265" t="b">
            <v>0</v>
          </cell>
          <cell r="AA265" t="b">
            <v>0</v>
          </cell>
          <cell r="AB265">
            <v>0</v>
          </cell>
          <cell r="AC265" t="b">
            <v>1</v>
          </cell>
          <cell r="AE265" t="str">
            <v>P</v>
          </cell>
          <cell r="AF265">
            <v>0</v>
          </cell>
          <cell r="AG265">
            <v>0</v>
          </cell>
          <cell r="AI265">
            <v>0</v>
          </cell>
        </row>
        <row r="266">
          <cell r="C266" t="str">
            <v>investments.ForeignListedShares.d7e30246-20df-40c8-b778-d270538ebbfa</v>
          </cell>
          <cell r="D266">
            <v>234</v>
          </cell>
          <cell r="E266">
            <v>4</v>
          </cell>
          <cell r="F266" t="str">
            <v>Line_4</v>
          </cell>
          <cell r="G266" t="str">
            <v>AddB</v>
          </cell>
          <cell r="I266" t="str">
            <v>Akoustis Technologies Inc</v>
          </cell>
          <cell r="J266">
            <v>2067.9699999999998</v>
          </cell>
          <cell r="K266">
            <v>0</v>
          </cell>
          <cell r="L266">
            <v>2067.9699999999998</v>
          </cell>
          <cell r="M266">
            <v>0</v>
          </cell>
          <cell r="N266" t="str">
            <v>Add</v>
          </cell>
          <cell r="O266">
            <v>0</v>
          </cell>
          <cell r="V266" t="str">
            <v>NA</v>
          </cell>
          <cell r="X266">
            <v>0</v>
          </cell>
          <cell r="Y266" t="b">
            <v>0</v>
          </cell>
          <cell r="Z266" t="b">
            <v>0</v>
          </cell>
          <cell r="AA266" t="b">
            <v>0</v>
          </cell>
          <cell r="AB266">
            <v>0</v>
          </cell>
          <cell r="AC266" t="b">
            <v>1</v>
          </cell>
          <cell r="AE266" t="str">
            <v>P</v>
          </cell>
          <cell r="AF266">
            <v>0</v>
          </cell>
          <cell r="AG266">
            <v>0</v>
          </cell>
          <cell r="AI266">
            <v>0</v>
          </cell>
        </row>
        <row r="267">
          <cell r="C267" t="str">
            <v>investments.ForeignListedShares.9aca6185-2e14-4e4f-8b87-2ce54e74e09b</v>
          </cell>
          <cell r="D267">
            <v>235</v>
          </cell>
          <cell r="E267">
            <v>4</v>
          </cell>
          <cell r="F267" t="str">
            <v>Line_4</v>
          </cell>
          <cell r="G267" t="str">
            <v>AddB</v>
          </cell>
          <cell r="I267" t="str">
            <v>CRISPR Therapeutics Ltd</v>
          </cell>
          <cell r="J267">
            <v>2624.18</v>
          </cell>
          <cell r="K267">
            <v>0</v>
          </cell>
          <cell r="L267">
            <v>2624.18</v>
          </cell>
          <cell r="M267">
            <v>0</v>
          </cell>
          <cell r="N267" t="str">
            <v>Add</v>
          </cell>
          <cell r="O267">
            <v>0</v>
          </cell>
          <cell r="V267" t="str">
            <v>NA</v>
          </cell>
          <cell r="X267">
            <v>0</v>
          </cell>
          <cell r="Y267" t="b">
            <v>0</v>
          </cell>
          <cell r="Z267" t="b">
            <v>0</v>
          </cell>
          <cell r="AA267" t="b">
            <v>0</v>
          </cell>
          <cell r="AB267">
            <v>0</v>
          </cell>
          <cell r="AC267" t="b">
            <v>1</v>
          </cell>
          <cell r="AE267" t="str">
            <v>P</v>
          </cell>
          <cell r="AF267">
            <v>0</v>
          </cell>
          <cell r="AG267">
            <v>0</v>
          </cell>
          <cell r="AI267">
            <v>0</v>
          </cell>
        </row>
        <row r="268">
          <cell r="C268" t="str">
            <v>investments.ForeignListedShares.bfd7dfaf-4df6-4c4f-8704-d100dfaf158f</v>
          </cell>
          <cell r="D268">
            <v>236</v>
          </cell>
          <cell r="E268">
            <v>4</v>
          </cell>
          <cell r="F268" t="str">
            <v>Line_4</v>
          </cell>
          <cell r="G268" t="str">
            <v>AddB</v>
          </cell>
          <cell r="I268" t="str">
            <v>Hortonworks Inc</v>
          </cell>
          <cell r="J268">
            <v>3097.76</v>
          </cell>
          <cell r="K268">
            <v>0</v>
          </cell>
          <cell r="L268">
            <v>3097.76</v>
          </cell>
          <cell r="M268">
            <v>0</v>
          </cell>
          <cell r="N268" t="str">
            <v>Add</v>
          </cell>
          <cell r="O268">
            <v>0</v>
          </cell>
          <cell r="V268" t="str">
            <v>NA</v>
          </cell>
          <cell r="X268">
            <v>0</v>
          </cell>
          <cell r="Y268" t="b">
            <v>0</v>
          </cell>
          <cell r="Z268" t="b">
            <v>0</v>
          </cell>
          <cell r="AA268" t="b">
            <v>0</v>
          </cell>
          <cell r="AB268">
            <v>0</v>
          </cell>
          <cell r="AC268" t="b">
            <v>1</v>
          </cell>
          <cell r="AE268" t="str">
            <v>P</v>
          </cell>
          <cell r="AF268">
            <v>0</v>
          </cell>
          <cell r="AG268">
            <v>0</v>
          </cell>
          <cell r="AI268">
            <v>0</v>
          </cell>
        </row>
        <row r="269">
          <cell r="C269" t="str">
            <v>investments.ForeignListedShares.7d9a5e51-e567-4405-ba9c-8ce37e624fdb</v>
          </cell>
          <cell r="D269">
            <v>237</v>
          </cell>
          <cell r="E269">
            <v>4</v>
          </cell>
          <cell r="F269" t="str">
            <v>Line_4</v>
          </cell>
          <cell r="G269" t="str">
            <v>AddB</v>
          </cell>
          <cell r="I269" t="str">
            <v>New Relic Inc</v>
          </cell>
          <cell r="J269">
            <v>2795.76</v>
          </cell>
          <cell r="K269">
            <v>0</v>
          </cell>
          <cell r="L269">
            <v>2795.76</v>
          </cell>
          <cell r="M269">
            <v>0</v>
          </cell>
          <cell r="N269" t="str">
            <v>Add</v>
          </cell>
          <cell r="O269">
            <v>0</v>
          </cell>
          <cell r="V269" t="str">
            <v>NA</v>
          </cell>
          <cell r="X269">
            <v>0</v>
          </cell>
          <cell r="Y269" t="b">
            <v>0</v>
          </cell>
          <cell r="Z269" t="b">
            <v>0</v>
          </cell>
          <cell r="AA269" t="b">
            <v>0</v>
          </cell>
          <cell r="AB269">
            <v>0</v>
          </cell>
          <cell r="AC269" t="b">
            <v>1</v>
          </cell>
          <cell r="AE269" t="str">
            <v>P</v>
          </cell>
          <cell r="AF269">
            <v>0</v>
          </cell>
          <cell r="AG269">
            <v>0</v>
          </cell>
          <cell r="AI269">
            <v>0</v>
          </cell>
        </row>
        <row r="270">
          <cell r="C270" t="str">
            <v>investments.ForeignListedShares.3eb76e74-ac1f-4a1c-ba87-ba69905659d4</v>
          </cell>
          <cell r="D270">
            <v>238</v>
          </cell>
          <cell r="E270">
            <v>4</v>
          </cell>
          <cell r="F270" t="str">
            <v>Line_4</v>
          </cell>
          <cell r="G270" t="str">
            <v>AddB</v>
          </cell>
          <cell r="I270" t="str">
            <v>Quantenna Communications Inc</v>
          </cell>
          <cell r="J270">
            <v>2223.09</v>
          </cell>
          <cell r="K270">
            <v>0</v>
          </cell>
          <cell r="L270">
            <v>2223.09</v>
          </cell>
          <cell r="M270">
            <v>0</v>
          </cell>
          <cell r="N270" t="str">
            <v>Add</v>
          </cell>
          <cell r="O270">
            <v>0</v>
          </cell>
          <cell r="V270" t="str">
            <v>NA</v>
          </cell>
          <cell r="X270">
            <v>0</v>
          </cell>
          <cell r="Y270" t="b">
            <v>0</v>
          </cell>
          <cell r="Z270" t="b">
            <v>0</v>
          </cell>
          <cell r="AA270" t="b">
            <v>0</v>
          </cell>
          <cell r="AB270">
            <v>0</v>
          </cell>
          <cell r="AC270" t="b">
            <v>1</v>
          </cell>
          <cell r="AE270" t="str">
            <v>P</v>
          </cell>
          <cell r="AF270">
            <v>0</v>
          </cell>
          <cell r="AG270">
            <v>0</v>
          </cell>
          <cell r="AI270">
            <v>0</v>
          </cell>
        </row>
        <row r="271">
          <cell r="C271" t="str">
            <v>investments.ForeignListedShares.6553bc95-9866-4980-af28-be3b3f5bab81</v>
          </cell>
          <cell r="D271">
            <v>239</v>
          </cell>
          <cell r="E271">
            <v>4</v>
          </cell>
          <cell r="F271" t="str">
            <v>Line_4</v>
          </cell>
          <cell r="G271" t="str">
            <v>AddB</v>
          </cell>
          <cell r="I271" t="str">
            <v>Square Inc</v>
          </cell>
          <cell r="J271">
            <v>4361.3900000000003</v>
          </cell>
          <cell r="K271">
            <v>0</v>
          </cell>
          <cell r="L271">
            <v>4361.3900000000003</v>
          </cell>
          <cell r="M271">
            <v>0</v>
          </cell>
          <cell r="N271" t="str">
            <v>Add</v>
          </cell>
          <cell r="O271">
            <v>0</v>
          </cell>
          <cell r="V271" t="str">
            <v>NA</v>
          </cell>
          <cell r="X271">
            <v>0</v>
          </cell>
          <cell r="Y271" t="b">
            <v>0</v>
          </cell>
          <cell r="Z271" t="b">
            <v>0</v>
          </cell>
          <cell r="AA271" t="b">
            <v>0</v>
          </cell>
          <cell r="AB271">
            <v>0</v>
          </cell>
          <cell r="AC271" t="b">
            <v>1</v>
          </cell>
          <cell r="AE271" t="str">
            <v>P</v>
          </cell>
          <cell r="AF271">
            <v>0</v>
          </cell>
          <cell r="AG271">
            <v>0</v>
          </cell>
          <cell r="AI271">
            <v>0</v>
          </cell>
        </row>
        <row r="272">
          <cell r="C272" t="str">
            <v>investments.ForeignListedShares.330b3d40-a1fc-4475-9aba-0bd61cfcd8be</v>
          </cell>
          <cell r="D272">
            <v>240</v>
          </cell>
          <cell r="E272">
            <v>4</v>
          </cell>
          <cell r="F272" t="str">
            <v>Line_4</v>
          </cell>
          <cell r="G272" t="str">
            <v>AddB</v>
          </cell>
          <cell r="I272" t="str">
            <v>The ExOne Co</v>
          </cell>
          <cell r="J272">
            <v>2815.78</v>
          </cell>
          <cell r="K272">
            <v>0</v>
          </cell>
          <cell r="L272">
            <v>2815.78</v>
          </cell>
          <cell r="M272">
            <v>0</v>
          </cell>
          <cell r="N272" t="str">
            <v>Add</v>
          </cell>
          <cell r="O272">
            <v>0</v>
          </cell>
          <cell r="V272" t="str">
            <v>NA</v>
          </cell>
          <cell r="X272">
            <v>0</v>
          </cell>
          <cell r="Y272" t="b">
            <v>0</v>
          </cell>
          <cell r="Z272" t="b">
            <v>0</v>
          </cell>
          <cell r="AA272" t="b">
            <v>0</v>
          </cell>
          <cell r="AB272">
            <v>0</v>
          </cell>
          <cell r="AC272" t="b">
            <v>1</v>
          </cell>
          <cell r="AE272" t="str">
            <v>P</v>
          </cell>
          <cell r="AF272">
            <v>0</v>
          </cell>
          <cell r="AG272">
            <v>0</v>
          </cell>
          <cell r="AI272">
            <v>0</v>
          </cell>
        </row>
        <row r="273">
          <cell r="C273" t="str">
            <v>Totalinvestments.ForeignListedShares</v>
          </cell>
          <cell r="D273">
            <v>241</v>
          </cell>
          <cell r="E273">
            <v>3</v>
          </cell>
          <cell r="F273" t="str">
            <v>Total_3</v>
          </cell>
          <cell r="G273" t="str">
            <v>AddB</v>
          </cell>
          <cell r="I273" t="str">
            <v>Total Shares in Listed Companies - Foreign</v>
          </cell>
          <cell r="J273">
            <v>22235.279999999999</v>
          </cell>
          <cell r="K273">
            <v>0</v>
          </cell>
          <cell r="L273">
            <v>22235.279999999999</v>
          </cell>
          <cell r="M273">
            <v>0</v>
          </cell>
          <cell r="N273" t="str">
            <v>Add</v>
          </cell>
          <cell r="O273">
            <v>0</v>
          </cell>
          <cell r="V273" t="str">
            <v>NA</v>
          </cell>
          <cell r="X273">
            <v>0</v>
          </cell>
          <cell r="Y273" t="b">
            <v>0</v>
          </cell>
          <cell r="Z273" t="b">
            <v>0</v>
          </cell>
          <cell r="AA273" t="b">
            <v>0</v>
          </cell>
          <cell r="AB273">
            <v>0</v>
          </cell>
          <cell r="AC273" t="b">
            <v>1</v>
          </cell>
          <cell r="AE273" t="str">
            <v>P</v>
          </cell>
          <cell r="AF273">
            <v>0</v>
          </cell>
          <cell r="AG273">
            <v>0</v>
          </cell>
          <cell r="AI273">
            <v>0</v>
          </cell>
        </row>
        <row r="274">
          <cell r="C274" t="str">
            <v>investments.Stapled</v>
          </cell>
          <cell r="D274">
            <v>242</v>
          </cell>
          <cell r="E274">
            <v>3</v>
          </cell>
          <cell r="F274" t="str">
            <v>Header_3</v>
          </cell>
          <cell r="G274" t="str">
            <v>AddB</v>
          </cell>
          <cell r="I274" t="str">
            <v>Stapled Securities</v>
          </cell>
          <cell r="J274">
            <v>0</v>
          </cell>
          <cell r="K274">
            <v>0</v>
          </cell>
          <cell r="L274">
            <v>0</v>
          </cell>
          <cell r="M274">
            <v>0</v>
          </cell>
          <cell r="O274">
            <v>0</v>
          </cell>
          <cell r="V274" t="str">
            <v>NA</v>
          </cell>
          <cell r="X274">
            <v>0</v>
          </cell>
          <cell r="Y274" t="b">
            <v>0</v>
          </cell>
          <cell r="Z274" t="b">
            <v>0</v>
          </cell>
          <cell r="AA274" t="b">
            <v>0</v>
          </cell>
          <cell r="AB274">
            <v>0</v>
          </cell>
          <cell r="AC274" t="b">
            <v>1</v>
          </cell>
          <cell r="AE274" t="str">
            <v>P</v>
          </cell>
          <cell r="AF274">
            <v>0</v>
          </cell>
          <cell r="AG274">
            <v>0</v>
          </cell>
          <cell r="AI274">
            <v>0</v>
          </cell>
        </row>
        <row r="275">
          <cell r="C275" t="str">
            <v>investments.Stapled.8e9a6fc7-bafd-4650-b416-d03fe7049f79</v>
          </cell>
          <cell r="D275">
            <v>243</v>
          </cell>
          <cell r="E275">
            <v>4</v>
          </cell>
          <cell r="F275" t="str">
            <v>Line_4</v>
          </cell>
          <cell r="G275" t="str">
            <v>AddB</v>
          </cell>
          <cell r="I275" t="str">
            <v>Scentre Group - Stapled Securities</v>
          </cell>
          <cell r="J275">
            <v>121354.2</v>
          </cell>
          <cell r="K275">
            <v>0</v>
          </cell>
          <cell r="L275">
            <v>121354.2</v>
          </cell>
          <cell r="M275">
            <v>0</v>
          </cell>
          <cell r="N275" t="str">
            <v>Add</v>
          </cell>
          <cell r="O275">
            <v>0</v>
          </cell>
          <cell r="V275" t="str">
            <v>NA</v>
          </cell>
          <cell r="X275">
            <v>0</v>
          </cell>
          <cell r="Y275" t="b">
            <v>0</v>
          </cell>
          <cell r="Z275" t="b">
            <v>0</v>
          </cell>
          <cell r="AA275" t="b">
            <v>0</v>
          </cell>
          <cell r="AB275">
            <v>0</v>
          </cell>
          <cell r="AC275" t="b">
            <v>1</v>
          </cell>
          <cell r="AE275" t="str">
            <v>P</v>
          </cell>
          <cell r="AF275">
            <v>0</v>
          </cell>
          <cell r="AG275">
            <v>0</v>
          </cell>
          <cell r="AI275">
            <v>0</v>
          </cell>
        </row>
        <row r="276">
          <cell r="C276" t="str">
            <v>investments.Stapled.b8dc8ea2-cad6-47a7-854d-100beb381eae</v>
          </cell>
          <cell r="D276">
            <v>244</v>
          </cell>
          <cell r="E276">
            <v>4</v>
          </cell>
          <cell r="F276" t="str">
            <v>Line_4</v>
          </cell>
          <cell r="G276" t="str">
            <v>AddB</v>
          </cell>
          <cell r="I276" t="str">
            <v>Spark Infrastructure Group - Stapled $0.65 Loan Note And Unit Us Prohibited</v>
          </cell>
          <cell r="J276">
            <v>451557</v>
          </cell>
          <cell r="K276">
            <v>0</v>
          </cell>
          <cell r="L276">
            <v>451557</v>
          </cell>
          <cell r="M276">
            <v>0</v>
          </cell>
          <cell r="N276" t="str">
            <v>Add</v>
          </cell>
          <cell r="O276">
            <v>0</v>
          </cell>
          <cell r="V276" t="str">
            <v>NA</v>
          </cell>
          <cell r="X276">
            <v>0</v>
          </cell>
          <cell r="Y276" t="b">
            <v>0</v>
          </cell>
          <cell r="Z276" t="b">
            <v>0</v>
          </cell>
          <cell r="AA276" t="b">
            <v>0</v>
          </cell>
          <cell r="AB276">
            <v>0</v>
          </cell>
          <cell r="AC276" t="b">
            <v>1</v>
          </cell>
          <cell r="AE276" t="str">
            <v>P</v>
          </cell>
          <cell r="AF276">
            <v>0</v>
          </cell>
          <cell r="AG276">
            <v>0</v>
          </cell>
          <cell r="AI276">
            <v>0</v>
          </cell>
        </row>
        <row r="277">
          <cell r="C277" t="str">
            <v>investments.Stapled.dcba5c26-922b-4e46-b526-e0abc4efb0a4</v>
          </cell>
          <cell r="D277">
            <v>245</v>
          </cell>
          <cell r="E277">
            <v>4</v>
          </cell>
          <cell r="F277" t="str">
            <v>Line_4</v>
          </cell>
          <cell r="G277" t="str">
            <v>AddB</v>
          </cell>
          <cell r="I277" t="str">
            <v>Westfield Corporation - Stapled Securities</v>
          </cell>
          <cell r="J277">
            <v>205383.31</v>
          </cell>
          <cell r="K277">
            <v>0</v>
          </cell>
          <cell r="L277">
            <v>205383.31</v>
          </cell>
          <cell r="M277">
            <v>0</v>
          </cell>
          <cell r="N277" t="str">
            <v>Add</v>
          </cell>
          <cell r="O277">
            <v>0</v>
          </cell>
          <cell r="V277" t="str">
            <v>NA</v>
          </cell>
          <cell r="X277">
            <v>0</v>
          </cell>
          <cell r="Y277" t="b">
            <v>0</v>
          </cell>
          <cell r="Z277" t="b">
            <v>0</v>
          </cell>
          <cell r="AA277" t="b">
            <v>0</v>
          </cell>
          <cell r="AB277">
            <v>0</v>
          </cell>
          <cell r="AC277" t="b">
            <v>1</v>
          </cell>
          <cell r="AE277" t="str">
            <v>P</v>
          </cell>
          <cell r="AF277">
            <v>0</v>
          </cell>
          <cell r="AG277">
            <v>0</v>
          </cell>
          <cell r="AI277">
            <v>0</v>
          </cell>
        </row>
        <row r="278">
          <cell r="C278" t="str">
            <v>Totalinvestments.Stapled</v>
          </cell>
          <cell r="D278">
            <v>246</v>
          </cell>
          <cell r="E278">
            <v>3</v>
          </cell>
          <cell r="F278" t="str">
            <v>Total_3</v>
          </cell>
          <cell r="G278" t="str">
            <v>AddB</v>
          </cell>
          <cell r="I278" t="str">
            <v>Total Stapled Securities</v>
          </cell>
          <cell r="J278">
            <v>778294.51</v>
          </cell>
          <cell r="K278">
            <v>0</v>
          </cell>
          <cell r="L278">
            <v>778294.51</v>
          </cell>
          <cell r="M278">
            <v>0</v>
          </cell>
          <cell r="N278" t="str">
            <v>Add</v>
          </cell>
          <cell r="O278">
            <v>0</v>
          </cell>
          <cell r="V278" t="str">
            <v>NA</v>
          </cell>
          <cell r="X278">
            <v>0</v>
          </cell>
          <cell r="Y278" t="b">
            <v>0</v>
          </cell>
          <cell r="Z278" t="b">
            <v>0</v>
          </cell>
          <cell r="AA278" t="b">
            <v>0</v>
          </cell>
          <cell r="AB278">
            <v>0</v>
          </cell>
          <cell r="AC278" t="b">
            <v>1</v>
          </cell>
          <cell r="AE278" t="str">
            <v>P</v>
          </cell>
          <cell r="AF278">
            <v>0</v>
          </cell>
          <cell r="AG278">
            <v>0</v>
          </cell>
          <cell r="AI278">
            <v>0</v>
          </cell>
        </row>
        <row r="279">
          <cell r="C279" t="str">
            <v>Totalinvestments</v>
          </cell>
          <cell r="D279">
            <v>247</v>
          </cell>
          <cell r="E279">
            <v>2</v>
          </cell>
          <cell r="F279" t="str">
            <v>Total_2</v>
          </cell>
          <cell r="G279" t="str">
            <v>AddB</v>
          </cell>
          <cell r="I279" t="str">
            <v>Total Investments</v>
          </cell>
          <cell r="J279">
            <v>7893950.3099999996</v>
          </cell>
          <cell r="K279">
            <v>0</v>
          </cell>
          <cell r="L279">
            <v>7893950.3099999996</v>
          </cell>
          <cell r="M279">
            <v>0</v>
          </cell>
          <cell r="N279" t="str">
            <v>Add</v>
          </cell>
          <cell r="O279">
            <v>0</v>
          </cell>
          <cell r="V279" t="str">
            <v>NA</v>
          </cell>
          <cell r="X279">
            <v>0</v>
          </cell>
          <cell r="Y279" t="b">
            <v>0</v>
          </cell>
          <cell r="Z279" t="b">
            <v>0</v>
          </cell>
          <cell r="AA279" t="b">
            <v>0</v>
          </cell>
          <cell r="AB279">
            <v>0</v>
          </cell>
          <cell r="AC279" t="b">
            <v>1</v>
          </cell>
          <cell r="AE279" t="str">
            <v>P</v>
          </cell>
          <cell r="AF279">
            <v>0</v>
          </cell>
          <cell r="AG279">
            <v>0</v>
          </cell>
          <cell r="AI279">
            <v>0</v>
          </cell>
        </row>
        <row r="280">
          <cell r="C280" t="str">
            <v>other_assets</v>
          </cell>
          <cell r="D280">
            <v>248</v>
          </cell>
          <cell r="E280">
            <v>2</v>
          </cell>
          <cell r="F280" t="str">
            <v>Header_2</v>
          </cell>
          <cell r="G280" t="str">
            <v>AddB</v>
          </cell>
          <cell r="I280" t="str">
            <v>Other Assets</v>
          </cell>
          <cell r="J280">
            <v>0</v>
          </cell>
          <cell r="K280">
            <v>0</v>
          </cell>
          <cell r="L280">
            <v>0</v>
          </cell>
          <cell r="M280">
            <v>0</v>
          </cell>
          <cell r="O280">
            <v>0</v>
          </cell>
          <cell r="V280" t="str">
            <v>NA</v>
          </cell>
          <cell r="X280">
            <v>0</v>
          </cell>
          <cell r="Y280" t="b">
            <v>0</v>
          </cell>
          <cell r="Z280" t="b">
            <v>0</v>
          </cell>
          <cell r="AA280" t="b">
            <v>0</v>
          </cell>
          <cell r="AB280">
            <v>0</v>
          </cell>
          <cell r="AC280" t="b">
            <v>1</v>
          </cell>
          <cell r="AE280" t="str">
            <v>P</v>
          </cell>
          <cell r="AF280">
            <v>0</v>
          </cell>
          <cell r="AG280">
            <v>0</v>
          </cell>
          <cell r="AI280">
            <v>0</v>
          </cell>
        </row>
        <row r="281">
          <cell r="C281" t="str">
            <v>cash_at_bank</v>
          </cell>
          <cell r="D281">
            <v>249</v>
          </cell>
          <cell r="E281">
            <v>3</v>
          </cell>
          <cell r="F281" t="str">
            <v>Header_3</v>
          </cell>
          <cell r="G281" t="str">
            <v>AddB</v>
          </cell>
          <cell r="I281" t="str">
            <v>Cash At Bank</v>
          </cell>
          <cell r="J281">
            <v>0</v>
          </cell>
          <cell r="K281">
            <v>0</v>
          </cell>
          <cell r="L281">
            <v>0</v>
          </cell>
          <cell r="M281">
            <v>0</v>
          </cell>
          <cell r="O281">
            <v>0</v>
          </cell>
          <cell r="V281" t="str">
            <v>NA</v>
          </cell>
          <cell r="X281">
            <v>0</v>
          </cell>
          <cell r="Y281" t="b">
            <v>0</v>
          </cell>
          <cell r="Z281" t="b">
            <v>0</v>
          </cell>
          <cell r="AA281" t="b">
            <v>0</v>
          </cell>
          <cell r="AB281">
            <v>0</v>
          </cell>
          <cell r="AC281" t="b">
            <v>1</v>
          </cell>
          <cell r="AE281" t="str">
            <v>P</v>
          </cell>
          <cell r="AF281">
            <v>0</v>
          </cell>
          <cell r="AG281">
            <v>0</v>
          </cell>
          <cell r="AI281">
            <v>0</v>
          </cell>
        </row>
        <row r="282">
          <cell r="C282" t="str">
            <v>cash_at_bank.7ffe9331-78e5-4460-9afe-2b7177093c72</v>
          </cell>
          <cell r="D282">
            <v>250</v>
          </cell>
          <cell r="E282">
            <v>4</v>
          </cell>
          <cell r="F282" t="str">
            <v>Line_4</v>
          </cell>
          <cell r="G282" t="str">
            <v>AddB</v>
          </cell>
          <cell r="I282" t="str">
            <v>ANZ E*Trade Account</v>
          </cell>
          <cell r="J282">
            <v>247721.95</v>
          </cell>
          <cell r="K282">
            <v>0</v>
          </cell>
          <cell r="L282">
            <v>247721.95</v>
          </cell>
          <cell r="M282">
            <v>0</v>
          </cell>
          <cell r="N282" t="str">
            <v>Add</v>
          </cell>
          <cell r="O282">
            <v>0</v>
          </cell>
          <cell r="V282" t="str">
            <v>NA</v>
          </cell>
          <cell r="X282">
            <v>0</v>
          </cell>
          <cell r="Y282" t="b">
            <v>0</v>
          </cell>
          <cell r="Z282" t="b">
            <v>0</v>
          </cell>
          <cell r="AA282" t="b">
            <v>0</v>
          </cell>
          <cell r="AB282">
            <v>0</v>
          </cell>
          <cell r="AC282" t="b">
            <v>1</v>
          </cell>
          <cell r="AE282" t="str">
            <v>P</v>
          </cell>
          <cell r="AF282">
            <v>0</v>
          </cell>
          <cell r="AG282">
            <v>0</v>
          </cell>
          <cell r="AI282">
            <v>0</v>
          </cell>
        </row>
        <row r="283">
          <cell r="C283" t="str">
            <v>cash_at_bank.1a98a0aa-e515-4c2e-bb22-eee2d2d27856</v>
          </cell>
          <cell r="D283">
            <v>251</v>
          </cell>
          <cell r="E283">
            <v>4</v>
          </cell>
          <cell r="F283" t="str">
            <v>Line_4</v>
          </cell>
          <cell r="G283" t="str">
            <v>AddB</v>
          </cell>
          <cell r="I283" t="str">
            <v>Westpac Business Cash Reserve</v>
          </cell>
          <cell r="J283">
            <v>372043.88</v>
          </cell>
          <cell r="K283">
            <v>0</v>
          </cell>
          <cell r="L283">
            <v>372043.88</v>
          </cell>
          <cell r="M283">
            <v>0</v>
          </cell>
          <cell r="N283" t="str">
            <v>Add</v>
          </cell>
          <cell r="O283">
            <v>0</v>
          </cell>
          <cell r="V283" t="str">
            <v>NA</v>
          </cell>
          <cell r="X283">
            <v>0</v>
          </cell>
          <cell r="Y283" t="b">
            <v>0</v>
          </cell>
          <cell r="Z283" t="b">
            <v>0</v>
          </cell>
          <cell r="AA283" t="b">
            <v>0</v>
          </cell>
          <cell r="AB283">
            <v>0</v>
          </cell>
          <cell r="AC283" t="b">
            <v>1</v>
          </cell>
          <cell r="AE283" t="str">
            <v>P</v>
          </cell>
          <cell r="AF283">
            <v>0</v>
          </cell>
          <cell r="AG283">
            <v>0</v>
          </cell>
          <cell r="AI283">
            <v>0</v>
          </cell>
        </row>
        <row r="284">
          <cell r="C284" t="str">
            <v>cash_at_bank.5beeaf26-9c2c-40d4-b3e6-157f339c75a5</v>
          </cell>
          <cell r="D284">
            <v>252</v>
          </cell>
          <cell r="E284">
            <v>4</v>
          </cell>
          <cell r="F284" t="str">
            <v>Line_4</v>
          </cell>
          <cell r="G284" t="str">
            <v>AddB</v>
          </cell>
          <cell r="I284" t="str">
            <v>Westpac Cheque Account</v>
          </cell>
          <cell r="J284">
            <v>51167.58</v>
          </cell>
          <cell r="K284">
            <v>0</v>
          </cell>
          <cell r="L284">
            <v>51167.58</v>
          </cell>
          <cell r="M284">
            <v>0</v>
          </cell>
          <cell r="N284" t="str">
            <v>Add</v>
          </cell>
          <cell r="O284">
            <v>0</v>
          </cell>
          <cell r="V284" t="str">
            <v>NA</v>
          </cell>
          <cell r="X284">
            <v>0</v>
          </cell>
          <cell r="Y284" t="b">
            <v>0</v>
          </cell>
          <cell r="Z284" t="b">
            <v>0</v>
          </cell>
          <cell r="AA284" t="b">
            <v>0</v>
          </cell>
          <cell r="AB284">
            <v>0</v>
          </cell>
          <cell r="AC284" t="b">
            <v>1</v>
          </cell>
          <cell r="AE284" t="str">
            <v>P</v>
          </cell>
          <cell r="AF284">
            <v>0</v>
          </cell>
          <cell r="AG284">
            <v>0</v>
          </cell>
          <cell r="AI284">
            <v>0</v>
          </cell>
        </row>
        <row r="285">
          <cell r="C285" t="str">
            <v>Totalcash_at_bank</v>
          </cell>
          <cell r="D285">
            <v>253</v>
          </cell>
          <cell r="E285">
            <v>3</v>
          </cell>
          <cell r="F285" t="str">
            <v>Total_3</v>
          </cell>
          <cell r="G285" t="str">
            <v>AddB</v>
          </cell>
          <cell r="I285" t="str">
            <v>Total Cash At Bank</v>
          </cell>
          <cell r="J285">
            <v>670933.41</v>
          </cell>
          <cell r="K285">
            <v>0</v>
          </cell>
          <cell r="L285">
            <v>670933.41</v>
          </cell>
          <cell r="M285">
            <v>0</v>
          </cell>
          <cell r="N285" t="str">
            <v>Add</v>
          </cell>
          <cell r="O285">
            <v>0</v>
          </cell>
          <cell r="V285" t="str">
            <v>NA</v>
          </cell>
          <cell r="X285">
            <v>0</v>
          </cell>
          <cell r="Y285" t="b">
            <v>0</v>
          </cell>
          <cell r="Z285" t="b">
            <v>0</v>
          </cell>
          <cell r="AA285" t="b">
            <v>0</v>
          </cell>
          <cell r="AB285">
            <v>0</v>
          </cell>
          <cell r="AC285" t="b">
            <v>1</v>
          </cell>
          <cell r="AE285" t="str">
            <v>P</v>
          </cell>
          <cell r="AF285">
            <v>0</v>
          </cell>
          <cell r="AG285">
            <v>0</v>
          </cell>
          <cell r="AI285">
            <v>0</v>
          </cell>
        </row>
        <row r="286">
          <cell r="C286" t="str">
            <v>receivables</v>
          </cell>
          <cell r="D286">
            <v>254</v>
          </cell>
          <cell r="E286">
            <v>3</v>
          </cell>
          <cell r="F286" t="str">
            <v>Header_3</v>
          </cell>
          <cell r="G286" t="str">
            <v>AddB</v>
          </cell>
          <cell r="I286" t="str">
            <v>Receivables</v>
          </cell>
          <cell r="J286">
            <v>0</v>
          </cell>
          <cell r="K286">
            <v>0</v>
          </cell>
          <cell r="L286">
            <v>0</v>
          </cell>
          <cell r="M286">
            <v>0</v>
          </cell>
          <cell r="O286">
            <v>0</v>
          </cell>
          <cell r="V286" t="str">
            <v>NA</v>
          </cell>
          <cell r="X286">
            <v>0</v>
          </cell>
          <cell r="Y286" t="b">
            <v>0</v>
          </cell>
          <cell r="Z286" t="b">
            <v>0</v>
          </cell>
          <cell r="AA286" t="b">
            <v>0</v>
          </cell>
          <cell r="AB286">
            <v>0</v>
          </cell>
          <cell r="AC286" t="b">
            <v>1</v>
          </cell>
          <cell r="AE286" t="str">
            <v>P</v>
          </cell>
          <cell r="AF286">
            <v>0</v>
          </cell>
          <cell r="AG286">
            <v>0</v>
          </cell>
          <cell r="AI286">
            <v>0</v>
          </cell>
        </row>
        <row r="287">
          <cell r="C287" t="str">
            <v>investment_income_receivable</v>
          </cell>
          <cell r="D287">
            <v>255</v>
          </cell>
          <cell r="E287">
            <v>4</v>
          </cell>
          <cell r="F287" t="str">
            <v>Header_4</v>
          </cell>
          <cell r="G287" t="str">
            <v>AddB</v>
          </cell>
          <cell r="I287" t="str">
            <v>Investment Income Receivable</v>
          </cell>
          <cell r="J287">
            <v>0</v>
          </cell>
          <cell r="K287">
            <v>0</v>
          </cell>
          <cell r="L287">
            <v>0</v>
          </cell>
          <cell r="M287">
            <v>0</v>
          </cell>
          <cell r="O287">
            <v>0</v>
          </cell>
          <cell r="V287" t="str">
            <v>NA</v>
          </cell>
          <cell r="X287">
            <v>0</v>
          </cell>
          <cell r="Y287" t="b">
            <v>0</v>
          </cell>
          <cell r="Z287" t="b">
            <v>0</v>
          </cell>
          <cell r="AA287" t="b">
            <v>0</v>
          </cell>
          <cell r="AB287">
            <v>0</v>
          </cell>
          <cell r="AC287" t="b">
            <v>1</v>
          </cell>
          <cell r="AE287" t="str">
            <v>P</v>
          </cell>
          <cell r="AF287">
            <v>0</v>
          </cell>
          <cell r="AG287">
            <v>0</v>
          </cell>
          <cell r="AI287">
            <v>0</v>
          </cell>
        </row>
        <row r="288">
          <cell r="C288" t="str">
            <v>rent_receivable</v>
          </cell>
          <cell r="D288">
            <v>256</v>
          </cell>
          <cell r="E288">
            <v>5</v>
          </cell>
          <cell r="F288" t="str">
            <v>Header_5</v>
          </cell>
          <cell r="G288" t="str">
            <v>AddB</v>
          </cell>
          <cell r="I288" t="str">
            <v>Rent</v>
          </cell>
          <cell r="J288">
            <v>0</v>
          </cell>
          <cell r="K288">
            <v>0</v>
          </cell>
          <cell r="L288">
            <v>0</v>
          </cell>
          <cell r="M288">
            <v>0</v>
          </cell>
          <cell r="O288">
            <v>0</v>
          </cell>
          <cell r="V288" t="str">
            <v>NA</v>
          </cell>
          <cell r="X288">
            <v>0</v>
          </cell>
          <cell r="Y288" t="b">
            <v>0</v>
          </cell>
          <cell r="Z288" t="b">
            <v>0</v>
          </cell>
          <cell r="AA288" t="b">
            <v>0</v>
          </cell>
          <cell r="AB288">
            <v>0</v>
          </cell>
          <cell r="AC288" t="b">
            <v>1</v>
          </cell>
          <cell r="AE288" t="str">
            <v>P</v>
          </cell>
          <cell r="AF288">
            <v>0</v>
          </cell>
          <cell r="AG288">
            <v>0</v>
          </cell>
          <cell r="AI288">
            <v>0</v>
          </cell>
        </row>
        <row r="289">
          <cell r="C289" t="str">
            <v>rent_receivable.Property</v>
          </cell>
          <cell r="D289">
            <v>257</v>
          </cell>
          <cell r="E289">
            <v>6</v>
          </cell>
          <cell r="F289" t="str">
            <v>Header_6</v>
          </cell>
          <cell r="G289" t="str">
            <v>AddB</v>
          </cell>
          <cell r="I289" t="str">
            <v>Direct Property</v>
          </cell>
          <cell r="J289">
            <v>0</v>
          </cell>
          <cell r="K289">
            <v>0</v>
          </cell>
          <cell r="L289">
            <v>0</v>
          </cell>
          <cell r="M289">
            <v>0</v>
          </cell>
          <cell r="O289">
            <v>0</v>
          </cell>
          <cell r="V289" t="str">
            <v>NA</v>
          </cell>
          <cell r="X289">
            <v>0</v>
          </cell>
          <cell r="Y289" t="b">
            <v>0</v>
          </cell>
          <cell r="Z289" t="b">
            <v>0</v>
          </cell>
          <cell r="AA289" t="b">
            <v>0</v>
          </cell>
          <cell r="AB289">
            <v>0</v>
          </cell>
          <cell r="AC289" t="b">
            <v>1</v>
          </cell>
          <cell r="AE289" t="str">
            <v>P</v>
          </cell>
          <cell r="AF289">
            <v>0</v>
          </cell>
          <cell r="AG289">
            <v>0</v>
          </cell>
          <cell r="AI289">
            <v>0</v>
          </cell>
        </row>
        <row r="290">
          <cell r="C290" t="str">
            <v>rent_receivable.Property.cb4fb5de-b893-454a-af8c-39d2f9dd8591</v>
          </cell>
          <cell r="D290">
            <v>258</v>
          </cell>
          <cell r="E290">
            <v>7</v>
          </cell>
          <cell r="F290" t="str">
            <v>Line_7</v>
          </cell>
          <cell r="G290" t="str">
            <v>AddB</v>
          </cell>
          <cell r="H290" t="str">
            <v>Class.ImportProperty</v>
          </cell>
          <cell r="I290" t="str">
            <v>Unit 6004, The Peninsular, Mooloolaba</v>
          </cell>
          <cell r="J290">
            <v>4260.16</v>
          </cell>
          <cell r="K290">
            <v>0</v>
          </cell>
          <cell r="L290">
            <v>4260.16</v>
          </cell>
          <cell r="M290">
            <v>0</v>
          </cell>
          <cell r="N290" t="str">
            <v>Add</v>
          </cell>
          <cell r="O290">
            <v>0</v>
          </cell>
          <cell r="V290" t="str">
            <v>NA</v>
          </cell>
          <cell r="X290">
            <v>0</v>
          </cell>
          <cell r="Y290" t="b">
            <v>0</v>
          </cell>
          <cell r="Z290" t="b">
            <v>0</v>
          </cell>
          <cell r="AA290" t="b">
            <v>0</v>
          </cell>
          <cell r="AB290">
            <v>0</v>
          </cell>
          <cell r="AC290" t="b">
            <v>1</v>
          </cell>
          <cell r="AE290" t="str">
            <v>P</v>
          </cell>
          <cell r="AF290">
            <v>0</v>
          </cell>
          <cell r="AG290">
            <v>0</v>
          </cell>
          <cell r="AI290">
            <v>0</v>
          </cell>
        </row>
        <row r="291">
          <cell r="C291" t="str">
            <v>Totalrent_receivable.Property</v>
          </cell>
          <cell r="D291">
            <v>259</v>
          </cell>
          <cell r="E291">
            <v>6</v>
          </cell>
          <cell r="F291" t="str">
            <v>Total_6</v>
          </cell>
          <cell r="G291" t="str">
            <v>AddB</v>
          </cell>
          <cell r="I291" t="str">
            <v>Total Direct Property</v>
          </cell>
          <cell r="J291">
            <v>4260.16</v>
          </cell>
          <cell r="K291">
            <v>0</v>
          </cell>
          <cell r="L291">
            <v>4260.16</v>
          </cell>
          <cell r="M291">
            <v>0</v>
          </cell>
          <cell r="N291" t="str">
            <v>Add</v>
          </cell>
          <cell r="O291">
            <v>0</v>
          </cell>
          <cell r="V291" t="str">
            <v>NA</v>
          </cell>
          <cell r="X291">
            <v>0</v>
          </cell>
          <cell r="Y291" t="b">
            <v>0</v>
          </cell>
          <cell r="Z291" t="b">
            <v>0</v>
          </cell>
          <cell r="AA291" t="b">
            <v>0</v>
          </cell>
          <cell r="AB291">
            <v>0</v>
          </cell>
          <cell r="AC291" t="b">
            <v>1</v>
          </cell>
          <cell r="AE291" t="str">
            <v>P</v>
          </cell>
          <cell r="AF291">
            <v>0</v>
          </cell>
          <cell r="AG291">
            <v>0</v>
          </cell>
          <cell r="AI291">
            <v>0</v>
          </cell>
        </row>
        <row r="292">
          <cell r="C292" t="str">
            <v>Totalrent_receivable</v>
          </cell>
          <cell r="D292">
            <v>260</v>
          </cell>
          <cell r="E292">
            <v>5</v>
          </cell>
          <cell r="F292" t="str">
            <v>Total_5</v>
          </cell>
          <cell r="G292" t="str">
            <v>AddB</v>
          </cell>
          <cell r="I292" t="str">
            <v>Total Rent</v>
          </cell>
          <cell r="J292">
            <v>4260.16</v>
          </cell>
          <cell r="K292">
            <v>0</v>
          </cell>
          <cell r="L292">
            <v>4260.16</v>
          </cell>
          <cell r="M292">
            <v>0</v>
          </cell>
          <cell r="N292" t="str">
            <v>Add</v>
          </cell>
          <cell r="O292">
            <v>0</v>
          </cell>
          <cell r="V292" t="str">
            <v>NA</v>
          </cell>
          <cell r="X292">
            <v>0</v>
          </cell>
          <cell r="Y292" t="b">
            <v>0</v>
          </cell>
          <cell r="Z292" t="b">
            <v>0</v>
          </cell>
          <cell r="AA292" t="b">
            <v>0</v>
          </cell>
          <cell r="AB292">
            <v>0</v>
          </cell>
          <cell r="AC292" t="b">
            <v>1</v>
          </cell>
          <cell r="AE292" t="str">
            <v>P</v>
          </cell>
          <cell r="AF292">
            <v>0</v>
          </cell>
          <cell r="AG292">
            <v>0</v>
          </cell>
          <cell r="AI292">
            <v>0</v>
          </cell>
        </row>
        <row r="293">
          <cell r="C293" t="str">
            <v>Totalinvestment_income_receivable</v>
          </cell>
          <cell r="D293">
            <v>261</v>
          </cell>
          <cell r="E293">
            <v>4</v>
          </cell>
          <cell r="F293" t="str">
            <v>Total_4</v>
          </cell>
          <cell r="G293" t="str">
            <v>AddB</v>
          </cell>
          <cell r="I293" t="str">
            <v>Total Investment Income Receivable</v>
          </cell>
          <cell r="J293">
            <v>4260.16</v>
          </cell>
          <cell r="K293">
            <v>0</v>
          </cell>
          <cell r="L293">
            <v>4260.16</v>
          </cell>
          <cell r="M293">
            <v>0</v>
          </cell>
          <cell r="N293" t="str">
            <v>Add</v>
          </cell>
          <cell r="O293">
            <v>0</v>
          </cell>
          <cell r="V293" t="str">
            <v>NA</v>
          </cell>
          <cell r="X293">
            <v>0</v>
          </cell>
          <cell r="Y293" t="b">
            <v>0</v>
          </cell>
          <cell r="Z293" t="b">
            <v>0</v>
          </cell>
          <cell r="AA293" t="b">
            <v>0</v>
          </cell>
          <cell r="AB293">
            <v>0</v>
          </cell>
          <cell r="AC293" t="b">
            <v>1</v>
          </cell>
          <cell r="AE293" t="str">
            <v>P</v>
          </cell>
          <cell r="AF293">
            <v>0</v>
          </cell>
          <cell r="AG293">
            <v>0</v>
          </cell>
          <cell r="AI293">
            <v>0</v>
          </cell>
        </row>
        <row r="294">
          <cell r="C294" t="str">
            <v>Totalreceivables</v>
          </cell>
          <cell r="D294">
            <v>262</v>
          </cell>
          <cell r="E294">
            <v>3</v>
          </cell>
          <cell r="F294" t="str">
            <v>Total_3</v>
          </cell>
          <cell r="G294" t="str">
            <v>AddB</v>
          </cell>
          <cell r="I294" t="str">
            <v>Total Receivables</v>
          </cell>
          <cell r="J294">
            <v>4260.16</v>
          </cell>
          <cell r="K294">
            <v>0</v>
          </cell>
          <cell r="L294">
            <v>4260.16</v>
          </cell>
          <cell r="M294">
            <v>0</v>
          </cell>
          <cell r="N294" t="str">
            <v>Add</v>
          </cell>
          <cell r="O294">
            <v>0</v>
          </cell>
          <cell r="V294" t="str">
            <v>NA</v>
          </cell>
          <cell r="X294">
            <v>0</v>
          </cell>
          <cell r="Y294" t="b">
            <v>0</v>
          </cell>
          <cell r="Z294" t="b">
            <v>0</v>
          </cell>
          <cell r="AA294" t="b">
            <v>0</v>
          </cell>
          <cell r="AB294">
            <v>0</v>
          </cell>
          <cell r="AC294" t="b">
            <v>1</v>
          </cell>
          <cell r="AE294" t="str">
            <v>P</v>
          </cell>
          <cell r="AF294">
            <v>0</v>
          </cell>
          <cell r="AG294">
            <v>0</v>
          </cell>
          <cell r="AI294">
            <v>0</v>
          </cell>
        </row>
        <row r="295">
          <cell r="C295" t="str">
            <v>accrued_income</v>
          </cell>
          <cell r="D295">
            <v>263</v>
          </cell>
          <cell r="E295">
            <v>3</v>
          </cell>
          <cell r="F295" t="str">
            <v>Header_3</v>
          </cell>
          <cell r="G295" t="str">
            <v>AddB</v>
          </cell>
          <cell r="I295" t="str">
            <v>Accrued Income</v>
          </cell>
          <cell r="J295">
            <v>0</v>
          </cell>
          <cell r="K295">
            <v>0</v>
          </cell>
          <cell r="L295">
            <v>0</v>
          </cell>
          <cell r="M295">
            <v>0</v>
          </cell>
          <cell r="O295">
            <v>0</v>
          </cell>
          <cell r="V295" t="str">
            <v>NA</v>
          </cell>
          <cell r="X295">
            <v>0</v>
          </cell>
          <cell r="Y295" t="b">
            <v>0</v>
          </cell>
          <cell r="Z295" t="b">
            <v>0</v>
          </cell>
          <cell r="AA295" t="b">
            <v>0</v>
          </cell>
          <cell r="AB295">
            <v>0</v>
          </cell>
          <cell r="AC295" t="b">
            <v>1</v>
          </cell>
          <cell r="AE295" t="str">
            <v>P</v>
          </cell>
          <cell r="AF295">
            <v>0</v>
          </cell>
          <cell r="AG295">
            <v>0</v>
          </cell>
          <cell r="AI295">
            <v>0</v>
          </cell>
        </row>
        <row r="296">
          <cell r="C296" t="str">
            <v>accrued_investment_income</v>
          </cell>
          <cell r="D296">
            <v>264</v>
          </cell>
          <cell r="E296">
            <v>4</v>
          </cell>
          <cell r="F296" t="str">
            <v>Header_4</v>
          </cell>
          <cell r="G296" t="str">
            <v>AddB</v>
          </cell>
          <cell r="I296" t="str">
            <v>Accrued Investment Income</v>
          </cell>
          <cell r="J296">
            <v>0</v>
          </cell>
          <cell r="K296">
            <v>0</v>
          </cell>
          <cell r="L296">
            <v>0</v>
          </cell>
          <cell r="M296">
            <v>0</v>
          </cell>
          <cell r="O296">
            <v>0</v>
          </cell>
          <cell r="V296" t="str">
            <v>NA</v>
          </cell>
          <cell r="X296">
            <v>0</v>
          </cell>
          <cell r="Y296" t="b">
            <v>0</v>
          </cell>
          <cell r="Z296" t="b">
            <v>0</v>
          </cell>
          <cell r="AA296" t="b">
            <v>0</v>
          </cell>
          <cell r="AB296">
            <v>0</v>
          </cell>
          <cell r="AC296" t="b">
            <v>1</v>
          </cell>
          <cell r="AE296" t="str">
            <v>P</v>
          </cell>
          <cell r="AF296">
            <v>0</v>
          </cell>
          <cell r="AG296">
            <v>0</v>
          </cell>
          <cell r="AI296">
            <v>0</v>
          </cell>
        </row>
        <row r="297">
          <cell r="C297" t="str">
            <v>interest_accrued</v>
          </cell>
          <cell r="D297">
            <v>265</v>
          </cell>
          <cell r="E297">
            <v>5</v>
          </cell>
          <cell r="F297" t="str">
            <v>Header_5</v>
          </cell>
          <cell r="G297" t="str">
            <v>AddB</v>
          </cell>
          <cell r="I297" t="str">
            <v>Interest</v>
          </cell>
          <cell r="J297">
            <v>0</v>
          </cell>
          <cell r="K297">
            <v>0</v>
          </cell>
          <cell r="L297">
            <v>0</v>
          </cell>
          <cell r="M297">
            <v>0</v>
          </cell>
          <cell r="O297">
            <v>0</v>
          </cell>
          <cell r="V297" t="str">
            <v>NA</v>
          </cell>
          <cell r="X297">
            <v>0</v>
          </cell>
          <cell r="Y297" t="b">
            <v>0</v>
          </cell>
          <cell r="Z297" t="b">
            <v>0</v>
          </cell>
          <cell r="AA297" t="b">
            <v>0</v>
          </cell>
          <cell r="AB297">
            <v>0</v>
          </cell>
          <cell r="AC297" t="b">
            <v>1</v>
          </cell>
          <cell r="AE297" t="str">
            <v>P</v>
          </cell>
          <cell r="AF297">
            <v>0</v>
          </cell>
          <cell r="AG297">
            <v>0</v>
          </cell>
          <cell r="AI297">
            <v>0</v>
          </cell>
        </row>
        <row r="298">
          <cell r="C298" t="str">
            <v>interest_accrued.6d42be5e-0a5b-47d5-8489-fa3dd40ed86a</v>
          </cell>
          <cell r="D298">
            <v>266</v>
          </cell>
          <cell r="E298">
            <v>6</v>
          </cell>
          <cell r="F298" t="str">
            <v>Line_6</v>
          </cell>
          <cell r="G298" t="str">
            <v>AddB</v>
          </cell>
          <cell r="I298" t="str">
            <v>ING Term Deposit 84613066</v>
          </cell>
          <cell r="J298">
            <v>45868</v>
          </cell>
          <cell r="K298">
            <v>0</v>
          </cell>
          <cell r="L298">
            <v>45868</v>
          </cell>
          <cell r="M298">
            <v>0</v>
          </cell>
          <cell r="N298" t="str">
            <v>Add</v>
          </cell>
          <cell r="O298">
            <v>0</v>
          </cell>
          <cell r="V298" t="str">
            <v>NA</v>
          </cell>
          <cell r="X298">
            <v>0</v>
          </cell>
          <cell r="Y298" t="b">
            <v>0</v>
          </cell>
          <cell r="Z298" t="b">
            <v>0</v>
          </cell>
          <cell r="AA298" t="b">
            <v>0</v>
          </cell>
          <cell r="AB298">
            <v>0</v>
          </cell>
          <cell r="AC298" t="b">
            <v>1</v>
          </cell>
          <cell r="AE298" t="str">
            <v>P</v>
          </cell>
          <cell r="AF298">
            <v>0</v>
          </cell>
          <cell r="AG298">
            <v>0</v>
          </cell>
          <cell r="AI298">
            <v>0</v>
          </cell>
        </row>
        <row r="299">
          <cell r="C299" t="str">
            <v>interest_accrued.4f350160-46c5-4076-bb84-401c0a4fbb02</v>
          </cell>
          <cell r="D299">
            <v>267</v>
          </cell>
          <cell r="E299">
            <v>6</v>
          </cell>
          <cell r="F299" t="str">
            <v>Line_6</v>
          </cell>
          <cell r="G299" t="str">
            <v>AddB</v>
          </cell>
          <cell r="I299" t="str">
            <v>Term Deposit UBank</v>
          </cell>
          <cell r="J299">
            <v>9443.16</v>
          </cell>
          <cell r="K299">
            <v>0</v>
          </cell>
          <cell r="L299">
            <v>9443.16</v>
          </cell>
          <cell r="M299">
            <v>0</v>
          </cell>
          <cell r="N299" t="str">
            <v>Add</v>
          </cell>
          <cell r="O299">
            <v>0</v>
          </cell>
          <cell r="V299" t="str">
            <v>NA</v>
          </cell>
          <cell r="X299">
            <v>0</v>
          </cell>
          <cell r="Y299" t="b">
            <v>0</v>
          </cell>
          <cell r="Z299" t="b">
            <v>0</v>
          </cell>
          <cell r="AA299" t="b">
            <v>0</v>
          </cell>
          <cell r="AB299">
            <v>0</v>
          </cell>
          <cell r="AC299" t="b">
            <v>1</v>
          </cell>
          <cell r="AE299" t="str">
            <v>P</v>
          </cell>
          <cell r="AF299">
            <v>0</v>
          </cell>
          <cell r="AG299">
            <v>0</v>
          </cell>
          <cell r="AI299">
            <v>0</v>
          </cell>
        </row>
        <row r="300">
          <cell r="C300" t="str">
            <v>interest_accrued.2c8e0546-25be-49ff-aef4-a427b595b974</v>
          </cell>
          <cell r="D300">
            <v>268</v>
          </cell>
          <cell r="E300">
            <v>6</v>
          </cell>
          <cell r="F300" t="str">
            <v>Line_6</v>
          </cell>
          <cell r="G300" t="str">
            <v>AddB</v>
          </cell>
          <cell r="I300" t="str">
            <v>Westpac Term Deposit 344139</v>
          </cell>
          <cell r="J300">
            <v>4981.75</v>
          </cell>
          <cell r="K300">
            <v>0</v>
          </cell>
          <cell r="L300">
            <v>4981.75</v>
          </cell>
          <cell r="M300">
            <v>0</v>
          </cell>
          <cell r="N300" t="str">
            <v>Add</v>
          </cell>
          <cell r="O300">
            <v>0</v>
          </cell>
          <cell r="V300" t="str">
            <v>NA</v>
          </cell>
          <cell r="X300">
            <v>0</v>
          </cell>
          <cell r="Y300" t="b">
            <v>0</v>
          </cell>
          <cell r="Z300" t="b">
            <v>0</v>
          </cell>
          <cell r="AA300" t="b">
            <v>0</v>
          </cell>
          <cell r="AB300">
            <v>0</v>
          </cell>
          <cell r="AC300" t="b">
            <v>1</v>
          </cell>
          <cell r="AE300" t="str">
            <v>P</v>
          </cell>
          <cell r="AF300">
            <v>0</v>
          </cell>
          <cell r="AG300">
            <v>0</v>
          </cell>
          <cell r="AI300">
            <v>0</v>
          </cell>
        </row>
        <row r="301">
          <cell r="C301" t="str">
            <v>Totalinterest_accrued</v>
          </cell>
          <cell r="D301">
            <v>269</v>
          </cell>
          <cell r="E301">
            <v>5</v>
          </cell>
          <cell r="F301" t="str">
            <v>Total_5</v>
          </cell>
          <cell r="G301" t="str">
            <v>AddB</v>
          </cell>
          <cell r="I301" t="str">
            <v>Total Interest</v>
          </cell>
          <cell r="J301">
            <v>60292.91</v>
          </cell>
          <cell r="K301">
            <v>0</v>
          </cell>
          <cell r="L301">
            <v>60292.91</v>
          </cell>
          <cell r="M301">
            <v>0</v>
          </cell>
          <cell r="N301" t="str">
            <v>Add</v>
          </cell>
          <cell r="O301">
            <v>0</v>
          </cell>
          <cell r="V301" t="str">
            <v>NA</v>
          </cell>
          <cell r="X301">
            <v>0</v>
          </cell>
          <cell r="Y301" t="b">
            <v>0</v>
          </cell>
          <cell r="Z301" t="b">
            <v>0</v>
          </cell>
          <cell r="AA301" t="b">
            <v>0</v>
          </cell>
          <cell r="AB301">
            <v>0</v>
          </cell>
          <cell r="AC301" t="b">
            <v>1</v>
          </cell>
          <cell r="AE301" t="str">
            <v>P</v>
          </cell>
          <cell r="AF301">
            <v>0</v>
          </cell>
          <cell r="AG301">
            <v>0</v>
          </cell>
          <cell r="AI301">
            <v>0</v>
          </cell>
        </row>
        <row r="302">
          <cell r="C302" t="str">
            <v>Totalaccrued_investment_income</v>
          </cell>
          <cell r="D302">
            <v>270</v>
          </cell>
          <cell r="E302">
            <v>4</v>
          </cell>
          <cell r="F302" t="str">
            <v>Total_4</v>
          </cell>
          <cell r="G302" t="str">
            <v>AddB</v>
          </cell>
          <cell r="I302" t="str">
            <v>Total Accrued Investment Income</v>
          </cell>
          <cell r="J302">
            <v>60292.91</v>
          </cell>
          <cell r="K302">
            <v>0</v>
          </cell>
          <cell r="L302">
            <v>60292.91</v>
          </cell>
          <cell r="M302">
            <v>0</v>
          </cell>
          <cell r="N302" t="str">
            <v>Add</v>
          </cell>
          <cell r="O302">
            <v>0</v>
          </cell>
          <cell r="V302" t="str">
            <v>NA</v>
          </cell>
          <cell r="X302">
            <v>0</v>
          </cell>
          <cell r="Y302" t="b">
            <v>0</v>
          </cell>
          <cell r="Z302" t="b">
            <v>0</v>
          </cell>
          <cell r="AA302" t="b">
            <v>0</v>
          </cell>
          <cell r="AB302">
            <v>0</v>
          </cell>
          <cell r="AC302" t="b">
            <v>1</v>
          </cell>
          <cell r="AE302" t="str">
            <v>P</v>
          </cell>
          <cell r="AF302">
            <v>0</v>
          </cell>
          <cell r="AG302">
            <v>0</v>
          </cell>
          <cell r="AI302">
            <v>0</v>
          </cell>
        </row>
        <row r="303">
          <cell r="C303" t="str">
            <v>Totalaccrued_income</v>
          </cell>
          <cell r="D303">
            <v>271</v>
          </cell>
          <cell r="E303">
            <v>3</v>
          </cell>
          <cell r="F303" t="str">
            <v>Total_3</v>
          </cell>
          <cell r="G303" t="str">
            <v>AddB</v>
          </cell>
          <cell r="I303" t="str">
            <v>Total Accrued Income</v>
          </cell>
          <cell r="J303">
            <v>60292.91</v>
          </cell>
          <cell r="K303">
            <v>0</v>
          </cell>
          <cell r="L303">
            <v>60292.91</v>
          </cell>
          <cell r="M303">
            <v>0</v>
          </cell>
          <cell r="N303" t="str">
            <v>Add</v>
          </cell>
          <cell r="O303">
            <v>0</v>
          </cell>
          <cell r="V303" t="str">
            <v>NA</v>
          </cell>
          <cell r="X303">
            <v>0</v>
          </cell>
          <cell r="Y303" t="b">
            <v>0</v>
          </cell>
          <cell r="Z303" t="b">
            <v>0</v>
          </cell>
          <cell r="AA303" t="b">
            <v>0</v>
          </cell>
          <cell r="AB303">
            <v>0</v>
          </cell>
          <cell r="AC303" t="b">
            <v>1</v>
          </cell>
          <cell r="AE303" t="str">
            <v>P</v>
          </cell>
          <cell r="AF303">
            <v>0</v>
          </cell>
          <cell r="AG303">
            <v>0</v>
          </cell>
          <cell r="AI303">
            <v>0</v>
          </cell>
        </row>
        <row r="304">
          <cell r="C304" t="str">
            <v>income_tax_payable</v>
          </cell>
          <cell r="D304">
            <v>272</v>
          </cell>
          <cell r="E304">
            <v>3</v>
          </cell>
          <cell r="F304" t="str">
            <v>Header_3</v>
          </cell>
          <cell r="G304" t="str">
            <v>AddB</v>
          </cell>
          <cell r="I304" t="str">
            <v>Current Tax Assets</v>
          </cell>
          <cell r="J304">
            <v>0</v>
          </cell>
          <cell r="K304">
            <v>0</v>
          </cell>
          <cell r="L304">
            <v>0</v>
          </cell>
          <cell r="M304">
            <v>0</v>
          </cell>
          <cell r="O304">
            <v>0</v>
          </cell>
          <cell r="V304" t="str">
            <v>NA</v>
          </cell>
          <cell r="X304">
            <v>0</v>
          </cell>
          <cell r="Y304" t="b">
            <v>0</v>
          </cell>
          <cell r="Z304" t="b">
            <v>0</v>
          </cell>
          <cell r="AA304" t="b">
            <v>0</v>
          </cell>
          <cell r="AB304">
            <v>0</v>
          </cell>
          <cell r="AC304" t="b">
            <v>1</v>
          </cell>
          <cell r="AE304" t="str">
            <v>P</v>
          </cell>
          <cell r="AF304">
            <v>0</v>
          </cell>
          <cell r="AG304">
            <v>0</v>
          </cell>
          <cell r="AI304">
            <v>0</v>
          </cell>
        </row>
        <row r="305">
          <cell r="C305" t="str">
            <v>imputation_credits</v>
          </cell>
          <cell r="D305">
            <v>273</v>
          </cell>
          <cell r="E305">
            <v>4</v>
          </cell>
          <cell r="F305" t="str">
            <v>Header_4</v>
          </cell>
          <cell r="G305" t="str">
            <v>AddB</v>
          </cell>
          <cell r="I305" t="str">
            <v>Franking Credits</v>
          </cell>
          <cell r="J305">
            <v>0</v>
          </cell>
          <cell r="K305">
            <v>0</v>
          </cell>
          <cell r="L305">
            <v>0</v>
          </cell>
          <cell r="M305">
            <v>0</v>
          </cell>
          <cell r="O305">
            <v>0</v>
          </cell>
          <cell r="V305" t="str">
            <v>NA</v>
          </cell>
          <cell r="X305">
            <v>0</v>
          </cell>
          <cell r="Y305" t="b">
            <v>0</v>
          </cell>
          <cell r="Z305" t="b">
            <v>0</v>
          </cell>
          <cell r="AA305" t="b">
            <v>0</v>
          </cell>
          <cell r="AB305">
            <v>0</v>
          </cell>
          <cell r="AC305" t="b">
            <v>1</v>
          </cell>
          <cell r="AE305" t="str">
            <v>P</v>
          </cell>
          <cell r="AF305">
            <v>0</v>
          </cell>
          <cell r="AG305">
            <v>0</v>
          </cell>
          <cell r="AI305">
            <v>0</v>
          </cell>
        </row>
        <row r="306">
          <cell r="C306" t="str">
            <v>imputation_credits.ListedShares</v>
          </cell>
          <cell r="D306">
            <v>274</v>
          </cell>
          <cell r="E306">
            <v>5</v>
          </cell>
          <cell r="F306" t="str">
            <v>Header_5</v>
          </cell>
          <cell r="G306" t="str">
            <v>AddB</v>
          </cell>
          <cell r="I306" t="str">
            <v>Shares in Listed Companies</v>
          </cell>
          <cell r="J306">
            <v>0</v>
          </cell>
          <cell r="K306">
            <v>0</v>
          </cell>
          <cell r="L306">
            <v>0</v>
          </cell>
          <cell r="M306">
            <v>0</v>
          </cell>
          <cell r="O306">
            <v>0</v>
          </cell>
          <cell r="V306" t="str">
            <v>NA</v>
          </cell>
          <cell r="X306">
            <v>0</v>
          </cell>
          <cell r="Y306" t="b">
            <v>0</v>
          </cell>
          <cell r="Z306" t="b">
            <v>0</v>
          </cell>
          <cell r="AA306" t="b">
            <v>0</v>
          </cell>
          <cell r="AB306">
            <v>0</v>
          </cell>
          <cell r="AC306" t="b">
            <v>1</v>
          </cell>
          <cell r="AE306" t="str">
            <v>P</v>
          </cell>
          <cell r="AF306">
            <v>0</v>
          </cell>
          <cell r="AG306">
            <v>0</v>
          </cell>
          <cell r="AI306">
            <v>0</v>
          </cell>
        </row>
        <row r="307">
          <cell r="C307" t="str">
            <v>imputation_credits.ListedShares.ea7fe5a2-6a50-4e1c-b2bf-ab7ac3754bf6</v>
          </cell>
          <cell r="D307">
            <v>275</v>
          </cell>
          <cell r="E307">
            <v>6</v>
          </cell>
          <cell r="F307" t="str">
            <v>Line_6</v>
          </cell>
          <cell r="G307" t="str">
            <v>AddB</v>
          </cell>
          <cell r="I307" t="str">
            <v>ANZ Banking Group Ltd - Cnv Pref 6-Bbsw+3.10% Perp Sub Non-Cum T-09-19</v>
          </cell>
          <cell r="J307">
            <v>1578.56</v>
          </cell>
          <cell r="K307">
            <v>0</v>
          </cell>
          <cell r="L307">
            <v>1578.56</v>
          </cell>
          <cell r="M307">
            <v>0</v>
          </cell>
          <cell r="N307" t="str">
            <v>Add</v>
          </cell>
          <cell r="O307">
            <v>0</v>
          </cell>
          <cell r="V307" t="str">
            <v>NA</v>
          </cell>
          <cell r="X307">
            <v>0</v>
          </cell>
          <cell r="Y307" t="b">
            <v>0</v>
          </cell>
          <cell r="Z307" t="b">
            <v>0</v>
          </cell>
          <cell r="AA307" t="b">
            <v>0</v>
          </cell>
          <cell r="AB307">
            <v>0</v>
          </cell>
          <cell r="AC307" t="b">
            <v>1</v>
          </cell>
          <cell r="AE307" t="str">
            <v>P</v>
          </cell>
          <cell r="AF307">
            <v>0</v>
          </cell>
          <cell r="AG307">
            <v>0</v>
          </cell>
          <cell r="AI307">
            <v>0</v>
          </cell>
        </row>
        <row r="308">
          <cell r="C308" t="str">
            <v>imputation_credits.ListedShares.c661fd1f-7227-4c8d-84cb-8704d5b3ff83</v>
          </cell>
          <cell r="D308">
            <v>276</v>
          </cell>
          <cell r="E308">
            <v>6</v>
          </cell>
          <cell r="F308" t="str">
            <v>Line_6</v>
          </cell>
          <cell r="G308" t="str">
            <v>AddB</v>
          </cell>
          <cell r="I308" t="str">
            <v>BHP Billiton Limited</v>
          </cell>
          <cell r="J308">
            <v>2989.82</v>
          </cell>
          <cell r="K308">
            <v>0</v>
          </cell>
          <cell r="L308">
            <v>2989.82</v>
          </cell>
          <cell r="M308">
            <v>0</v>
          </cell>
          <cell r="N308" t="str">
            <v>Add</v>
          </cell>
          <cell r="O308">
            <v>0</v>
          </cell>
          <cell r="V308" t="str">
            <v>NA</v>
          </cell>
          <cell r="X308">
            <v>0</v>
          </cell>
          <cell r="Y308" t="b">
            <v>0</v>
          </cell>
          <cell r="Z308" t="b">
            <v>0</v>
          </cell>
          <cell r="AA308" t="b">
            <v>0</v>
          </cell>
          <cell r="AB308">
            <v>0</v>
          </cell>
          <cell r="AC308" t="b">
            <v>1</v>
          </cell>
          <cell r="AE308" t="str">
            <v>P</v>
          </cell>
          <cell r="AF308">
            <v>0</v>
          </cell>
          <cell r="AG308">
            <v>0</v>
          </cell>
          <cell r="AI308">
            <v>0</v>
          </cell>
        </row>
        <row r="309">
          <cell r="C309" t="str">
            <v>imputation_credits.ListedShares.1eaa5cbe-0ce4-470e-83e9-f0eda6d6e2da</v>
          </cell>
          <cell r="D309">
            <v>277</v>
          </cell>
          <cell r="E309">
            <v>6</v>
          </cell>
          <cell r="F309" t="str">
            <v>Line_6</v>
          </cell>
          <cell r="G309" t="str">
            <v>AddB</v>
          </cell>
          <cell r="I309" t="str">
            <v>Commonwealth Bank Of Australia.</v>
          </cell>
          <cell r="J309">
            <v>6031.73</v>
          </cell>
          <cell r="K309">
            <v>0</v>
          </cell>
          <cell r="L309">
            <v>6031.73</v>
          </cell>
          <cell r="M309">
            <v>0</v>
          </cell>
          <cell r="N309" t="str">
            <v>Add</v>
          </cell>
          <cell r="O309">
            <v>0</v>
          </cell>
          <cell r="V309" t="str">
            <v>NA</v>
          </cell>
          <cell r="X309">
            <v>0</v>
          </cell>
          <cell r="Y309" t="b">
            <v>0</v>
          </cell>
          <cell r="Z309" t="b">
            <v>0</v>
          </cell>
          <cell r="AA309" t="b">
            <v>0</v>
          </cell>
          <cell r="AB309">
            <v>0</v>
          </cell>
          <cell r="AC309" t="b">
            <v>1</v>
          </cell>
          <cell r="AE309" t="str">
            <v>P</v>
          </cell>
          <cell r="AF309">
            <v>0</v>
          </cell>
          <cell r="AG309">
            <v>0</v>
          </cell>
          <cell r="AI309">
            <v>0</v>
          </cell>
        </row>
        <row r="310">
          <cell r="C310" t="str">
            <v>imputation_credits.ListedShares.24fef001-f628-4dc4-9bf6-8ee82dd62ed3</v>
          </cell>
          <cell r="D310">
            <v>278</v>
          </cell>
          <cell r="E310">
            <v>6</v>
          </cell>
          <cell r="F310" t="str">
            <v>Line_6</v>
          </cell>
          <cell r="G310" t="str">
            <v>AddB</v>
          </cell>
          <cell r="I310" t="str">
            <v>Lycopodium Limited</v>
          </cell>
          <cell r="J310">
            <v>2256.4299999999998</v>
          </cell>
          <cell r="K310">
            <v>0</v>
          </cell>
          <cell r="L310">
            <v>2256.4299999999998</v>
          </cell>
          <cell r="M310">
            <v>0</v>
          </cell>
          <cell r="N310" t="str">
            <v>Add</v>
          </cell>
          <cell r="O310">
            <v>0</v>
          </cell>
          <cell r="V310" t="str">
            <v>NA</v>
          </cell>
          <cell r="X310">
            <v>0</v>
          </cell>
          <cell r="Y310" t="b">
            <v>0</v>
          </cell>
          <cell r="Z310" t="b">
            <v>0</v>
          </cell>
          <cell r="AA310" t="b">
            <v>0</v>
          </cell>
          <cell r="AB310">
            <v>0</v>
          </cell>
          <cell r="AC310" t="b">
            <v>1</v>
          </cell>
          <cell r="AE310" t="str">
            <v>P</v>
          </cell>
          <cell r="AF310">
            <v>0</v>
          </cell>
          <cell r="AG310">
            <v>0</v>
          </cell>
          <cell r="AI310">
            <v>0</v>
          </cell>
        </row>
        <row r="311">
          <cell r="C311" t="str">
            <v>imputation_credits.ListedShares.11031a76-c558-42b0-9844-9a11dee4c1e8</v>
          </cell>
          <cell r="D311">
            <v>279</v>
          </cell>
          <cell r="E311">
            <v>6</v>
          </cell>
          <cell r="F311" t="str">
            <v>Line_6</v>
          </cell>
          <cell r="G311" t="str">
            <v>AddB</v>
          </cell>
          <cell r="I311" t="str">
            <v>RCG Corporation Limited</v>
          </cell>
          <cell r="J311">
            <v>14909.02</v>
          </cell>
          <cell r="K311">
            <v>0</v>
          </cell>
          <cell r="L311">
            <v>14909.02</v>
          </cell>
          <cell r="M311">
            <v>0</v>
          </cell>
          <cell r="N311" t="str">
            <v>Add</v>
          </cell>
          <cell r="O311">
            <v>0</v>
          </cell>
          <cell r="V311" t="str">
            <v>NA</v>
          </cell>
          <cell r="X311">
            <v>0</v>
          </cell>
          <cell r="Y311" t="b">
            <v>0</v>
          </cell>
          <cell r="Z311" t="b">
            <v>0</v>
          </cell>
          <cell r="AA311" t="b">
            <v>0</v>
          </cell>
          <cell r="AB311">
            <v>0</v>
          </cell>
          <cell r="AC311" t="b">
            <v>1</v>
          </cell>
          <cell r="AE311" t="str">
            <v>P</v>
          </cell>
          <cell r="AF311">
            <v>0</v>
          </cell>
          <cell r="AG311">
            <v>0</v>
          </cell>
          <cell r="AI311">
            <v>0</v>
          </cell>
        </row>
        <row r="312">
          <cell r="C312" t="str">
            <v>imputation_credits.ListedShares.70ba86ed-c44b-4771-b5a2-be7e62412e91</v>
          </cell>
          <cell r="D312">
            <v>280</v>
          </cell>
          <cell r="E312">
            <v>6</v>
          </cell>
          <cell r="F312" t="str">
            <v>Line_6</v>
          </cell>
          <cell r="G312" t="str">
            <v>AddB</v>
          </cell>
          <cell r="I312" t="str">
            <v>Wesfarmers Limited</v>
          </cell>
          <cell r="J312">
            <v>4517.8</v>
          </cell>
          <cell r="K312">
            <v>0</v>
          </cell>
          <cell r="L312">
            <v>4517.8</v>
          </cell>
          <cell r="M312">
            <v>0</v>
          </cell>
          <cell r="N312" t="str">
            <v>Add</v>
          </cell>
          <cell r="O312">
            <v>0</v>
          </cell>
          <cell r="V312" t="str">
            <v>NA</v>
          </cell>
          <cell r="X312">
            <v>0</v>
          </cell>
          <cell r="Y312" t="b">
            <v>0</v>
          </cell>
          <cell r="Z312" t="b">
            <v>0</v>
          </cell>
          <cell r="AA312" t="b">
            <v>0</v>
          </cell>
          <cell r="AB312">
            <v>0</v>
          </cell>
          <cell r="AC312" t="b">
            <v>1</v>
          </cell>
          <cell r="AE312" t="str">
            <v>P</v>
          </cell>
          <cell r="AF312">
            <v>0</v>
          </cell>
          <cell r="AG312">
            <v>0</v>
          </cell>
          <cell r="AI312">
            <v>0</v>
          </cell>
        </row>
        <row r="313">
          <cell r="C313" t="str">
            <v>Totalimputation_credits.ListedShares</v>
          </cell>
          <cell r="D313">
            <v>281</v>
          </cell>
          <cell r="E313">
            <v>5</v>
          </cell>
          <cell r="F313" t="str">
            <v>Total_5</v>
          </cell>
          <cell r="G313" t="str">
            <v>AddB</v>
          </cell>
          <cell r="I313" t="str">
            <v>Total Shares in Listed Companies</v>
          </cell>
          <cell r="J313">
            <v>32283.360000000001</v>
          </cell>
          <cell r="K313">
            <v>0</v>
          </cell>
          <cell r="L313">
            <v>32283.360000000001</v>
          </cell>
          <cell r="M313">
            <v>0</v>
          </cell>
          <cell r="N313" t="str">
            <v>Add</v>
          </cell>
          <cell r="O313">
            <v>0</v>
          </cell>
          <cell r="V313" t="str">
            <v>NA</v>
          </cell>
          <cell r="X313">
            <v>0</v>
          </cell>
          <cell r="Y313" t="b">
            <v>0</v>
          </cell>
          <cell r="Z313" t="b">
            <v>0</v>
          </cell>
          <cell r="AA313" t="b">
            <v>0</v>
          </cell>
          <cell r="AB313">
            <v>0</v>
          </cell>
          <cell r="AC313" t="b">
            <v>1</v>
          </cell>
          <cell r="AE313" t="str">
            <v>P</v>
          </cell>
          <cell r="AF313">
            <v>0</v>
          </cell>
          <cell r="AG313">
            <v>0</v>
          </cell>
          <cell r="AI313">
            <v>0</v>
          </cell>
        </row>
        <row r="314">
          <cell r="C314" t="str">
            <v>imputation_credits.Stapled</v>
          </cell>
          <cell r="D314">
            <v>282</v>
          </cell>
          <cell r="E314">
            <v>5</v>
          </cell>
          <cell r="F314" t="str">
            <v>Header_5</v>
          </cell>
          <cell r="G314" t="str">
            <v>AddB</v>
          </cell>
          <cell r="I314" t="str">
            <v>Stapled Securities</v>
          </cell>
          <cell r="J314">
            <v>0</v>
          </cell>
          <cell r="K314">
            <v>0</v>
          </cell>
          <cell r="L314">
            <v>0</v>
          </cell>
          <cell r="M314">
            <v>0</v>
          </cell>
          <cell r="O314">
            <v>0</v>
          </cell>
          <cell r="V314" t="str">
            <v>NA</v>
          </cell>
          <cell r="X314">
            <v>0</v>
          </cell>
          <cell r="Y314" t="b">
            <v>0</v>
          </cell>
          <cell r="Z314" t="b">
            <v>0</v>
          </cell>
          <cell r="AA314" t="b">
            <v>0</v>
          </cell>
          <cell r="AB314">
            <v>0</v>
          </cell>
          <cell r="AC314" t="b">
            <v>1</v>
          </cell>
          <cell r="AE314" t="str">
            <v>P</v>
          </cell>
          <cell r="AF314">
            <v>0</v>
          </cell>
          <cell r="AG314">
            <v>0</v>
          </cell>
          <cell r="AI314">
            <v>0</v>
          </cell>
        </row>
        <row r="315">
          <cell r="C315" t="str">
            <v>imputation_credits.Stapled.8e9a6fc7-bafd-4650-b416-d03fe7049f79</v>
          </cell>
          <cell r="D315">
            <v>283</v>
          </cell>
          <cell r="E315">
            <v>6</v>
          </cell>
          <cell r="F315" t="str">
            <v>Line_6</v>
          </cell>
          <cell r="G315" t="str">
            <v>AddB</v>
          </cell>
          <cell r="I315" t="str">
            <v>Scentre Group - Stapled Securities</v>
          </cell>
          <cell r="J315">
            <v>369.75</v>
          </cell>
          <cell r="K315">
            <v>0</v>
          </cell>
          <cell r="L315">
            <v>369.75</v>
          </cell>
          <cell r="M315">
            <v>0</v>
          </cell>
          <cell r="N315" t="str">
            <v>Add</v>
          </cell>
          <cell r="O315">
            <v>0</v>
          </cell>
          <cell r="V315" t="str">
            <v>NA</v>
          </cell>
          <cell r="X315">
            <v>0</v>
          </cell>
          <cell r="Y315" t="b">
            <v>0</v>
          </cell>
          <cell r="Z315" t="b">
            <v>0</v>
          </cell>
          <cell r="AA315" t="b">
            <v>0</v>
          </cell>
          <cell r="AB315">
            <v>0</v>
          </cell>
          <cell r="AC315" t="b">
            <v>1</v>
          </cell>
          <cell r="AE315" t="str">
            <v>P</v>
          </cell>
          <cell r="AF315">
            <v>0</v>
          </cell>
          <cell r="AG315">
            <v>0</v>
          </cell>
          <cell r="AI315">
            <v>0</v>
          </cell>
        </row>
        <row r="316">
          <cell r="C316" t="str">
            <v>Totalimputation_credits.Stapled</v>
          </cell>
          <cell r="D316">
            <v>284</v>
          </cell>
          <cell r="E316">
            <v>5</v>
          </cell>
          <cell r="F316" t="str">
            <v>Total_5</v>
          </cell>
          <cell r="G316" t="str">
            <v>AddB</v>
          </cell>
          <cell r="I316" t="str">
            <v>Total Stapled Securities</v>
          </cell>
          <cell r="J316">
            <v>369.75</v>
          </cell>
          <cell r="K316">
            <v>0</v>
          </cell>
          <cell r="L316">
            <v>369.75</v>
          </cell>
          <cell r="M316">
            <v>0</v>
          </cell>
          <cell r="N316" t="str">
            <v>Add</v>
          </cell>
          <cell r="O316">
            <v>0</v>
          </cell>
          <cell r="V316" t="str">
            <v>NA</v>
          </cell>
          <cell r="X316">
            <v>0</v>
          </cell>
          <cell r="Y316" t="b">
            <v>0</v>
          </cell>
          <cell r="Z316" t="b">
            <v>0</v>
          </cell>
          <cell r="AA316" t="b">
            <v>0</v>
          </cell>
          <cell r="AB316">
            <v>0</v>
          </cell>
          <cell r="AC316" t="b">
            <v>1</v>
          </cell>
          <cell r="AE316" t="str">
            <v>P</v>
          </cell>
          <cell r="AF316">
            <v>0</v>
          </cell>
          <cell r="AG316">
            <v>0</v>
          </cell>
          <cell r="AI316">
            <v>0</v>
          </cell>
        </row>
        <row r="317">
          <cell r="C317" t="str">
            <v>Totalimputation_credits</v>
          </cell>
          <cell r="D317">
            <v>285</v>
          </cell>
          <cell r="E317">
            <v>4</v>
          </cell>
          <cell r="F317" t="str">
            <v>Total_4</v>
          </cell>
          <cell r="G317" t="str">
            <v>AddB</v>
          </cell>
          <cell r="I317" t="str">
            <v>Total Franking Credits</v>
          </cell>
          <cell r="J317">
            <v>32653.11</v>
          </cell>
          <cell r="K317">
            <v>0</v>
          </cell>
          <cell r="L317">
            <v>32653.11</v>
          </cell>
          <cell r="M317">
            <v>0</v>
          </cell>
          <cell r="N317" t="str">
            <v>Add</v>
          </cell>
          <cell r="O317">
            <v>0</v>
          </cell>
          <cell r="V317" t="str">
            <v>NA</v>
          </cell>
          <cell r="X317">
            <v>0</v>
          </cell>
          <cell r="Y317" t="b">
            <v>0</v>
          </cell>
          <cell r="Z317" t="b">
            <v>0</v>
          </cell>
          <cell r="AA317" t="b">
            <v>0</v>
          </cell>
          <cell r="AB317">
            <v>0</v>
          </cell>
          <cell r="AC317" t="b">
            <v>1</v>
          </cell>
          <cell r="AE317" t="str">
            <v>P</v>
          </cell>
          <cell r="AF317">
            <v>0</v>
          </cell>
          <cell r="AG317">
            <v>0</v>
          </cell>
          <cell r="AI317">
            <v>0</v>
          </cell>
        </row>
        <row r="318">
          <cell r="C318" t="str">
            <v>foreign_tax_credits</v>
          </cell>
          <cell r="D318">
            <v>286</v>
          </cell>
          <cell r="E318">
            <v>4</v>
          </cell>
          <cell r="F318" t="str">
            <v>Header_4</v>
          </cell>
          <cell r="G318" t="str">
            <v>AddB</v>
          </cell>
          <cell r="I318" t="str">
            <v>Foreign Tax Credits</v>
          </cell>
          <cell r="J318">
            <v>0</v>
          </cell>
          <cell r="K318">
            <v>0</v>
          </cell>
          <cell r="L318">
            <v>0</v>
          </cell>
          <cell r="M318">
            <v>0</v>
          </cell>
          <cell r="O318">
            <v>0</v>
          </cell>
          <cell r="V318" t="str">
            <v>NA</v>
          </cell>
          <cell r="X318">
            <v>0</v>
          </cell>
          <cell r="Y318" t="b">
            <v>0</v>
          </cell>
          <cell r="Z318" t="b">
            <v>0</v>
          </cell>
          <cell r="AA318" t="b">
            <v>0</v>
          </cell>
          <cell r="AB318">
            <v>0</v>
          </cell>
          <cell r="AC318" t="b">
            <v>1</v>
          </cell>
          <cell r="AE318" t="str">
            <v>P</v>
          </cell>
          <cell r="AF318">
            <v>0</v>
          </cell>
          <cell r="AG318">
            <v>0</v>
          </cell>
          <cell r="AI318">
            <v>0</v>
          </cell>
        </row>
        <row r="319">
          <cell r="C319" t="str">
            <v>foreign_tax_credits.Stapled</v>
          </cell>
          <cell r="D319">
            <v>287</v>
          </cell>
          <cell r="E319">
            <v>5</v>
          </cell>
          <cell r="F319" t="str">
            <v>Header_5</v>
          </cell>
          <cell r="G319" t="str">
            <v>AddB</v>
          </cell>
          <cell r="I319" t="str">
            <v>Stapled Securities</v>
          </cell>
          <cell r="J319">
            <v>0</v>
          </cell>
          <cell r="K319">
            <v>0</v>
          </cell>
          <cell r="L319">
            <v>0</v>
          </cell>
          <cell r="M319">
            <v>0</v>
          </cell>
          <cell r="O319">
            <v>0</v>
          </cell>
          <cell r="V319" t="str">
            <v>NA</v>
          </cell>
          <cell r="X319">
            <v>0</v>
          </cell>
          <cell r="Y319" t="b">
            <v>0</v>
          </cell>
          <cell r="Z319" t="b">
            <v>0</v>
          </cell>
          <cell r="AA319" t="b">
            <v>0</v>
          </cell>
          <cell r="AB319">
            <v>0</v>
          </cell>
          <cell r="AC319" t="b">
            <v>1</v>
          </cell>
          <cell r="AE319" t="str">
            <v>P</v>
          </cell>
          <cell r="AF319">
            <v>0</v>
          </cell>
          <cell r="AG319">
            <v>0</v>
          </cell>
          <cell r="AI319">
            <v>0</v>
          </cell>
        </row>
        <row r="320">
          <cell r="C320" t="str">
            <v>foreign_tax_credits.Stapled.dcba5c26-922b-4e46-b526-e0abc4efb0a4</v>
          </cell>
          <cell r="D320">
            <v>288</v>
          </cell>
          <cell r="E320">
            <v>6</v>
          </cell>
          <cell r="F320" t="str">
            <v>Line_6</v>
          </cell>
          <cell r="G320" t="str">
            <v>AddB</v>
          </cell>
          <cell r="I320" t="str">
            <v>Westfield Corporation - Stapled Securities</v>
          </cell>
          <cell r="J320">
            <v>525.07000000000005</v>
          </cell>
          <cell r="K320">
            <v>0</v>
          </cell>
          <cell r="L320">
            <v>525.07000000000005</v>
          </cell>
          <cell r="M320">
            <v>0</v>
          </cell>
          <cell r="N320" t="str">
            <v>Add</v>
          </cell>
          <cell r="O320">
            <v>0</v>
          </cell>
          <cell r="V320" t="str">
            <v>NA</v>
          </cell>
          <cell r="X320">
            <v>0</v>
          </cell>
          <cell r="Y320" t="b">
            <v>0</v>
          </cell>
          <cell r="Z320" t="b">
            <v>0</v>
          </cell>
          <cell r="AA320" t="b">
            <v>0</v>
          </cell>
          <cell r="AB320">
            <v>0</v>
          </cell>
          <cell r="AC320" t="b">
            <v>1</v>
          </cell>
          <cell r="AE320" t="str">
            <v>P</v>
          </cell>
          <cell r="AF320">
            <v>0</v>
          </cell>
          <cell r="AG320">
            <v>0</v>
          </cell>
          <cell r="AI320">
            <v>0</v>
          </cell>
        </row>
        <row r="321">
          <cell r="C321" t="str">
            <v>Totalforeign_tax_credits.Stapled</v>
          </cell>
          <cell r="D321">
            <v>289</v>
          </cell>
          <cell r="E321">
            <v>5</v>
          </cell>
          <cell r="F321" t="str">
            <v>Total_5</v>
          </cell>
          <cell r="G321" t="str">
            <v>AddB</v>
          </cell>
          <cell r="I321" t="str">
            <v>Total Stapled Securities</v>
          </cell>
          <cell r="J321">
            <v>525.07000000000005</v>
          </cell>
          <cell r="K321">
            <v>0</v>
          </cell>
          <cell r="L321">
            <v>525.07000000000005</v>
          </cell>
          <cell r="M321">
            <v>0</v>
          </cell>
          <cell r="N321" t="str">
            <v>Add</v>
          </cell>
          <cell r="O321">
            <v>0</v>
          </cell>
          <cell r="V321" t="str">
            <v>NA</v>
          </cell>
          <cell r="X321">
            <v>0</v>
          </cell>
          <cell r="Y321" t="b">
            <v>0</v>
          </cell>
          <cell r="Z321" t="b">
            <v>0</v>
          </cell>
          <cell r="AA321" t="b">
            <v>0</v>
          </cell>
          <cell r="AB321">
            <v>0</v>
          </cell>
          <cell r="AC321" t="b">
            <v>1</v>
          </cell>
          <cell r="AE321" t="str">
            <v>P</v>
          </cell>
          <cell r="AF321">
            <v>0</v>
          </cell>
          <cell r="AG321">
            <v>0</v>
          </cell>
          <cell r="AI321">
            <v>0</v>
          </cell>
        </row>
        <row r="322">
          <cell r="C322" t="str">
            <v>foreign_tax_credits.UnitTrusts</v>
          </cell>
          <cell r="D322">
            <v>290</v>
          </cell>
          <cell r="E322">
            <v>5</v>
          </cell>
          <cell r="F322" t="str">
            <v>Header_5</v>
          </cell>
          <cell r="G322" t="str">
            <v>AddB</v>
          </cell>
          <cell r="I322" t="str">
            <v>Units In Listed Unit Trusts</v>
          </cell>
          <cell r="J322">
            <v>0</v>
          </cell>
          <cell r="K322">
            <v>0</v>
          </cell>
          <cell r="L322">
            <v>0</v>
          </cell>
          <cell r="M322">
            <v>0</v>
          </cell>
          <cell r="O322">
            <v>0</v>
          </cell>
          <cell r="V322" t="str">
            <v>NA</v>
          </cell>
          <cell r="X322">
            <v>0</v>
          </cell>
          <cell r="Y322" t="b">
            <v>0</v>
          </cell>
          <cell r="Z322" t="b">
            <v>0</v>
          </cell>
          <cell r="AA322" t="b">
            <v>0</v>
          </cell>
          <cell r="AB322">
            <v>0</v>
          </cell>
          <cell r="AC322" t="b">
            <v>1</v>
          </cell>
          <cell r="AE322" t="str">
            <v>P</v>
          </cell>
          <cell r="AF322">
            <v>0</v>
          </cell>
          <cell r="AG322">
            <v>0</v>
          </cell>
          <cell r="AI322">
            <v>0</v>
          </cell>
        </row>
        <row r="323">
          <cell r="C323" t="str">
            <v>foreign_tax_credits.UnitTrusts.585f5263-8705-4fe9-a474-8235212ecee1</v>
          </cell>
          <cell r="D323">
            <v>291</v>
          </cell>
          <cell r="E323">
            <v>6</v>
          </cell>
          <cell r="F323" t="str">
            <v>Line_6</v>
          </cell>
          <cell r="G323" t="str">
            <v>AddB</v>
          </cell>
          <cell r="I323" t="str">
            <v>Vanguard Us Total Market Shares Index ETF - CDI's 1:1</v>
          </cell>
          <cell r="J323">
            <v>26.78</v>
          </cell>
          <cell r="K323">
            <v>0</v>
          </cell>
          <cell r="L323">
            <v>26.78</v>
          </cell>
          <cell r="M323">
            <v>0</v>
          </cell>
          <cell r="N323" t="str">
            <v>Add</v>
          </cell>
          <cell r="O323">
            <v>0</v>
          </cell>
          <cell r="V323" t="str">
            <v>NA</v>
          </cell>
          <cell r="X323">
            <v>0</v>
          </cell>
          <cell r="Y323" t="b">
            <v>0</v>
          </cell>
          <cell r="Z323" t="b">
            <v>0</v>
          </cell>
          <cell r="AA323" t="b">
            <v>0</v>
          </cell>
          <cell r="AB323">
            <v>0</v>
          </cell>
          <cell r="AC323" t="b">
            <v>1</v>
          </cell>
          <cell r="AE323" t="str">
            <v>P</v>
          </cell>
          <cell r="AF323">
            <v>0</v>
          </cell>
          <cell r="AG323">
            <v>0</v>
          </cell>
          <cell r="AI323">
            <v>0</v>
          </cell>
        </row>
        <row r="324">
          <cell r="C324" t="str">
            <v>Totalforeign_tax_credits.UnitTrusts</v>
          </cell>
          <cell r="D324">
            <v>292</v>
          </cell>
          <cell r="E324">
            <v>5</v>
          </cell>
          <cell r="F324" t="str">
            <v>Total_5</v>
          </cell>
          <cell r="G324" t="str">
            <v>AddB</v>
          </cell>
          <cell r="I324" t="str">
            <v>Total Units In Listed Unit Trusts</v>
          </cell>
          <cell r="J324">
            <v>26.78</v>
          </cell>
          <cell r="K324">
            <v>0</v>
          </cell>
          <cell r="L324">
            <v>26.78</v>
          </cell>
          <cell r="M324">
            <v>0</v>
          </cell>
          <cell r="N324" t="str">
            <v>Add</v>
          </cell>
          <cell r="O324">
            <v>0</v>
          </cell>
          <cell r="V324" t="str">
            <v>NA</v>
          </cell>
          <cell r="X324">
            <v>0</v>
          </cell>
          <cell r="Y324" t="b">
            <v>0</v>
          </cell>
          <cell r="Z324" t="b">
            <v>0</v>
          </cell>
          <cell r="AA324" t="b">
            <v>0</v>
          </cell>
          <cell r="AB324">
            <v>0</v>
          </cell>
          <cell r="AC324" t="b">
            <v>1</v>
          </cell>
          <cell r="AE324" t="str">
            <v>P</v>
          </cell>
          <cell r="AF324">
            <v>0</v>
          </cell>
          <cell r="AG324">
            <v>0</v>
          </cell>
          <cell r="AI324">
            <v>0</v>
          </cell>
        </row>
        <row r="325">
          <cell r="C325" t="str">
            <v>Totalforeign_tax_credits</v>
          </cell>
          <cell r="D325">
            <v>293</v>
          </cell>
          <cell r="E325">
            <v>4</v>
          </cell>
          <cell r="F325" t="str">
            <v>Total_4</v>
          </cell>
          <cell r="G325" t="str">
            <v>AddB</v>
          </cell>
          <cell r="I325" t="str">
            <v>Total Foreign Tax Credits</v>
          </cell>
          <cell r="J325">
            <v>551.85</v>
          </cell>
          <cell r="K325">
            <v>0</v>
          </cell>
          <cell r="L325">
            <v>551.85</v>
          </cell>
          <cell r="M325">
            <v>0</v>
          </cell>
          <cell r="N325" t="str">
            <v>Add</v>
          </cell>
          <cell r="O325">
            <v>0</v>
          </cell>
          <cell r="V325" t="str">
            <v>NA</v>
          </cell>
          <cell r="X325">
            <v>0</v>
          </cell>
          <cell r="Y325" t="b">
            <v>0</v>
          </cell>
          <cell r="Z325" t="b">
            <v>0</v>
          </cell>
          <cell r="AA325" t="b">
            <v>0</v>
          </cell>
          <cell r="AB325">
            <v>0</v>
          </cell>
          <cell r="AC325" t="b">
            <v>1</v>
          </cell>
          <cell r="AE325" t="str">
            <v>P</v>
          </cell>
          <cell r="AF325">
            <v>0</v>
          </cell>
          <cell r="AG325">
            <v>0</v>
          </cell>
          <cell r="AI325">
            <v>0</v>
          </cell>
        </row>
        <row r="326">
          <cell r="C326" t="str">
            <v>excessive_foreign_tax_credit_writeoff</v>
          </cell>
          <cell r="D326">
            <v>294</v>
          </cell>
          <cell r="E326">
            <v>4</v>
          </cell>
          <cell r="F326" t="str">
            <v>Line_4</v>
          </cell>
          <cell r="G326" t="str">
            <v>AddB</v>
          </cell>
          <cell r="I326" t="str">
            <v>Excessive Foreign Tax Credit Writeoff</v>
          </cell>
          <cell r="J326">
            <v>-551.85</v>
          </cell>
          <cell r="K326">
            <v>0</v>
          </cell>
          <cell r="L326">
            <v>-551.85</v>
          </cell>
          <cell r="M326">
            <v>0</v>
          </cell>
          <cell r="N326" t="str">
            <v>Add</v>
          </cell>
          <cell r="O326">
            <v>0</v>
          </cell>
          <cell r="V326" t="str">
            <v>NA</v>
          </cell>
          <cell r="X326">
            <v>0</v>
          </cell>
          <cell r="Y326" t="b">
            <v>0</v>
          </cell>
          <cell r="Z326" t="b">
            <v>0</v>
          </cell>
          <cell r="AA326" t="b">
            <v>0</v>
          </cell>
          <cell r="AB326">
            <v>0</v>
          </cell>
          <cell r="AC326" t="b">
            <v>1</v>
          </cell>
          <cell r="AE326" t="str">
            <v>P</v>
          </cell>
          <cell r="AF326">
            <v>0</v>
          </cell>
          <cell r="AG326">
            <v>0</v>
          </cell>
          <cell r="AI326">
            <v>0</v>
          </cell>
        </row>
        <row r="327">
          <cell r="C327" t="str">
            <v>Totalincome_tax_payable</v>
          </cell>
          <cell r="D327">
            <v>295</v>
          </cell>
          <cell r="E327">
            <v>3</v>
          </cell>
          <cell r="F327" t="str">
            <v>Total_3</v>
          </cell>
          <cell r="G327" t="str">
            <v>AddB</v>
          </cell>
          <cell r="I327" t="str">
            <v>Total Current Tax Assets</v>
          </cell>
          <cell r="J327">
            <v>32653.11</v>
          </cell>
          <cell r="K327">
            <v>0</v>
          </cell>
          <cell r="L327">
            <v>32653.11</v>
          </cell>
          <cell r="M327">
            <v>0</v>
          </cell>
          <cell r="N327" t="str">
            <v>Add</v>
          </cell>
          <cell r="O327">
            <v>0</v>
          </cell>
          <cell r="V327" t="str">
            <v>NA</v>
          </cell>
          <cell r="X327">
            <v>0</v>
          </cell>
          <cell r="Y327" t="b">
            <v>0</v>
          </cell>
          <cell r="Z327" t="b">
            <v>0</v>
          </cell>
          <cell r="AA327" t="b">
            <v>0</v>
          </cell>
          <cell r="AB327">
            <v>0</v>
          </cell>
          <cell r="AC327" t="b">
            <v>1</v>
          </cell>
          <cell r="AE327" t="str">
            <v>P</v>
          </cell>
          <cell r="AF327">
            <v>0</v>
          </cell>
          <cell r="AG327">
            <v>0</v>
          </cell>
          <cell r="AI327">
            <v>0</v>
          </cell>
        </row>
        <row r="328">
          <cell r="C328" t="str">
            <v>Totalother_assets</v>
          </cell>
          <cell r="D328">
            <v>296</v>
          </cell>
          <cell r="E328">
            <v>2</v>
          </cell>
          <cell r="F328" t="str">
            <v>Total_2</v>
          </cell>
          <cell r="G328" t="str">
            <v>AddB</v>
          </cell>
          <cell r="I328" t="str">
            <v>Total Other Assets</v>
          </cell>
          <cell r="J328">
            <v>768139.59</v>
          </cell>
          <cell r="K328">
            <v>0</v>
          </cell>
          <cell r="L328">
            <v>768139.59</v>
          </cell>
          <cell r="M328">
            <v>0</v>
          </cell>
          <cell r="N328" t="str">
            <v>Add</v>
          </cell>
          <cell r="O328">
            <v>0</v>
          </cell>
          <cell r="V328" t="str">
            <v>NA</v>
          </cell>
          <cell r="X328">
            <v>0</v>
          </cell>
          <cell r="Y328" t="b">
            <v>0</v>
          </cell>
          <cell r="Z328" t="b">
            <v>0</v>
          </cell>
          <cell r="AA328" t="b">
            <v>0</v>
          </cell>
          <cell r="AB328">
            <v>0</v>
          </cell>
          <cell r="AC328" t="b">
            <v>1</v>
          </cell>
          <cell r="AE328" t="str">
            <v>P</v>
          </cell>
          <cell r="AF328">
            <v>0</v>
          </cell>
          <cell r="AG328">
            <v>0</v>
          </cell>
          <cell r="AI328">
            <v>0</v>
          </cell>
        </row>
        <row r="329">
          <cell r="C329" t="str">
            <v>TotalAssets</v>
          </cell>
          <cell r="D329">
            <v>297</v>
          </cell>
          <cell r="E329">
            <v>1</v>
          </cell>
          <cell r="F329" t="str">
            <v>Total_1</v>
          </cell>
          <cell r="G329" t="str">
            <v>AddB</v>
          </cell>
          <cell r="I329" t="str">
            <v>Total Assets</v>
          </cell>
          <cell r="J329">
            <v>8662089.9000000004</v>
          </cell>
          <cell r="K329">
            <v>0</v>
          </cell>
          <cell r="L329">
            <v>8662089.9000000004</v>
          </cell>
          <cell r="M329">
            <v>0</v>
          </cell>
          <cell r="N329" t="str">
            <v>Add</v>
          </cell>
          <cell r="O329">
            <v>0</v>
          </cell>
          <cell r="V329" t="str">
            <v>NA</v>
          </cell>
          <cell r="X329">
            <v>0</v>
          </cell>
          <cell r="Y329" t="b">
            <v>0</v>
          </cell>
          <cell r="Z329" t="b">
            <v>0</v>
          </cell>
          <cell r="AA329" t="b">
            <v>0</v>
          </cell>
          <cell r="AB329">
            <v>0</v>
          </cell>
          <cell r="AC329" t="b">
            <v>1</v>
          </cell>
          <cell r="AE329" t="str">
            <v>P</v>
          </cell>
          <cell r="AF329">
            <v>0</v>
          </cell>
          <cell r="AG329">
            <v>0</v>
          </cell>
          <cell r="AI329">
            <v>0</v>
          </cell>
        </row>
        <row r="330">
          <cell r="C330" t="str">
            <v>Member Entitlements</v>
          </cell>
          <cell r="D330">
            <v>298</v>
          </cell>
          <cell r="E330">
            <v>1</v>
          </cell>
          <cell r="F330" t="str">
            <v>Header_1</v>
          </cell>
          <cell r="G330" t="str">
            <v>AddD</v>
          </cell>
          <cell r="I330" t="str">
            <v>Member Entitlements</v>
          </cell>
          <cell r="J330">
            <v>0</v>
          </cell>
          <cell r="K330">
            <v>0</v>
          </cell>
          <cell r="L330">
            <v>0</v>
          </cell>
          <cell r="M330">
            <v>0</v>
          </cell>
          <cell r="O330">
            <v>0</v>
          </cell>
          <cell r="V330" t="str">
            <v>NA</v>
          </cell>
          <cell r="X330">
            <v>0</v>
          </cell>
          <cell r="Y330" t="b">
            <v>0</v>
          </cell>
          <cell r="Z330" t="b">
            <v>0</v>
          </cell>
          <cell r="AA330" t="b">
            <v>0</v>
          </cell>
          <cell r="AB330">
            <v>0</v>
          </cell>
          <cell r="AC330" t="b">
            <v>1</v>
          </cell>
          <cell r="AE330" t="str">
            <v>P</v>
          </cell>
          <cell r="AF330">
            <v>0</v>
          </cell>
          <cell r="AG330">
            <v>0</v>
          </cell>
          <cell r="AI330">
            <v>0</v>
          </cell>
        </row>
        <row r="331">
          <cell r="C331" t="str">
            <v>members_entitlements_accounts</v>
          </cell>
          <cell r="D331">
            <v>299</v>
          </cell>
          <cell r="E331">
            <v>2</v>
          </cell>
          <cell r="F331" t="str">
            <v>Header_2</v>
          </cell>
          <cell r="G331" t="str">
            <v>AddD</v>
          </cell>
          <cell r="I331" t="str">
            <v>Member Entitlement Accounts</v>
          </cell>
          <cell r="J331">
            <v>0</v>
          </cell>
          <cell r="K331">
            <v>0</v>
          </cell>
          <cell r="L331">
            <v>0</v>
          </cell>
          <cell r="M331">
            <v>0</v>
          </cell>
          <cell r="O331">
            <v>0</v>
          </cell>
          <cell r="V331" t="str">
            <v>NA</v>
          </cell>
          <cell r="X331">
            <v>0</v>
          </cell>
          <cell r="Y331" t="b">
            <v>0</v>
          </cell>
          <cell r="Z331" t="b">
            <v>0</v>
          </cell>
          <cell r="AA331" t="b">
            <v>0</v>
          </cell>
          <cell r="AB331">
            <v>0</v>
          </cell>
          <cell r="AC331" t="b">
            <v>1</v>
          </cell>
          <cell r="AE331" t="str">
            <v>P</v>
          </cell>
          <cell r="AF331">
            <v>0</v>
          </cell>
          <cell r="AG331">
            <v>0</v>
          </cell>
          <cell r="AI331">
            <v>0</v>
          </cell>
        </row>
        <row r="332">
          <cell r="C332" t="str">
            <v>members_entitlements_accounts.HICKEA0</v>
          </cell>
          <cell r="D332">
            <v>300</v>
          </cell>
          <cell r="E332">
            <v>3</v>
          </cell>
          <cell r="F332" t="str">
            <v>Header_3</v>
          </cell>
          <cell r="G332" t="str">
            <v>AddD</v>
          </cell>
          <cell r="I332" t="str">
            <v>Dr Andrew Hickey</v>
          </cell>
          <cell r="J332">
            <v>0</v>
          </cell>
          <cell r="K332">
            <v>0</v>
          </cell>
          <cell r="L332">
            <v>0</v>
          </cell>
          <cell r="M332">
            <v>0</v>
          </cell>
          <cell r="O332">
            <v>0</v>
          </cell>
          <cell r="V332" t="str">
            <v>NA</v>
          </cell>
          <cell r="X332">
            <v>0</v>
          </cell>
          <cell r="Y332" t="b">
            <v>0</v>
          </cell>
          <cell r="Z332" t="b">
            <v>0</v>
          </cell>
          <cell r="AA332" t="b">
            <v>0</v>
          </cell>
          <cell r="AB332">
            <v>0</v>
          </cell>
          <cell r="AC332" t="b">
            <v>1</v>
          </cell>
          <cell r="AE332" t="str">
            <v>P</v>
          </cell>
          <cell r="AF332">
            <v>0</v>
          </cell>
          <cell r="AG332">
            <v>0</v>
          </cell>
          <cell r="AI332">
            <v>0</v>
          </cell>
        </row>
        <row r="333">
          <cell r="C333" t="str">
            <v>members_entitlements_accounts.HICKEA0.2a94b71c-6e95-4036-ad4c-abcdde0ecbce</v>
          </cell>
          <cell r="D333">
            <v>301</v>
          </cell>
          <cell r="E333">
            <v>4</v>
          </cell>
          <cell r="F333" t="str">
            <v>Line_4</v>
          </cell>
          <cell r="G333" t="str">
            <v>AddD</v>
          </cell>
          <cell r="I333" t="str">
            <v>Account Based Pension 3% tax free</v>
          </cell>
          <cell r="J333">
            <v>621045.21</v>
          </cell>
          <cell r="K333">
            <v>0</v>
          </cell>
          <cell r="L333">
            <v>621045.21</v>
          </cell>
          <cell r="M333">
            <v>0</v>
          </cell>
          <cell r="N333" t="str">
            <v>Add</v>
          </cell>
          <cell r="O333">
            <v>0</v>
          </cell>
          <cell r="V333" t="str">
            <v>NA</v>
          </cell>
          <cell r="X333">
            <v>0</v>
          </cell>
          <cell r="Y333" t="b">
            <v>0</v>
          </cell>
          <cell r="Z333" t="b">
            <v>0</v>
          </cell>
          <cell r="AA333" t="b">
            <v>0</v>
          </cell>
          <cell r="AB333">
            <v>0</v>
          </cell>
          <cell r="AC333" t="b">
            <v>1</v>
          </cell>
          <cell r="AE333" t="str">
            <v>P</v>
          </cell>
          <cell r="AF333">
            <v>0</v>
          </cell>
          <cell r="AG333">
            <v>0</v>
          </cell>
          <cell r="AI333">
            <v>0</v>
          </cell>
        </row>
        <row r="334">
          <cell r="C334" t="str">
            <v>members_entitlements_accounts.HICKEA0.fbf7df15-0869-46dc-aed8-306d1e38c235</v>
          </cell>
          <cell r="D334">
            <v>302</v>
          </cell>
          <cell r="E334">
            <v>4</v>
          </cell>
          <cell r="F334" t="str">
            <v>Line_4</v>
          </cell>
          <cell r="G334" t="str">
            <v>AddD</v>
          </cell>
          <cell r="I334" t="str">
            <v>Account Based Pension 89% tax free</v>
          </cell>
          <cell r="J334">
            <v>513075.38</v>
          </cell>
          <cell r="K334">
            <v>0</v>
          </cell>
          <cell r="L334">
            <v>513075.38</v>
          </cell>
          <cell r="M334">
            <v>0</v>
          </cell>
          <cell r="N334" t="str">
            <v>Add</v>
          </cell>
          <cell r="O334">
            <v>0</v>
          </cell>
          <cell r="V334" t="str">
            <v>NA</v>
          </cell>
          <cell r="X334">
            <v>0</v>
          </cell>
          <cell r="Y334" t="b">
            <v>0</v>
          </cell>
          <cell r="Z334" t="b">
            <v>0</v>
          </cell>
          <cell r="AA334" t="b">
            <v>0</v>
          </cell>
          <cell r="AB334">
            <v>0</v>
          </cell>
          <cell r="AC334" t="b">
            <v>1</v>
          </cell>
          <cell r="AE334" t="str">
            <v>P</v>
          </cell>
          <cell r="AF334">
            <v>0</v>
          </cell>
          <cell r="AG334">
            <v>0</v>
          </cell>
          <cell r="AI334">
            <v>0</v>
          </cell>
        </row>
        <row r="335">
          <cell r="C335" t="str">
            <v>members_entitlements_accounts.HICKEA0.4326ec00-7d85-4879-b886-bb776bd4c9e0</v>
          </cell>
          <cell r="D335">
            <v>303</v>
          </cell>
          <cell r="E335">
            <v>4</v>
          </cell>
          <cell r="F335" t="str">
            <v>Line_4</v>
          </cell>
          <cell r="G335" t="str">
            <v>AddD</v>
          </cell>
          <cell r="I335" t="str">
            <v>Account Based Pension 95% tax free</v>
          </cell>
          <cell r="J335">
            <v>465879.41</v>
          </cell>
          <cell r="K335">
            <v>0</v>
          </cell>
          <cell r="L335">
            <v>465879.41</v>
          </cell>
          <cell r="M335">
            <v>0</v>
          </cell>
          <cell r="N335" t="str">
            <v>Add</v>
          </cell>
          <cell r="O335">
            <v>0</v>
          </cell>
          <cell r="V335" t="str">
            <v>NA</v>
          </cell>
          <cell r="X335">
            <v>0</v>
          </cell>
          <cell r="Y335" t="b">
            <v>0</v>
          </cell>
          <cell r="Z335" t="b">
            <v>0</v>
          </cell>
          <cell r="AA335" t="b">
            <v>0</v>
          </cell>
          <cell r="AB335">
            <v>0</v>
          </cell>
          <cell r="AC335" t="b">
            <v>1</v>
          </cell>
          <cell r="AE335" t="str">
            <v>P</v>
          </cell>
          <cell r="AF335">
            <v>0</v>
          </cell>
          <cell r="AG335">
            <v>0</v>
          </cell>
          <cell r="AI335">
            <v>0</v>
          </cell>
        </row>
        <row r="336">
          <cell r="C336" t="str">
            <v>members_entitlements_accounts.HICKEA0.11e20dda-5496-4923-b2da-304862ccfdab</v>
          </cell>
          <cell r="D336">
            <v>304</v>
          </cell>
          <cell r="E336">
            <v>4</v>
          </cell>
          <cell r="F336" t="str">
            <v>Line_4</v>
          </cell>
          <cell r="G336" t="str">
            <v>AddD</v>
          </cell>
          <cell r="I336" t="str">
            <v>Accumulation</v>
          </cell>
          <cell r="J336">
            <v>1856041.45</v>
          </cell>
          <cell r="K336">
            <v>0</v>
          </cell>
          <cell r="L336">
            <v>1856041.45</v>
          </cell>
          <cell r="M336">
            <v>0</v>
          </cell>
          <cell r="N336" t="str">
            <v>Add</v>
          </cell>
          <cell r="O336">
            <v>0</v>
          </cell>
          <cell r="V336" t="str">
            <v>NA</v>
          </cell>
          <cell r="X336">
            <v>0</v>
          </cell>
          <cell r="Y336" t="b">
            <v>0</v>
          </cell>
          <cell r="Z336" t="b">
            <v>0</v>
          </cell>
          <cell r="AA336" t="b">
            <v>0</v>
          </cell>
          <cell r="AB336">
            <v>0</v>
          </cell>
          <cell r="AC336" t="b">
            <v>1</v>
          </cell>
          <cell r="AE336" t="str">
            <v>P</v>
          </cell>
          <cell r="AF336">
            <v>0</v>
          </cell>
          <cell r="AG336">
            <v>0</v>
          </cell>
          <cell r="AI336">
            <v>0</v>
          </cell>
        </row>
        <row r="337">
          <cell r="C337" t="str">
            <v>Totalmembers_entitlements_accounts.HICKEA0</v>
          </cell>
          <cell r="D337">
            <v>305</v>
          </cell>
          <cell r="E337">
            <v>3</v>
          </cell>
          <cell r="F337" t="str">
            <v>Total_3</v>
          </cell>
          <cell r="G337" t="str">
            <v>AddD</v>
          </cell>
          <cell r="I337" t="str">
            <v>Total Dr Andrew Hickey</v>
          </cell>
          <cell r="J337">
            <v>3456041.45</v>
          </cell>
          <cell r="K337">
            <v>0</v>
          </cell>
          <cell r="L337">
            <v>3456041.45</v>
          </cell>
          <cell r="M337">
            <v>0</v>
          </cell>
          <cell r="N337" t="str">
            <v>Add</v>
          </cell>
          <cell r="O337">
            <v>0</v>
          </cell>
          <cell r="V337" t="str">
            <v>NA</v>
          </cell>
          <cell r="X337">
            <v>0</v>
          </cell>
          <cell r="Y337" t="b">
            <v>0</v>
          </cell>
          <cell r="Z337" t="b">
            <v>0</v>
          </cell>
          <cell r="AA337" t="b">
            <v>0</v>
          </cell>
          <cell r="AB337">
            <v>0</v>
          </cell>
          <cell r="AC337" t="b">
            <v>1</v>
          </cell>
          <cell r="AE337" t="str">
            <v>P</v>
          </cell>
          <cell r="AF337">
            <v>0</v>
          </cell>
          <cell r="AG337">
            <v>0</v>
          </cell>
          <cell r="AI337">
            <v>0</v>
          </cell>
        </row>
        <row r="338">
          <cell r="C338" t="str">
            <v>members_entitlements_accounts.HICKEC0</v>
          </cell>
          <cell r="D338">
            <v>306</v>
          </cell>
          <cell r="E338">
            <v>3</v>
          </cell>
          <cell r="F338" t="str">
            <v>Header_3</v>
          </cell>
          <cell r="G338" t="str">
            <v>AddD</v>
          </cell>
          <cell r="I338" t="str">
            <v>Dr Camille Hickey</v>
          </cell>
          <cell r="J338">
            <v>0</v>
          </cell>
          <cell r="K338">
            <v>0</v>
          </cell>
          <cell r="L338">
            <v>0</v>
          </cell>
          <cell r="M338">
            <v>0</v>
          </cell>
          <cell r="O338">
            <v>0</v>
          </cell>
          <cell r="V338" t="str">
            <v>NA</v>
          </cell>
          <cell r="X338">
            <v>0</v>
          </cell>
          <cell r="Y338" t="b">
            <v>0</v>
          </cell>
          <cell r="Z338" t="b">
            <v>0</v>
          </cell>
          <cell r="AA338" t="b">
            <v>0</v>
          </cell>
          <cell r="AB338">
            <v>0</v>
          </cell>
          <cell r="AC338" t="b">
            <v>1</v>
          </cell>
          <cell r="AE338" t="str">
            <v>P</v>
          </cell>
          <cell r="AF338">
            <v>0</v>
          </cell>
          <cell r="AG338">
            <v>0</v>
          </cell>
          <cell r="AI338">
            <v>0</v>
          </cell>
        </row>
        <row r="339">
          <cell r="C339" t="str">
            <v>members_entitlements_accounts.HICKEC0.222fc773-3513-479b-bf62-f35fe4556112</v>
          </cell>
          <cell r="D339">
            <v>307</v>
          </cell>
          <cell r="E339">
            <v>4</v>
          </cell>
          <cell r="F339" t="str">
            <v>Line_4</v>
          </cell>
          <cell r="G339" t="str">
            <v>AddD</v>
          </cell>
          <cell r="I339" t="str">
            <v>Account Based Pension 100% tax free</v>
          </cell>
          <cell r="J339">
            <v>399248.22</v>
          </cell>
          <cell r="K339">
            <v>0</v>
          </cell>
          <cell r="L339">
            <v>399248.22</v>
          </cell>
          <cell r="M339">
            <v>0</v>
          </cell>
          <cell r="N339" t="str">
            <v>Add</v>
          </cell>
          <cell r="O339">
            <v>0</v>
          </cell>
          <cell r="V339" t="str">
            <v>NA</v>
          </cell>
          <cell r="X339">
            <v>0</v>
          </cell>
          <cell r="Y339" t="b">
            <v>0</v>
          </cell>
          <cell r="Z339" t="b">
            <v>0</v>
          </cell>
          <cell r="AA339" t="b">
            <v>0</v>
          </cell>
          <cell r="AB339">
            <v>0</v>
          </cell>
          <cell r="AC339" t="b">
            <v>1</v>
          </cell>
          <cell r="AE339" t="str">
            <v>P</v>
          </cell>
          <cell r="AF339">
            <v>0</v>
          </cell>
          <cell r="AG339">
            <v>0</v>
          </cell>
          <cell r="AI339">
            <v>0</v>
          </cell>
        </row>
        <row r="340">
          <cell r="C340" t="str">
            <v>members_entitlements_accounts.HICKEC0.c88ac5ce-b438-4bf3-96de-ce502ca7dc08</v>
          </cell>
          <cell r="D340">
            <v>308</v>
          </cell>
          <cell r="E340">
            <v>4</v>
          </cell>
          <cell r="F340" t="str">
            <v>Line_4</v>
          </cell>
          <cell r="G340" t="str">
            <v>AddD</v>
          </cell>
          <cell r="I340" t="str">
            <v>Account Based Pension 8% tax free</v>
          </cell>
          <cell r="J340">
            <v>418820.7</v>
          </cell>
          <cell r="K340">
            <v>0</v>
          </cell>
          <cell r="L340">
            <v>418820.7</v>
          </cell>
          <cell r="M340">
            <v>0</v>
          </cell>
          <cell r="N340" t="str">
            <v>Add</v>
          </cell>
          <cell r="O340">
            <v>0</v>
          </cell>
          <cell r="V340" t="str">
            <v>NA</v>
          </cell>
          <cell r="X340">
            <v>0</v>
          </cell>
          <cell r="Y340" t="b">
            <v>0</v>
          </cell>
          <cell r="Z340" t="b">
            <v>0</v>
          </cell>
          <cell r="AA340" t="b">
            <v>0</v>
          </cell>
          <cell r="AB340">
            <v>0</v>
          </cell>
          <cell r="AC340" t="b">
            <v>1</v>
          </cell>
          <cell r="AE340" t="str">
            <v>P</v>
          </cell>
          <cell r="AF340">
            <v>0</v>
          </cell>
          <cell r="AG340">
            <v>0</v>
          </cell>
          <cell r="AI340">
            <v>0</v>
          </cell>
        </row>
        <row r="341">
          <cell r="C341" t="str">
            <v>members_entitlements_accounts.HICKEC0.f17f7707-d89f-48cb-bb50-91f13fa40157</v>
          </cell>
          <cell r="D341">
            <v>309</v>
          </cell>
          <cell r="E341">
            <v>4</v>
          </cell>
          <cell r="F341" t="str">
            <v>Line_4</v>
          </cell>
          <cell r="G341" t="str">
            <v>AddD</v>
          </cell>
          <cell r="I341" t="str">
            <v>Account Based Pension 94% tax free</v>
          </cell>
          <cell r="J341">
            <v>146478.93</v>
          </cell>
          <cell r="K341">
            <v>0</v>
          </cell>
          <cell r="L341">
            <v>146478.93</v>
          </cell>
          <cell r="M341">
            <v>0</v>
          </cell>
          <cell r="N341" t="str">
            <v>Add</v>
          </cell>
          <cell r="O341">
            <v>0</v>
          </cell>
          <cell r="V341" t="str">
            <v>NA</v>
          </cell>
          <cell r="X341">
            <v>0</v>
          </cell>
          <cell r="Y341" t="b">
            <v>0</v>
          </cell>
          <cell r="Z341" t="b">
            <v>0</v>
          </cell>
          <cell r="AA341" t="b">
            <v>0</v>
          </cell>
          <cell r="AB341">
            <v>0</v>
          </cell>
          <cell r="AC341" t="b">
            <v>1</v>
          </cell>
          <cell r="AE341" t="str">
            <v>P</v>
          </cell>
          <cell r="AF341">
            <v>0</v>
          </cell>
          <cell r="AG341">
            <v>0</v>
          </cell>
          <cell r="AI341">
            <v>0</v>
          </cell>
        </row>
        <row r="342">
          <cell r="C342" t="str">
            <v>members_entitlements_accounts.HICKEC0.0a494c12-39e5-45a1-8b07-1dde1f534960</v>
          </cell>
          <cell r="D342">
            <v>310</v>
          </cell>
          <cell r="E342">
            <v>4</v>
          </cell>
          <cell r="F342" t="str">
            <v>Line_4</v>
          </cell>
          <cell r="G342" t="str">
            <v>AddD</v>
          </cell>
          <cell r="I342" t="str">
            <v>Account Based Pension 99% tax free</v>
          </cell>
          <cell r="J342">
            <v>635452.15</v>
          </cell>
          <cell r="K342">
            <v>0</v>
          </cell>
          <cell r="L342">
            <v>635452.15</v>
          </cell>
          <cell r="M342">
            <v>0</v>
          </cell>
          <cell r="N342" t="str">
            <v>Add</v>
          </cell>
          <cell r="O342">
            <v>0</v>
          </cell>
          <cell r="V342" t="str">
            <v>NA</v>
          </cell>
          <cell r="X342">
            <v>0</v>
          </cell>
          <cell r="Y342" t="b">
            <v>0</v>
          </cell>
          <cell r="Z342" t="b">
            <v>0</v>
          </cell>
          <cell r="AA342" t="b">
            <v>0</v>
          </cell>
          <cell r="AB342">
            <v>0</v>
          </cell>
          <cell r="AC342" t="b">
            <v>1</v>
          </cell>
          <cell r="AE342" t="str">
            <v>P</v>
          </cell>
          <cell r="AF342">
            <v>0</v>
          </cell>
          <cell r="AG342">
            <v>0</v>
          </cell>
          <cell r="AI342">
            <v>0</v>
          </cell>
        </row>
        <row r="343">
          <cell r="C343" t="str">
            <v>members_entitlements_accounts.HICKEC0.07be3b3b-4df8-44a2-a0c3-821bc1fca38e</v>
          </cell>
          <cell r="D343">
            <v>311</v>
          </cell>
          <cell r="E343">
            <v>4</v>
          </cell>
          <cell r="F343" t="str">
            <v>Line_4</v>
          </cell>
          <cell r="G343" t="str">
            <v>AddD</v>
          </cell>
          <cell r="I343" t="str">
            <v>Accumulation</v>
          </cell>
          <cell r="J343">
            <v>3606048.45</v>
          </cell>
          <cell r="K343">
            <v>0</v>
          </cell>
          <cell r="L343">
            <v>3606048.45</v>
          </cell>
          <cell r="M343">
            <v>0</v>
          </cell>
          <cell r="N343" t="str">
            <v>Add</v>
          </cell>
          <cell r="O343">
            <v>0</v>
          </cell>
          <cell r="V343" t="str">
            <v>NA</v>
          </cell>
          <cell r="X343">
            <v>0</v>
          </cell>
          <cell r="Y343" t="b">
            <v>0</v>
          </cell>
          <cell r="Z343" t="b">
            <v>0</v>
          </cell>
          <cell r="AA343" t="b">
            <v>0</v>
          </cell>
          <cell r="AB343">
            <v>0</v>
          </cell>
          <cell r="AC343" t="b">
            <v>1</v>
          </cell>
          <cell r="AE343" t="str">
            <v>P</v>
          </cell>
          <cell r="AF343">
            <v>0</v>
          </cell>
          <cell r="AG343">
            <v>0</v>
          </cell>
          <cell r="AI343">
            <v>0</v>
          </cell>
        </row>
        <row r="344">
          <cell r="C344" t="str">
            <v>Totalmembers_entitlements_accounts.HICKEC0</v>
          </cell>
          <cell r="D344">
            <v>312</v>
          </cell>
          <cell r="E344">
            <v>3</v>
          </cell>
          <cell r="F344" t="str">
            <v>Total_3</v>
          </cell>
          <cell r="G344" t="str">
            <v>AddD</v>
          </cell>
          <cell r="I344" t="str">
            <v>Total Dr Camille Hickey</v>
          </cell>
          <cell r="J344">
            <v>5206048.45</v>
          </cell>
          <cell r="K344">
            <v>0</v>
          </cell>
          <cell r="L344">
            <v>5206048.45</v>
          </cell>
          <cell r="M344">
            <v>0</v>
          </cell>
          <cell r="N344" t="str">
            <v>Add</v>
          </cell>
          <cell r="O344">
            <v>0</v>
          </cell>
          <cell r="V344" t="str">
            <v>NA</v>
          </cell>
          <cell r="X344">
            <v>0</v>
          </cell>
          <cell r="Y344" t="b">
            <v>0</v>
          </cell>
          <cell r="Z344" t="b">
            <v>0</v>
          </cell>
          <cell r="AA344" t="b">
            <v>0</v>
          </cell>
          <cell r="AB344">
            <v>0</v>
          </cell>
          <cell r="AC344" t="b">
            <v>1</v>
          </cell>
          <cell r="AE344" t="str">
            <v>P</v>
          </cell>
          <cell r="AF344">
            <v>0</v>
          </cell>
          <cell r="AG344">
            <v>0</v>
          </cell>
          <cell r="AI344">
            <v>0</v>
          </cell>
        </row>
        <row r="345">
          <cell r="C345" t="str">
            <v>Totalmembers_entitlements_accounts</v>
          </cell>
          <cell r="D345">
            <v>313</v>
          </cell>
          <cell r="E345">
            <v>2</v>
          </cell>
          <cell r="F345" t="str">
            <v>Total_2</v>
          </cell>
          <cell r="G345" t="str">
            <v>AddD</v>
          </cell>
          <cell r="I345" t="str">
            <v>Total Member Entitlement Accounts</v>
          </cell>
          <cell r="J345">
            <v>8662089.9000000004</v>
          </cell>
          <cell r="K345">
            <v>0</v>
          </cell>
          <cell r="L345">
            <v>8662089.9000000004</v>
          </cell>
          <cell r="M345">
            <v>0</v>
          </cell>
          <cell r="N345" t="str">
            <v>Add</v>
          </cell>
          <cell r="O345">
            <v>0</v>
          </cell>
          <cell r="V345" t="str">
            <v>NA</v>
          </cell>
          <cell r="X345">
            <v>0</v>
          </cell>
          <cell r="Y345" t="b">
            <v>0</v>
          </cell>
          <cell r="Z345" t="b">
            <v>0</v>
          </cell>
          <cell r="AA345" t="b">
            <v>0</v>
          </cell>
          <cell r="AB345">
            <v>0</v>
          </cell>
          <cell r="AC345" t="b">
            <v>1</v>
          </cell>
          <cell r="AE345" t="str">
            <v>P</v>
          </cell>
          <cell r="AF345">
            <v>0</v>
          </cell>
          <cell r="AG345">
            <v>0</v>
          </cell>
          <cell r="AI345">
            <v>0</v>
          </cell>
        </row>
        <row r="346">
          <cell r="C346" t="str">
            <v>TotalMember Entitlements</v>
          </cell>
          <cell r="D346">
            <v>314</v>
          </cell>
          <cell r="E346">
            <v>1</v>
          </cell>
          <cell r="F346" t="str">
            <v>Total_1</v>
          </cell>
          <cell r="G346" t="str">
            <v>AddD</v>
          </cell>
          <cell r="I346" t="str">
            <v>Total Member Entitlements</v>
          </cell>
          <cell r="J346">
            <v>8662089.9000000004</v>
          </cell>
          <cell r="K346">
            <v>0</v>
          </cell>
          <cell r="L346">
            <v>8662089.9000000004</v>
          </cell>
          <cell r="M346">
            <v>0</v>
          </cell>
          <cell r="N346" t="str">
            <v>Add</v>
          </cell>
          <cell r="O346">
            <v>0</v>
          </cell>
          <cell r="V346" t="str">
            <v>NA</v>
          </cell>
          <cell r="X346">
            <v>0</v>
          </cell>
          <cell r="Y346" t="b">
            <v>0</v>
          </cell>
          <cell r="Z346" t="b">
            <v>0</v>
          </cell>
          <cell r="AA346" t="b">
            <v>0</v>
          </cell>
          <cell r="AB346">
            <v>0</v>
          </cell>
          <cell r="AC346" t="b">
            <v>1</v>
          </cell>
          <cell r="AE346" t="str">
            <v>P</v>
          </cell>
          <cell r="AF346">
            <v>0</v>
          </cell>
          <cell r="AG346">
            <v>0</v>
          </cell>
          <cell r="AI346">
            <v>0</v>
          </cell>
        </row>
      </sheetData>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2">
          <cell r="A2" t="str">
            <v>Not Started</v>
          </cell>
          <cell r="B2">
            <v>0</v>
          </cell>
        </row>
        <row r="3">
          <cell r="A3" t="str">
            <v>Started</v>
          </cell>
          <cell r="B3">
            <v>1</v>
          </cell>
        </row>
        <row r="4">
          <cell r="A4" t="str">
            <v>Client Query</v>
          </cell>
          <cell r="B4">
            <v>2</v>
          </cell>
        </row>
        <row r="5">
          <cell r="A5" t="str">
            <v>Ready for Review</v>
          </cell>
          <cell r="B5">
            <v>3</v>
          </cell>
        </row>
        <row r="6">
          <cell r="A6" t="str">
            <v>Rework Required</v>
          </cell>
          <cell r="B6">
            <v>4</v>
          </cell>
        </row>
        <row r="7">
          <cell r="A7" t="str">
            <v>Rework Complete</v>
          </cell>
          <cell r="B7">
            <v>5</v>
          </cell>
        </row>
        <row r="8">
          <cell r="A8" t="str">
            <v>Review</v>
          </cell>
          <cell r="B8">
            <v>6</v>
          </cell>
        </row>
        <row r="9">
          <cell r="A9" t="str">
            <v>Final Review</v>
          </cell>
          <cell r="B9">
            <v>7</v>
          </cell>
        </row>
        <row r="10">
          <cell r="A10" t="str">
            <v>Complete</v>
          </cell>
          <cell r="B10">
            <v>8</v>
          </cell>
        </row>
      </sheetData>
      <sheetData sheetId="2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rief"/>
      <sheetName val="DeBrief"/>
    </sheetNames>
    <sheetDataSet>
      <sheetData sheetId="0" refreshError="1">
        <row r="14">
          <cell r="C14"/>
        </row>
        <row r="15">
          <cell r="C15"/>
        </row>
        <row r="16">
          <cell r="C16"/>
        </row>
        <row r="17">
          <cell r="C17"/>
        </row>
        <row r="18">
          <cell r="C18"/>
        </row>
        <row r="19">
          <cell r="C19"/>
        </row>
      </sheetData>
      <sheetData sheetId="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ssignment To do"/>
      <sheetName val="Agenda &amp; Partner Points"/>
      <sheetName val="Pension Advice Schedule"/>
      <sheetName val="GST  &amp; BAS Rec"/>
      <sheetName val="Tax Payment Sch"/>
      <sheetName val="Review Points"/>
      <sheetName val="Client Queries"/>
      <sheetName val="Invoice Wording"/>
      <sheetName val="Statement of Financial Position"/>
      <sheetName val="Detailed Operating Statement"/>
      <sheetName val="Prov for Income Tax"/>
      <sheetName val="Investments"/>
      <sheetName val="Investment Summary"/>
      <sheetName val="Interest Receivable"/>
      <sheetName val="Sheet2"/>
      <sheetName val="Property CB &amp; MV"/>
      <sheetName val="Unlisted Unit Trust"/>
      <sheetName val="Loans"/>
      <sheetName val="Debtors &amp; Creditors"/>
      <sheetName val="GST Rec"/>
      <sheetName val="Interest"/>
      <sheetName val="Dividends"/>
      <sheetName val="Distributions"/>
      <sheetName val="Rental Inc &amp; Exp"/>
      <sheetName val="Contributions"/>
      <sheetName val="CGT Property"/>
      <sheetName val="Expenses"/>
      <sheetName val="Benefits Paid - M1"/>
      <sheetName val="Benefits Paid - M2"/>
      <sheetName val="Benefits Paid"/>
      <sheetName val="What to Include"/>
      <sheetName val="ABR associates details"/>
    </sheetNames>
    <sheetDataSet>
      <sheetData sheetId="0">
        <row r="5">
          <cell r="B5" t="str">
            <v>SMSF</v>
          </cell>
        </row>
        <row r="9">
          <cell r="I9"/>
        </row>
        <row r="10">
          <cell r="I10"/>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10.bin"/><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11.bin"/><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customProperty" Target="../customProperty12.bin"/></Relationships>
</file>

<file path=xl/worksheets/_rels/sheet13.xml.rels><?xml version="1.0" encoding="UTF-8" standalone="yes"?>
<Relationships xmlns="http://schemas.openxmlformats.org/package/2006/relationships"><Relationship Id="rId8" Type="http://schemas.openxmlformats.org/officeDocument/2006/relationships/hyperlink" Target="hownow://_r919024/" TargetMode="External"/><Relationship Id="rId3" Type="http://schemas.openxmlformats.org/officeDocument/2006/relationships/hyperlink" Target="hownow://_r907522/" TargetMode="External"/><Relationship Id="rId7" Type="http://schemas.openxmlformats.org/officeDocument/2006/relationships/hyperlink" Target="hownow://_r919025/" TargetMode="External"/><Relationship Id="rId2" Type="http://schemas.openxmlformats.org/officeDocument/2006/relationships/hyperlink" Target="hownow://_r907522/" TargetMode="External"/><Relationship Id="rId1" Type="http://schemas.openxmlformats.org/officeDocument/2006/relationships/hyperlink" Target="hownow://_r907522/" TargetMode="External"/><Relationship Id="rId6" Type="http://schemas.openxmlformats.org/officeDocument/2006/relationships/hyperlink" Target="hownow://_r919024/" TargetMode="External"/><Relationship Id="rId11" Type="http://schemas.openxmlformats.org/officeDocument/2006/relationships/drawing" Target="../drawings/drawing8.xml"/><Relationship Id="rId5" Type="http://schemas.openxmlformats.org/officeDocument/2006/relationships/hyperlink" Target="hownow://_r919024/" TargetMode="External"/><Relationship Id="rId10" Type="http://schemas.openxmlformats.org/officeDocument/2006/relationships/customProperty" Target="../customProperty13.bin"/><Relationship Id="rId4" Type="http://schemas.openxmlformats.org/officeDocument/2006/relationships/hyperlink" Target="hownow://_r919025/" TargetMode="External"/><Relationship Id="rId9"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3" Type="http://schemas.openxmlformats.org/officeDocument/2006/relationships/customProperty" Target="../customProperty14.bin"/><Relationship Id="rId2" Type="http://schemas.openxmlformats.org/officeDocument/2006/relationships/printerSettings" Target="../printerSettings/printerSettings9.bin"/><Relationship Id="rId1" Type="http://schemas.openxmlformats.org/officeDocument/2006/relationships/hyperlink" Target="hownow://_r816320/" TargetMode="External"/><Relationship Id="rId4" Type="http://schemas.openxmlformats.org/officeDocument/2006/relationships/drawing" Target="../drawings/drawing9.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6.xml.rels><?xml version="1.0" encoding="UTF-8" standalone="yes"?>
<Relationships xmlns="http://schemas.openxmlformats.org/package/2006/relationships"><Relationship Id="rId3" Type="http://schemas.openxmlformats.org/officeDocument/2006/relationships/hyperlink" Target="hownow://_r919072/" TargetMode="External"/><Relationship Id="rId7" Type="http://schemas.openxmlformats.org/officeDocument/2006/relationships/drawing" Target="../drawings/drawing10.xml"/><Relationship Id="rId2" Type="http://schemas.openxmlformats.org/officeDocument/2006/relationships/hyperlink" Target="hownow://_r919025/" TargetMode="External"/><Relationship Id="rId1" Type="http://schemas.openxmlformats.org/officeDocument/2006/relationships/hyperlink" Target="hownow://_r919024/" TargetMode="External"/><Relationship Id="rId6" Type="http://schemas.openxmlformats.org/officeDocument/2006/relationships/customProperty" Target="../customProperty15.bin"/><Relationship Id="rId5" Type="http://schemas.openxmlformats.org/officeDocument/2006/relationships/printerSettings" Target="../printerSettings/printerSettings11.bin"/><Relationship Id="rId4" Type="http://schemas.openxmlformats.org/officeDocument/2006/relationships/hyperlink" Target="hownow://_r989608/" TargetMode="External"/></Relationships>
</file>

<file path=xl/worksheets/_rels/sheet17.xml.rels><?xml version="1.0" encoding="UTF-8" standalone="yes"?>
<Relationships xmlns="http://schemas.openxmlformats.org/package/2006/relationships"><Relationship Id="rId3" Type="http://schemas.openxmlformats.org/officeDocument/2006/relationships/customProperty" Target="../customProperty16.bin"/><Relationship Id="rId2" Type="http://schemas.openxmlformats.org/officeDocument/2006/relationships/printerSettings" Target="../printerSettings/printerSettings12.bin"/><Relationship Id="rId1" Type="http://schemas.openxmlformats.org/officeDocument/2006/relationships/hyperlink" Target="hownow://_r925588/" TargetMode="External"/><Relationship Id="rId4" Type="http://schemas.openxmlformats.org/officeDocument/2006/relationships/drawing" Target="../drawings/drawing11.xml"/></Relationships>
</file>

<file path=xl/worksheets/_rels/sheet18.xml.rels><?xml version="1.0" encoding="UTF-8" standalone="yes"?>
<Relationships xmlns="http://schemas.openxmlformats.org/package/2006/relationships"><Relationship Id="rId3" Type="http://schemas.openxmlformats.org/officeDocument/2006/relationships/customProperty" Target="../customProperty17.bin"/><Relationship Id="rId2" Type="http://schemas.openxmlformats.org/officeDocument/2006/relationships/printerSettings" Target="../printerSettings/printerSettings13.bin"/><Relationship Id="rId1" Type="http://schemas.openxmlformats.org/officeDocument/2006/relationships/hyperlink" Target="hownow://_r907522/" TargetMode="External"/><Relationship Id="rId4" Type="http://schemas.openxmlformats.org/officeDocument/2006/relationships/drawing" Target="../drawings/drawing12.xml"/></Relationships>
</file>

<file path=xl/worksheets/_rels/sheet19.xml.rels><?xml version="1.0" encoding="UTF-8" standalone="yes"?>
<Relationships xmlns="http://schemas.openxmlformats.org/package/2006/relationships"><Relationship Id="rId3" Type="http://schemas.openxmlformats.org/officeDocument/2006/relationships/customProperty" Target="../customProperty18.bin"/><Relationship Id="rId2" Type="http://schemas.openxmlformats.org/officeDocument/2006/relationships/printerSettings" Target="../printerSettings/printerSettings14.bin"/><Relationship Id="rId1" Type="http://schemas.openxmlformats.org/officeDocument/2006/relationships/hyperlink" Target="hownow://_r847020/" TargetMode="External"/><Relationship Id="rId4"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1" Type="http://schemas.openxmlformats.org/officeDocument/2006/relationships/customProperty" Target="../customProperty2.bin"/></Relationships>
</file>

<file path=xl/worksheets/_rels/sheet20.xml.rels><?xml version="1.0" encoding="UTF-8" standalone="yes"?>
<Relationships xmlns="http://schemas.openxmlformats.org/package/2006/relationships"><Relationship Id="rId3" Type="http://schemas.openxmlformats.org/officeDocument/2006/relationships/printerSettings" Target="../printerSettings/printerSettings15.bin"/><Relationship Id="rId2" Type="http://schemas.openxmlformats.org/officeDocument/2006/relationships/hyperlink" Target="hownow://_r816325/" TargetMode="External"/><Relationship Id="rId1" Type="http://schemas.openxmlformats.org/officeDocument/2006/relationships/hyperlink" Target="hownow://_r816320/" TargetMode="External"/><Relationship Id="rId5" Type="http://schemas.openxmlformats.org/officeDocument/2006/relationships/drawing" Target="../drawings/drawing14.xml"/><Relationship Id="rId4" Type="http://schemas.openxmlformats.org/officeDocument/2006/relationships/customProperty" Target="../customProperty19.bin"/></Relationships>
</file>

<file path=xl/worksheets/_rels/sheet21.xml.rels><?xml version="1.0" encoding="UTF-8" standalone="yes"?>
<Relationships xmlns="http://schemas.openxmlformats.org/package/2006/relationships"><Relationship Id="rId8" Type="http://schemas.openxmlformats.org/officeDocument/2006/relationships/hyperlink" Target="hownow://_r907521/" TargetMode="External"/><Relationship Id="rId13" Type="http://schemas.openxmlformats.org/officeDocument/2006/relationships/hyperlink" Target="hownow://_r764224/" TargetMode="External"/><Relationship Id="rId3" Type="http://schemas.openxmlformats.org/officeDocument/2006/relationships/hyperlink" Target="hownow://_r907511/" TargetMode="External"/><Relationship Id="rId7" Type="http://schemas.openxmlformats.org/officeDocument/2006/relationships/hyperlink" Target="hownow://_r907520/" TargetMode="External"/><Relationship Id="rId12" Type="http://schemas.openxmlformats.org/officeDocument/2006/relationships/hyperlink" Target="hownow://_r920371/" TargetMode="External"/><Relationship Id="rId2" Type="http://schemas.openxmlformats.org/officeDocument/2006/relationships/hyperlink" Target="hownow://_r907510/" TargetMode="External"/><Relationship Id="rId1" Type="http://schemas.openxmlformats.org/officeDocument/2006/relationships/hyperlink" Target="hownow://_r907510/" TargetMode="External"/><Relationship Id="rId6" Type="http://schemas.openxmlformats.org/officeDocument/2006/relationships/hyperlink" Target="hownow://_r907507/" TargetMode="External"/><Relationship Id="rId11" Type="http://schemas.openxmlformats.org/officeDocument/2006/relationships/hyperlink" Target="hownow://_r919080/" TargetMode="External"/><Relationship Id="rId5" Type="http://schemas.openxmlformats.org/officeDocument/2006/relationships/hyperlink" Target="hownow://_r907508/" TargetMode="External"/><Relationship Id="rId15" Type="http://schemas.openxmlformats.org/officeDocument/2006/relationships/customProperty" Target="../customProperty20.bin"/><Relationship Id="rId10" Type="http://schemas.openxmlformats.org/officeDocument/2006/relationships/hyperlink" Target="hownow://_r919080/" TargetMode="External"/><Relationship Id="rId4" Type="http://schemas.openxmlformats.org/officeDocument/2006/relationships/hyperlink" Target="hownow://_r907508/" TargetMode="External"/><Relationship Id="rId9" Type="http://schemas.openxmlformats.org/officeDocument/2006/relationships/hyperlink" Target="hownow://_r764224/" TargetMode="External"/><Relationship Id="rId14" Type="http://schemas.openxmlformats.org/officeDocument/2006/relationships/printerSettings" Target="../printerSettings/printerSettings16.bin"/></Relationships>
</file>

<file path=xl/worksheets/_rels/sheet22.xml.rels><?xml version="1.0" encoding="UTF-8" standalone="yes"?>
<Relationships xmlns="http://schemas.openxmlformats.org/package/2006/relationships"><Relationship Id="rId3" Type="http://schemas.openxmlformats.org/officeDocument/2006/relationships/hyperlink" Target="hownow://_r907537/" TargetMode="External"/><Relationship Id="rId2" Type="http://schemas.openxmlformats.org/officeDocument/2006/relationships/hyperlink" Target="hownow://_r907531/" TargetMode="External"/><Relationship Id="rId1" Type="http://schemas.openxmlformats.org/officeDocument/2006/relationships/hyperlink" Target="hownow://_r907531/" TargetMode="External"/><Relationship Id="rId5" Type="http://schemas.openxmlformats.org/officeDocument/2006/relationships/customProperty" Target="../customProperty21.bin"/><Relationship Id="rId4" Type="http://schemas.openxmlformats.org/officeDocument/2006/relationships/printerSettings" Target="../printerSettings/printerSettings17.bin"/></Relationships>
</file>

<file path=xl/worksheets/_rels/sheet23.xml.rels><?xml version="1.0" encoding="UTF-8" standalone="yes"?>
<Relationships xmlns="http://schemas.openxmlformats.org/package/2006/relationships"><Relationship Id="rId3" Type="http://schemas.openxmlformats.org/officeDocument/2006/relationships/customProperty" Target="../customProperty22.bin"/><Relationship Id="rId2" Type="http://schemas.openxmlformats.org/officeDocument/2006/relationships/printerSettings" Target="../printerSettings/printerSettings18.bin"/><Relationship Id="rId1" Type="http://schemas.openxmlformats.org/officeDocument/2006/relationships/hyperlink" Target="hownow://_r919072/" TargetMode="External"/></Relationships>
</file>

<file path=xl/worksheets/_rels/sheet24.xml.rels><?xml version="1.0" encoding="UTF-8" standalone="yes"?>
<Relationships xmlns="http://schemas.openxmlformats.org/package/2006/relationships"><Relationship Id="rId2" Type="http://schemas.openxmlformats.org/officeDocument/2006/relationships/customProperty" Target="../customProperty23.bin"/><Relationship Id="rId1" Type="http://schemas.openxmlformats.org/officeDocument/2006/relationships/printerSettings" Target="../printerSettings/printerSettings19.bin"/></Relationships>
</file>

<file path=xl/worksheets/_rels/sheet25.xml.rels><?xml version="1.0" encoding="UTF-8" standalone="yes"?>
<Relationships xmlns="http://schemas.openxmlformats.org/package/2006/relationships"><Relationship Id="rId3" Type="http://schemas.openxmlformats.org/officeDocument/2006/relationships/drawing" Target="../drawings/drawing15.xml"/><Relationship Id="rId2" Type="http://schemas.openxmlformats.org/officeDocument/2006/relationships/customProperty" Target="../customProperty24.bin"/><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customProperty" Target="../customProperty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8" Type="http://schemas.openxmlformats.org/officeDocument/2006/relationships/hyperlink" Target="hownow://_r925612/" TargetMode="External"/><Relationship Id="rId13" Type="http://schemas.openxmlformats.org/officeDocument/2006/relationships/hyperlink" Target="hownow://_r989614/" TargetMode="External"/><Relationship Id="rId18" Type="http://schemas.openxmlformats.org/officeDocument/2006/relationships/printerSettings" Target="../printerSettings/printerSettings3.bin"/><Relationship Id="rId3" Type="http://schemas.openxmlformats.org/officeDocument/2006/relationships/hyperlink" Target="hownow://_r776306/" TargetMode="External"/><Relationship Id="rId21" Type="http://schemas.openxmlformats.org/officeDocument/2006/relationships/vmlDrawing" Target="../drawings/vmlDrawing1.vml"/><Relationship Id="rId7" Type="http://schemas.openxmlformats.org/officeDocument/2006/relationships/hyperlink" Target="hownow://_r925604/" TargetMode="External"/><Relationship Id="rId12" Type="http://schemas.openxmlformats.org/officeDocument/2006/relationships/hyperlink" Target="hownow://_r989615/" TargetMode="External"/><Relationship Id="rId17" Type="http://schemas.openxmlformats.org/officeDocument/2006/relationships/hyperlink" Target="hownow://_r990633/" TargetMode="External"/><Relationship Id="rId2" Type="http://schemas.openxmlformats.org/officeDocument/2006/relationships/hyperlink" Target="https://app.practiceignition.com/proposals/406079" TargetMode="External"/><Relationship Id="rId16" Type="http://schemas.openxmlformats.org/officeDocument/2006/relationships/hyperlink" Target="hownow://_r990660/" TargetMode="External"/><Relationship Id="rId20" Type="http://schemas.openxmlformats.org/officeDocument/2006/relationships/drawing" Target="../drawings/drawing1.xml"/><Relationship Id="rId1" Type="http://schemas.openxmlformats.org/officeDocument/2006/relationships/hyperlink" Target="http://asic.gov.au/" TargetMode="External"/><Relationship Id="rId6" Type="http://schemas.openxmlformats.org/officeDocument/2006/relationships/hyperlink" Target="hownow://_r925602/" TargetMode="External"/><Relationship Id="rId11" Type="http://schemas.openxmlformats.org/officeDocument/2006/relationships/hyperlink" Target="hownow://_r989612/" TargetMode="External"/><Relationship Id="rId5" Type="http://schemas.openxmlformats.org/officeDocument/2006/relationships/hyperlink" Target="hownow://_r920394/" TargetMode="External"/><Relationship Id="rId15" Type="http://schemas.openxmlformats.org/officeDocument/2006/relationships/hyperlink" Target="hownow://_r989934/" TargetMode="External"/><Relationship Id="rId10" Type="http://schemas.openxmlformats.org/officeDocument/2006/relationships/hyperlink" Target="hownow://_r989611/" TargetMode="External"/><Relationship Id="rId19" Type="http://schemas.openxmlformats.org/officeDocument/2006/relationships/customProperty" Target="../customProperty5.bin"/><Relationship Id="rId4" Type="http://schemas.openxmlformats.org/officeDocument/2006/relationships/hyperlink" Target="hownow://_r919242/" TargetMode="External"/><Relationship Id="rId9" Type="http://schemas.openxmlformats.org/officeDocument/2006/relationships/hyperlink" Target="hownow://_r919242/" TargetMode="External"/><Relationship Id="rId14" Type="http://schemas.openxmlformats.org/officeDocument/2006/relationships/hyperlink" Target="hownow://_r989933/" TargetMode="External"/><Relationship Id="rId22" Type="http://schemas.openxmlformats.org/officeDocument/2006/relationships/comments" Target="../comments1.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customProperty" Target="../customProperty6.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customProperty" Target="../customProperty7.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8.xml.rels><?xml version="1.0" encoding="UTF-8" standalone="yes"?>
<Relationships xmlns="http://schemas.openxmlformats.org/package/2006/relationships"><Relationship Id="rId8" Type="http://schemas.openxmlformats.org/officeDocument/2006/relationships/customProperty" Target="../customProperty8.bin"/><Relationship Id="rId3" Type="http://schemas.openxmlformats.org/officeDocument/2006/relationships/hyperlink" Target="https://www.morgans.com.au/" TargetMode="External"/><Relationship Id="rId7" Type="http://schemas.openxmlformats.org/officeDocument/2006/relationships/printerSettings" Target="../printerSettings/printerSettings4.bin"/><Relationship Id="rId2" Type="http://schemas.openxmlformats.org/officeDocument/2006/relationships/hyperlink" Target="http://www.politis.com.au/" TargetMode="External"/><Relationship Id="rId1" Type="http://schemas.openxmlformats.org/officeDocument/2006/relationships/hyperlink" Target="http://www.fitz.com.au/" TargetMode="External"/><Relationship Id="rId6" Type="http://schemas.openxmlformats.org/officeDocument/2006/relationships/hyperlink" Target="http://www.capitalclaims.com.au/" TargetMode="External"/><Relationship Id="rId5" Type="http://schemas.openxmlformats.org/officeDocument/2006/relationships/hyperlink" Target="http://www.pivotalfp.com/" TargetMode="External"/><Relationship Id="rId4" Type="http://schemas.openxmlformats.org/officeDocument/2006/relationships/hyperlink" Target="http://www.hunterfinancial.com.au/" TargetMode="External"/><Relationship Id="rId9" Type="http://schemas.openxmlformats.org/officeDocument/2006/relationships/drawing" Target="../drawings/drawing4.x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9.bin"/><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B9"/>
  <sheetViews>
    <sheetView workbookViewId="0">
      <selection activeCell="A9" sqref="A9"/>
    </sheetView>
  </sheetViews>
  <sheetFormatPr defaultRowHeight="15"/>
  <cols>
    <col min="1" max="1" width="21" customWidth="1"/>
    <col min="2" max="2" width="15.85546875" customWidth="1"/>
  </cols>
  <sheetData>
    <row r="1" spans="1:2" s="21" customFormat="1">
      <c r="A1" s="38" t="s">
        <v>44</v>
      </c>
    </row>
    <row r="2" spans="1:2" s="21" customFormat="1">
      <c r="A2" s="38" t="s">
        <v>55</v>
      </c>
      <c r="B2" s="38" t="s">
        <v>54</v>
      </c>
    </row>
    <row r="3" spans="1:2">
      <c r="A3" t="s">
        <v>43</v>
      </c>
    </row>
    <row r="4" spans="1:2">
      <c r="A4" t="s">
        <v>47</v>
      </c>
    </row>
    <row r="5" spans="1:2">
      <c r="A5" t="s">
        <v>48</v>
      </c>
    </row>
    <row r="6" spans="1:2">
      <c r="A6" t="s">
        <v>50</v>
      </c>
    </row>
    <row r="7" spans="1:2">
      <c r="A7" t="s">
        <v>51</v>
      </c>
    </row>
    <row r="8" spans="1:2">
      <c r="A8" t="s">
        <v>53</v>
      </c>
      <c r="B8" t="b">
        <v>1</v>
      </c>
    </row>
    <row r="9" spans="1:2">
      <c r="A9" t="s">
        <v>80</v>
      </c>
      <c r="B9" t="b">
        <v>0</v>
      </c>
    </row>
  </sheetData>
  <pageMargins left="0.7" right="0.7" top="0.75" bottom="0.75" header="0.3" footer="0.3"/>
  <pageSetup paperSize="9" orientation="portrait" r:id="rId1"/>
  <customProperties>
    <customPr name="SheetId" r:id="rId2"/>
  </customPropertie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P56"/>
  <sheetViews>
    <sheetView workbookViewId="0">
      <selection activeCell="I38" sqref="I38"/>
    </sheetView>
  </sheetViews>
  <sheetFormatPr defaultColWidth="9.140625" defaultRowHeight="12.75"/>
  <cols>
    <col min="1" max="1" width="1" style="295" customWidth="1"/>
    <col min="2" max="2" width="16" style="295" customWidth="1"/>
    <col min="3" max="3" width="23.28515625" style="295" customWidth="1"/>
    <col min="4" max="4" width="32.28515625" style="296" customWidth="1"/>
    <col min="5" max="5" width="22.5703125" style="295" customWidth="1"/>
    <col min="6" max="6" width="1" style="295" customWidth="1"/>
    <col min="7" max="10" width="11" style="295" customWidth="1"/>
    <col min="11" max="11" width="11" style="594" hidden="1" customWidth="1"/>
    <col min="12" max="12" width="11" style="295" customWidth="1"/>
    <col min="13" max="13" width="15.140625" style="297" bestFit="1" customWidth="1"/>
    <col min="14" max="16384" width="9.140625" style="295"/>
  </cols>
  <sheetData>
    <row r="2" spans="2:13">
      <c r="M2" s="295"/>
    </row>
    <row r="3" spans="2:13" ht="15" customHeight="1">
      <c r="B3" s="294"/>
      <c r="K3" s="595">
        <v>2018</v>
      </c>
      <c r="M3" s="295"/>
    </row>
    <row r="4" spans="2:13" ht="15" customHeight="1">
      <c r="K4" s="595" t="s">
        <v>403</v>
      </c>
      <c r="M4" s="295"/>
    </row>
    <row r="5" spans="2:13" s="298" customFormat="1" ht="23.25">
      <c r="B5" s="1000" t="str">
        <f>'Assignment To do'!B3</f>
        <v>The Schubert Superannuation Fund</v>
      </c>
      <c r="C5" s="1000"/>
      <c r="D5" s="1000"/>
      <c r="E5" s="1000"/>
      <c r="G5" s="299"/>
      <c r="H5" s="300"/>
      <c r="I5" s="300"/>
      <c r="J5" s="301"/>
      <c r="K5" s="313"/>
      <c r="L5" s="302"/>
    </row>
    <row r="6" spans="2:13" s="298" customFormat="1" ht="18">
      <c r="B6" s="990" t="str">
        <f>CONCATENATE(K3," Tax Summary")</f>
        <v>2018 Tax Summary</v>
      </c>
      <c r="C6" s="990"/>
      <c r="D6" s="990"/>
      <c r="E6" s="990"/>
      <c r="G6" s="299"/>
      <c r="H6" s="300"/>
      <c r="I6" s="300"/>
      <c r="K6" s="313"/>
      <c r="L6" s="304"/>
    </row>
    <row r="7" spans="2:13" s="298" customFormat="1" ht="13.5" thickBot="1">
      <c r="B7" s="305"/>
      <c r="C7" s="305"/>
      <c r="D7" s="306"/>
      <c r="E7" s="306"/>
      <c r="G7" s="299"/>
      <c r="H7" s="300"/>
      <c r="I7" s="300"/>
      <c r="K7" s="313"/>
      <c r="L7" s="304"/>
    </row>
    <row r="8" spans="2:13" s="298" customFormat="1" ht="15" customHeight="1">
      <c r="B8" s="1001"/>
      <c r="C8" s="1002"/>
      <c r="D8" s="1003"/>
      <c r="E8" s="1010" t="str">
        <f>+B5</f>
        <v>The Schubert Superannuation Fund</v>
      </c>
      <c r="K8" s="313"/>
      <c r="L8" s="304"/>
    </row>
    <row r="9" spans="2:13" s="298" customFormat="1" ht="15" customHeight="1">
      <c r="B9" s="1004"/>
      <c r="C9" s="1005"/>
      <c r="D9" s="1006"/>
      <c r="E9" s="1011"/>
      <c r="K9" s="313"/>
      <c r="L9" s="304"/>
    </row>
    <row r="10" spans="2:13" s="300" customFormat="1" ht="15.75" customHeight="1" thickBot="1">
      <c r="B10" s="1007"/>
      <c r="C10" s="1008"/>
      <c r="D10" s="1009"/>
      <c r="E10" s="1012"/>
      <c r="K10" s="299"/>
    </row>
    <row r="11" spans="2:13" s="300" customFormat="1">
      <c r="B11" s="307"/>
      <c r="C11" s="308"/>
      <c r="D11" s="309"/>
      <c r="E11" s="310"/>
      <c r="K11" s="299"/>
    </row>
    <row r="12" spans="2:13" s="300" customFormat="1" ht="15" customHeight="1">
      <c r="B12" s="307" t="s">
        <v>266</v>
      </c>
      <c r="C12" s="308"/>
      <c r="D12" s="311"/>
      <c r="E12" s="312">
        <v>80590</v>
      </c>
      <c r="G12" s="313" t="s">
        <v>267</v>
      </c>
      <c r="J12" s="314"/>
      <c r="K12" s="313"/>
      <c r="L12" s="315"/>
    </row>
    <row r="13" spans="2:13" s="300" customFormat="1" ht="15" customHeight="1">
      <c r="B13" s="307"/>
      <c r="C13" s="308"/>
      <c r="D13" s="316"/>
      <c r="E13" s="312"/>
      <c r="G13" s="299"/>
      <c r="J13" s="314"/>
      <c r="K13" s="313"/>
      <c r="L13" s="315"/>
    </row>
    <row r="14" spans="2:13" s="298" customFormat="1" ht="15" customHeight="1">
      <c r="B14" s="317" t="s">
        <v>268</v>
      </c>
      <c r="C14" s="318"/>
      <c r="D14" s="319"/>
      <c r="E14" s="320">
        <f>IF(E12&gt;0,E12*0.15,0)</f>
        <v>12088.5</v>
      </c>
      <c r="K14" s="313"/>
    </row>
    <row r="15" spans="2:13" s="298" customFormat="1" ht="15" customHeight="1">
      <c r="B15" s="321" t="str">
        <f>CONCATENATE(K3," Tax Paid")</f>
        <v>2018 Tax Paid</v>
      </c>
      <c r="C15" s="322"/>
      <c r="D15" s="323"/>
      <c r="E15" s="324"/>
      <c r="K15" s="313"/>
    </row>
    <row r="16" spans="2:13" s="298" customFormat="1" ht="21.75" hidden="1" customHeight="1">
      <c r="B16" s="325" t="s">
        <v>269</v>
      </c>
      <c r="C16" s="326"/>
      <c r="D16" s="327"/>
      <c r="E16" s="328">
        <v>0</v>
      </c>
      <c r="G16" s="298" t="s">
        <v>270</v>
      </c>
      <c r="K16" s="313"/>
      <c r="L16" s="304"/>
    </row>
    <row r="17" spans="2:16" s="298" customFormat="1" ht="15" hidden="1" customHeight="1">
      <c r="B17" s="325" t="s">
        <v>271</v>
      </c>
      <c r="C17" s="326"/>
      <c r="D17" s="327"/>
      <c r="E17" s="328">
        <v>0</v>
      </c>
      <c r="K17" s="313"/>
      <c r="L17" s="304"/>
    </row>
    <row r="18" spans="2:16" s="298" customFormat="1" ht="15" hidden="1" customHeight="1">
      <c r="B18" s="325" t="s">
        <v>272</v>
      </c>
      <c r="C18" s="326"/>
      <c r="D18" s="327"/>
      <c r="E18" s="328">
        <v>0</v>
      </c>
      <c r="K18" s="313"/>
      <c r="L18" s="304"/>
    </row>
    <row r="19" spans="2:16" s="298" customFormat="1" ht="15" customHeight="1">
      <c r="B19" s="329" t="s">
        <v>273</v>
      </c>
      <c r="C19" s="326"/>
      <c r="D19" s="327"/>
      <c r="E19" s="328">
        <v>-4560</v>
      </c>
      <c r="K19" s="313"/>
      <c r="M19" s="303"/>
    </row>
    <row r="20" spans="2:16" s="298" customFormat="1" ht="15" customHeight="1">
      <c r="B20" s="330" t="s">
        <v>274</v>
      </c>
      <c r="C20" s="331"/>
      <c r="D20" s="332"/>
      <c r="E20" s="333">
        <f>SUM(E14:E19)</f>
        <v>7528.5</v>
      </c>
      <c r="K20" s="313"/>
      <c r="M20" s="334"/>
      <c r="N20" s="334"/>
      <c r="O20" s="334"/>
      <c r="P20" s="334"/>
    </row>
    <row r="21" spans="2:16" s="298" customFormat="1" ht="15" customHeight="1">
      <c r="B21" s="335"/>
      <c r="C21" s="336"/>
      <c r="D21" s="337"/>
      <c r="E21" s="338"/>
      <c r="K21" s="313"/>
      <c r="M21" s="334"/>
      <c r="N21" s="334"/>
      <c r="O21" s="334"/>
      <c r="P21" s="334"/>
    </row>
    <row r="22" spans="2:16" s="298" customFormat="1" ht="15" customHeight="1">
      <c r="B22" s="325" t="s">
        <v>275</v>
      </c>
      <c r="C22" s="326"/>
      <c r="D22" s="339"/>
      <c r="E22" s="340">
        <v>259</v>
      </c>
      <c r="G22" s="298" t="s">
        <v>276</v>
      </c>
      <c r="K22" s="313"/>
      <c r="M22" s="334">
        <v>518</v>
      </c>
      <c r="N22" s="334"/>
      <c r="O22" s="334"/>
      <c r="P22" s="334"/>
    </row>
    <row r="23" spans="2:16" s="298" customFormat="1" ht="15" customHeight="1">
      <c r="B23" s="330" t="s">
        <v>277</v>
      </c>
      <c r="C23" s="331"/>
      <c r="D23" s="332"/>
      <c r="E23" s="333">
        <f>SUM(E20:E22)</f>
        <v>7787.5</v>
      </c>
      <c r="K23" s="313"/>
      <c r="M23" s="334">
        <v>259</v>
      </c>
      <c r="N23" s="334"/>
      <c r="O23" s="334"/>
      <c r="P23" s="334"/>
    </row>
    <row r="24" spans="2:16" s="298" customFormat="1" ht="15" customHeight="1">
      <c r="B24" s="341" t="s">
        <v>278</v>
      </c>
      <c r="C24" s="331"/>
      <c r="D24" s="342"/>
      <c r="E24" s="343" t="s">
        <v>283</v>
      </c>
      <c r="G24" s="298" t="s">
        <v>279</v>
      </c>
      <c r="I24" s="344"/>
      <c r="K24" s="313"/>
      <c r="L24" s="334"/>
      <c r="M24" s="345" t="s">
        <v>499</v>
      </c>
      <c r="N24" s="334"/>
      <c r="O24" s="334"/>
      <c r="P24" s="334"/>
    </row>
    <row r="25" spans="2:16" s="298" customFormat="1" ht="15" hidden="1" customHeight="1">
      <c r="B25" s="321" t="s">
        <v>280</v>
      </c>
      <c r="C25" s="336"/>
      <c r="D25" s="346"/>
      <c r="E25" s="347"/>
      <c r="K25" s="313"/>
      <c r="L25" s="334"/>
      <c r="M25" s="345" t="s">
        <v>500</v>
      </c>
      <c r="N25" s="334"/>
      <c r="O25" s="334"/>
      <c r="P25" s="334"/>
    </row>
    <row r="26" spans="2:16" s="298" customFormat="1" ht="15" hidden="1" customHeight="1">
      <c r="B26" s="325" t="s">
        <v>281</v>
      </c>
      <c r="C26" s="336"/>
      <c r="D26" s="346"/>
      <c r="E26" s="328">
        <v>0</v>
      </c>
      <c r="K26" s="313"/>
      <c r="L26" s="334"/>
      <c r="M26" s="345">
        <v>43600</v>
      </c>
      <c r="N26" s="334"/>
      <c r="O26" s="334"/>
      <c r="P26" s="334"/>
    </row>
    <row r="27" spans="2:16" s="298" customFormat="1" ht="15" hidden="1" customHeight="1">
      <c r="B27" s="325" t="s">
        <v>282</v>
      </c>
      <c r="C27" s="336"/>
      <c r="D27" s="346"/>
      <c r="E27" s="328">
        <v>0</v>
      </c>
      <c r="K27" s="313"/>
      <c r="L27" s="334"/>
      <c r="M27" s="348" t="s">
        <v>283</v>
      </c>
      <c r="N27" s="334"/>
      <c r="O27" s="334"/>
      <c r="P27" s="334"/>
    </row>
    <row r="28" spans="2:16" s="298" customFormat="1" ht="15" hidden="1" customHeight="1">
      <c r="B28" s="325" t="s">
        <v>284</v>
      </c>
      <c r="C28" s="336"/>
      <c r="D28" s="346"/>
      <c r="E28" s="328">
        <v>0</v>
      </c>
      <c r="K28" s="313"/>
      <c r="L28" s="334"/>
      <c r="M28" s="345"/>
      <c r="N28" s="334"/>
      <c r="O28" s="334"/>
      <c r="P28" s="334"/>
    </row>
    <row r="29" spans="2:16" s="298" customFormat="1" ht="15" hidden="1" customHeight="1">
      <c r="B29" s="325" t="s">
        <v>285</v>
      </c>
      <c r="C29" s="336"/>
      <c r="D29" s="346"/>
      <c r="E29" s="328">
        <v>0</v>
      </c>
      <c r="K29" s="313"/>
      <c r="L29" s="334"/>
      <c r="M29" s="345"/>
      <c r="N29" s="334"/>
      <c r="O29" s="334"/>
      <c r="P29" s="334"/>
    </row>
    <row r="30" spans="2:16" s="298" customFormat="1" ht="15" hidden="1" customHeight="1">
      <c r="B30" s="330" t="s">
        <v>286</v>
      </c>
      <c r="C30" s="331"/>
      <c r="D30" s="342"/>
      <c r="E30" s="333">
        <f>SUM(E26:E29)</f>
        <v>0</v>
      </c>
      <c r="K30" s="313"/>
      <c r="L30" s="334"/>
      <c r="M30" s="345"/>
      <c r="N30" s="334"/>
      <c r="O30" s="334"/>
      <c r="P30" s="334"/>
    </row>
    <row r="31" spans="2:16" s="298" customFormat="1" ht="15" hidden="1" customHeight="1">
      <c r="B31" s="341" t="s">
        <v>278</v>
      </c>
      <c r="C31" s="331"/>
      <c r="D31" s="342"/>
      <c r="E31" s="349" t="s">
        <v>283</v>
      </c>
      <c r="G31" s="298" t="s">
        <v>287</v>
      </c>
      <c r="I31" s="344"/>
      <c r="K31" s="313"/>
      <c r="L31" s="334"/>
      <c r="M31" s="345"/>
      <c r="N31" s="334"/>
      <c r="O31" s="334"/>
      <c r="P31" s="334"/>
    </row>
    <row r="32" spans="2:16" s="298" customFormat="1" hidden="1">
      <c r="B32" s="325"/>
      <c r="C32" s="322"/>
      <c r="D32" s="350"/>
      <c r="E32" s="351"/>
      <c r="K32" s="313"/>
      <c r="L32" s="334"/>
      <c r="M32" s="334"/>
      <c r="N32" s="334"/>
      <c r="O32" s="334"/>
      <c r="P32" s="334"/>
    </row>
    <row r="33" spans="2:16" s="298" customFormat="1" ht="15" hidden="1" customHeight="1">
      <c r="B33" s="330" t="s">
        <v>288</v>
      </c>
      <c r="C33" s="331"/>
      <c r="D33" s="331"/>
      <c r="E33" s="333">
        <f>+E30+E23</f>
        <v>7787.5</v>
      </c>
      <c r="K33" s="313"/>
      <c r="L33" s="334"/>
      <c r="M33" s="334"/>
      <c r="N33" s="334"/>
      <c r="O33" s="334"/>
      <c r="P33" s="334"/>
    </row>
    <row r="34" spans="2:16" s="298" customFormat="1">
      <c r="B34" s="325"/>
      <c r="C34" s="322"/>
      <c r="D34" s="350"/>
      <c r="E34" s="351"/>
      <c r="K34" s="313"/>
      <c r="L34" s="334"/>
      <c r="M34" s="334"/>
      <c r="N34" s="334"/>
      <c r="O34" s="334"/>
      <c r="P34" s="334"/>
    </row>
    <row r="35" spans="2:16" s="298" customFormat="1" ht="15" customHeight="1">
      <c r="B35" s="321" t="str">
        <f>CONCATENATE(K3+1," Estimated PAYG Instalments")</f>
        <v>2019 Estimated PAYG Instalments</v>
      </c>
      <c r="C35" s="322"/>
      <c r="D35" s="352"/>
      <c r="E35" s="353"/>
      <c r="K35" s="313"/>
      <c r="L35" s="334"/>
      <c r="M35" s="334"/>
      <c r="N35" s="334"/>
      <c r="O35" s="334"/>
      <c r="P35" s="334"/>
    </row>
    <row r="36" spans="2:16" s="298" customFormat="1" ht="15" customHeight="1">
      <c r="B36" s="329" t="s">
        <v>501</v>
      </c>
      <c r="D36" s="354" t="s">
        <v>289</v>
      </c>
      <c r="E36" s="355">
        <v>1162</v>
      </c>
      <c r="G36" s="298" t="s">
        <v>279</v>
      </c>
      <c r="I36" s="344"/>
      <c r="K36" s="313"/>
      <c r="L36" s="334"/>
      <c r="N36" s="334"/>
    </row>
    <row r="37" spans="2:16" s="298" customFormat="1" ht="15" customHeight="1">
      <c r="B37" s="356" t="s">
        <v>502</v>
      </c>
      <c r="D37" s="354" t="s">
        <v>289</v>
      </c>
      <c r="E37" s="355">
        <v>4967</v>
      </c>
      <c r="H37" s="300"/>
      <c r="I37" s="300"/>
      <c r="J37" s="314"/>
      <c r="K37" s="313"/>
      <c r="L37" s="357"/>
      <c r="M37" s="334"/>
      <c r="N37" s="334"/>
    </row>
    <row r="38" spans="2:16" s="358" customFormat="1" ht="15" customHeight="1">
      <c r="B38" s="356" t="s">
        <v>503</v>
      </c>
      <c r="D38" s="354" t="s">
        <v>289</v>
      </c>
      <c r="E38" s="355">
        <v>3064</v>
      </c>
      <c r="F38" s="359"/>
      <c r="G38" s="298"/>
      <c r="H38" s="298"/>
      <c r="I38" s="298"/>
      <c r="J38" s="304"/>
      <c r="K38" s="313"/>
      <c r="L38" s="360"/>
      <c r="M38" s="361"/>
      <c r="N38" s="361"/>
    </row>
    <row r="39" spans="2:16" s="358" customFormat="1" ht="15" customHeight="1">
      <c r="B39" s="356" t="s">
        <v>504</v>
      </c>
      <c r="D39" s="354" t="s">
        <v>289</v>
      </c>
      <c r="E39" s="355">
        <v>3064</v>
      </c>
      <c r="F39" s="359"/>
      <c r="G39" s="298"/>
      <c r="H39" s="298"/>
      <c r="I39" s="298"/>
      <c r="J39" s="304"/>
      <c r="K39" s="313"/>
      <c r="L39" s="360"/>
      <c r="M39" s="361"/>
      <c r="N39" s="361"/>
    </row>
    <row r="40" spans="2:16" s="358" customFormat="1" ht="15" hidden="1" customHeight="1">
      <c r="B40" s="356" t="s">
        <v>505</v>
      </c>
      <c r="D40" s="354"/>
      <c r="E40" s="355">
        <v>0</v>
      </c>
      <c r="F40" s="359"/>
      <c r="G40" s="298"/>
      <c r="H40" s="298"/>
      <c r="I40" s="298"/>
      <c r="J40" s="362"/>
      <c r="K40" s="313"/>
      <c r="L40" s="363"/>
      <c r="M40" s="361"/>
      <c r="N40" s="361"/>
    </row>
    <row r="41" spans="2:16" s="298" customFormat="1" ht="15" customHeight="1" thickBot="1">
      <c r="B41" s="364"/>
      <c r="C41" s="365"/>
      <c r="D41" s="366"/>
      <c r="E41" s="367"/>
      <c r="K41" s="313"/>
      <c r="L41" s="304"/>
      <c r="M41" s="303"/>
    </row>
    <row r="42" spans="2:16" s="298" customFormat="1" ht="12.75" customHeight="1">
      <c r="B42" s="295"/>
      <c r="C42" s="295"/>
      <c r="D42" s="296"/>
      <c r="G42" s="368"/>
      <c r="H42" s="368"/>
      <c r="I42" s="368"/>
      <c r="J42" s="314"/>
      <c r="K42" s="313"/>
      <c r="L42" s="368"/>
      <c r="M42" s="303"/>
    </row>
    <row r="43" spans="2:16" s="298" customFormat="1" ht="12.75" customHeight="1">
      <c r="B43" s="999" t="s">
        <v>290</v>
      </c>
      <c r="C43" s="999"/>
      <c r="D43" s="999"/>
      <c r="E43" s="999"/>
      <c r="G43" s="368"/>
      <c r="H43" s="368"/>
      <c r="I43" s="368"/>
      <c r="J43" s="314"/>
      <c r="K43" s="313"/>
      <c r="L43" s="368"/>
      <c r="M43" s="303"/>
    </row>
    <row r="44" spans="2:16" s="370" customFormat="1" ht="15">
      <c r="B44" s="999" t="s">
        <v>399</v>
      </c>
      <c r="C44" s="999"/>
      <c r="D44" s="999"/>
      <c r="E44" s="999"/>
      <c r="F44" s="298"/>
      <c r="G44" s="298"/>
      <c r="H44" s="298"/>
      <c r="I44" s="298"/>
      <c r="J44" s="298"/>
      <c r="K44" s="313"/>
      <c r="L44" s="304"/>
      <c r="M44" s="369"/>
    </row>
    <row r="45" spans="2:16" s="370" customFormat="1" ht="15">
      <c r="B45" s="295"/>
      <c r="C45" s="295"/>
      <c r="D45" s="296"/>
      <c r="E45" s="295"/>
      <c r="F45" s="298"/>
      <c r="G45" s="298"/>
      <c r="H45" s="298"/>
      <c r="I45" s="298"/>
      <c r="J45" s="298"/>
      <c r="K45" s="313"/>
      <c r="L45" s="304"/>
      <c r="M45" s="369"/>
    </row>
    <row r="46" spans="2:16" s="370" customFormat="1" ht="15">
      <c r="B46" s="295"/>
      <c r="C46" s="295"/>
      <c r="D46" s="296"/>
      <c r="E46" s="295"/>
      <c r="F46" s="298"/>
      <c r="G46" s="298"/>
      <c r="H46" s="298"/>
      <c r="I46" s="298"/>
      <c r="J46" s="298"/>
      <c r="K46" s="313"/>
      <c r="L46" s="298"/>
      <c r="M46" s="369"/>
    </row>
    <row r="47" spans="2:16" s="370" customFormat="1" ht="15">
      <c r="B47" s="295"/>
      <c r="C47" s="295"/>
      <c r="D47" s="296"/>
      <c r="E47" s="295"/>
      <c r="F47" s="298"/>
      <c r="G47" s="371"/>
      <c r="H47" s="298"/>
      <c r="I47" s="298"/>
      <c r="J47" s="298"/>
      <c r="K47" s="313"/>
      <c r="L47" s="304"/>
      <c r="M47" s="369"/>
    </row>
    <row r="48" spans="2:16" s="370" customFormat="1" ht="15">
      <c r="B48" s="295"/>
      <c r="C48" s="295"/>
      <c r="D48" s="296"/>
      <c r="E48" s="295"/>
      <c r="F48" s="298"/>
      <c r="G48" s="298"/>
      <c r="H48" s="298"/>
      <c r="I48" s="298"/>
      <c r="J48" s="298"/>
      <c r="K48" s="313"/>
      <c r="L48" s="298"/>
      <c r="M48" s="369"/>
    </row>
    <row r="49" spans="2:13" s="370" customFormat="1" ht="15">
      <c r="B49" s="295"/>
      <c r="C49" s="295"/>
      <c r="D49" s="296"/>
      <c r="E49" s="295"/>
      <c r="F49" s="298"/>
      <c r="G49" s="298"/>
      <c r="H49" s="298"/>
      <c r="I49" s="298"/>
      <c r="J49" s="298"/>
      <c r="K49" s="313"/>
      <c r="L49" s="298"/>
      <c r="M49" s="369"/>
    </row>
    <row r="50" spans="2:13" s="370" customFormat="1" ht="15">
      <c r="B50" s="295"/>
      <c r="C50" s="295"/>
      <c r="D50" s="296"/>
      <c r="E50" s="295"/>
      <c r="F50" s="298"/>
      <c r="G50" s="298"/>
      <c r="H50" s="298"/>
      <c r="I50" s="298"/>
      <c r="J50" s="298"/>
      <c r="K50" s="313"/>
      <c r="L50" s="298"/>
      <c r="M50" s="369"/>
    </row>
    <row r="51" spans="2:13" s="370" customFormat="1" ht="15">
      <c r="B51" s="295"/>
      <c r="C51" s="295"/>
      <c r="D51" s="296"/>
      <c r="E51" s="295"/>
      <c r="F51" s="298"/>
      <c r="G51" s="298"/>
      <c r="H51" s="298"/>
      <c r="I51" s="298"/>
      <c r="J51" s="298"/>
      <c r="K51" s="313"/>
      <c r="L51" s="298"/>
      <c r="M51" s="369"/>
    </row>
    <row r="52" spans="2:13" s="370" customFormat="1" ht="15">
      <c r="B52" s="295"/>
      <c r="C52" s="295"/>
      <c r="D52" s="296"/>
      <c r="E52" s="295"/>
      <c r="F52" s="298"/>
      <c r="G52" s="298"/>
      <c r="H52" s="298"/>
      <c r="I52" s="298"/>
      <c r="J52" s="298"/>
      <c r="K52" s="313"/>
      <c r="L52" s="298"/>
      <c r="M52" s="369"/>
    </row>
    <row r="53" spans="2:13" s="298" customFormat="1">
      <c r="B53" s="295"/>
      <c r="C53" s="295"/>
      <c r="D53" s="296"/>
      <c r="E53" s="295"/>
      <c r="K53" s="313"/>
      <c r="M53" s="303"/>
    </row>
    <row r="54" spans="2:13" s="298" customFormat="1">
      <c r="B54" s="295"/>
      <c r="C54" s="295"/>
      <c r="D54" s="296"/>
      <c r="E54" s="295"/>
      <c r="K54" s="313"/>
      <c r="M54" s="303"/>
    </row>
    <row r="55" spans="2:13" s="298" customFormat="1">
      <c r="B55" s="295"/>
      <c r="C55" s="295"/>
      <c r="D55" s="296"/>
      <c r="E55" s="295"/>
      <c r="K55" s="313"/>
      <c r="M55" s="303"/>
    </row>
    <row r="56" spans="2:13" s="298" customFormat="1">
      <c r="B56" s="295"/>
      <c r="C56" s="295"/>
      <c r="D56" s="296"/>
      <c r="E56" s="295"/>
      <c r="K56" s="313"/>
      <c r="M56" s="303"/>
    </row>
  </sheetData>
  <mergeCells count="6">
    <mergeCell ref="B44:E44"/>
    <mergeCell ref="B5:E5"/>
    <mergeCell ref="B6:E6"/>
    <mergeCell ref="B8:D10"/>
    <mergeCell ref="E8:E10"/>
    <mergeCell ref="B43:E43"/>
  </mergeCells>
  <dataValidations count="3">
    <dataValidation type="list" allowBlank="1" showInputMessage="1" showErrorMessage="1" sqref="E22" xr:uid="{00000000-0002-0000-0700-000000000000}">
      <formula1>"518,259,0"</formula1>
    </dataValidation>
    <dataValidation type="list" allowBlank="1" showInputMessage="1" showErrorMessage="1" sqref="E24" xr:uid="{00000000-0002-0000-0700-000001000000}">
      <formula1>$M$24:$M$27</formula1>
    </dataValidation>
    <dataValidation type="list" allowBlank="1" showInputMessage="1" showErrorMessage="1" sqref="D36:D40" xr:uid="{00000000-0002-0000-0700-000002000000}">
      <formula1>"Not Yet Due, Already Paid, Outstanding"</formula1>
    </dataValidation>
  </dataValidations>
  <pageMargins left="0.39370078740157483" right="0.39370078740157483" top="0.39370078740157483" bottom="0.39370078740157483" header="0.31496062992125984" footer="0.31496062992125984"/>
  <pageSetup paperSize="9" orientation="portrait" r:id="rId1"/>
  <customProperties>
    <customPr name="SheetId" r:id="rId2"/>
  </customProperties>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Home">
    <tabColor theme="0" tint="-0.14999847407452621"/>
    <pageSetUpPr fitToPage="1"/>
  </sheetPr>
  <dimension ref="B1:T76"/>
  <sheetViews>
    <sheetView showGridLines="0" showRowColHeaders="0" zoomScaleNormal="100" zoomScaleSheetLayoutView="100" workbookViewId="0">
      <selection activeCell="B8" sqref="B8:E8"/>
    </sheetView>
  </sheetViews>
  <sheetFormatPr defaultColWidth="9.140625" defaultRowHeight="15"/>
  <cols>
    <col min="1" max="1" width="4.140625" style="39" customWidth="1"/>
    <col min="2" max="2" width="2.7109375" style="39" customWidth="1"/>
    <col min="3" max="3" width="9.140625" style="39" customWidth="1"/>
    <col min="4" max="4" width="22.85546875" style="39" customWidth="1"/>
    <col min="5" max="5" width="4.28515625" style="39" customWidth="1"/>
    <col min="6" max="6" width="7.42578125" style="40" customWidth="1"/>
    <col min="7" max="7" width="37.140625" style="39" customWidth="1"/>
    <col min="8" max="8" width="4.28515625" style="39" customWidth="1"/>
    <col min="9" max="9" width="2.7109375" style="39" customWidth="1"/>
    <col min="10" max="10" width="4.28515625" style="39" customWidth="1"/>
    <col min="11" max="11" width="23.140625" style="39" hidden="1" customWidth="1"/>
    <col min="12" max="16384" width="9.140625" style="39"/>
  </cols>
  <sheetData>
    <row r="1" spans="2:13" ht="7.5" customHeight="1"/>
    <row r="2" spans="2:13" s="40" customFormat="1" ht="33" customHeight="1">
      <c r="B2" s="156" t="s">
        <v>112</v>
      </c>
      <c r="C2" s="128"/>
      <c r="D2" s="128"/>
      <c r="E2" s="128"/>
      <c r="F2" s="128"/>
      <c r="G2" s="128"/>
      <c r="H2" s="128"/>
      <c r="K2" s="129"/>
      <c r="M2" s="130"/>
    </row>
    <row r="3" spans="2:13" s="40" customFormat="1" ht="6" customHeight="1">
      <c r="B3" s="131"/>
      <c r="C3" s="128"/>
      <c r="D3" s="128"/>
      <c r="E3" s="128"/>
      <c r="F3" s="128"/>
      <c r="G3" s="128"/>
      <c r="H3" s="128"/>
      <c r="K3" s="129"/>
      <c r="M3" s="130"/>
    </row>
    <row r="4" spans="2:13" ht="1.5" customHeight="1">
      <c r="B4" s="154"/>
      <c r="C4" s="155"/>
      <c r="D4" s="155"/>
      <c r="E4" s="155"/>
      <c r="F4" s="155"/>
      <c r="G4" s="155"/>
      <c r="H4" s="155"/>
      <c r="I4" s="155"/>
      <c r="J4" s="40"/>
      <c r="K4" s="40"/>
    </row>
    <row r="5" spans="2:13" s="62" customFormat="1" ht="4.5" customHeight="1">
      <c r="C5" s="167"/>
      <c r="D5" s="1023" t="str">
        <f>IF(Cl_Connected," "&amp;Cl_FileName,"No file connected...")</f>
        <v xml:space="preserve"> The Schubert Superannuation Fund</v>
      </c>
      <c r="E5" s="1023"/>
      <c r="F5" s="1023"/>
      <c r="G5" s="1023"/>
      <c r="H5" s="1023"/>
      <c r="I5" s="1023"/>
    </row>
    <row r="6" spans="2:13" s="62" customFormat="1" ht="15.75" customHeight="1">
      <c r="B6" s="1022" t="str">
        <f>IF(Cl_Connected,"CONNECTED","NOT SETUP")</f>
        <v>CONNECTED</v>
      </c>
      <c r="C6" s="1022"/>
      <c r="D6" s="1023"/>
      <c r="E6" s="1023"/>
      <c r="F6" s="1023"/>
      <c r="G6" s="1023"/>
      <c r="H6" s="1023"/>
      <c r="I6" s="1023"/>
      <c r="K6" s="164" t="b">
        <f>(Cl_FileId&lt;&gt;"")</f>
        <v>1</v>
      </c>
    </row>
    <row r="7" spans="2:13" s="40" customFormat="1" ht="18" customHeight="1">
      <c r="C7" s="165"/>
      <c r="D7" s="166"/>
      <c r="E7" s="166"/>
      <c r="F7" s="166"/>
      <c r="G7" s="166"/>
      <c r="H7" s="165"/>
      <c r="I7" s="165"/>
      <c r="J7" s="164"/>
    </row>
    <row r="8" spans="2:13" ht="23.25" customHeight="1">
      <c r="B8" s="1025" t="s">
        <v>114</v>
      </c>
      <c r="C8" s="1026"/>
      <c r="D8" s="1026"/>
      <c r="E8" s="1026"/>
      <c r="F8" s="163" t="s">
        <v>113</v>
      </c>
      <c r="G8" s="41"/>
      <c r="H8" s="41"/>
      <c r="I8" s="41"/>
      <c r="J8" s="41"/>
      <c r="K8" s="40"/>
    </row>
    <row r="9" spans="2:13" ht="7.5" customHeight="1">
      <c r="F9" s="39"/>
      <c r="K9" s="40"/>
    </row>
    <row r="10" spans="2:13" ht="37.5" hidden="1" customHeight="1">
      <c r="B10" s="1029" t="s">
        <v>115</v>
      </c>
      <c r="C10" s="1029"/>
      <c r="D10" s="1029"/>
      <c r="E10" s="1029"/>
      <c r="F10" s="1029"/>
      <c r="G10" s="41"/>
      <c r="H10" s="41"/>
      <c r="I10" s="41"/>
      <c r="J10" s="40"/>
      <c r="K10" s="40"/>
    </row>
    <row r="11" spans="2:13" ht="7.5" customHeight="1">
      <c r="C11" s="41"/>
      <c r="D11" s="41"/>
      <c r="E11" s="41"/>
      <c r="F11" s="41"/>
      <c r="G11" s="41"/>
      <c r="H11" s="41"/>
      <c r="I11" s="41"/>
      <c r="J11" s="40"/>
      <c r="K11" s="40"/>
      <c r="L11"/>
    </row>
    <row r="12" spans="2:13" ht="18.75" customHeight="1">
      <c r="C12" s="41"/>
      <c r="D12" s="41"/>
      <c r="E12" s="41"/>
      <c r="F12" s="41"/>
      <c r="G12" s="41"/>
      <c r="H12" s="41"/>
      <c r="I12" s="41"/>
      <c r="J12" s="40"/>
      <c r="K12" s="40"/>
    </row>
    <row r="13" spans="2:13" ht="18.75" customHeight="1">
      <c r="B13" s="1028" t="s">
        <v>24</v>
      </c>
      <c r="C13" s="1028"/>
      <c r="D13" s="1028"/>
      <c r="E13" s="1028"/>
      <c r="F13" s="157"/>
      <c r="G13" s="157"/>
      <c r="H13" s="157"/>
      <c r="I13" s="157"/>
      <c r="J13" s="40"/>
      <c r="K13" s="40"/>
    </row>
    <row r="14" spans="2:13" ht="18.75" customHeight="1">
      <c r="B14" s="42"/>
      <c r="C14" s="1027" t="s">
        <v>23</v>
      </c>
      <c r="D14" s="1027"/>
      <c r="E14" s="1027"/>
      <c r="F14" s="1027"/>
      <c r="G14" s="1027"/>
      <c r="H14" s="1027"/>
      <c r="I14" s="45"/>
      <c r="J14" s="40"/>
      <c r="K14" s="40"/>
    </row>
    <row r="15" spans="2:13" ht="18.75" customHeight="1">
      <c r="B15" s="42"/>
      <c r="C15" s="1015" t="s">
        <v>550</v>
      </c>
      <c r="D15" s="1016"/>
      <c r="E15" s="1016"/>
      <c r="F15" s="1016"/>
      <c r="G15" s="1016"/>
      <c r="H15" s="1021"/>
      <c r="I15" s="43"/>
      <c r="J15" s="40"/>
      <c r="K15" s="40"/>
    </row>
    <row r="16" spans="2:13" ht="18.75" customHeight="1">
      <c r="B16" s="42"/>
      <c r="C16" s="1024" t="s">
        <v>22</v>
      </c>
      <c r="D16" s="1024"/>
      <c r="E16" s="1024"/>
      <c r="F16" s="1024"/>
      <c r="G16" s="1024"/>
      <c r="H16" s="1024"/>
      <c r="I16" s="45"/>
      <c r="J16" s="40"/>
      <c r="K16" s="40"/>
    </row>
    <row r="17" spans="2:15" ht="18.75" customHeight="1">
      <c r="B17" s="42"/>
      <c r="C17" s="1015"/>
      <c r="D17" s="1016"/>
      <c r="E17" s="1016"/>
      <c r="F17" s="1016"/>
      <c r="G17" s="1016"/>
      <c r="H17" s="1021"/>
      <c r="I17" s="43"/>
      <c r="J17" s="40"/>
      <c r="K17" s="40"/>
    </row>
    <row r="18" spans="2:15" ht="18.75" customHeight="1">
      <c r="B18" s="42"/>
      <c r="C18" s="1024" t="s">
        <v>21</v>
      </c>
      <c r="D18" s="1024"/>
      <c r="E18" s="1024"/>
      <c r="F18" s="1024"/>
      <c r="G18" s="1024"/>
      <c r="H18" s="1024"/>
      <c r="I18" s="45"/>
      <c r="J18" s="40"/>
      <c r="K18" s="40"/>
    </row>
    <row r="19" spans="2:15" ht="18.75" customHeight="1">
      <c r="B19" s="42"/>
      <c r="C19" s="1015">
        <v>44609657</v>
      </c>
      <c r="D19" s="1016"/>
      <c r="E19" s="1016"/>
      <c r="F19" s="1016"/>
      <c r="G19" s="1016"/>
      <c r="H19" s="1021"/>
      <c r="I19" s="43"/>
      <c r="J19" s="40"/>
      <c r="K19" s="40"/>
    </row>
    <row r="20" spans="2:15" ht="18.75" customHeight="1">
      <c r="B20" s="42"/>
      <c r="C20" s="1024" t="s">
        <v>20</v>
      </c>
      <c r="D20" s="1024"/>
      <c r="E20" s="1024"/>
      <c r="F20" s="1024"/>
      <c r="G20" s="1024"/>
      <c r="H20" s="1024"/>
      <c r="I20" s="45"/>
      <c r="J20" s="40"/>
      <c r="K20" s="40"/>
    </row>
    <row r="21" spans="2:15" ht="18.75" customHeight="1">
      <c r="B21" s="42"/>
      <c r="C21" s="1015" t="s">
        <v>560</v>
      </c>
      <c r="D21" s="1016"/>
      <c r="E21" s="1016"/>
      <c r="F21" s="1016"/>
      <c r="G21" s="1016"/>
      <c r="H21" s="1021"/>
      <c r="I21" s="43"/>
      <c r="J21" s="40"/>
      <c r="K21" s="40"/>
    </row>
    <row r="22" spans="2:15" ht="18.75" customHeight="1">
      <c r="B22" s="42"/>
      <c r="C22" s="1024" t="s">
        <v>19</v>
      </c>
      <c r="D22" s="1024"/>
      <c r="E22" s="1024"/>
      <c r="F22" s="44"/>
      <c r="G22" s="1024" t="s">
        <v>18</v>
      </c>
      <c r="H22" s="1024"/>
      <c r="I22" s="45"/>
      <c r="J22" s="40"/>
      <c r="K22" s="40"/>
    </row>
    <row r="23" spans="2:15" ht="18.75" customHeight="1">
      <c r="B23" s="42"/>
      <c r="C23" s="1031">
        <v>42917</v>
      </c>
      <c r="D23" s="1032"/>
      <c r="E23" s="1033"/>
      <c r="F23" s="46"/>
      <c r="G23" s="1031">
        <v>43281</v>
      </c>
      <c r="H23" s="1033"/>
      <c r="I23" s="43"/>
      <c r="J23" s="40"/>
      <c r="K23" s="40"/>
    </row>
    <row r="24" spans="2:15" ht="18.75" customHeight="1">
      <c r="B24" s="42"/>
      <c r="C24" s="1034" t="s">
        <v>17</v>
      </c>
      <c r="D24" s="1034"/>
      <c r="E24" s="1034"/>
      <c r="F24" s="44"/>
      <c r="G24" s="1035" t="s">
        <v>16</v>
      </c>
      <c r="H24" s="1035"/>
      <c r="I24" s="45"/>
      <c r="J24" s="40"/>
      <c r="K24" s="40"/>
    </row>
    <row r="25" spans="2:15" ht="18.75" customHeight="1">
      <c r="B25" s="42"/>
      <c r="C25" s="1030">
        <f>IF(ISBLANK(PeriodEndDate),"",IF(MONTH(PeriodEndDate)&lt;=6,YEAR(PeriodEndDate),YEAR(PeriodEndDate)+1))</f>
        <v>2018</v>
      </c>
      <c r="D25" s="1030"/>
      <c r="E25" s="1030"/>
      <c r="F25" s="47"/>
      <c r="G25" s="1015"/>
      <c r="H25" s="1021"/>
      <c r="I25" s="43"/>
      <c r="J25" s="40"/>
      <c r="K25" s="40"/>
    </row>
    <row r="26" spans="2:15" ht="18.75" customHeight="1">
      <c r="B26" s="42"/>
      <c r="C26" s="1027" t="s">
        <v>15</v>
      </c>
      <c r="D26" s="1027"/>
      <c r="E26" s="1027"/>
      <c r="F26" s="44"/>
      <c r="G26" s="1024" t="s">
        <v>14</v>
      </c>
      <c r="H26" s="1024"/>
      <c r="I26" s="45"/>
      <c r="J26" s="40"/>
      <c r="K26" s="40"/>
    </row>
    <row r="27" spans="2:15" ht="18.75" customHeight="1">
      <c r="B27" s="42"/>
      <c r="C27" s="1015"/>
      <c r="D27" s="1016"/>
      <c r="E27" s="1021"/>
      <c r="F27" s="47"/>
      <c r="G27" s="1015"/>
      <c r="H27" s="1021"/>
      <c r="I27" s="43"/>
      <c r="J27" s="40"/>
      <c r="K27" s="40"/>
    </row>
    <row r="28" spans="2:15" ht="7.5" customHeight="1">
      <c r="B28" s="48"/>
      <c r="C28" s="49"/>
      <c r="D28" s="49"/>
      <c r="E28" s="49"/>
      <c r="F28" s="50"/>
      <c r="G28" s="49"/>
      <c r="H28" s="49"/>
      <c r="I28" s="51"/>
      <c r="J28" s="40"/>
      <c r="K28" s="40"/>
    </row>
    <row r="29" spans="2:15" ht="15.75" customHeight="1">
      <c r="B29" s="52"/>
      <c r="C29" s="53"/>
      <c r="D29" s="53"/>
      <c r="E29" s="53"/>
      <c r="F29" s="47"/>
      <c r="G29" s="53"/>
      <c r="H29" s="53"/>
      <c r="I29" s="54"/>
      <c r="J29" s="40"/>
      <c r="K29" s="40"/>
    </row>
    <row r="30" spans="2:15" s="74" customFormat="1" ht="18.75" customHeight="1">
      <c r="B30" s="1013" t="s">
        <v>123</v>
      </c>
      <c r="C30" s="1013"/>
      <c r="D30" s="1014"/>
      <c r="E30" s="186"/>
      <c r="F30" s="187"/>
      <c r="H30" s="31"/>
      <c r="I30" s="31"/>
      <c r="J30" s="31"/>
      <c r="K30" s="31"/>
      <c r="L30" s="31"/>
      <c r="M30" s="31"/>
      <c r="N30" s="31"/>
      <c r="O30" s="31"/>
    </row>
    <row r="31" spans="2:15" s="74" customFormat="1" ht="18.75" customHeight="1">
      <c r="B31" s="188"/>
      <c r="C31" s="1017" t="s">
        <v>124</v>
      </c>
      <c r="D31" s="1018"/>
      <c r="E31" s="189"/>
      <c r="F31" s="190"/>
      <c r="G31" s="191" t="s">
        <v>125</v>
      </c>
      <c r="H31" s="192"/>
      <c r="I31" s="193"/>
      <c r="J31" s="31"/>
      <c r="K31" s="31"/>
      <c r="L31" s="31"/>
      <c r="M31" s="31"/>
      <c r="N31" s="31"/>
      <c r="O31" s="31"/>
    </row>
    <row r="32" spans="2:15" s="74" customFormat="1" ht="18.75" customHeight="1">
      <c r="B32" s="194"/>
      <c r="C32" s="1015" t="s">
        <v>126</v>
      </c>
      <c r="D32" s="1016"/>
      <c r="E32" s="1016"/>
      <c r="F32" s="187"/>
      <c r="G32" s="1015" t="s">
        <v>126</v>
      </c>
      <c r="H32" s="1016"/>
      <c r="I32" s="195"/>
      <c r="J32" s="31"/>
      <c r="K32" s="31"/>
      <c r="L32" s="31"/>
      <c r="M32" s="31"/>
      <c r="N32" s="31"/>
      <c r="O32" s="31"/>
    </row>
    <row r="33" spans="2:15" s="74" customFormat="1" ht="18.75" customHeight="1">
      <c r="B33" s="194"/>
      <c r="C33" s="1019" t="s">
        <v>127</v>
      </c>
      <c r="D33" s="1020"/>
      <c r="E33" s="34"/>
      <c r="F33" s="187"/>
      <c r="G33" s="196" t="s">
        <v>128</v>
      </c>
      <c r="H33" s="134"/>
      <c r="I33" s="195"/>
      <c r="J33" s="31"/>
      <c r="K33" s="31"/>
      <c r="L33" s="31"/>
      <c r="M33" s="31"/>
      <c r="N33" s="31"/>
      <c r="O33" s="31"/>
    </row>
    <row r="34" spans="2:15" s="74" customFormat="1" ht="18.75" customHeight="1">
      <c r="B34" s="194"/>
      <c r="C34" s="1015" t="s">
        <v>126</v>
      </c>
      <c r="D34" s="1016"/>
      <c r="E34" s="1016"/>
      <c r="F34" s="187"/>
      <c r="G34" s="1015" t="s">
        <v>126</v>
      </c>
      <c r="H34" s="1016"/>
      <c r="I34" s="195"/>
      <c r="J34" s="31"/>
      <c r="K34" s="31"/>
      <c r="L34" s="31"/>
      <c r="M34" s="31"/>
      <c r="N34" s="31"/>
      <c r="O34" s="31"/>
    </row>
    <row r="35" spans="2:15" s="74" customFormat="1" ht="18.75" customHeight="1">
      <c r="B35" s="194"/>
      <c r="C35" s="1019" t="s">
        <v>129</v>
      </c>
      <c r="D35" s="1020"/>
      <c r="E35" s="34"/>
      <c r="F35" s="187"/>
      <c r="G35" s="196" t="s">
        <v>130</v>
      </c>
      <c r="H35" s="134"/>
      <c r="I35" s="195"/>
      <c r="J35" s="31"/>
      <c r="K35" s="31"/>
      <c r="L35" s="31"/>
      <c r="M35" s="31"/>
      <c r="N35" s="31"/>
      <c r="O35" s="31"/>
    </row>
    <row r="36" spans="2:15" s="74" customFormat="1" ht="18.75" customHeight="1">
      <c r="B36" s="194"/>
      <c r="C36" s="1015" t="s">
        <v>126</v>
      </c>
      <c r="D36" s="1016"/>
      <c r="E36" s="1016"/>
      <c r="F36" s="187"/>
      <c r="G36" s="1015" t="s">
        <v>126</v>
      </c>
      <c r="H36" s="1016"/>
      <c r="I36" s="195"/>
      <c r="J36" s="31"/>
      <c r="K36" s="31"/>
      <c r="L36" s="31"/>
      <c r="M36" s="31"/>
      <c r="N36" s="31"/>
      <c r="O36" s="31"/>
    </row>
    <row r="37" spans="2:15" s="74" customFormat="1" ht="18.75" customHeight="1">
      <c r="B37" s="194"/>
      <c r="C37" s="1019" t="s">
        <v>131</v>
      </c>
      <c r="D37" s="1020"/>
      <c r="E37" s="34"/>
      <c r="F37" s="187"/>
      <c r="G37" s="196" t="s">
        <v>132</v>
      </c>
      <c r="H37" s="134"/>
      <c r="I37" s="195"/>
      <c r="J37" s="31"/>
      <c r="K37" s="31"/>
      <c r="L37" s="31"/>
      <c r="M37" s="31"/>
      <c r="N37" s="31"/>
      <c r="O37" s="31"/>
    </row>
    <row r="38" spans="2:15" s="74" customFormat="1" ht="18.75" customHeight="1">
      <c r="B38" s="194"/>
      <c r="C38" s="1015" t="s">
        <v>126</v>
      </c>
      <c r="D38" s="1016"/>
      <c r="E38" s="1016"/>
      <c r="F38" s="187"/>
      <c r="G38" s="1015" t="s">
        <v>126</v>
      </c>
      <c r="H38" s="1016"/>
      <c r="I38" s="195"/>
      <c r="J38" s="31"/>
      <c r="K38" s="31"/>
      <c r="L38" s="31"/>
      <c r="M38" s="31"/>
      <c r="N38" s="31"/>
      <c r="O38" s="31"/>
    </row>
    <row r="39" spans="2:15" s="74" customFormat="1" ht="7.5" customHeight="1">
      <c r="B39" s="197"/>
      <c r="C39" s="198"/>
      <c r="D39" s="199"/>
      <c r="E39" s="198"/>
      <c r="F39" s="200"/>
      <c r="G39" s="201"/>
      <c r="H39" s="202"/>
      <c r="I39" s="203"/>
      <c r="J39" s="31"/>
      <c r="K39" s="31"/>
      <c r="L39" s="31"/>
      <c r="M39" s="31"/>
      <c r="N39" s="31"/>
      <c r="O39" s="31"/>
    </row>
    <row r="40" spans="2:15" ht="15.75" customHeight="1">
      <c r="B40" s="52"/>
      <c r="C40" s="53"/>
      <c r="D40" s="53"/>
      <c r="E40" s="53"/>
      <c r="F40" s="47"/>
      <c r="G40" s="53"/>
      <c r="H40" s="53"/>
      <c r="I40" s="54"/>
      <c r="J40" s="40"/>
      <c r="K40" s="40"/>
    </row>
    <row r="41" spans="2:15" ht="15.75" customHeight="1">
      <c r="B41" s="52"/>
      <c r="C41" s="53"/>
      <c r="D41" s="53"/>
      <c r="E41" s="53"/>
      <c r="F41" s="47"/>
      <c r="G41" s="53"/>
      <c r="H41" s="53"/>
      <c r="I41" s="54"/>
      <c r="J41" s="40"/>
      <c r="K41" s="40"/>
    </row>
    <row r="42" spans="2:15" ht="18.75" customHeight="1">
      <c r="B42" s="1040" t="s">
        <v>13</v>
      </c>
      <c r="C42" s="1040"/>
      <c r="D42" s="1040"/>
      <c r="E42" s="1040"/>
      <c r="F42" s="158"/>
      <c r="G42" s="159"/>
      <c r="H42" s="159"/>
      <c r="I42" s="158"/>
      <c r="J42" s="40"/>
      <c r="K42" s="40"/>
    </row>
    <row r="43" spans="2:15" ht="18.75" customHeight="1">
      <c r="B43" s="42"/>
      <c r="C43" s="1027" t="s">
        <v>12</v>
      </c>
      <c r="D43" s="1027"/>
      <c r="E43" s="1027"/>
      <c r="F43" s="1027"/>
      <c r="G43" s="1027"/>
      <c r="H43" s="1027"/>
      <c r="I43" s="45"/>
      <c r="J43" s="40"/>
      <c r="K43" s="40"/>
    </row>
    <row r="44" spans="2:15" ht="18.75" customHeight="1">
      <c r="B44" s="55"/>
      <c r="C44" s="1015"/>
      <c r="D44" s="1016"/>
      <c r="E44" s="1016"/>
      <c r="F44" s="1016"/>
      <c r="G44" s="1016"/>
      <c r="H44" s="1021"/>
      <c r="I44" s="56"/>
      <c r="J44" s="40"/>
      <c r="K44" s="40"/>
    </row>
    <row r="45" spans="2:15" ht="18.75" customHeight="1">
      <c r="B45" s="42"/>
      <c r="C45" s="1024" t="s">
        <v>11</v>
      </c>
      <c r="D45" s="1024"/>
      <c r="E45" s="1024"/>
      <c r="F45" s="44"/>
      <c r="G45" s="1024" t="s">
        <v>10</v>
      </c>
      <c r="H45" s="1024"/>
      <c r="I45" s="45"/>
      <c r="J45" s="40"/>
      <c r="K45" s="40"/>
    </row>
    <row r="46" spans="2:15" ht="18.75" customHeight="1">
      <c r="B46" s="55"/>
      <c r="C46" s="1015">
        <v>401019313</v>
      </c>
      <c r="D46" s="1016"/>
      <c r="E46" s="1021"/>
      <c r="F46" s="57"/>
      <c r="G46" s="1015" t="s">
        <v>561</v>
      </c>
      <c r="H46" s="1021"/>
      <c r="I46" s="56"/>
      <c r="J46" s="40"/>
      <c r="K46" s="40"/>
    </row>
    <row r="47" spans="2:15" ht="7.5" customHeight="1">
      <c r="B47" s="58"/>
      <c r="C47" s="59"/>
      <c r="D47" s="59"/>
      <c r="E47" s="59"/>
      <c r="F47" s="60"/>
      <c r="G47" s="59"/>
      <c r="H47" s="59"/>
      <c r="I47" s="61"/>
    </row>
    <row r="48" spans="2:15" ht="15.75" hidden="1" customHeight="1">
      <c r="B48" s="52"/>
      <c r="C48" s="52"/>
      <c r="D48" s="52"/>
      <c r="E48" s="52"/>
      <c r="F48" s="62"/>
      <c r="G48" s="52"/>
      <c r="H48" s="52"/>
      <c r="I48" s="52"/>
    </row>
    <row r="49" spans="2:20" s="74" customFormat="1" ht="18.75" hidden="1" customHeight="1">
      <c r="B49" s="1036" t="s">
        <v>104</v>
      </c>
      <c r="C49" s="1036"/>
      <c r="D49" s="1036"/>
      <c r="E49" s="1036"/>
      <c r="F49" s="160"/>
      <c r="G49" s="160"/>
      <c r="H49" s="160"/>
      <c r="I49" s="161"/>
      <c r="J49" s="134"/>
      <c r="K49" s="34"/>
    </row>
    <row r="50" spans="2:20" s="74" customFormat="1" ht="30" hidden="1" customHeight="1">
      <c r="B50" s="33"/>
      <c r="C50" s="1039" t="s">
        <v>105</v>
      </c>
      <c r="D50" s="1039"/>
      <c r="E50" s="1039"/>
      <c r="F50" s="1039"/>
      <c r="G50" s="1039"/>
      <c r="H50" s="1039"/>
      <c r="I50" s="137"/>
      <c r="J50" s="134"/>
      <c r="K50" s="34"/>
      <c r="Q50" s="31"/>
      <c r="R50" s="31"/>
      <c r="S50" s="31"/>
      <c r="T50" s="31"/>
    </row>
    <row r="51" spans="2:20" s="74" customFormat="1" ht="18.75" hidden="1" customHeight="1">
      <c r="B51" s="33"/>
      <c r="C51" s="1037" t="s">
        <v>558</v>
      </c>
      <c r="D51" s="1038"/>
      <c r="E51" s="1038"/>
      <c r="F51" s="135"/>
      <c r="G51" s="139"/>
      <c r="H51" s="139"/>
      <c r="I51" s="136"/>
      <c r="J51" s="134"/>
      <c r="K51" s="34"/>
      <c r="Q51" s="31"/>
      <c r="R51" s="31"/>
      <c r="S51" s="31"/>
      <c r="T51" s="31"/>
    </row>
    <row r="52" spans="2:20" s="74" customFormat="1" ht="24" hidden="1" customHeight="1">
      <c r="B52" s="33"/>
      <c r="C52" s="1039" t="s">
        <v>106</v>
      </c>
      <c r="D52" s="1039"/>
      <c r="E52" s="1039"/>
      <c r="F52" s="135"/>
      <c r="G52" s="1039" t="s">
        <v>107</v>
      </c>
      <c r="H52" s="1039"/>
      <c r="I52" s="137"/>
      <c r="J52" s="134"/>
      <c r="K52" s="34"/>
      <c r="Q52" s="31"/>
      <c r="R52" s="31"/>
      <c r="S52" s="31"/>
      <c r="T52" s="31"/>
    </row>
    <row r="53" spans="2:20" s="74" customFormat="1" ht="18.75" hidden="1" customHeight="1">
      <c r="B53" s="33"/>
      <c r="C53" s="1037"/>
      <c r="D53" s="1038"/>
      <c r="E53" s="1038"/>
      <c r="F53" s="135"/>
      <c r="G53" s="1038"/>
      <c r="H53" s="1038"/>
      <c r="I53" s="137"/>
      <c r="J53" s="134"/>
      <c r="K53" s="34"/>
      <c r="Q53" s="31"/>
      <c r="R53" s="31"/>
      <c r="S53" s="31"/>
      <c r="T53" s="31"/>
    </row>
    <row r="54" spans="2:20" ht="30" hidden="1" customHeight="1">
      <c r="B54" s="33"/>
      <c r="C54" s="1027" t="s">
        <v>99</v>
      </c>
      <c r="D54" s="1027"/>
      <c r="E54" s="1027"/>
      <c r="F54" s="1027"/>
      <c r="G54" s="1027"/>
      <c r="H54" s="1027"/>
      <c r="I54" s="137"/>
      <c r="J54" s="40"/>
      <c r="K54" s="40"/>
    </row>
    <row r="55" spans="2:20" ht="18.75" hidden="1" customHeight="1">
      <c r="B55" s="55"/>
      <c r="C55" s="1015" t="s">
        <v>559</v>
      </c>
      <c r="D55" s="1016"/>
      <c r="E55" s="1016"/>
      <c r="F55" s="1016"/>
      <c r="G55" s="1016"/>
      <c r="H55" s="1021"/>
      <c r="I55" s="56"/>
      <c r="J55" s="40"/>
      <c r="K55" s="40"/>
    </row>
    <row r="56" spans="2:20" ht="30" hidden="1" customHeight="1">
      <c r="B56" s="33"/>
      <c r="C56" s="1027" t="s">
        <v>116</v>
      </c>
      <c r="D56" s="1027"/>
      <c r="E56" s="1027"/>
      <c r="F56" s="1027"/>
      <c r="G56" s="1027"/>
      <c r="H56" s="1027"/>
      <c r="I56" s="137"/>
      <c r="J56" s="40"/>
      <c r="K56" s="40"/>
    </row>
    <row r="57" spans="2:20" ht="18.75" hidden="1" customHeight="1">
      <c r="B57" s="55"/>
      <c r="C57" s="1015" t="s">
        <v>550</v>
      </c>
      <c r="D57" s="1016"/>
      <c r="E57" s="1016"/>
      <c r="F57" s="1016"/>
      <c r="G57" s="1016"/>
      <c r="H57" s="1021"/>
      <c r="I57" s="56"/>
      <c r="J57" s="40"/>
      <c r="K57" s="40"/>
    </row>
    <row r="58" spans="2:20" s="74" customFormat="1" ht="24" hidden="1" customHeight="1">
      <c r="B58" s="33"/>
      <c r="C58" s="1041" t="s">
        <v>108</v>
      </c>
      <c r="D58" s="1041"/>
      <c r="E58" s="1041"/>
      <c r="F58" s="135"/>
      <c r="G58" s="1041" t="s">
        <v>109</v>
      </c>
      <c r="H58" s="1041"/>
      <c r="I58" s="137"/>
      <c r="J58" s="134"/>
      <c r="K58" s="34"/>
      <c r="Q58" s="31"/>
      <c r="R58" s="31"/>
      <c r="S58" s="31"/>
      <c r="T58" s="31"/>
    </row>
    <row r="59" spans="2:20" s="74" customFormat="1" ht="18.75" hidden="1" customHeight="1">
      <c r="B59" s="33"/>
      <c r="C59" s="1037" t="b">
        <v>0</v>
      </c>
      <c r="D59" s="1038"/>
      <c r="E59" s="1038"/>
      <c r="F59" s="135"/>
      <c r="G59" s="1038" t="b">
        <v>0</v>
      </c>
      <c r="H59" s="1038"/>
      <c r="I59" s="137"/>
      <c r="J59" s="134"/>
      <c r="K59" s="34"/>
      <c r="Q59" s="31"/>
      <c r="R59" s="31"/>
      <c r="S59" s="31"/>
      <c r="T59" s="31"/>
    </row>
    <row r="60" spans="2:20" s="74" customFormat="1" ht="7.5" hidden="1" customHeight="1">
      <c r="B60" s="35"/>
      <c r="C60" s="36"/>
      <c r="D60" s="36"/>
      <c r="E60" s="36"/>
      <c r="F60" s="36"/>
      <c r="G60" s="138"/>
      <c r="H60" s="138"/>
      <c r="I60" s="37"/>
      <c r="J60" s="134"/>
      <c r="K60" s="34"/>
    </row>
    <row r="61" spans="2:20" s="74" customFormat="1" ht="15.75" customHeight="1">
      <c r="C61" s="34"/>
      <c r="D61" s="34"/>
      <c r="E61" s="34"/>
      <c r="F61" s="34"/>
      <c r="G61" s="134"/>
      <c r="H61" s="134"/>
      <c r="I61" s="34"/>
      <c r="J61" s="134"/>
      <c r="K61" s="34"/>
    </row>
    <row r="62" spans="2:20" ht="18.75" customHeight="1">
      <c r="B62" s="1040" t="s">
        <v>9</v>
      </c>
      <c r="C62" s="1040"/>
      <c r="D62" s="1040"/>
      <c r="E62" s="1040"/>
      <c r="F62" s="158"/>
      <c r="G62" s="162"/>
      <c r="H62" s="162"/>
      <c r="I62" s="158"/>
      <c r="J62" s="40"/>
      <c r="K62" s="40"/>
    </row>
    <row r="63" spans="2:20" ht="18.75" customHeight="1">
      <c r="B63" s="42"/>
      <c r="C63" s="1027" t="s">
        <v>8</v>
      </c>
      <c r="D63" s="1027"/>
      <c r="E63" s="1027"/>
      <c r="F63" s="1027"/>
      <c r="G63" s="1027"/>
      <c r="H63" s="1027"/>
      <c r="I63" s="45"/>
      <c r="J63" s="40"/>
      <c r="K63" s="40"/>
    </row>
    <row r="64" spans="2:20" ht="18.75" customHeight="1">
      <c r="B64" s="55"/>
      <c r="C64" s="1015"/>
      <c r="D64" s="1016"/>
      <c r="E64" s="1016"/>
      <c r="F64" s="1016"/>
      <c r="G64" s="1016"/>
      <c r="H64" s="1021"/>
      <c r="I64" s="56"/>
      <c r="J64" s="40"/>
      <c r="K64" s="40"/>
    </row>
    <row r="65" spans="2:11" ht="18.75" customHeight="1">
      <c r="B65" s="42"/>
      <c r="C65" s="1034" t="s">
        <v>7</v>
      </c>
      <c r="D65" s="1034"/>
      <c r="E65" s="1034"/>
      <c r="F65" s="1034"/>
      <c r="G65" s="1034"/>
      <c r="H65" s="1034"/>
      <c r="I65" s="45"/>
      <c r="J65" s="40"/>
      <c r="K65" s="40"/>
    </row>
    <row r="66" spans="2:11" ht="18.75" customHeight="1">
      <c r="B66" s="55"/>
      <c r="C66" s="1044"/>
      <c r="D66" s="1046"/>
      <c r="E66" s="1046"/>
      <c r="F66" s="1046"/>
      <c r="G66" s="1046"/>
      <c r="H66" s="168" t="s">
        <v>110</v>
      </c>
      <c r="I66" s="56"/>
      <c r="J66" s="40"/>
      <c r="K66" s="40"/>
    </row>
    <row r="67" spans="2:11" ht="18.75" customHeight="1">
      <c r="B67" s="42"/>
      <c r="C67" s="1045" t="s">
        <v>6</v>
      </c>
      <c r="D67" s="1045"/>
      <c r="E67" s="1045"/>
      <c r="F67" s="44"/>
      <c r="G67" s="1027" t="s">
        <v>0</v>
      </c>
      <c r="H67" s="1027"/>
      <c r="I67" s="45"/>
      <c r="J67" s="40"/>
      <c r="K67" s="40"/>
    </row>
    <row r="68" spans="2:11" ht="18.75" customHeight="1">
      <c r="B68" s="55"/>
      <c r="C68" s="1030"/>
      <c r="D68" s="1044"/>
      <c r="E68" s="168" t="s">
        <v>110</v>
      </c>
      <c r="F68" s="57"/>
      <c r="G68" s="1031"/>
      <c r="H68" s="1033"/>
      <c r="I68" s="56"/>
      <c r="J68" s="40"/>
      <c r="K68" s="40"/>
    </row>
    <row r="69" spans="2:11" ht="18.75" customHeight="1">
      <c r="B69" s="42"/>
      <c r="C69" s="1045" t="s">
        <v>5</v>
      </c>
      <c r="D69" s="1045"/>
      <c r="E69" s="1045"/>
      <c r="F69" s="44"/>
      <c r="G69" s="1024" t="s">
        <v>0</v>
      </c>
      <c r="H69" s="1024"/>
      <c r="I69" s="45"/>
      <c r="J69" s="40"/>
      <c r="K69" s="40"/>
    </row>
    <row r="70" spans="2:11" ht="18.75" customHeight="1">
      <c r="B70" s="55"/>
      <c r="C70" s="1030"/>
      <c r="D70" s="1044"/>
      <c r="E70" s="168" t="s">
        <v>110</v>
      </c>
      <c r="F70" s="57"/>
      <c r="G70" s="1031"/>
      <c r="H70" s="1033"/>
      <c r="I70" s="56"/>
      <c r="J70" s="40"/>
      <c r="K70" s="40"/>
    </row>
    <row r="71" spans="2:11" ht="7.5" customHeight="1">
      <c r="B71" s="58"/>
      <c r="C71" s="59"/>
      <c r="D71" s="59"/>
      <c r="E71" s="59"/>
      <c r="F71" s="60"/>
      <c r="G71" s="59"/>
      <c r="H71" s="59"/>
      <c r="I71" s="61"/>
    </row>
    <row r="72" spans="2:11" ht="17.25" customHeight="1">
      <c r="C72" s="52"/>
      <c r="D72" s="52"/>
      <c r="E72" s="52"/>
      <c r="F72" s="62"/>
      <c r="G72" s="52"/>
      <c r="H72" s="52"/>
    </row>
    <row r="73" spans="2:11" ht="18.75" customHeight="1">
      <c r="B73" s="1040" t="s">
        <v>134</v>
      </c>
      <c r="C73" s="1040"/>
      <c r="D73" s="1040"/>
      <c r="E73" s="1040"/>
      <c r="F73" s="158"/>
      <c r="G73" s="162"/>
      <c r="H73" s="162"/>
      <c r="I73" s="158"/>
      <c r="J73" s="40"/>
      <c r="K73" s="40"/>
    </row>
    <row r="74" spans="2:11" ht="18.75" customHeight="1">
      <c r="B74" s="42"/>
      <c r="C74" s="206" t="s">
        <v>135</v>
      </c>
      <c r="D74" s="205"/>
      <c r="E74" s="204"/>
      <c r="F74" s="204"/>
      <c r="G74" s="204"/>
      <c r="H74" s="204"/>
      <c r="I74" s="45"/>
      <c r="J74" s="40"/>
      <c r="K74" s="40"/>
    </row>
    <row r="75" spans="2:11" ht="18.75" customHeight="1">
      <c r="B75" s="55"/>
      <c r="C75" s="1042">
        <v>0.01</v>
      </c>
      <c r="D75" s="1043"/>
      <c r="E75" s="204"/>
      <c r="F75" s="204"/>
      <c r="G75" s="204"/>
      <c r="H75" s="204"/>
      <c r="I75" s="56"/>
      <c r="J75" s="40"/>
      <c r="K75" s="40"/>
    </row>
    <row r="76" spans="2:11" ht="7.5" customHeight="1">
      <c r="B76" s="58"/>
      <c r="C76" s="59"/>
      <c r="D76" s="59"/>
      <c r="E76" s="59"/>
      <c r="F76" s="60"/>
      <c r="G76" s="59"/>
      <c r="H76" s="59"/>
      <c r="I76" s="61"/>
    </row>
  </sheetData>
  <sheetProtection sheet="1" selectLockedCells="1"/>
  <dataConsolidate/>
  <mergeCells count="75">
    <mergeCell ref="C75:D75"/>
    <mergeCell ref="C63:H63"/>
    <mergeCell ref="C64:H64"/>
    <mergeCell ref="B73:E73"/>
    <mergeCell ref="C70:D70"/>
    <mergeCell ref="C68:D68"/>
    <mergeCell ref="C69:E69"/>
    <mergeCell ref="C67:E67"/>
    <mergeCell ref="C65:H65"/>
    <mergeCell ref="G67:H67"/>
    <mergeCell ref="G69:H69"/>
    <mergeCell ref="G68:H68"/>
    <mergeCell ref="G70:H70"/>
    <mergeCell ref="C66:G66"/>
    <mergeCell ref="B62:E62"/>
    <mergeCell ref="C52:E52"/>
    <mergeCell ref="C58:E58"/>
    <mergeCell ref="G58:H58"/>
    <mergeCell ref="C54:H54"/>
    <mergeCell ref="C55:H55"/>
    <mergeCell ref="C59:E59"/>
    <mergeCell ref="G59:H59"/>
    <mergeCell ref="G52:H52"/>
    <mergeCell ref="C56:H56"/>
    <mergeCell ref="C57:H57"/>
    <mergeCell ref="B49:E49"/>
    <mergeCell ref="G32:H32"/>
    <mergeCell ref="C53:E53"/>
    <mergeCell ref="C51:E51"/>
    <mergeCell ref="G53:H53"/>
    <mergeCell ref="C43:H43"/>
    <mergeCell ref="C45:E45"/>
    <mergeCell ref="G45:H45"/>
    <mergeCell ref="C46:E46"/>
    <mergeCell ref="G46:H46"/>
    <mergeCell ref="G34:H34"/>
    <mergeCell ref="G36:H36"/>
    <mergeCell ref="G38:H38"/>
    <mergeCell ref="C50:H50"/>
    <mergeCell ref="C44:H44"/>
    <mergeCell ref="B42:E42"/>
    <mergeCell ref="C26:E26"/>
    <mergeCell ref="G26:H26"/>
    <mergeCell ref="G24:H24"/>
    <mergeCell ref="C27:E27"/>
    <mergeCell ref="G27:H27"/>
    <mergeCell ref="G22:H22"/>
    <mergeCell ref="G25:H25"/>
    <mergeCell ref="C25:E25"/>
    <mergeCell ref="C23:E23"/>
    <mergeCell ref="G23:H23"/>
    <mergeCell ref="C22:E22"/>
    <mergeCell ref="C24:E24"/>
    <mergeCell ref="C21:H21"/>
    <mergeCell ref="C19:H19"/>
    <mergeCell ref="B6:C6"/>
    <mergeCell ref="D5:I6"/>
    <mergeCell ref="C20:H20"/>
    <mergeCell ref="C17:H17"/>
    <mergeCell ref="C15:H15"/>
    <mergeCell ref="B8:E8"/>
    <mergeCell ref="C14:H14"/>
    <mergeCell ref="C16:H16"/>
    <mergeCell ref="C18:H18"/>
    <mergeCell ref="B13:E13"/>
    <mergeCell ref="B10:F10"/>
    <mergeCell ref="B30:D30"/>
    <mergeCell ref="C32:E32"/>
    <mergeCell ref="C34:E34"/>
    <mergeCell ref="C36:E36"/>
    <mergeCell ref="C38:E38"/>
    <mergeCell ref="C31:D31"/>
    <mergeCell ref="C33:D33"/>
    <mergeCell ref="C35:D35"/>
    <mergeCell ref="C37:D37"/>
  </mergeCells>
  <conditionalFormatting sqref="D5:I6">
    <cfRule type="expression" dxfId="438" priority="2">
      <formula>$K$6</formula>
    </cfRule>
  </conditionalFormatting>
  <conditionalFormatting sqref="B6:C6">
    <cfRule type="expression" dxfId="437" priority="1">
      <formula>$K$6&lt;&gt;TRUE</formula>
    </cfRule>
  </conditionalFormatting>
  <dataValidations count="5">
    <dataValidation type="list" allowBlank="1" showInputMessage="1" showErrorMessage="1" sqref="G27" xr:uid="{00000000-0002-0000-0900-000000000000}">
      <formula1>"Accrual, Cash, STS Cash"</formula1>
    </dataValidation>
    <dataValidation type="list" allowBlank="1" showInputMessage="1" showErrorMessage="1" sqref="C27:D27 F27:F29 F40:F41 D39" xr:uid="{00000000-0002-0000-0900-000001000000}">
      <formula1>"Yes, No"</formula1>
    </dataValidation>
    <dataValidation type="list" allowBlank="1" showInputMessage="1" showErrorMessage="1" sqref="G25" xr:uid="{00000000-0002-0000-0900-000002000000}">
      <formula1>"Small Business Rules, Capital Allowances"</formula1>
    </dataValidation>
    <dataValidation type="list" allowBlank="1" showInputMessage="1" showErrorMessage="1" sqref="C21:D21" xr:uid="{00000000-0002-0000-0900-000003000000}">
      <formula1>"Company, Trust, Partnership, Sole Trader, SMSF, Association, Other"</formula1>
    </dataValidation>
    <dataValidation type="date" operator="greaterThan" allowBlank="1" showErrorMessage="1" errorTitle="Date" error="Please enter a valid date" sqref="C23:D23 G23" xr:uid="{00000000-0002-0000-0900-000004000000}">
      <formula1>1</formula1>
    </dataValidation>
  </dataValidations>
  <hyperlinks>
    <hyperlink ref="H66" location="Go_SelectUser_Partner" tooltip="Select Partner" display="q" xr:uid="{00000000-0004-0000-0900-000000000000}"/>
    <hyperlink ref="E68" location="Go_SelectUser_Preparer" tooltip="Select Preparer" display="q" xr:uid="{00000000-0004-0000-0900-000001000000}"/>
    <hyperlink ref="E70" location="Go_SelectUser_Reviewer" tooltip="Select Reviewer" display="q" xr:uid="{00000000-0004-0000-0900-000002000000}"/>
    <hyperlink ref="F8" location="Home!Go_RollUp" tooltip="Info on connections" display="i" xr:uid="{00000000-0004-0000-0900-000003000000}"/>
    <hyperlink ref="B8:E8" location="Go_ConfigureFileSource" tooltip="Connect File" display="CONNECT FILE" xr:uid="{00000000-0004-0000-0900-000004000000}"/>
  </hyperlinks>
  <printOptions horizontalCentered="1"/>
  <pageMargins left="0.74803149606299213" right="0.74803149606299213" top="0.98425196850393704" bottom="0.98425196850393704" header="0.51181102362204722" footer="0.51181102362204722"/>
  <pageSetup paperSize="9" scale="38" orientation="portrait" horizontalDpi="300" verticalDpi="300" r:id="rId1"/>
  <headerFooter alignWithMargins="0">
    <oddFooter>&amp;L&amp;F
Copyright&amp;X©&amp;X 2003-Present Business Fitness Pty Ltd&amp;R&amp;A  Page   &amp;P</oddFooter>
  </headerFooter>
  <customProperties>
    <customPr name="SheetId" r:id="rId2"/>
  </customProperties>
  <ignoredErrors>
    <ignoredError sqref="C25" unlockedFormula="1"/>
  </ignoredError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358A51-FC1D-420A-8117-5919B9628391}">
  <sheetPr>
    <tabColor theme="0" tint="-0.14999847407452621"/>
  </sheetPr>
  <dimension ref="A1:B5"/>
  <sheetViews>
    <sheetView workbookViewId="0"/>
  </sheetViews>
  <sheetFormatPr defaultRowHeight="15"/>
  <sheetData>
    <row r="1" spans="1:2">
      <c r="A1" t="s">
        <v>953</v>
      </c>
      <c r="B1" t="s">
        <v>954</v>
      </c>
    </row>
    <row r="2" spans="1:2">
      <c r="A2" t="s">
        <v>955</v>
      </c>
      <c r="B2">
        <v>15</v>
      </c>
    </row>
    <row r="3" spans="1:2">
      <c r="A3" t="s">
        <v>956</v>
      </c>
    </row>
    <row r="4" spans="1:2">
      <c r="A4" t="s">
        <v>957</v>
      </c>
      <c r="B4" t="s">
        <v>958</v>
      </c>
    </row>
    <row r="5" spans="1:2">
      <c r="A5" t="s">
        <v>959</v>
      </c>
      <c r="B5" t="s">
        <v>960</v>
      </c>
    </row>
  </sheetData>
  <pageMargins left="0.7" right="0.7" top="0.75" bottom="0.75" header="0.3" footer="0.3"/>
  <customProperties>
    <customPr name="SheetId" r:id="rId1"/>
  </customPropertie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Index">
    <tabColor theme="0" tint="-0.14999847407452621"/>
    <pageSetUpPr fitToPage="1"/>
  </sheetPr>
  <dimension ref="A1:AP240"/>
  <sheetViews>
    <sheetView showGridLines="0" zoomScaleNormal="100" workbookViewId="0">
      <pane ySplit="7" topLeftCell="A218" activePane="bottomLeft" state="frozen"/>
      <selection activeCell="A5" sqref="A5"/>
      <selection pane="bottomLeft" activeCell="AP231" sqref="AP231"/>
    </sheetView>
  </sheetViews>
  <sheetFormatPr defaultColWidth="9.140625" defaultRowHeight="15"/>
  <cols>
    <col min="1" max="1" width="2" style="1" customWidth="1"/>
    <col min="2" max="2" width="1" style="65" customWidth="1"/>
    <col min="3" max="6" width="7.28515625" style="65" hidden="1" customWidth="1"/>
    <col min="7" max="7" width="9.28515625" style="65" hidden="1" customWidth="1"/>
    <col min="8" max="8" width="13" style="74" hidden="1" customWidth="1"/>
    <col min="9" max="9" width="44.42578125" style="65" customWidth="1"/>
    <col min="10" max="10" width="13.7109375" style="65" customWidth="1"/>
    <col min="11" max="12" width="13.7109375" style="65" hidden="1" customWidth="1"/>
    <col min="13" max="13" width="5" style="1" customWidth="1"/>
    <col min="14" max="14" width="5" style="65" customWidth="1"/>
    <col min="15" max="16" width="11.28515625" style="65" hidden="1" customWidth="1"/>
    <col min="17" max="18" width="11.28515625" style="1" hidden="1" customWidth="1"/>
    <col min="19" max="19" width="13.42578125" style="1" hidden="1" customWidth="1"/>
    <col min="20" max="20" width="14.7109375" style="21" hidden="1" customWidth="1"/>
    <col min="21" max="21" width="13.42578125" style="21" hidden="1" customWidth="1"/>
    <col min="22" max="23" width="10" style="65" hidden="1" customWidth="1"/>
    <col min="24" max="24" width="10.7109375" style="65" hidden="1" customWidth="1"/>
    <col min="25" max="25" width="11.28515625" style="65" hidden="1" customWidth="1"/>
    <col min="26" max="26" width="13.42578125" style="65" hidden="1" customWidth="1"/>
    <col min="27" max="28" width="13.42578125" style="74" hidden="1" customWidth="1"/>
    <col min="29" max="29" width="13.42578125" style="65" hidden="1" customWidth="1"/>
    <col min="30" max="30" width="41.28515625" style="1" customWidth="1"/>
    <col min="31" max="31" width="4.85546875" style="65" customWidth="1"/>
    <col min="32" max="32" width="4.7109375" style="21" customWidth="1"/>
    <col min="33" max="33" width="5.140625" style="74" customWidth="1"/>
    <col min="34" max="34" width="13.7109375" style="21" customWidth="1"/>
    <col min="35" max="35" width="14.42578125" style="1" customWidth="1"/>
    <col min="36" max="36" width="14" style="1" customWidth="1"/>
    <col min="37" max="37" width="11" style="1" customWidth="1"/>
    <col min="38" max="38" width="4.7109375" style="21" customWidth="1"/>
    <col min="39" max="39" width="4.140625" style="4" customWidth="1"/>
    <col min="40" max="40" width="1.42578125" style="1" customWidth="1"/>
    <col min="41" max="41" width="2" style="1" customWidth="1"/>
    <col min="42" max="16384" width="9.140625" style="1"/>
  </cols>
  <sheetData>
    <row r="1" spans="1:42" s="74" customFormat="1" ht="19.5" hidden="1" customHeight="1">
      <c r="A1" s="75"/>
      <c r="B1" s="79"/>
      <c r="C1" s="79" t="s">
        <v>52</v>
      </c>
      <c r="D1" s="79" t="s">
        <v>46</v>
      </c>
      <c r="E1" s="79" t="s">
        <v>45</v>
      </c>
      <c r="F1" s="79" t="s">
        <v>61</v>
      </c>
      <c r="G1" s="78" t="s">
        <v>26</v>
      </c>
      <c r="H1" s="133" t="s">
        <v>103</v>
      </c>
      <c r="I1" s="79" t="s">
        <v>63</v>
      </c>
      <c r="J1" s="79" t="s">
        <v>42</v>
      </c>
      <c r="K1" s="79" t="s">
        <v>49</v>
      </c>
      <c r="L1" s="79" t="s">
        <v>79</v>
      </c>
      <c r="M1" s="79"/>
      <c r="N1" s="79" t="s">
        <v>1</v>
      </c>
      <c r="O1" s="79" t="s">
        <v>93</v>
      </c>
      <c r="P1" s="79" t="s">
        <v>92</v>
      </c>
      <c r="Q1" s="79" t="s">
        <v>29</v>
      </c>
      <c r="R1" s="79" t="s">
        <v>27</v>
      </c>
      <c r="S1" s="79" t="s">
        <v>4</v>
      </c>
      <c r="T1" s="79" t="s">
        <v>65</v>
      </c>
      <c r="U1" s="79" t="s">
        <v>64</v>
      </c>
      <c r="V1" s="79" t="s">
        <v>95</v>
      </c>
      <c r="W1" s="79" t="s">
        <v>84</v>
      </c>
      <c r="X1" s="79" t="s">
        <v>87</v>
      </c>
      <c r="Y1" s="79" t="s">
        <v>75</v>
      </c>
      <c r="Z1" s="79" t="s">
        <v>76</v>
      </c>
      <c r="AA1" s="79" t="s">
        <v>122</v>
      </c>
      <c r="AB1" s="79" t="s">
        <v>117</v>
      </c>
      <c r="AC1" s="79" t="s">
        <v>82</v>
      </c>
      <c r="AD1" s="79" t="s">
        <v>2</v>
      </c>
      <c r="AE1" s="79" t="s">
        <v>94</v>
      </c>
      <c r="AF1" s="79" t="s">
        <v>73</v>
      </c>
      <c r="AG1" s="79" t="s">
        <v>117</v>
      </c>
      <c r="AH1" s="79" t="s">
        <v>57</v>
      </c>
      <c r="AI1" s="79" t="s">
        <v>3</v>
      </c>
      <c r="AJ1" s="79" t="s">
        <v>59</v>
      </c>
      <c r="AK1" s="79" t="s">
        <v>60</v>
      </c>
      <c r="AL1" s="79" t="s">
        <v>133</v>
      </c>
      <c r="AM1" s="79" t="s">
        <v>30</v>
      </c>
      <c r="AN1" s="75"/>
    </row>
    <row r="2" spans="1:42" s="74" customFormat="1" ht="19.5" hidden="1">
      <c r="A2" s="76"/>
      <c r="B2" s="85"/>
      <c r="C2" s="86"/>
      <c r="D2" s="87">
        <f ca="1">IF(IFERROR(ROW(TrialBalanceExact)+MATCH(C2,OFFSET(TrialBalanceExact,0,0,ROWS(TrialBalanceExact),1),0)-1=ROW(),TRUE),0, IF(ISERROR(VLOOKUP(C2,TrialBalanceExact,2,0)),0,VLOOKUP(C2,TrialBalanceExact,2,0)))</f>
        <v>0</v>
      </c>
      <c r="E2" s="87">
        <v>100</v>
      </c>
      <c r="F2" s="87"/>
      <c r="G2" s="101"/>
      <c r="H2" s="171"/>
      <c r="I2" s="91"/>
      <c r="J2" s="92"/>
      <c r="K2" s="92"/>
      <c r="L2" s="92"/>
      <c r="M2" s="92"/>
      <c r="N2" s="213" t="s">
        <v>136</v>
      </c>
      <c r="O2" s="100"/>
      <c r="P2" s="101"/>
      <c r="Q2" s="101"/>
      <c r="R2" s="101"/>
      <c r="S2" s="101"/>
      <c r="T2" s="102"/>
      <c r="U2" s="102"/>
      <c r="V2" s="102"/>
      <c r="W2" s="102"/>
      <c r="X2" s="103"/>
      <c r="Y2" s="101"/>
      <c r="Z2" s="101"/>
      <c r="AA2" s="177" t="b">
        <f>IFERROR(VLOOKUP(R2,HNSW_ItemsCount!A:D,2,0)&gt;0,FALSE)</f>
        <v>0</v>
      </c>
      <c r="AB2" s="177">
        <f>IFERROR(VLOOKUP(R2,HNSW_ItemsCount!A:D,4,0),0)</f>
        <v>0</v>
      </c>
      <c r="AC2" s="104"/>
      <c r="AD2" s="119"/>
      <c r="AE2" s="184" t="s">
        <v>58</v>
      </c>
      <c r="AF2" s="179" t="s">
        <v>74</v>
      </c>
      <c r="AG2" s="182">
        <f>AB2</f>
        <v>0</v>
      </c>
      <c r="AH2" s="120"/>
      <c r="AI2" s="121"/>
      <c r="AJ2" s="122"/>
      <c r="AK2" s="123"/>
      <c r="AL2" s="180" t="s">
        <v>58</v>
      </c>
      <c r="AM2" s="181" t="s">
        <v>25</v>
      </c>
      <c r="AN2" s="88"/>
    </row>
    <row r="3" spans="1:42" s="74" customFormat="1" ht="19.5" hidden="1">
      <c r="A3" s="76"/>
      <c r="B3" s="85"/>
      <c r="C3" s="86"/>
      <c r="D3" s="87">
        <f ca="1">IF(IFERROR(ROW(TrialBalanceExact)+MATCH(C3,OFFSET(TrialBalanceExact,0,0,ROWS(TrialBalanceExact),1),0)-1=ROW(),TRUE),0, IF(ISERROR(VLOOKUP(C3,TrialBalanceExact,2,0)),0,VLOOKUP(C3,TrialBalanceExact,2,0)))</f>
        <v>0</v>
      </c>
      <c r="E3" s="87">
        <v>100</v>
      </c>
      <c r="F3" s="87"/>
      <c r="G3" s="101"/>
      <c r="H3" s="101"/>
      <c r="I3" s="89"/>
      <c r="J3" s="96"/>
      <c r="K3" s="96"/>
      <c r="L3" s="98"/>
      <c r="M3" s="76"/>
      <c r="N3" s="213" t="s">
        <v>136</v>
      </c>
      <c r="O3" s="207"/>
      <c r="P3" s="208" t="str">
        <f>$C3&amp;"-"&amp;$E3</f>
        <v>-100</v>
      </c>
      <c r="Q3" s="208"/>
      <c r="R3" s="208"/>
      <c r="S3" s="208"/>
      <c r="T3" s="209">
        <f ca="1">ABS(IF(ISERROR(VLOOKUP(C3,TrialBalanceExact,8,0)),0,VLOOKUP(C3,TrialBalanceExact,8,0)))</f>
        <v>0</v>
      </c>
      <c r="U3" s="209" t="e">
        <f ca="1">ABS(IF(ISNUMBER(AH3),AH3,IF(ISBLANK(AH3),NA(),INDIRECT("'" &amp; _xll.SheetFromID(R3) &amp; "'!Reconcile_" &amp; SUBSTITUTE(AH3," ","")))))</f>
        <v>#N/A</v>
      </c>
      <c r="V3" s="209">
        <f ca="1">IFERROR(IF(ABS(ROUND($T3-$U3,2))&lt;=Options_Tolerance,1,-1),0)</f>
        <v>0</v>
      </c>
      <c r="W3" s="209" t="str">
        <f ca="1">$C3&amp;"-"&amp;V3</f>
        <v>-0</v>
      </c>
      <c r="X3" s="210">
        <f>IFERROR(VLOOKUP(AI3,StatusDescriptionsOrder,2,0),0)</f>
        <v>0</v>
      </c>
      <c r="Y3" s="208"/>
      <c r="Z3" s="211"/>
      <c r="AA3" s="177" t="b">
        <f>IFERROR(VLOOKUP(R3,HNSW_ItemsCount!A:D,2,0)&gt;0,FALSE)</f>
        <v>0</v>
      </c>
      <c r="AB3" s="177">
        <f>IFERROR(VLOOKUP(R3,HNSW_ItemsCount!A:D,4,0),0)</f>
        <v>0</v>
      </c>
      <c r="AC3" s="212"/>
      <c r="AD3" s="119"/>
      <c r="AE3" s="184" t="s">
        <v>58</v>
      </c>
      <c r="AF3" s="179" t="s">
        <v>74</v>
      </c>
      <c r="AG3" s="182">
        <f>AB3</f>
        <v>0</v>
      </c>
      <c r="AH3" s="124"/>
      <c r="AI3" s="125"/>
      <c r="AJ3" s="122"/>
      <c r="AK3" s="126"/>
      <c r="AL3" s="180" t="s">
        <v>58</v>
      </c>
      <c r="AM3" s="181" t="s">
        <v>25</v>
      </c>
      <c r="AN3" s="88"/>
    </row>
    <row r="4" spans="1:42" s="74" customFormat="1" ht="19.5" hidden="1">
      <c r="A4" s="76"/>
      <c r="B4" s="77"/>
      <c r="C4" s="87"/>
      <c r="D4" s="87"/>
      <c r="E4" s="87"/>
      <c r="F4" s="87"/>
      <c r="G4" s="101"/>
      <c r="H4" s="172"/>
      <c r="I4" s="84"/>
      <c r="J4" s="97"/>
      <c r="K4" s="97"/>
      <c r="L4" s="99"/>
      <c r="M4" s="81">
        <f>IF(AND($AC4,$O4&gt;0),"–",$O4)</f>
        <v>0</v>
      </c>
      <c r="N4" s="80" t="s">
        <v>83</v>
      </c>
      <c r="O4" s="93">
        <f>IF(OR(ISBLANK($C4),$C4="",$C4=0),0,COUNTIF(TB_WPTags,$C4&amp;"-100"))</f>
        <v>0</v>
      </c>
      <c r="P4" s="82"/>
      <c r="Q4" s="82"/>
      <c r="R4" s="82"/>
      <c r="S4" s="82"/>
      <c r="T4" s="82"/>
      <c r="U4" s="82"/>
      <c r="V4" s="83" t="str">
        <f>IF(OR(ISBLANK($C4),$AC4),"NA",IF(COUNTIF(W:W,$C4&amp;"--1")&gt;0,"-1",IF(COUNTIF(W:W,$C4&amp;"-1")&gt;0,"1","0")))</f>
        <v>NA</v>
      </c>
      <c r="W4" s="82"/>
      <c r="X4" s="83">
        <f ca="1">IF($O4&gt;0,MIN(OFFSET($X4,1,0,$O4)),0)</f>
        <v>0</v>
      </c>
      <c r="Y4" s="82" t="b">
        <f ca="1">IF(AND($O4&gt;0,AC4&lt;&gt;TRUE),COUNTIF(OFFSET($Y4,1,0,$O4),TRUE)&gt;=1,FALSE)</f>
        <v>0</v>
      </c>
      <c r="Z4" s="94" t="b">
        <f ca="1">IF(AND($O4&gt;0,AC4&lt;&gt;TRUE),COUNTIF(OFFSET($Z4,1,0,$O4),TRUE)&gt;=1,FALSE)</f>
        <v>0</v>
      </c>
      <c r="AA4" s="94" t="b">
        <f ca="1">IF(AND($O4&gt;0,AC4&lt;&gt;TRUE),COUNTIF(OFFSET($AA4,1,0,$O4),TRUE)&gt;=1,FALSE)</f>
        <v>0</v>
      </c>
      <c r="AB4" s="178">
        <f ca="1">IF(AND($O4&gt;0,AC4&lt;&gt;TRUE),SUM(OFFSET($AG4,1,0,$O4)),0)</f>
        <v>0</v>
      </c>
      <c r="AC4" s="94" t="b">
        <v>1</v>
      </c>
      <c r="AD4" s="127"/>
      <c r="AE4" s="185" t="s">
        <v>58</v>
      </c>
      <c r="AF4" s="175" t="str">
        <f ca="1">IF(AND(Y4,AC4&lt;&gt;TRUE),"]","")</f>
        <v/>
      </c>
      <c r="AG4" s="183">
        <f ca="1">AB4</f>
        <v>0</v>
      </c>
      <c r="AH4" s="174"/>
      <c r="AI4" s="95" t="str">
        <f>IF(AND($O4&gt;0,AC4&lt;&gt;TRUE),IF($X4&gt;=1,INDEX(StatusDescriptions,$X4+1,0),StatusBlank),"")</f>
        <v/>
      </c>
      <c r="AJ4" s="110"/>
      <c r="AK4" s="111"/>
      <c r="AL4" s="110"/>
      <c r="AM4" s="110"/>
      <c r="AN4" s="90"/>
    </row>
    <row r="5" spans="1:42" s="112" customFormat="1" ht="21" customHeight="1">
      <c r="A5" s="105"/>
      <c r="B5" s="105"/>
      <c r="C5" s="105"/>
      <c r="D5" s="105"/>
      <c r="E5" s="105"/>
      <c r="F5" s="105"/>
      <c r="G5" s="105"/>
      <c r="H5" s="105"/>
      <c r="I5" s="105"/>
      <c r="J5" s="105"/>
      <c r="K5" s="105"/>
      <c r="L5" s="105"/>
      <c r="M5" s="105"/>
      <c r="N5" s="105"/>
      <c r="O5" s="105"/>
      <c r="P5" s="105"/>
      <c r="Q5" s="105"/>
      <c r="R5" s="105"/>
      <c r="S5" s="105"/>
      <c r="T5" s="105"/>
      <c r="U5" s="105"/>
      <c r="V5" s="105"/>
      <c r="W5" s="105"/>
      <c r="X5" s="105"/>
      <c r="Y5" s="105"/>
      <c r="Z5" s="105"/>
      <c r="AA5" s="105"/>
      <c r="AB5" s="105"/>
      <c r="AC5" s="105"/>
      <c r="AD5" s="105"/>
      <c r="AE5" s="105"/>
      <c r="AF5" s="105"/>
      <c r="AG5" s="105"/>
      <c r="AH5" s="105"/>
      <c r="AI5" s="1051" t="s">
        <v>101</v>
      </c>
      <c r="AJ5" s="1051"/>
      <c r="AK5" s="1051" t="s">
        <v>100</v>
      </c>
      <c r="AL5" s="1051"/>
      <c r="AM5" s="1050" t="s">
        <v>102</v>
      </c>
      <c r="AN5" s="1050"/>
      <c r="AO5" s="105"/>
    </row>
    <row r="6" spans="1:42" s="112" customFormat="1" ht="17.25" customHeight="1">
      <c r="A6" s="105"/>
      <c r="B6" s="105"/>
      <c r="C6" s="105"/>
      <c r="D6" s="105"/>
      <c r="E6" s="105"/>
      <c r="F6" s="105"/>
      <c r="G6" s="105"/>
      <c r="H6" s="105"/>
      <c r="I6" s="105"/>
      <c r="J6" s="106"/>
      <c r="K6" s="105"/>
      <c r="L6" s="105"/>
      <c r="M6" s="105"/>
      <c r="N6" s="105"/>
      <c r="O6" s="105"/>
      <c r="P6" s="105"/>
      <c r="Q6" s="105"/>
      <c r="R6" s="105"/>
      <c r="S6" s="105"/>
      <c r="T6" s="105"/>
      <c r="U6" s="105"/>
      <c r="V6" s="105"/>
      <c r="W6" s="105"/>
      <c r="X6" s="105"/>
      <c r="Y6" s="105"/>
      <c r="Z6" s="105"/>
      <c r="AA6" s="105"/>
      <c r="AB6" s="105"/>
      <c r="AC6" s="105"/>
      <c r="AD6" s="107"/>
      <c r="AE6" s="108"/>
      <c r="AF6" s="105"/>
      <c r="AG6" s="105"/>
      <c r="AH6" s="105"/>
      <c r="AI6" s="105"/>
      <c r="AJ6" s="105"/>
      <c r="AK6" s="105"/>
      <c r="AL6" s="105"/>
      <c r="AM6" s="1053"/>
      <c r="AN6" s="1053"/>
      <c r="AO6" s="105"/>
    </row>
    <row r="7" spans="1:42" s="113" customFormat="1" ht="23.25" customHeight="1">
      <c r="A7" s="109"/>
      <c r="B7" s="1052" t="s">
        <v>41</v>
      </c>
      <c r="C7" s="1052"/>
      <c r="D7" s="1052"/>
      <c r="E7" s="1052"/>
      <c r="F7" s="1052"/>
      <c r="G7" s="1052"/>
      <c r="H7" s="1052"/>
      <c r="I7" s="1052"/>
      <c r="J7" s="132" t="s">
        <v>42</v>
      </c>
      <c r="K7" s="132" t="s">
        <v>49</v>
      </c>
      <c r="L7" s="132" t="s">
        <v>81</v>
      </c>
      <c r="M7" s="1052" t="s">
        <v>1</v>
      </c>
      <c r="N7" s="1052"/>
      <c r="O7" s="132" t="s">
        <v>29</v>
      </c>
      <c r="P7" s="132" t="s">
        <v>92</v>
      </c>
      <c r="Q7" s="132" t="s">
        <v>29</v>
      </c>
      <c r="R7" s="132" t="s">
        <v>27</v>
      </c>
      <c r="S7" s="132" t="s">
        <v>4</v>
      </c>
      <c r="T7" s="132" t="s">
        <v>85</v>
      </c>
      <c r="U7" s="132" t="s">
        <v>64</v>
      </c>
      <c r="V7" s="132" t="s">
        <v>86</v>
      </c>
      <c r="W7" s="132" t="s">
        <v>86</v>
      </c>
      <c r="X7" s="132" t="s">
        <v>91</v>
      </c>
      <c r="Y7" s="132" t="s">
        <v>77</v>
      </c>
      <c r="Z7" s="132" t="s">
        <v>78</v>
      </c>
      <c r="AA7" s="169" t="s">
        <v>122</v>
      </c>
      <c r="AB7" s="176" t="s">
        <v>117</v>
      </c>
      <c r="AC7" s="132" t="s">
        <v>82</v>
      </c>
      <c r="AD7" s="132" t="s">
        <v>56</v>
      </c>
      <c r="AE7" s="132" t="s">
        <v>94</v>
      </c>
      <c r="AF7" s="132" t="s">
        <v>73</v>
      </c>
      <c r="AG7" s="169" t="s">
        <v>117</v>
      </c>
      <c r="AH7" s="132" t="s">
        <v>57</v>
      </c>
      <c r="AI7" s="132" t="s">
        <v>3</v>
      </c>
      <c r="AJ7" s="132" t="s">
        <v>88</v>
      </c>
      <c r="AK7" s="132" t="s">
        <v>89</v>
      </c>
      <c r="AL7" s="132" t="s">
        <v>90</v>
      </c>
      <c r="AM7" s="1052" t="s">
        <v>30</v>
      </c>
      <c r="AN7" s="1052"/>
      <c r="AO7" s="109"/>
    </row>
    <row r="8" spans="1:42" s="3" customFormat="1" ht="10.5" customHeight="1">
      <c r="G8" s="67"/>
      <c r="H8" s="67"/>
      <c r="M8" s="7"/>
      <c r="N8" s="67"/>
      <c r="O8" s="67"/>
      <c r="P8" s="67"/>
      <c r="Q8" s="7"/>
      <c r="R8" s="7"/>
      <c r="S8" s="7"/>
      <c r="T8" s="7"/>
      <c r="U8" s="7"/>
      <c r="V8" s="67"/>
      <c r="W8" s="67"/>
      <c r="X8" s="67"/>
      <c r="Y8" s="67"/>
      <c r="Z8" s="67"/>
      <c r="AA8" s="67"/>
      <c r="AB8" s="67"/>
      <c r="AC8" s="67"/>
      <c r="AD8" s="8"/>
      <c r="AE8" s="8"/>
      <c r="AF8" s="7"/>
      <c r="AG8" s="67"/>
      <c r="AH8" s="8"/>
      <c r="AI8" s="7"/>
      <c r="AJ8" s="7"/>
      <c r="AK8" s="7"/>
      <c r="AL8" s="7"/>
      <c r="AM8" s="5"/>
    </row>
    <row r="9" spans="1:42" s="3" customFormat="1" ht="23.25" customHeight="1">
      <c r="B9" s="114"/>
      <c r="C9" s="115"/>
      <c r="D9" s="115"/>
      <c r="E9" s="115"/>
      <c r="F9" s="115"/>
      <c r="G9" s="115"/>
      <c r="H9" s="115"/>
      <c r="I9" s="118" t="str">
        <f ca="1">AP9</f>
        <v>These workpapers have no outstanding issues.</v>
      </c>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f ca="1">IF(FlaggedItems&gt;0,1,0) + IF(UnreconciledWorkpapers&gt;0,1,0)+IF(UnresolvedItems&gt;0,1,0)</f>
        <v>0</v>
      </c>
      <c r="AJ9" s="115" t="b">
        <f ca="1">AND(UnresolvedItems=0,UnreconciledWorkpapers=0,FlaggedItems=0)</f>
        <v>1</v>
      </c>
      <c r="AK9" s="115">
        <f>SUM(HNSW_ItemsCount!B:B)</f>
        <v>0</v>
      </c>
      <c r="AL9" s="116">
        <f ca="1">COUNTIF(V:V,"-1")</f>
        <v>0</v>
      </c>
      <c r="AM9" s="116">
        <f>COUNTIF(AE:AE,"O")</f>
        <v>0</v>
      </c>
      <c r="AN9" s="117"/>
      <c r="AP9" s="5" t="str">
        <f ca="1">IF(ShowAlert,"These workpapers have no outstanding issues.","These workpapers currently have "            &amp;               IF(UnreconciledWorkpapers&gt;0,UnreconciledWorkpapers&amp;" unreconciled workpaper"&amp;IF(UnreconciledWorkpapers&gt;1,"s",""),"")                  &amp;                 IF(AND(IssueTypes=2,UnreconciledWorkpapers&gt;0,UnresolvedItems&gt;0)," and ",IF(IssueTypes&gt;2,", ",""))               &amp;                   IF(UnresolvedItems&gt;0,UnresolvedItems&amp;" unresolved item"&amp;IF(UnresolvedItems&gt;1,"s",""),"")             &amp;                  IF(AND(IssueTypes&gt;1,FlaggedItems&gt;0)," and ","")                 &amp;                      IF(FlaggedItems&gt;0,FlaggedItems&amp;" flag"&amp;IF(FlaggedItems&gt;1,"s",""),"")&amp;".")</f>
        <v>These workpapers have no outstanding issues.</v>
      </c>
    </row>
    <row r="10" spans="1:42" s="3" customFormat="1" ht="10.5" customHeight="1">
      <c r="G10" s="67"/>
      <c r="H10" s="67"/>
      <c r="M10" s="67"/>
      <c r="N10" s="67"/>
      <c r="O10" s="67"/>
      <c r="P10" s="67"/>
      <c r="Q10" s="67"/>
      <c r="R10" s="67"/>
      <c r="S10" s="67"/>
      <c r="T10" s="67"/>
      <c r="U10" s="67"/>
      <c r="V10" s="67"/>
      <c r="W10" s="67"/>
      <c r="X10" s="67"/>
      <c r="Y10" s="67"/>
      <c r="Z10" s="67"/>
      <c r="AA10" s="67"/>
      <c r="AB10" s="67"/>
      <c r="AC10" s="67"/>
      <c r="AD10" s="8"/>
      <c r="AE10" s="8"/>
      <c r="AF10" s="67"/>
      <c r="AG10" s="67"/>
      <c r="AH10" s="8"/>
      <c r="AI10" s="67"/>
      <c r="AJ10" s="67"/>
      <c r="AK10" s="67"/>
      <c r="AL10" s="67"/>
      <c r="AM10" s="5"/>
    </row>
    <row r="11" spans="1:42" s="4" customFormat="1" ht="19.5" customHeight="1">
      <c r="A11" s="1"/>
      <c r="B11" s="1047" t="s">
        <v>39</v>
      </c>
      <c r="C11" s="1048"/>
      <c r="D11" s="1048"/>
      <c r="E11" s="1048"/>
      <c r="F11" s="1048"/>
      <c r="G11" s="1048"/>
      <c r="H11" s="1048"/>
      <c r="I11" s="1049"/>
      <c r="J11" s="66"/>
      <c r="K11" s="66"/>
      <c r="L11" s="66"/>
      <c r="M11" s="6"/>
      <c r="N11" s="66"/>
      <c r="O11" s="66"/>
      <c r="P11" s="66"/>
      <c r="Q11" s="6"/>
      <c r="R11" s="6"/>
      <c r="S11" s="6"/>
      <c r="T11" s="6"/>
      <c r="U11" s="6"/>
      <c r="V11" s="66"/>
      <c r="W11" s="66"/>
      <c r="X11" s="66"/>
      <c r="Y11" s="66"/>
      <c r="Z11" s="66"/>
      <c r="AA11" s="66"/>
      <c r="AB11" s="66"/>
      <c r="AC11" s="66"/>
      <c r="AD11" s="6"/>
      <c r="AE11" s="66"/>
      <c r="AF11" s="6"/>
      <c r="AG11" s="66"/>
      <c r="AH11" s="6"/>
      <c r="AI11" s="6"/>
      <c r="AJ11" s="6"/>
      <c r="AK11" s="6"/>
      <c r="AL11" s="6"/>
      <c r="AN11" s="1"/>
    </row>
    <row r="12" spans="1:42" ht="7.5" customHeight="1">
      <c r="B12" s="24"/>
      <c r="C12" s="25"/>
      <c r="D12" s="25"/>
      <c r="E12" s="25"/>
      <c r="F12" s="25"/>
      <c r="G12" s="69"/>
      <c r="H12" s="69"/>
      <c r="I12" s="25"/>
      <c r="J12" s="25"/>
      <c r="K12" s="25"/>
      <c r="L12" s="25"/>
      <c r="M12" s="12"/>
      <c r="N12" s="69"/>
      <c r="O12" s="69"/>
      <c r="P12" s="69"/>
      <c r="Q12" s="12"/>
      <c r="R12" s="12"/>
      <c r="S12" s="12"/>
      <c r="T12" s="12"/>
      <c r="U12" s="12"/>
      <c r="V12" s="69"/>
      <c r="W12" s="69"/>
      <c r="X12" s="69"/>
      <c r="Y12" s="69"/>
      <c r="Z12" s="69"/>
      <c r="AA12" s="69"/>
      <c r="AB12" s="69"/>
      <c r="AC12" s="69"/>
      <c r="AD12" s="12"/>
      <c r="AE12" s="69"/>
      <c r="AF12" s="12"/>
      <c r="AG12" s="69"/>
      <c r="AH12" s="12"/>
      <c r="AI12" s="12"/>
      <c r="AJ12" s="12"/>
      <c r="AK12" s="12"/>
      <c r="AL12" s="12"/>
      <c r="AM12" s="13"/>
      <c r="AN12" s="14"/>
    </row>
    <row r="13" spans="1:42" s="74" customFormat="1" ht="19.5">
      <c r="A13" s="76"/>
      <c r="B13" s="85"/>
      <c r="C13" s="86"/>
      <c r="D13" s="87">
        <f ca="1">IF(IFERROR(ROW(TrialBalanceExact)+MATCH(C13,OFFSET(TrialBalanceExact,0,0,ROWS(TrialBalanceExact),1),0)-1=ROW(),TRUE),0, IF(ISERROR(VLOOKUP(C13,TrialBalanceExact,2,0)),0,VLOOKUP(C13,TrialBalanceExact,2,0)))</f>
        <v>0</v>
      </c>
      <c r="E13" s="87">
        <v>100</v>
      </c>
      <c r="F13" s="87"/>
      <c r="G13" s="101" t="s">
        <v>62</v>
      </c>
      <c r="H13" s="171"/>
      <c r="I13" s="91"/>
      <c r="J13" s="92"/>
      <c r="K13" s="92"/>
      <c r="L13" s="92"/>
      <c r="M13" s="92"/>
      <c r="N13" s="213" t="s">
        <v>136</v>
      </c>
      <c r="O13" s="100"/>
      <c r="P13" s="101"/>
      <c r="Q13" s="101" t="s">
        <v>207</v>
      </c>
      <c r="R13" s="101" t="s">
        <v>208</v>
      </c>
      <c r="S13" s="101"/>
      <c r="T13" s="102"/>
      <c r="U13" s="102"/>
      <c r="V13" s="102"/>
      <c r="W13" s="102"/>
      <c r="X13" s="103"/>
      <c r="Y13" s="101" t="b">
        <v>0</v>
      </c>
      <c r="Z13" s="101" t="b">
        <v>0</v>
      </c>
      <c r="AA13" s="177" t="b">
        <f>IFERROR(VLOOKUP(R13,HNSW_ItemsCount!A:D,2,0)&gt;0,FALSE)</f>
        <v>0</v>
      </c>
      <c r="AB13" s="177">
        <f>IFERROR(VLOOKUP(R13,HNSW_ItemsCount!A:D,4,0),0)</f>
        <v>0</v>
      </c>
      <c r="AC13" s="104" t="b">
        <v>0</v>
      </c>
      <c r="AD13" s="119" t="s">
        <v>209</v>
      </c>
      <c r="AE13" s="184" t="s">
        <v>58</v>
      </c>
      <c r="AF13" s="179" t="s">
        <v>74</v>
      </c>
      <c r="AG13" s="182">
        <f t="shared" ref="AG13:AG22" si="0">AB13</f>
        <v>0</v>
      </c>
      <c r="AH13" s="120"/>
      <c r="AI13" s="121"/>
      <c r="AJ13" s="122"/>
      <c r="AK13" s="123"/>
      <c r="AL13" s="180" t="s">
        <v>58</v>
      </c>
      <c r="AM13" s="181" t="s">
        <v>25</v>
      </c>
      <c r="AN13" s="88"/>
    </row>
    <row r="14" spans="1:42" s="74" customFormat="1" ht="19.5">
      <c r="A14" s="76"/>
      <c r="B14" s="85"/>
      <c r="C14" s="86"/>
      <c r="D14" s="87">
        <f ca="1">IF(IFERROR(ROW(TrialBalanceExact)+MATCH(C14,OFFSET(TrialBalanceExact,0,0,ROWS(TrialBalanceExact),1),0)-1=ROW(),TRUE),0, IF(ISERROR(VLOOKUP(C14,TrialBalanceExact,2,0)),0,VLOOKUP(C14,TrialBalanceExact,2,0)))</f>
        <v>0</v>
      </c>
      <c r="E14" s="87">
        <v>100</v>
      </c>
      <c r="F14" s="87"/>
      <c r="G14" s="101" t="s">
        <v>62</v>
      </c>
      <c r="H14" s="171"/>
      <c r="I14" s="91"/>
      <c r="J14" s="92"/>
      <c r="K14" s="92"/>
      <c r="L14" s="92"/>
      <c r="M14" s="92"/>
      <c r="N14" s="213" t="s">
        <v>136</v>
      </c>
      <c r="O14" s="100"/>
      <c r="P14" s="101"/>
      <c r="Q14" s="101" t="s">
        <v>207</v>
      </c>
      <c r="R14" s="101" t="s">
        <v>235</v>
      </c>
      <c r="S14" s="101"/>
      <c r="T14" s="102"/>
      <c r="U14" s="102"/>
      <c r="V14" s="102"/>
      <c r="W14" s="102"/>
      <c r="X14" s="103"/>
      <c r="Y14" s="101" t="b">
        <v>0</v>
      </c>
      <c r="Z14" s="101" t="b">
        <v>0</v>
      </c>
      <c r="AA14" s="177" t="b">
        <f>IFERROR(VLOOKUP(R14,HNSW_ItemsCount!A:D,2,0)&gt;0,FALSE)</f>
        <v>0</v>
      </c>
      <c r="AB14" s="177">
        <f>IFERROR(VLOOKUP(R14,HNSW_ItemsCount!A:D,4,0),0)</f>
        <v>0</v>
      </c>
      <c r="AC14" s="104" t="b">
        <v>0</v>
      </c>
      <c r="AD14" s="119" t="s">
        <v>236</v>
      </c>
      <c r="AE14" s="184" t="s">
        <v>58</v>
      </c>
      <c r="AF14" s="179" t="s">
        <v>74</v>
      </c>
      <c r="AG14" s="182">
        <f t="shared" si="0"/>
        <v>0</v>
      </c>
      <c r="AH14" s="120"/>
      <c r="AI14" s="121"/>
      <c r="AJ14" s="122"/>
      <c r="AK14" s="123"/>
      <c r="AL14" s="180" t="s">
        <v>58</v>
      </c>
      <c r="AM14" s="181" t="s">
        <v>25</v>
      </c>
      <c r="AN14" s="88"/>
    </row>
    <row r="15" spans="1:42" s="74" customFormat="1" ht="19.5">
      <c r="A15" s="76"/>
      <c r="B15" s="85"/>
      <c r="C15" s="86"/>
      <c r="D15" s="87">
        <f ca="1">IF(IFERROR(ROW(TrialBalanceExact)+MATCH(C15,OFFSET(TrialBalanceExact,0,0,ROWS(TrialBalanceExact),1),0)-1=ROW(),TRUE),0, IF(ISERROR(VLOOKUP(C15,TrialBalanceExact,2,0)),0,VLOOKUP(C15,TrialBalanceExact,2,0)))</f>
        <v>0</v>
      </c>
      <c r="E15" s="87">
        <v>100</v>
      </c>
      <c r="F15" s="87"/>
      <c r="G15" s="101" t="s">
        <v>62</v>
      </c>
      <c r="H15" s="171"/>
      <c r="I15" s="91"/>
      <c r="J15" s="92"/>
      <c r="K15" s="92"/>
      <c r="L15" s="92"/>
      <c r="M15" s="92"/>
      <c r="N15" s="213" t="s">
        <v>136</v>
      </c>
      <c r="O15" s="100"/>
      <c r="P15" s="101"/>
      <c r="Q15" s="101" t="s">
        <v>207</v>
      </c>
      <c r="R15" s="101" t="s">
        <v>264</v>
      </c>
      <c r="S15" s="101"/>
      <c r="T15" s="102"/>
      <c r="U15" s="102"/>
      <c r="V15" s="102"/>
      <c r="W15" s="102"/>
      <c r="X15" s="103"/>
      <c r="Y15" s="101" t="b">
        <v>0</v>
      </c>
      <c r="Z15" s="101" t="b">
        <v>0</v>
      </c>
      <c r="AA15" s="177" t="b">
        <f>IFERROR(VLOOKUP(R15,HNSW_ItemsCount!A:D,2,0)&gt;0,FALSE)</f>
        <v>0</v>
      </c>
      <c r="AB15" s="177">
        <f>IFERROR(VLOOKUP(R15,HNSW_ItemsCount!A:D,4,0),0)</f>
        <v>0</v>
      </c>
      <c r="AC15" s="104" t="b">
        <v>0</v>
      </c>
      <c r="AD15" s="119" t="s">
        <v>168</v>
      </c>
      <c r="AE15" s="184" t="s">
        <v>58</v>
      </c>
      <c r="AF15" s="179" t="s">
        <v>74</v>
      </c>
      <c r="AG15" s="182">
        <f t="shared" si="0"/>
        <v>0</v>
      </c>
      <c r="AH15" s="120"/>
      <c r="AI15" s="121"/>
      <c r="AJ15" s="122"/>
      <c r="AK15" s="123"/>
      <c r="AL15" s="180" t="s">
        <v>58</v>
      </c>
      <c r="AM15" s="181" t="s">
        <v>25</v>
      </c>
      <c r="AN15" s="88"/>
    </row>
    <row r="16" spans="1:42" s="74" customFormat="1" ht="19.5">
      <c r="A16" s="76"/>
      <c r="B16" s="85"/>
      <c r="C16" s="86"/>
      <c r="D16" s="87">
        <f ca="1">IF(IFERROR(ROW(TrialBalanceExact)+MATCH(C16,OFFSET(TrialBalanceExact,0,0,ROWS(TrialBalanceExact),1),0)-1=ROW(),TRUE),0, IF(ISERROR(VLOOKUP(C16,TrialBalanceExact,2,0)),0,VLOOKUP(C16,TrialBalanceExact,2,0)))</f>
        <v>0</v>
      </c>
      <c r="E16" s="87">
        <v>100</v>
      </c>
      <c r="F16" s="87"/>
      <c r="G16" s="101" t="s">
        <v>62</v>
      </c>
      <c r="H16" s="171"/>
      <c r="I16" s="91"/>
      <c r="J16" s="92"/>
      <c r="K16" s="92"/>
      <c r="L16" s="92"/>
      <c r="M16" s="92"/>
      <c r="N16" s="213" t="s">
        <v>136</v>
      </c>
      <c r="O16" s="100"/>
      <c r="P16" s="101"/>
      <c r="Q16" s="101" t="s">
        <v>207</v>
      </c>
      <c r="R16" s="101" t="s">
        <v>291</v>
      </c>
      <c r="S16" s="101"/>
      <c r="T16" s="102"/>
      <c r="U16" s="102"/>
      <c r="V16" s="102"/>
      <c r="W16" s="102"/>
      <c r="X16" s="103"/>
      <c r="Y16" s="101" t="b">
        <v>0</v>
      </c>
      <c r="Z16" s="101" t="b">
        <v>0</v>
      </c>
      <c r="AA16" s="177" t="b">
        <f>IFERROR(VLOOKUP(R16,HNSW_ItemsCount!A:D,2,0)&gt;0,FALSE)</f>
        <v>0</v>
      </c>
      <c r="AB16" s="177">
        <f>IFERROR(VLOOKUP(R16,HNSW_ItemsCount!A:D,4,0),0)</f>
        <v>0</v>
      </c>
      <c r="AC16" s="104" t="b">
        <v>0</v>
      </c>
      <c r="AD16" s="119" t="s">
        <v>292</v>
      </c>
      <c r="AE16" s="184" t="s">
        <v>58</v>
      </c>
      <c r="AF16" s="179" t="s">
        <v>74</v>
      </c>
      <c r="AG16" s="182">
        <f t="shared" si="0"/>
        <v>0</v>
      </c>
      <c r="AH16" s="120"/>
      <c r="AI16" s="121"/>
      <c r="AJ16" s="122"/>
      <c r="AK16" s="123"/>
      <c r="AL16" s="180" t="s">
        <v>58</v>
      </c>
      <c r="AM16" s="181" t="s">
        <v>25</v>
      </c>
      <c r="AN16" s="88"/>
    </row>
    <row r="17" spans="1:40" s="74" customFormat="1" ht="19.5">
      <c r="A17" s="76"/>
      <c r="B17" s="85"/>
      <c r="C17" s="86"/>
      <c r="D17" s="87">
        <f ca="1">IF(IFERROR(ROW(TrialBalanceExact)+MATCH(C17,OFFSET(TrialBalanceExact,0,0,ROWS(TrialBalanceExact),1),0)-1=ROW(),TRUE),0, IF(ISERROR(VLOOKUP(C17,TrialBalanceExact,2,0)),0,VLOOKUP(C17,TrialBalanceExact,2,0)))</f>
        <v>0</v>
      </c>
      <c r="E17" s="87">
        <v>100</v>
      </c>
      <c r="F17" s="87"/>
      <c r="G17" s="101" t="s">
        <v>62</v>
      </c>
      <c r="H17" s="171"/>
      <c r="I17" s="91"/>
      <c r="J17" s="92"/>
      <c r="K17" s="92"/>
      <c r="L17" s="92"/>
      <c r="M17" s="92"/>
      <c r="N17" s="213" t="s">
        <v>136</v>
      </c>
      <c r="O17" s="100"/>
      <c r="P17" s="101"/>
      <c r="Q17" s="101" t="s">
        <v>207</v>
      </c>
      <c r="R17" s="101" t="s">
        <v>297</v>
      </c>
      <c r="S17" s="101"/>
      <c r="T17" s="102"/>
      <c r="U17" s="102"/>
      <c r="V17" s="102"/>
      <c r="W17" s="102"/>
      <c r="X17" s="103"/>
      <c r="Y17" s="101" t="b">
        <v>0</v>
      </c>
      <c r="Z17" s="101" t="b">
        <v>0</v>
      </c>
      <c r="AA17" s="177" t="b">
        <f>IFERROR(VLOOKUP(R17,HNSW_ItemsCount!A:D,2,0)&gt;0,FALSE)</f>
        <v>0</v>
      </c>
      <c r="AB17" s="177">
        <f>IFERROR(VLOOKUP(R17,HNSW_ItemsCount!A:D,4,0),0)</f>
        <v>0</v>
      </c>
      <c r="AC17" s="104" t="b">
        <v>0</v>
      </c>
      <c r="AD17" s="119" t="s">
        <v>295</v>
      </c>
      <c r="AE17" s="184" t="s">
        <v>58</v>
      </c>
      <c r="AF17" s="179" t="s">
        <v>74</v>
      </c>
      <c r="AG17" s="182">
        <f t="shared" si="0"/>
        <v>0</v>
      </c>
      <c r="AH17" s="120"/>
      <c r="AI17" s="121"/>
      <c r="AJ17" s="122"/>
      <c r="AK17" s="123"/>
      <c r="AL17" s="180" t="s">
        <v>58</v>
      </c>
      <c r="AM17" s="181" t="s">
        <v>25</v>
      </c>
      <c r="AN17" s="88"/>
    </row>
    <row r="18" spans="1:40" s="74" customFormat="1" ht="19.5">
      <c r="A18" s="76"/>
      <c r="B18" s="85"/>
      <c r="C18" s="86"/>
      <c r="D18" s="87">
        <f ca="1">IF(IFERROR(ROW(TrialBalanceExact)+MATCH(C18,OFFSET(TrialBalanceExact,0,0,ROWS(TrialBalanceExact),1),0)-1=ROW(),TRUE),0, IF(ISERROR(VLOOKUP(C18,TrialBalanceExact,2,0)),0,VLOOKUP(C18,TrialBalanceExact,2,0)))</f>
        <v>0</v>
      </c>
      <c r="E18" s="87">
        <v>100</v>
      </c>
      <c r="F18" s="87"/>
      <c r="G18" s="101" t="s">
        <v>62</v>
      </c>
      <c r="H18" s="171"/>
      <c r="I18" s="91"/>
      <c r="J18" s="92"/>
      <c r="K18" s="92"/>
      <c r="L18" s="92"/>
      <c r="M18" s="92"/>
      <c r="N18" s="213" t="s">
        <v>136</v>
      </c>
      <c r="O18" s="100"/>
      <c r="P18" s="101"/>
      <c r="Q18" s="101" t="s">
        <v>207</v>
      </c>
      <c r="R18" s="101" t="s">
        <v>307</v>
      </c>
      <c r="S18" s="101"/>
      <c r="T18" s="102"/>
      <c r="U18" s="102"/>
      <c r="V18" s="102"/>
      <c r="W18" s="102"/>
      <c r="X18" s="103"/>
      <c r="Y18" s="101" t="b">
        <v>0</v>
      </c>
      <c r="Z18" s="101" t="b">
        <v>0</v>
      </c>
      <c r="AA18" s="177" t="b">
        <f>IFERROR(VLOOKUP(R18,HNSW_ItemsCount!A:D,2,0)&gt;0,FALSE)</f>
        <v>0</v>
      </c>
      <c r="AB18" s="177">
        <f>IFERROR(VLOOKUP(R18,HNSW_ItemsCount!A:D,4,0),0)</f>
        <v>0</v>
      </c>
      <c r="AC18" s="104" t="b">
        <v>0</v>
      </c>
      <c r="AD18" s="119" t="s">
        <v>308</v>
      </c>
      <c r="AE18" s="184" t="s">
        <v>58</v>
      </c>
      <c r="AF18" s="179" t="s">
        <v>74</v>
      </c>
      <c r="AG18" s="182">
        <f t="shared" si="0"/>
        <v>0</v>
      </c>
      <c r="AH18" s="120"/>
      <c r="AI18" s="121"/>
      <c r="AJ18" s="122"/>
      <c r="AK18" s="123"/>
      <c r="AL18" s="180" t="s">
        <v>58</v>
      </c>
      <c r="AM18" s="181" t="s">
        <v>25</v>
      </c>
      <c r="AN18" s="88"/>
    </row>
    <row r="19" spans="1:40" s="74" customFormat="1" ht="19.5">
      <c r="A19" s="76"/>
      <c r="B19" s="85"/>
      <c r="C19" s="86"/>
      <c r="D19" s="87">
        <f ca="1">IF(IFERROR(ROW(TrialBalanceExact)+MATCH(C19,OFFSET(TrialBalanceExact,0,0,ROWS(TrialBalanceExact),1),0)-1=ROW(),TRUE),0, IF(ISERROR(VLOOKUP(C19,TrialBalanceExact,2,0)),0,VLOOKUP(C19,TrialBalanceExact,2,0)))</f>
        <v>0</v>
      </c>
      <c r="E19" s="87">
        <v>100</v>
      </c>
      <c r="F19" s="87"/>
      <c r="G19" s="101" t="s">
        <v>62</v>
      </c>
      <c r="H19" s="171"/>
      <c r="I19" s="91"/>
      <c r="J19" s="92"/>
      <c r="K19" s="92"/>
      <c r="L19" s="92"/>
      <c r="M19" s="92"/>
      <c r="N19" s="213" t="s">
        <v>136</v>
      </c>
      <c r="O19" s="100"/>
      <c r="P19" s="101"/>
      <c r="Q19" s="101" t="s">
        <v>207</v>
      </c>
      <c r="R19" s="101" t="s">
        <v>329</v>
      </c>
      <c r="S19" s="101"/>
      <c r="T19" s="102"/>
      <c r="U19" s="102"/>
      <c r="V19" s="102"/>
      <c r="W19" s="102"/>
      <c r="X19" s="103"/>
      <c r="Y19" s="101" t="b">
        <v>0</v>
      </c>
      <c r="Z19" s="101" t="b">
        <v>0</v>
      </c>
      <c r="AA19" s="177" t="b">
        <f>IFERROR(VLOOKUP(R19,HNSW_ItemsCount!A:D,2,0)&gt;0,FALSE)</f>
        <v>0</v>
      </c>
      <c r="AB19" s="177">
        <f>IFERROR(VLOOKUP(R19,HNSW_ItemsCount!A:D,4,0),0)</f>
        <v>0</v>
      </c>
      <c r="AC19" s="104" t="b">
        <v>0</v>
      </c>
      <c r="AD19" s="119" t="s">
        <v>330</v>
      </c>
      <c r="AE19" s="184" t="s">
        <v>58</v>
      </c>
      <c r="AF19" s="179" t="s">
        <v>74</v>
      </c>
      <c r="AG19" s="182">
        <f t="shared" si="0"/>
        <v>0</v>
      </c>
      <c r="AH19" s="120"/>
      <c r="AI19" s="121" t="s">
        <v>36</v>
      </c>
      <c r="AJ19" s="122" t="s">
        <v>552</v>
      </c>
      <c r="AK19" s="123">
        <v>43546</v>
      </c>
      <c r="AL19" s="180" t="s">
        <v>58</v>
      </c>
      <c r="AM19" s="181" t="s">
        <v>25</v>
      </c>
      <c r="AN19" s="88"/>
    </row>
    <row r="20" spans="1:40" s="74" customFormat="1" ht="19.5">
      <c r="A20" s="76"/>
      <c r="B20" s="85"/>
      <c r="C20" s="86"/>
      <c r="D20" s="87">
        <f ca="1">IF(IFERROR(ROW(TrialBalanceExact)+MATCH(C20,OFFSET(TrialBalanceExact,0,0,ROWS(TrialBalanceExact),1),0)-1=ROW(),TRUE),0, IF(ISERROR(VLOOKUP(C20,TrialBalanceExact,2,0)),0,VLOOKUP(C20,TrialBalanceExact,2,0)))</f>
        <v>0</v>
      </c>
      <c r="E20" s="87">
        <v>100</v>
      </c>
      <c r="F20" s="87"/>
      <c r="G20" s="101" t="s">
        <v>62</v>
      </c>
      <c r="H20" s="171"/>
      <c r="I20" s="91"/>
      <c r="J20" s="92"/>
      <c r="K20" s="92"/>
      <c r="L20" s="92"/>
      <c r="M20" s="92"/>
      <c r="N20" s="213" t="s">
        <v>136</v>
      </c>
      <c r="O20" s="100"/>
      <c r="P20" s="101"/>
      <c r="Q20" s="101" t="s">
        <v>207</v>
      </c>
      <c r="R20" s="101" t="s">
        <v>355</v>
      </c>
      <c r="S20" s="101"/>
      <c r="T20" s="102"/>
      <c r="U20" s="102"/>
      <c r="V20" s="102"/>
      <c r="W20" s="102"/>
      <c r="X20" s="103"/>
      <c r="Y20" s="101" t="b">
        <v>0</v>
      </c>
      <c r="Z20" s="101" t="b">
        <v>0</v>
      </c>
      <c r="AA20" s="177" t="b">
        <f>IFERROR(VLOOKUP(R20,HNSW_ItemsCount!A:D,2,0)&gt;0,FALSE)</f>
        <v>0</v>
      </c>
      <c r="AB20" s="177">
        <f>IFERROR(VLOOKUP(R20,HNSW_ItemsCount!A:D,4,0),0)</f>
        <v>0</v>
      </c>
      <c r="AC20" s="104" t="b">
        <v>0</v>
      </c>
      <c r="AD20" s="119" t="s">
        <v>356</v>
      </c>
      <c r="AE20" s="184" t="s">
        <v>58</v>
      </c>
      <c r="AF20" s="179" t="s">
        <v>74</v>
      </c>
      <c r="AG20" s="182">
        <f t="shared" si="0"/>
        <v>0</v>
      </c>
      <c r="AH20" s="120"/>
      <c r="AI20" s="121"/>
      <c r="AJ20" s="122"/>
      <c r="AK20" s="123"/>
      <c r="AL20" s="180" t="s">
        <v>58</v>
      </c>
      <c r="AM20" s="181" t="s">
        <v>25</v>
      </c>
      <c r="AN20" s="88"/>
    </row>
    <row r="21" spans="1:40" s="74" customFormat="1" ht="19.5">
      <c r="A21" s="76"/>
      <c r="B21" s="85"/>
      <c r="C21" s="86"/>
      <c r="D21" s="87">
        <f ca="1">IF(IFERROR(ROW(TrialBalanceExact)+MATCH(C21,OFFSET(TrialBalanceExact,0,0,ROWS(TrialBalanceExact),1),0)-1=ROW(),TRUE),0, IF(ISERROR(VLOOKUP(C21,TrialBalanceExact,2,0)),0,VLOOKUP(C21,TrialBalanceExact,2,0)))</f>
        <v>0</v>
      </c>
      <c r="E21" s="87">
        <v>100</v>
      </c>
      <c r="F21" s="87"/>
      <c r="G21" s="101" t="s">
        <v>62</v>
      </c>
      <c r="H21" s="171"/>
      <c r="I21" s="91"/>
      <c r="J21" s="92"/>
      <c r="K21" s="92"/>
      <c r="L21" s="92"/>
      <c r="M21" s="92"/>
      <c r="N21" s="213" t="s">
        <v>136</v>
      </c>
      <c r="O21" s="100"/>
      <c r="P21" s="101"/>
      <c r="Q21" s="101" t="s">
        <v>207</v>
      </c>
      <c r="R21" s="101" t="s">
        <v>382</v>
      </c>
      <c r="S21" s="101"/>
      <c r="T21" s="102"/>
      <c r="U21" s="102"/>
      <c r="V21" s="102"/>
      <c r="W21" s="102"/>
      <c r="X21" s="103"/>
      <c r="Y21" s="101" t="b">
        <v>0</v>
      </c>
      <c r="Z21" s="101" t="b">
        <v>0</v>
      </c>
      <c r="AA21" s="177" t="b">
        <f>IFERROR(VLOOKUP(R21,HNSW_ItemsCount!A:D,2,0)&gt;0,FALSE)</f>
        <v>0</v>
      </c>
      <c r="AB21" s="177">
        <f>IFERROR(VLOOKUP(R21,HNSW_ItemsCount!A:D,4,0),0)</f>
        <v>0</v>
      </c>
      <c r="AC21" s="104" t="b">
        <v>0</v>
      </c>
      <c r="AD21" s="119" t="s">
        <v>383</v>
      </c>
      <c r="AE21" s="184" t="s">
        <v>58</v>
      </c>
      <c r="AF21" s="179" t="s">
        <v>74</v>
      </c>
      <c r="AG21" s="182">
        <f t="shared" si="0"/>
        <v>0</v>
      </c>
      <c r="AH21" s="120"/>
      <c r="AI21" s="121"/>
      <c r="AJ21" s="122"/>
      <c r="AK21" s="123"/>
      <c r="AL21" s="180" t="s">
        <v>58</v>
      </c>
      <c r="AM21" s="181" t="s">
        <v>25</v>
      </c>
      <c r="AN21" s="88"/>
    </row>
    <row r="22" spans="1:40" s="74" customFormat="1" ht="19.5" hidden="1">
      <c r="A22" s="76"/>
      <c r="B22" s="85"/>
      <c r="C22" s="86"/>
      <c r="D22" s="87">
        <f ca="1">IF(IFERROR(ROW(TrialBalanceExact)+MATCH(C22,OFFSET(TrialBalanceExact,0,0,ROWS(TrialBalanceExact),1),0)-1=ROW(),TRUE),0, IF(ISERROR(VLOOKUP(C22,TrialBalanceExact,2,0)),0,VLOOKUP(C22,TrialBalanceExact,2,0)))</f>
        <v>0</v>
      </c>
      <c r="E22" s="87">
        <v>100</v>
      </c>
      <c r="F22" s="87"/>
      <c r="G22" s="101" t="s">
        <v>62</v>
      </c>
      <c r="H22" s="171"/>
      <c r="I22" s="91"/>
      <c r="J22" s="92"/>
      <c r="K22" s="92"/>
      <c r="L22" s="92"/>
      <c r="M22" s="92"/>
      <c r="N22" s="213" t="s">
        <v>136</v>
      </c>
      <c r="O22" s="100"/>
      <c r="P22" s="101"/>
      <c r="Q22" s="101" t="s">
        <v>207</v>
      </c>
      <c r="R22" s="101" t="s">
        <v>389</v>
      </c>
      <c r="S22" s="101"/>
      <c r="T22" s="102"/>
      <c r="U22" s="102"/>
      <c r="V22" s="102"/>
      <c r="W22" s="102"/>
      <c r="X22" s="103"/>
      <c r="Y22" s="101" t="b">
        <v>0</v>
      </c>
      <c r="Z22" s="101" t="b">
        <v>0</v>
      </c>
      <c r="AA22" s="177" t="b">
        <f>IFERROR(VLOOKUP(R22,HNSW_ItemsCount!A:D,2,0)&gt;0,FALSE)</f>
        <v>0</v>
      </c>
      <c r="AB22" s="177">
        <f>IFERROR(VLOOKUP(R22,HNSW_ItemsCount!A:D,4,0),0)</f>
        <v>0</v>
      </c>
      <c r="AC22" s="104" t="b">
        <v>0</v>
      </c>
      <c r="AD22" s="119" t="s">
        <v>388</v>
      </c>
      <c r="AE22" s="184" t="s">
        <v>58</v>
      </c>
      <c r="AF22" s="179" t="s">
        <v>74</v>
      </c>
      <c r="AG22" s="182">
        <f t="shared" si="0"/>
        <v>0</v>
      </c>
      <c r="AH22" s="120"/>
      <c r="AI22" s="121"/>
      <c r="AJ22" s="122"/>
      <c r="AK22" s="123"/>
      <c r="AL22" s="180" t="s">
        <v>58</v>
      </c>
      <c r="AM22" s="181" t="s">
        <v>25</v>
      </c>
      <c r="AN22" s="88"/>
    </row>
    <row r="23" spans="1:40" s="74" customFormat="1" ht="19.5">
      <c r="A23" s="76"/>
      <c r="B23" s="85"/>
      <c r="C23" s="86"/>
      <c r="D23" s="87">
        <f ca="1">IF(IFERROR(ROW(TrialBalanceExact)+MATCH(C23,OFFSET(TrialBalanceExact,0,0,ROWS(TrialBalanceExact),1),0)-1=ROW(),TRUE),0, IF(ISERROR(VLOOKUP(C23,TrialBalanceExact,2,0)),0,VLOOKUP(C23,TrialBalanceExact,2,0)))</f>
        <v>0</v>
      </c>
      <c r="E23" s="87">
        <v>100</v>
      </c>
      <c r="F23" s="87"/>
      <c r="G23" s="101" t="s">
        <v>62</v>
      </c>
      <c r="H23" s="171"/>
      <c r="I23" s="91"/>
      <c r="J23" s="92"/>
      <c r="K23" s="92"/>
      <c r="L23" s="92"/>
      <c r="M23" s="92"/>
      <c r="N23" s="213" t="s">
        <v>136</v>
      </c>
      <c r="O23" s="100"/>
      <c r="P23" s="101"/>
      <c r="Q23" s="101" t="s">
        <v>861</v>
      </c>
      <c r="R23" s="101" t="s">
        <v>967</v>
      </c>
      <c r="S23" s="101" t="s">
        <v>968</v>
      </c>
      <c r="T23" s="102"/>
      <c r="U23" s="102"/>
      <c r="V23" s="102"/>
      <c r="W23" s="102"/>
      <c r="X23" s="103"/>
      <c r="Y23" s="101" t="b">
        <v>0</v>
      </c>
      <c r="Z23" s="101" t="b">
        <v>0</v>
      </c>
      <c r="AA23" s="177" t="b">
        <f>IFERROR(VLOOKUP(R23,HNSW_ItemsCount!A:D,2,0)&gt;0,FALSE)</f>
        <v>0</v>
      </c>
      <c r="AB23" s="177">
        <f>IFERROR(VLOOKUP(R23,HNSW_ItemsCount!A:D,4,0),0)</f>
        <v>0</v>
      </c>
      <c r="AC23" s="104" t="b">
        <v>0</v>
      </c>
      <c r="AD23" s="119" t="s">
        <v>970</v>
      </c>
      <c r="AE23" s="184" t="s">
        <v>58</v>
      </c>
      <c r="AF23" s="179" t="s">
        <v>74</v>
      </c>
      <c r="AG23" s="182">
        <f>AB23</f>
        <v>0</v>
      </c>
      <c r="AH23" s="120"/>
      <c r="AI23" s="121" t="s">
        <v>37</v>
      </c>
      <c r="AJ23" s="122" t="s">
        <v>1041</v>
      </c>
      <c r="AK23" s="123">
        <v>43545</v>
      </c>
      <c r="AL23" s="180" t="s">
        <v>58</v>
      </c>
      <c r="AM23" s="181" t="s">
        <v>25</v>
      </c>
      <c r="AN23" s="88"/>
    </row>
    <row r="24" spans="1:40" ht="19.5" customHeight="1">
      <c r="B24" s="26"/>
      <c r="C24" s="71"/>
      <c r="D24" s="71"/>
      <c r="E24" s="71"/>
      <c r="F24" s="71"/>
      <c r="G24" s="173" t="s">
        <v>62</v>
      </c>
      <c r="H24" s="170"/>
      <c r="I24" s="73" t="s">
        <v>28</v>
      </c>
      <c r="J24" s="71"/>
      <c r="K24" s="71"/>
      <c r="L24" s="71"/>
      <c r="M24" s="22"/>
      <c r="N24" s="71"/>
      <c r="O24" s="71"/>
      <c r="P24" s="71"/>
      <c r="Q24" s="22"/>
      <c r="R24" s="22"/>
      <c r="S24" s="22"/>
      <c r="T24" s="22"/>
      <c r="U24" s="22"/>
      <c r="V24" s="71"/>
      <c r="W24" s="71"/>
      <c r="X24" s="71"/>
      <c r="Y24" s="71"/>
      <c r="Z24" s="71"/>
      <c r="AA24" s="71"/>
      <c r="AB24" s="71"/>
      <c r="AC24" s="71"/>
      <c r="AD24" s="9"/>
      <c r="AE24" s="9"/>
      <c r="AF24" s="2"/>
      <c r="AG24" s="2"/>
      <c r="AH24" s="9"/>
      <c r="AI24" s="2"/>
      <c r="AJ24" s="2"/>
      <c r="AK24" s="2"/>
      <c r="AL24" s="2"/>
      <c r="AM24" s="11"/>
      <c r="AN24" s="15"/>
    </row>
    <row r="25" spans="1:40" ht="7.5" customHeight="1">
      <c r="B25" s="27"/>
      <c r="C25" s="28"/>
      <c r="D25" s="28"/>
      <c r="E25" s="28"/>
      <c r="F25" s="28"/>
      <c r="G25" s="70"/>
      <c r="H25" s="70"/>
      <c r="I25" s="28"/>
      <c r="J25" s="28"/>
      <c r="K25" s="28"/>
      <c r="L25" s="28"/>
      <c r="M25" s="16"/>
      <c r="N25" s="70"/>
      <c r="O25" s="70"/>
      <c r="P25" s="70"/>
      <c r="Q25" s="16"/>
      <c r="R25" s="16"/>
      <c r="S25" s="16"/>
      <c r="T25" s="16"/>
      <c r="U25" s="16"/>
      <c r="V25" s="70"/>
      <c r="W25" s="70"/>
      <c r="X25" s="70"/>
      <c r="Y25" s="70"/>
      <c r="Z25" s="70"/>
      <c r="AA25" s="70"/>
      <c r="AB25" s="70"/>
      <c r="AC25" s="70"/>
      <c r="AD25" s="17"/>
      <c r="AE25" s="17"/>
      <c r="AF25" s="18"/>
      <c r="AG25" s="18"/>
      <c r="AH25" s="17"/>
      <c r="AI25" s="18"/>
      <c r="AJ25" s="18"/>
      <c r="AK25" s="18"/>
      <c r="AL25" s="18"/>
      <c r="AM25" s="19"/>
      <c r="AN25" s="20"/>
    </row>
    <row r="26" spans="1:40" ht="18" customHeight="1">
      <c r="G26" s="68"/>
      <c r="H26" s="76"/>
      <c r="O26" s="68"/>
      <c r="P26" s="68"/>
      <c r="Q26" s="10"/>
      <c r="R26" s="10"/>
      <c r="S26" s="10"/>
      <c r="T26" s="32"/>
      <c r="U26" s="32"/>
      <c r="V26" s="68"/>
      <c r="W26" s="68"/>
      <c r="X26" s="68"/>
      <c r="Y26" s="68"/>
      <c r="Z26" s="68"/>
      <c r="AA26" s="76"/>
      <c r="AB26" s="76"/>
      <c r="AC26" s="68"/>
      <c r="AD26" s="10"/>
      <c r="AE26" s="68"/>
      <c r="AF26" s="32"/>
      <c r="AG26" s="76"/>
      <c r="AH26" s="32"/>
      <c r="AI26" s="10"/>
      <c r="AJ26" s="10"/>
      <c r="AK26" s="10"/>
      <c r="AL26" s="32"/>
    </row>
    <row r="27" spans="1:40" s="10" customFormat="1" ht="19.5" customHeight="1">
      <c r="B27" s="1047" t="s">
        <v>40</v>
      </c>
      <c r="C27" s="1048"/>
      <c r="D27" s="1048"/>
      <c r="E27" s="1048"/>
      <c r="F27" s="1048"/>
      <c r="G27" s="1048"/>
      <c r="H27" s="1048"/>
      <c r="I27" s="1049"/>
      <c r="J27" s="66"/>
      <c r="K27" s="66"/>
      <c r="L27" s="153"/>
      <c r="M27" s="153"/>
      <c r="N27" s="153"/>
      <c r="O27" s="153"/>
      <c r="P27" s="153"/>
      <c r="Q27" s="153"/>
      <c r="R27" s="153"/>
      <c r="S27" s="153"/>
      <c r="T27" s="153"/>
      <c r="U27" s="153"/>
      <c r="V27" s="153"/>
      <c r="W27" s="153"/>
      <c r="X27" s="153"/>
      <c r="Y27" s="153"/>
      <c r="Z27" s="153"/>
      <c r="AA27" s="153"/>
      <c r="AB27" s="153"/>
      <c r="AC27" s="153"/>
      <c r="AD27" s="153"/>
      <c r="AE27" s="66"/>
      <c r="AF27" s="6"/>
      <c r="AG27" s="66"/>
      <c r="AH27" s="6"/>
      <c r="AI27" s="6"/>
      <c r="AJ27" s="6"/>
      <c r="AK27" s="6"/>
      <c r="AL27" s="6"/>
      <c r="AM27" s="23"/>
      <c r="AN27" s="22"/>
    </row>
    <row r="28" spans="1:40" s="76" customFormat="1" ht="22.5" customHeight="1">
      <c r="B28" s="24"/>
      <c r="C28" s="25"/>
      <c r="D28" s="25"/>
      <c r="E28" s="25"/>
      <c r="F28" s="25"/>
      <c r="G28" s="69"/>
      <c r="H28" s="25"/>
      <c r="I28" s="140"/>
      <c r="J28" s="141">
        <f>PeriodEndDate</f>
        <v>43281</v>
      </c>
      <c r="K28" s="141">
        <f>DATE(YEAR(J28)-1,MONTH(J28),DAY(J28))</f>
        <v>42916</v>
      </c>
      <c r="L28" s="141"/>
      <c r="M28" s="142" t="s">
        <v>111</v>
      </c>
      <c r="N28" s="142" t="s">
        <v>38</v>
      </c>
      <c r="O28" s="69"/>
      <c r="P28" s="69"/>
      <c r="Q28" s="69"/>
      <c r="R28" s="69"/>
      <c r="S28" s="69"/>
      <c r="T28" s="69"/>
      <c r="U28" s="69"/>
      <c r="V28" s="69"/>
      <c r="W28" s="69"/>
      <c r="X28" s="69"/>
      <c r="Y28" s="69"/>
      <c r="Z28" s="69"/>
      <c r="AA28" s="69"/>
      <c r="AB28" s="69"/>
      <c r="AC28" s="69"/>
      <c r="AD28" s="69"/>
      <c r="AE28" s="69"/>
      <c r="AF28" s="69"/>
      <c r="AG28" s="69"/>
      <c r="AH28" s="69"/>
      <c r="AI28" s="69"/>
      <c r="AJ28" s="69"/>
      <c r="AK28" s="69"/>
      <c r="AL28" s="143"/>
      <c r="AM28" s="144"/>
    </row>
    <row r="29" spans="1:40" s="74" customFormat="1" ht="19.5">
      <c r="A29" s="76"/>
      <c r="B29" s="77"/>
      <c r="C29" s="671" t="s">
        <v>461</v>
      </c>
      <c r="D29" s="87">
        <v>1</v>
      </c>
      <c r="E29" s="87">
        <v>1</v>
      </c>
      <c r="F29" s="87" t="s">
        <v>562</v>
      </c>
      <c r="G29" s="101" t="s">
        <v>563</v>
      </c>
      <c r="H29" s="172"/>
      <c r="I29" s="672" t="s">
        <v>461</v>
      </c>
      <c r="J29" s="97">
        <v>0</v>
      </c>
      <c r="K29" s="97">
        <v>0</v>
      </c>
      <c r="L29" s="99">
        <v>0</v>
      </c>
      <c r="M29" s="81">
        <f t="shared" ref="M29:M35" ca="1" si="1">IF(AND($AC29,$O29&gt;0),"–",$O29)</f>
        <v>0</v>
      </c>
      <c r="N29" s="80"/>
      <c r="O29" s="93">
        <f ca="1">IF(OR(ISBLANK($C29),$C29="",$C29=0),0,COUNTIF(TB_WPTags,$C29&amp;"-100"))</f>
        <v>0</v>
      </c>
      <c r="P29" s="82"/>
      <c r="Q29" s="82"/>
      <c r="R29" s="82"/>
      <c r="S29" s="82"/>
      <c r="T29" s="82"/>
      <c r="U29" s="82"/>
      <c r="V29" s="83" t="str">
        <f t="shared" ref="V29:V35" ca="1" si="2">IF(OR(ISBLANK($C29),$AC29),"NA",IF(COUNTIF(W:W,$C29&amp;"--1")&gt;0,"-1",IF(COUNTIF(W:W,$C29&amp;"-1")&gt;0,"1","0")))</f>
        <v>0</v>
      </c>
      <c r="W29" s="82"/>
      <c r="X29" s="83">
        <f t="shared" ref="X29:X35" ca="1" si="3">IF($O29&gt;0,MIN(OFFSET($X29,1,0,$O29)),0)</f>
        <v>0</v>
      </c>
      <c r="Y29" s="82" t="b">
        <f t="shared" ref="Y29:Y35" ca="1" si="4">IF(AND($O29&gt;0,AC29&lt;&gt;TRUE),COUNTIF(OFFSET($Y29,1,0,$O29),TRUE)&gt;=1,FALSE)</f>
        <v>0</v>
      </c>
      <c r="Z29" s="94" t="b">
        <f t="shared" ref="Z29:Z35" ca="1" si="5">IF(AND($O29&gt;0,AC29&lt;&gt;TRUE),COUNTIF(OFFSET($Z29,1,0,$O29),TRUE)&gt;=1,FALSE)</f>
        <v>0</v>
      </c>
      <c r="AA29" s="94" t="b">
        <f t="shared" ref="AA29:AA35" ca="1" si="6">IF(AND($O29&gt;0,AC29&lt;&gt;TRUE),COUNTIF(OFFSET($AA29,1,0,$O29),TRUE)&gt;=1,FALSE)</f>
        <v>0</v>
      </c>
      <c r="AB29" s="178">
        <f t="shared" ref="AB29:AB35" ca="1" si="7">IF(AND($O29&gt;0,AC29&lt;&gt;TRUE),SUM(OFFSET($AG29,1,0,$O29)),0)</f>
        <v>0</v>
      </c>
      <c r="AC29" s="94" t="b">
        <v>0</v>
      </c>
      <c r="AD29" s="127"/>
      <c r="AE29" s="185"/>
      <c r="AF29" s="175" t="str">
        <f t="shared" ref="AF29:AF35" ca="1" si="8">IF(AND(Y29,AC29&lt;&gt;TRUE),"]","")</f>
        <v/>
      </c>
      <c r="AG29" s="183">
        <f t="shared" ref="AG29:AG92" ca="1" si="9">AB29</f>
        <v>0</v>
      </c>
      <c r="AH29" s="174"/>
      <c r="AI29" s="95" t="str">
        <f t="shared" ref="AI29:AI35" ca="1" si="10">IF(AND($O29&gt;0,AC29&lt;&gt;TRUE),IF($X29&gt;=1,INDEX(StatusDescriptions,$X29+1,0),StatusBlank),"")</f>
        <v/>
      </c>
      <c r="AJ29" s="110"/>
      <c r="AK29" s="111"/>
      <c r="AL29" s="110"/>
      <c r="AM29" s="110"/>
      <c r="AN29" s="90"/>
    </row>
    <row r="30" spans="1:40" s="74" customFormat="1" ht="19.5">
      <c r="A30" s="76"/>
      <c r="B30" s="77"/>
      <c r="C30" s="671" t="s">
        <v>741</v>
      </c>
      <c r="D30" s="87">
        <v>2</v>
      </c>
      <c r="E30" s="87">
        <v>2</v>
      </c>
      <c r="F30" s="87" t="s">
        <v>565</v>
      </c>
      <c r="G30" s="101" t="s">
        <v>563</v>
      </c>
      <c r="H30" s="172"/>
      <c r="I30" s="673" t="s">
        <v>742</v>
      </c>
      <c r="J30" s="97">
        <v>0</v>
      </c>
      <c r="K30" s="97">
        <v>0</v>
      </c>
      <c r="L30" s="99">
        <v>0</v>
      </c>
      <c r="M30" s="81">
        <f t="shared" ca="1" si="1"/>
        <v>0</v>
      </c>
      <c r="N30" s="80"/>
      <c r="O30" s="93">
        <f ca="1">IF(OR(ISBLANK($C30),$C30="",$C30=0),0,COUNTIF(TB_WPTags,$C30&amp;"-100"))</f>
        <v>0</v>
      </c>
      <c r="P30" s="82"/>
      <c r="Q30" s="82"/>
      <c r="R30" s="82"/>
      <c r="S30" s="82"/>
      <c r="T30" s="82"/>
      <c r="U30" s="82"/>
      <c r="V30" s="83" t="str">
        <f t="shared" ca="1" si="2"/>
        <v>0</v>
      </c>
      <c r="W30" s="82"/>
      <c r="X30" s="83">
        <f t="shared" ca="1" si="3"/>
        <v>0</v>
      </c>
      <c r="Y30" s="82" t="b">
        <f t="shared" ca="1" si="4"/>
        <v>0</v>
      </c>
      <c r="Z30" s="94" t="b">
        <f t="shared" ca="1" si="5"/>
        <v>0</v>
      </c>
      <c r="AA30" s="94" t="b">
        <f t="shared" ca="1" si="6"/>
        <v>0</v>
      </c>
      <c r="AB30" s="178">
        <f t="shared" ca="1" si="7"/>
        <v>0</v>
      </c>
      <c r="AC30" s="94" t="b">
        <v>0</v>
      </c>
      <c r="AD30" s="127"/>
      <c r="AE30" s="185"/>
      <c r="AF30" s="175" t="str">
        <f t="shared" ca="1" si="8"/>
        <v/>
      </c>
      <c r="AG30" s="183">
        <f t="shared" ca="1" si="9"/>
        <v>0</v>
      </c>
      <c r="AH30" s="174"/>
      <c r="AI30" s="95" t="str">
        <f t="shared" ca="1" si="10"/>
        <v/>
      </c>
      <c r="AJ30" s="110"/>
      <c r="AK30" s="111"/>
      <c r="AL30" s="110"/>
      <c r="AM30" s="110"/>
      <c r="AN30" s="90"/>
    </row>
    <row r="31" spans="1:40" s="74" customFormat="1" ht="19.5">
      <c r="A31" s="76"/>
      <c r="B31" s="77"/>
      <c r="C31" s="671" t="s">
        <v>743</v>
      </c>
      <c r="D31" s="87">
        <v>3</v>
      </c>
      <c r="E31" s="87">
        <v>3</v>
      </c>
      <c r="F31" s="87" t="s">
        <v>568</v>
      </c>
      <c r="G31" s="101" t="s">
        <v>563</v>
      </c>
      <c r="H31" s="172"/>
      <c r="I31" s="674" t="s">
        <v>744</v>
      </c>
      <c r="J31" s="97">
        <v>0</v>
      </c>
      <c r="K31" s="97">
        <v>0</v>
      </c>
      <c r="L31" s="99">
        <v>0</v>
      </c>
      <c r="M31" s="81">
        <f t="shared" ca="1" si="1"/>
        <v>0</v>
      </c>
      <c r="N31" s="80"/>
      <c r="O31" s="93">
        <f ca="1">IF(OR(ISBLANK($C31),$C31="",$C31=0),0,COUNTIF(TB_WPTags,$C31&amp;"-100"))</f>
        <v>0</v>
      </c>
      <c r="P31" s="82"/>
      <c r="Q31" s="82"/>
      <c r="R31" s="82"/>
      <c r="S31" s="82"/>
      <c r="T31" s="82"/>
      <c r="U31" s="82"/>
      <c r="V31" s="83" t="str">
        <f t="shared" ca="1" si="2"/>
        <v>0</v>
      </c>
      <c r="W31" s="82"/>
      <c r="X31" s="83">
        <f t="shared" ca="1" si="3"/>
        <v>0</v>
      </c>
      <c r="Y31" s="82" t="b">
        <f t="shared" ca="1" si="4"/>
        <v>0</v>
      </c>
      <c r="Z31" s="94" t="b">
        <f t="shared" ca="1" si="5"/>
        <v>0</v>
      </c>
      <c r="AA31" s="94" t="b">
        <f t="shared" ca="1" si="6"/>
        <v>0</v>
      </c>
      <c r="AB31" s="178">
        <f t="shared" ca="1" si="7"/>
        <v>0</v>
      </c>
      <c r="AC31" s="94" t="b">
        <v>0</v>
      </c>
      <c r="AD31" s="127"/>
      <c r="AE31" s="185"/>
      <c r="AF31" s="175" t="str">
        <f t="shared" ca="1" si="8"/>
        <v/>
      </c>
      <c r="AG31" s="183">
        <f t="shared" ca="1" si="9"/>
        <v>0</v>
      </c>
      <c r="AH31" s="174"/>
      <c r="AI31" s="95" t="str">
        <f t="shared" ca="1" si="10"/>
        <v/>
      </c>
      <c r="AJ31" s="110"/>
      <c r="AK31" s="111"/>
      <c r="AL31" s="110"/>
      <c r="AM31" s="110"/>
      <c r="AN31" s="90"/>
    </row>
    <row r="32" spans="1:40" s="74" customFormat="1" ht="19.5">
      <c r="A32" s="76"/>
      <c r="B32" s="77"/>
      <c r="C32" s="671" t="s">
        <v>977</v>
      </c>
      <c r="D32" s="87">
        <v>4</v>
      </c>
      <c r="E32" s="87">
        <v>4</v>
      </c>
      <c r="F32" s="87" t="s">
        <v>570</v>
      </c>
      <c r="G32" s="101" t="s">
        <v>563</v>
      </c>
      <c r="H32" s="172"/>
      <c r="I32" s="675" t="s">
        <v>978</v>
      </c>
      <c r="J32" s="97">
        <v>0</v>
      </c>
      <c r="K32" s="97">
        <v>0</v>
      </c>
      <c r="L32" s="99">
        <v>0</v>
      </c>
      <c r="M32" s="81">
        <f t="shared" ca="1" si="1"/>
        <v>0</v>
      </c>
      <c r="N32" s="80"/>
      <c r="O32" s="93">
        <f ca="1">IF(OR(ISBLANK($C32),$C32="",$C32=0),0,COUNTIF(TB_WPTags,$C32&amp;"-100"))</f>
        <v>0</v>
      </c>
      <c r="P32" s="82"/>
      <c r="Q32" s="82"/>
      <c r="R32" s="82"/>
      <c r="S32" s="82"/>
      <c r="T32" s="82"/>
      <c r="U32" s="82"/>
      <c r="V32" s="83" t="str">
        <f t="shared" ca="1" si="2"/>
        <v>0</v>
      </c>
      <c r="W32" s="82"/>
      <c r="X32" s="83">
        <f t="shared" ca="1" si="3"/>
        <v>0</v>
      </c>
      <c r="Y32" s="82" t="b">
        <f t="shared" ca="1" si="4"/>
        <v>0</v>
      </c>
      <c r="Z32" s="94" t="b">
        <f t="shared" ca="1" si="5"/>
        <v>0</v>
      </c>
      <c r="AA32" s="94" t="b">
        <f t="shared" ca="1" si="6"/>
        <v>0</v>
      </c>
      <c r="AB32" s="178">
        <f t="shared" ca="1" si="7"/>
        <v>0</v>
      </c>
      <c r="AC32" s="94" t="b">
        <v>0</v>
      </c>
      <c r="AD32" s="127"/>
      <c r="AE32" s="185"/>
      <c r="AF32" s="175" t="str">
        <f t="shared" ca="1" si="8"/>
        <v/>
      </c>
      <c r="AG32" s="183">
        <f t="shared" ca="1" si="9"/>
        <v>0</v>
      </c>
      <c r="AH32" s="174"/>
      <c r="AI32" s="95" t="str">
        <f t="shared" ca="1" si="10"/>
        <v/>
      </c>
      <c r="AJ32" s="110"/>
      <c r="AK32" s="111"/>
      <c r="AL32" s="110"/>
      <c r="AM32" s="110"/>
      <c r="AN32" s="90"/>
    </row>
    <row r="33" spans="1:40" s="74" customFormat="1" ht="19.5">
      <c r="A33" s="76"/>
      <c r="B33" s="77"/>
      <c r="C33" s="671" t="s">
        <v>979</v>
      </c>
      <c r="D33" s="87">
        <v>5</v>
      </c>
      <c r="E33" s="87">
        <v>5</v>
      </c>
      <c r="F33" s="87" t="s">
        <v>573</v>
      </c>
      <c r="G33" s="101" t="s">
        <v>563</v>
      </c>
      <c r="H33" s="172"/>
      <c r="I33" s="676" t="s">
        <v>638</v>
      </c>
      <c r="J33" s="677">
        <v>9547.5</v>
      </c>
      <c r="K33" s="677">
        <v>0</v>
      </c>
      <c r="L33" s="99">
        <v>9547.5</v>
      </c>
      <c r="M33" s="81">
        <f t="shared" ca="1" si="1"/>
        <v>0</v>
      </c>
      <c r="N33" s="80" t="s">
        <v>83</v>
      </c>
      <c r="O33" s="93">
        <f ca="1">IF(OR(ISBLANK($C33),$C33="",$C33=0),0,COUNTIF(TB_WPTags,$C33&amp;"-100"))</f>
        <v>0</v>
      </c>
      <c r="P33" s="82"/>
      <c r="Q33" s="82"/>
      <c r="R33" s="82"/>
      <c r="S33" s="82"/>
      <c r="T33" s="82"/>
      <c r="U33" s="82"/>
      <c r="V33" s="83" t="str">
        <f t="shared" ca="1" si="2"/>
        <v>0</v>
      </c>
      <c r="W33" s="82"/>
      <c r="X33" s="83">
        <f t="shared" ca="1" si="3"/>
        <v>0</v>
      </c>
      <c r="Y33" s="82" t="b">
        <f t="shared" ca="1" si="4"/>
        <v>0</v>
      </c>
      <c r="Z33" s="94" t="b">
        <f t="shared" ca="1" si="5"/>
        <v>0</v>
      </c>
      <c r="AA33" s="94" t="b">
        <f t="shared" ca="1" si="6"/>
        <v>0</v>
      </c>
      <c r="AB33" s="178">
        <f t="shared" ca="1" si="7"/>
        <v>0</v>
      </c>
      <c r="AC33" s="94" t="b">
        <v>0</v>
      </c>
      <c r="AD33" s="127"/>
      <c r="AE33" s="185"/>
      <c r="AF33" s="175" t="str">
        <f t="shared" ca="1" si="8"/>
        <v/>
      </c>
      <c r="AG33" s="183">
        <f t="shared" ca="1" si="9"/>
        <v>0</v>
      </c>
      <c r="AH33" s="174"/>
      <c r="AI33" s="95" t="str">
        <f t="shared" ca="1" si="10"/>
        <v/>
      </c>
      <c r="AJ33" s="110"/>
      <c r="AK33" s="111"/>
      <c r="AL33" s="110"/>
      <c r="AM33" s="110"/>
      <c r="AN33" s="90"/>
    </row>
    <row r="34" spans="1:40" s="74" customFormat="1" ht="19.5">
      <c r="A34" s="76"/>
      <c r="B34" s="77"/>
      <c r="C34" s="671" t="s">
        <v>980</v>
      </c>
      <c r="D34" s="87">
        <v>6</v>
      </c>
      <c r="E34" s="87">
        <v>5</v>
      </c>
      <c r="F34" s="87" t="s">
        <v>573</v>
      </c>
      <c r="G34" s="101" t="s">
        <v>563</v>
      </c>
      <c r="H34" s="172"/>
      <c r="I34" s="676" t="s">
        <v>644</v>
      </c>
      <c r="J34" s="677">
        <v>8265</v>
      </c>
      <c r="K34" s="677">
        <v>0</v>
      </c>
      <c r="L34" s="99">
        <v>8265</v>
      </c>
      <c r="M34" s="81">
        <f t="shared" ca="1" si="1"/>
        <v>0</v>
      </c>
      <c r="N34" s="80" t="s">
        <v>83</v>
      </c>
      <c r="O34" s="93">
        <f ca="1">IF(OR(ISBLANK($C34),$C34="",$C34=0),0,COUNTIF(TB_WPTags,$C34&amp;"-100"))</f>
        <v>0</v>
      </c>
      <c r="P34" s="82"/>
      <c r="Q34" s="82"/>
      <c r="R34" s="82"/>
      <c r="S34" s="82"/>
      <c r="T34" s="82"/>
      <c r="U34" s="82"/>
      <c r="V34" s="83" t="str">
        <f t="shared" ca="1" si="2"/>
        <v>0</v>
      </c>
      <c r="W34" s="82"/>
      <c r="X34" s="83">
        <f t="shared" ca="1" si="3"/>
        <v>0</v>
      </c>
      <c r="Y34" s="82" t="b">
        <f t="shared" ca="1" si="4"/>
        <v>0</v>
      </c>
      <c r="Z34" s="94" t="b">
        <f t="shared" ca="1" si="5"/>
        <v>0</v>
      </c>
      <c r="AA34" s="94" t="b">
        <f t="shared" ca="1" si="6"/>
        <v>0</v>
      </c>
      <c r="AB34" s="178">
        <f t="shared" ca="1" si="7"/>
        <v>0</v>
      </c>
      <c r="AC34" s="94" t="b">
        <v>0</v>
      </c>
      <c r="AD34" s="127"/>
      <c r="AE34" s="185"/>
      <c r="AF34" s="175" t="str">
        <f t="shared" ca="1" si="8"/>
        <v/>
      </c>
      <c r="AG34" s="183">
        <f t="shared" ca="1" si="9"/>
        <v>0</v>
      </c>
      <c r="AH34" s="174"/>
      <c r="AI34" s="95" t="str">
        <f t="shared" ca="1" si="10"/>
        <v/>
      </c>
      <c r="AJ34" s="110"/>
      <c r="AK34" s="111"/>
      <c r="AL34" s="110"/>
      <c r="AM34" s="110"/>
      <c r="AN34" s="90"/>
    </row>
    <row r="35" spans="1:40" s="74" customFormat="1" ht="19.5">
      <c r="A35" s="76"/>
      <c r="B35" s="77"/>
      <c r="C35" s="671" t="s">
        <v>981</v>
      </c>
      <c r="D35" s="87">
        <v>7</v>
      </c>
      <c r="E35" s="87">
        <v>4</v>
      </c>
      <c r="F35" s="87" t="s">
        <v>576</v>
      </c>
      <c r="G35" s="101" t="s">
        <v>563</v>
      </c>
      <c r="H35" s="172"/>
      <c r="I35" s="675" t="s">
        <v>982</v>
      </c>
      <c r="J35" s="678">
        <v>17812.5</v>
      </c>
      <c r="K35" s="678">
        <v>0</v>
      </c>
      <c r="L35" s="99">
        <v>17812.5</v>
      </c>
      <c r="M35" s="81" t="str">
        <f t="shared" ca="1" si="1"/>
        <v>–</v>
      </c>
      <c r="N35" s="80" t="s">
        <v>83</v>
      </c>
      <c r="O35" s="93">
        <f ca="1">IF(OR(ISBLANK($C35),$C35="",$C35=0),0,COUNTIF(TB_WPTags,$C35&amp;"-100"))</f>
        <v>1</v>
      </c>
      <c r="P35" s="82"/>
      <c r="Q35" s="82"/>
      <c r="R35" s="82"/>
      <c r="S35" s="82"/>
      <c r="T35" s="82"/>
      <c r="U35" s="82"/>
      <c r="V35" s="83" t="str">
        <f t="shared" si="2"/>
        <v>NA</v>
      </c>
      <c r="W35" s="82"/>
      <c r="X35" s="83">
        <f t="shared" ca="1" si="3"/>
        <v>8</v>
      </c>
      <c r="Y35" s="82" t="b">
        <f t="shared" ca="1" si="4"/>
        <v>0</v>
      </c>
      <c r="Z35" s="94" t="b">
        <f t="shared" ca="1" si="5"/>
        <v>0</v>
      </c>
      <c r="AA35" s="94" t="b">
        <f t="shared" ca="1" si="6"/>
        <v>0</v>
      </c>
      <c r="AB35" s="178">
        <f t="shared" ca="1" si="7"/>
        <v>0</v>
      </c>
      <c r="AC35" s="94" t="b">
        <v>1</v>
      </c>
      <c r="AD35" s="127"/>
      <c r="AE35" s="185"/>
      <c r="AF35" s="175" t="str">
        <f t="shared" ca="1" si="8"/>
        <v/>
      </c>
      <c r="AG35" s="183">
        <f t="shared" ca="1" si="9"/>
        <v>0</v>
      </c>
      <c r="AH35" s="174"/>
      <c r="AI35" s="95" t="str">
        <f t="shared" ca="1" si="10"/>
        <v/>
      </c>
      <c r="AJ35" s="110"/>
      <c r="AK35" s="111"/>
      <c r="AL35" s="110"/>
      <c r="AM35" s="110"/>
      <c r="AN35" s="90"/>
    </row>
    <row r="36" spans="1:40" s="74" customFormat="1" ht="19.5">
      <c r="A36" s="76"/>
      <c r="B36" s="77"/>
      <c r="C36" s="86" t="s">
        <v>981</v>
      </c>
      <c r="D36" s="87">
        <f ca="1">IF(IFERROR(ROW(TrialBalanceExact)+MATCH(C36,OFFSET(TrialBalanceExact,0,0,ROWS(TrialBalanceExact),1),0)-1=ROW(),TRUE),0, IF(ISERROR(VLOOKUP(C36,TrialBalanceExact,2,0)),0,VLOOKUP(C36,TrialBalanceExact,2,0)))</f>
        <v>7</v>
      </c>
      <c r="E36" s="87">
        <v>100</v>
      </c>
      <c r="F36" s="87"/>
      <c r="G36" s="101" t="s">
        <v>563</v>
      </c>
      <c r="H36" s="172"/>
      <c r="I36" s="734"/>
      <c r="J36" s="735"/>
      <c r="K36" s="735"/>
      <c r="L36" s="736"/>
      <c r="M36" s="737"/>
      <c r="N36" s="213" t="s">
        <v>136</v>
      </c>
      <c r="O36" s="738"/>
      <c r="P36" s="739" t="str">
        <f>$C36&amp;"-"&amp;$E36</f>
        <v>Totalemployer-100</v>
      </c>
      <c r="Q36" s="739" t="s">
        <v>877</v>
      </c>
      <c r="R36" s="739" t="s">
        <v>967</v>
      </c>
      <c r="S36" s="739" t="s">
        <v>968</v>
      </c>
      <c r="T36" s="740">
        <f ca="1">ABS(IF(ISERROR(VLOOKUP(C36,TrialBalanceExact,8,0)),0,VLOOKUP(C36,TrialBalanceExact,8,0)))</f>
        <v>17812.5</v>
      </c>
      <c r="U36" s="740">
        <f ca="1">ABS(IF(ISNUMBER(AH36),AH36,IF(ISBLANK(AH36),NA(),INDIRECT("'" &amp; _xll.SheetFromID(R36) &amp; "'!Reconcile_" &amp; SUBSTITUTE(AH36," ","")))))</f>
        <v>17812.5</v>
      </c>
      <c r="V36" s="740">
        <f ca="1">IFERROR(IF(ABS(ROUND($T36-$U36,2))&lt;=Options_Tolerance,1,-1),0)</f>
        <v>1</v>
      </c>
      <c r="W36" s="740" t="str">
        <f ca="1">$C36&amp;"-"&amp;V36</f>
        <v>Totalemployer-1</v>
      </c>
      <c r="X36" s="741">
        <f>IFERROR(VLOOKUP(AI36,StatusDescriptionsOrder,2,0),0)</f>
        <v>8</v>
      </c>
      <c r="Y36" s="739" t="b">
        <v>0</v>
      </c>
      <c r="Z36" s="742" t="b">
        <v>0</v>
      </c>
      <c r="AA36" s="743" t="b">
        <f>IFERROR(VLOOKUP(R36,HNSW_ItemsCount!A:D,2,0)&gt;0,FALSE)</f>
        <v>0</v>
      </c>
      <c r="AB36" s="743">
        <f>IFERROR(VLOOKUP(R36,HNSW_ItemsCount!A:D,4,0),0)</f>
        <v>0</v>
      </c>
      <c r="AC36" s="744" t="b">
        <v>0</v>
      </c>
      <c r="AD36" s="127" t="s">
        <v>970</v>
      </c>
      <c r="AE36" s="745" t="s">
        <v>58</v>
      </c>
      <c r="AF36" s="746" t="s">
        <v>74</v>
      </c>
      <c r="AG36" s="747">
        <f t="shared" si="9"/>
        <v>0</v>
      </c>
      <c r="AH36" s="748">
        <v>17812.5</v>
      </c>
      <c r="AI36" s="749" t="s">
        <v>37</v>
      </c>
      <c r="AJ36" s="750" t="s">
        <v>1041</v>
      </c>
      <c r="AK36" s="751">
        <v>43545</v>
      </c>
      <c r="AL36" s="752" t="s">
        <v>58</v>
      </c>
      <c r="AM36" s="753" t="s">
        <v>25</v>
      </c>
      <c r="AN36" s="90"/>
    </row>
    <row r="37" spans="1:40" s="74" customFormat="1" ht="19.5">
      <c r="A37" s="76"/>
      <c r="B37" s="77"/>
      <c r="C37" s="671" t="s">
        <v>745</v>
      </c>
      <c r="D37" s="87">
        <v>8</v>
      </c>
      <c r="E37" s="87">
        <v>4</v>
      </c>
      <c r="F37" s="87" t="s">
        <v>570</v>
      </c>
      <c r="G37" s="101" t="s">
        <v>563</v>
      </c>
      <c r="H37" s="172"/>
      <c r="I37" s="675" t="s">
        <v>746</v>
      </c>
      <c r="J37" s="97">
        <v>0</v>
      </c>
      <c r="K37" s="97">
        <v>0</v>
      </c>
      <c r="L37" s="99">
        <v>0</v>
      </c>
      <c r="M37" s="81">
        <f t="shared" ref="M37:M42" ca="1" si="11">IF(AND($AC37,$O37&gt;0),"–",$O37)</f>
        <v>0</v>
      </c>
      <c r="N37" s="80"/>
      <c r="O37" s="93">
        <f ca="1">IF(OR(ISBLANK($C37),$C37="",$C37=0),0,COUNTIF(TB_WPTags,$C37&amp;"-100"))</f>
        <v>0</v>
      </c>
      <c r="P37" s="82"/>
      <c r="Q37" s="82"/>
      <c r="R37" s="82"/>
      <c r="S37" s="82"/>
      <c r="T37" s="82"/>
      <c r="U37" s="82"/>
      <c r="V37" s="83" t="str">
        <f t="shared" ref="V37:V42" ca="1" si="12">IF(OR(ISBLANK($C37),$AC37),"NA",IF(COUNTIF(W:W,$C37&amp;"--1")&gt;0,"-1",IF(COUNTIF(W:W,$C37&amp;"-1")&gt;0,"1","0")))</f>
        <v>0</v>
      </c>
      <c r="W37" s="82"/>
      <c r="X37" s="83">
        <f t="shared" ref="X37:X42" ca="1" si="13">IF($O37&gt;0,MIN(OFFSET($X37,1,0,$O37)),0)</f>
        <v>0</v>
      </c>
      <c r="Y37" s="82" t="b">
        <f t="shared" ref="Y37:Y42" ca="1" si="14">IF(AND($O37&gt;0,AC37&lt;&gt;TRUE),COUNTIF(OFFSET($Y37,1,0,$O37),TRUE)&gt;=1,FALSE)</f>
        <v>0</v>
      </c>
      <c r="Z37" s="94" t="b">
        <f t="shared" ref="Z37:Z42" ca="1" si="15">IF(AND($O37&gt;0,AC37&lt;&gt;TRUE),COUNTIF(OFFSET($Z37,1,0,$O37),TRUE)&gt;=1,FALSE)</f>
        <v>0</v>
      </c>
      <c r="AA37" s="94" t="b">
        <f t="shared" ref="AA37:AA42" ca="1" si="16">IF(AND($O37&gt;0,AC37&lt;&gt;TRUE),COUNTIF(OFFSET($AA37,1,0,$O37),TRUE)&gt;=1,FALSE)</f>
        <v>0</v>
      </c>
      <c r="AB37" s="178">
        <f t="shared" ref="AB37:AB42" ca="1" si="17">IF(AND($O37&gt;0,AC37&lt;&gt;TRUE),SUM(OFFSET($AG37,1,0,$O37)),0)</f>
        <v>0</v>
      </c>
      <c r="AC37" s="94" t="b">
        <v>0</v>
      </c>
      <c r="AD37" s="127"/>
      <c r="AE37" s="185"/>
      <c r="AF37" s="175" t="str">
        <f t="shared" ref="AF37:AF42" ca="1" si="18">IF(AND(Y37,AC37&lt;&gt;TRUE),"]","")</f>
        <v/>
      </c>
      <c r="AG37" s="183">
        <f t="shared" ca="1" si="9"/>
        <v>0</v>
      </c>
      <c r="AH37" s="174"/>
      <c r="AI37" s="95" t="str">
        <f t="shared" ref="AI37:AI42" ca="1" si="19">IF(AND($O37&gt;0,AC37&lt;&gt;TRUE),IF($X37&gt;=1,INDEX(StatusDescriptions,$X37+1,0),StatusBlank),"")</f>
        <v/>
      </c>
      <c r="AJ37" s="110"/>
      <c r="AK37" s="111"/>
      <c r="AL37" s="110"/>
      <c r="AM37" s="110"/>
      <c r="AN37" s="90"/>
    </row>
    <row r="38" spans="1:40" s="74" customFormat="1" ht="19.5">
      <c r="A38" s="76"/>
      <c r="B38" s="77"/>
      <c r="C38" s="671" t="s">
        <v>747</v>
      </c>
      <c r="D38" s="87">
        <v>9</v>
      </c>
      <c r="E38" s="87">
        <v>5</v>
      </c>
      <c r="F38" s="87" t="s">
        <v>669</v>
      </c>
      <c r="G38" s="101" t="s">
        <v>563</v>
      </c>
      <c r="H38" s="172"/>
      <c r="I38" s="682" t="s">
        <v>748</v>
      </c>
      <c r="J38" s="97">
        <v>0</v>
      </c>
      <c r="K38" s="97">
        <v>0</v>
      </c>
      <c r="L38" s="99">
        <v>0</v>
      </c>
      <c r="M38" s="81">
        <f t="shared" ca="1" si="11"/>
        <v>0</v>
      </c>
      <c r="N38" s="80"/>
      <c r="O38" s="93">
        <f ca="1">IF(OR(ISBLANK($C38),$C38="",$C38=0),0,COUNTIF(TB_WPTags,$C38&amp;"-100"))</f>
        <v>0</v>
      </c>
      <c r="P38" s="82"/>
      <c r="Q38" s="82"/>
      <c r="R38" s="82"/>
      <c r="S38" s="82"/>
      <c r="T38" s="82"/>
      <c r="U38" s="82"/>
      <c r="V38" s="83" t="str">
        <f t="shared" ca="1" si="12"/>
        <v>0</v>
      </c>
      <c r="W38" s="82"/>
      <c r="X38" s="83">
        <f t="shared" ca="1" si="13"/>
        <v>0</v>
      </c>
      <c r="Y38" s="82" t="b">
        <f t="shared" ca="1" si="14"/>
        <v>0</v>
      </c>
      <c r="Z38" s="94" t="b">
        <f t="shared" ca="1" si="15"/>
        <v>0</v>
      </c>
      <c r="AA38" s="94" t="b">
        <f t="shared" ca="1" si="16"/>
        <v>0</v>
      </c>
      <c r="AB38" s="178">
        <f t="shared" ca="1" si="17"/>
        <v>0</v>
      </c>
      <c r="AC38" s="94" t="b">
        <v>0</v>
      </c>
      <c r="AD38" s="127"/>
      <c r="AE38" s="185"/>
      <c r="AF38" s="175" t="str">
        <f t="shared" ca="1" si="18"/>
        <v/>
      </c>
      <c r="AG38" s="183">
        <f t="shared" ca="1" si="9"/>
        <v>0</v>
      </c>
      <c r="AH38" s="174"/>
      <c r="AI38" s="95" t="str">
        <f t="shared" ca="1" si="19"/>
        <v/>
      </c>
      <c r="AJ38" s="110"/>
      <c r="AK38" s="111"/>
      <c r="AL38" s="110"/>
      <c r="AM38" s="110"/>
      <c r="AN38" s="90"/>
    </row>
    <row r="39" spans="1:40" s="74" customFormat="1" ht="19.5">
      <c r="A39" s="76"/>
      <c r="B39" s="77"/>
      <c r="C39" s="671" t="s">
        <v>749</v>
      </c>
      <c r="D39" s="87">
        <v>10</v>
      </c>
      <c r="E39" s="87">
        <v>6</v>
      </c>
      <c r="F39" s="87" t="s">
        <v>671</v>
      </c>
      <c r="G39" s="101" t="s">
        <v>563</v>
      </c>
      <c r="H39" s="172"/>
      <c r="I39" s="676" t="s">
        <v>638</v>
      </c>
      <c r="J39" s="677">
        <v>10981</v>
      </c>
      <c r="K39" s="677">
        <v>0</v>
      </c>
      <c r="L39" s="99">
        <v>10981</v>
      </c>
      <c r="M39" s="81">
        <f t="shared" ca="1" si="11"/>
        <v>0</v>
      </c>
      <c r="N39" s="80" t="s">
        <v>83</v>
      </c>
      <c r="O39" s="93">
        <f ca="1">IF(OR(ISBLANK($C39),$C39="",$C39=0),0,COUNTIF(TB_WPTags,$C39&amp;"-100"))</f>
        <v>0</v>
      </c>
      <c r="P39" s="82"/>
      <c r="Q39" s="82"/>
      <c r="R39" s="82"/>
      <c r="S39" s="82"/>
      <c r="T39" s="82"/>
      <c r="U39" s="82"/>
      <c r="V39" s="83" t="str">
        <f t="shared" ca="1" si="12"/>
        <v>0</v>
      </c>
      <c r="W39" s="82"/>
      <c r="X39" s="83">
        <f t="shared" ca="1" si="13"/>
        <v>0</v>
      </c>
      <c r="Y39" s="82" t="b">
        <f t="shared" ca="1" si="14"/>
        <v>0</v>
      </c>
      <c r="Z39" s="94" t="b">
        <f t="shared" ca="1" si="15"/>
        <v>0</v>
      </c>
      <c r="AA39" s="94" t="b">
        <f t="shared" ca="1" si="16"/>
        <v>0</v>
      </c>
      <c r="AB39" s="178">
        <f t="shared" ca="1" si="17"/>
        <v>0</v>
      </c>
      <c r="AC39" s="94" t="b">
        <v>0</v>
      </c>
      <c r="AD39" s="127"/>
      <c r="AE39" s="185" t="s">
        <v>58</v>
      </c>
      <c r="AF39" s="175" t="str">
        <f t="shared" ca="1" si="18"/>
        <v/>
      </c>
      <c r="AG39" s="183">
        <f t="shared" ca="1" si="9"/>
        <v>0</v>
      </c>
      <c r="AH39" s="174"/>
      <c r="AI39" s="95" t="str">
        <f t="shared" ca="1" si="19"/>
        <v/>
      </c>
      <c r="AJ39" s="110"/>
      <c r="AK39" s="111"/>
      <c r="AL39" s="110"/>
      <c r="AM39" s="110"/>
      <c r="AN39" s="90"/>
    </row>
    <row r="40" spans="1:40" s="74" customFormat="1" ht="19.5">
      <c r="A40" s="76"/>
      <c r="B40" s="77"/>
      <c r="C40" s="671" t="s">
        <v>750</v>
      </c>
      <c r="D40" s="87">
        <v>11</v>
      </c>
      <c r="E40" s="87">
        <v>6</v>
      </c>
      <c r="F40" s="87" t="s">
        <v>671</v>
      </c>
      <c r="G40" s="101" t="s">
        <v>563</v>
      </c>
      <c r="H40" s="172"/>
      <c r="I40" s="676" t="s">
        <v>644</v>
      </c>
      <c r="J40" s="677">
        <v>12263.5</v>
      </c>
      <c r="K40" s="677">
        <v>0</v>
      </c>
      <c r="L40" s="99">
        <v>12263.5</v>
      </c>
      <c r="M40" s="81">
        <f t="shared" ca="1" si="11"/>
        <v>0</v>
      </c>
      <c r="N40" s="80" t="s">
        <v>83</v>
      </c>
      <c r="O40" s="93">
        <f ca="1">IF(OR(ISBLANK($C40),$C40="",$C40=0),0,COUNTIF(TB_WPTags,$C40&amp;"-100"))</f>
        <v>0</v>
      </c>
      <c r="P40" s="82"/>
      <c r="Q40" s="82"/>
      <c r="R40" s="82"/>
      <c r="S40" s="82"/>
      <c r="T40" s="82"/>
      <c r="U40" s="82"/>
      <c r="V40" s="83" t="str">
        <f t="shared" ca="1" si="12"/>
        <v>0</v>
      </c>
      <c r="W40" s="82"/>
      <c r="X40" s="83">
        <f t="shared" ca="1" si="13"/>
        <v>0</v>
      </c>
      <c r="Y40" s="82" t="b">
        <f t="shared" ca="1" si="14"/>
        <v>0</v>
      </c>
      <c r="Z40" s="94" t="b">
        <f t="shared" ca="1" si="15"/>
        <v>0</v>
      </c>
      <c r="AA40" s="94" t="b">
        <f t="shared" ca="1" si="16"/>
        <v>0</v>
      </c>
      <c r="AB40" s="178">
        <f t="shared" ca="1" si="17"/>
        <v>0</v>
      </c>
      <c r="AC40" s="94" t="b">
        <v>0</v>
      </c>
      <c r="AD40" s="127"/>
      <c r="AE40" s="185" t="s">
        <v>58</v>
      </c>
      <c r="AF40" s="175" t="str">
        <f t="shared" ca="1" si="18"/>
        <v/>
      </c>
      <c r="AG40" s="183">
        <f t="shared" ca="1" si="9"/>
        <v>0</v>
      </c>
      <c r="AH40" s="174"/>
      <c r="AI40" s="95" t="str">
        <f t="shared" ca="1" si="19"/>
        <v/>
      </c>
      <c r="AJ40" s="110"/>
      <c r="AK40" s="111"/>
      <c r="AL40" s="110"/>
      <c r="AM40" s="110"/>
      <c r="AN40" s="90"/>
    </row>
    <row r="41" spans="1:40" s="74" customFormat="1" ht="19.5">
      <c r="A41" s="76"/>
      <c r="B41" s="77"/>
      <c r="C41" s="671" t="s">
        <v>751</v>
      </c>
      <c r="D41" s="87">
        <v>12</v>
      </c>
      <c r="E41" s="87">
        <v>5</v>
      </c>
      <c r="F41" s="87" t="s">
        <v>673</v>
      </c>
      <c r="G41" s="101" t="s">
        <v>563</v>
      </c>
      <c r="H41" s="172"/>
      <c r="I41" s="682" t="s">
        <v>752</v>
      </c>
      <c r="J41" s="678">
        <v>23244.5</v>
      </c>
      <c r="K41" s="678">
        <v>0</v>
      </c>
      <c r="L41" s="99">
        <v>23244.5</v>
      </c>
      <c r="M41" s="81">
        <f t="shared" ca="1" si="11"/>
        <v>0</v>
      </c>
      <c r="N41" s="80" t="s">
        <v>83</v>
      </c>
      <c r="O41" s="93">
        <f ca="1">IF(OR(ISBLANK($C41),$C41="",$C41=0),0,COUNTIF(TB_WPTags,$C41&amp;"-100"))</f>
        <v>0</v>
      </c>
      <c r="P41" s="82"/>
      <c r="Q41" s="82"/>
      <c r="R41" s="82"/>
      <c r="S41" s="82"/>
      <c r="T41" s="82"/>
      <c r="U41" s="82"/>
      <c r="V41" s="83" t="str">
        <f t="shared" ca="1" si="12"/>
        <v>0</v>
      </c>
      <c r="W41" s="82"/>
      <c r="X41" s="83">
        <f t="shared" ca="1" si="13"/>
        <v>0</v>
      </c>
      <c r="Y41" s="82" t="b">
        <f t="shared" ca="1" si="14"/>
        <v>0</v>
      </c>
      <c r="Z41" s="94" t="b">
        <f t="shared" ca="1" si="15"/>
        <v>0</v>
      </c>
      <c r="AA41" s="94" t="b">
        <f t="shared" ca="1" si="16"/>
        <v>0</v>
      </c>
      <c r="AB41" s="178">
        <f t="shared" ca="1" si="17"/>
        <v>0</v>
      </c>
      <c r="AC41" s="94" t="b">
        <v>0</v>
      </c>
      <c r="AD41" s="127"/>
      <c r="AE41" s="185"/>
      <c r="AF41" s="175" t="str">
        <f t="shared" ca="1" si="18"/>
        <v/>
      </c>
      <c r="AG41" s="183">
        <f t="shared" ca="1" si="9"/>
        <v>0</v>
      </c>
      <c r="AH41" s="174"/>
      <c r="AI41" s="95" t="str">
        <f t="shared" ca="1" si="19"/>
        <v/>
      </c>
      <c r="AJ41" s="110"/>
      <c r="AK41" s="111"/>
      <c r="AL41" s="110"/>
      <c r="AM41" s="110"/>
      <c r="AN41" s="90"/>
    </row>
    <row r="42" spans="1:40" s="74" customFormat="1" ht="19.5">
      <c r="A42" s="76"/>
      <c r="B42" s="77"/>
      <c r="C42" s="671" t="s">
        <v>753</v>
      </c>
      <c r="D42" s="87">
        <v>13</v>
      </c>
      <c r="E42" s="87">
        <v>4</v>
      </c>
      <c r="F42" s="87" t="s">
        <v>576</v>
      </c>
      <c r="G42" s="101" t="s">
        <v>563</v>
      </c>
      <c r="H42" s="172"/>
      <c r="I42" s="675" t="s">
        <v>754</v>
      </c>
      <c r="J42" s="678">
        <v>23244.5</v>
      </c>
      <c r="K42" s="678">
        <v>0</v>
      </c>
      <c r="L42" s="99">
        <v>23244.5</v>
      </c>
      <c r="M42" s="81">
        <f t="shared" ca="1" si="11"/>
        <v>1</v>
      </c>
      <c r="N42" s="80" t="s">
        <v>83</v>
      </c>
      <c r="O42" s="93">
        <f ca="1">IF(OR(ISBLANK($C42),$C42="",$C42=0),0,COUNTIF(TB_WPTags,$C42&amp;"-100"))</f>
        <v>1</v>
      </c>
      <c r="P42" s="82"/>
      <c r="Q42" s="82"/>
      <c r="R42" s="82"/>
      <c r="S42" s="82"/>
      <c r="T42" s="82"/>
      <c r="U42" s="82"/>
      <c r="V42" s="83" t="str">
        <f t="shared" ca="1" si="12"/>
        <v>1</v>
      </c>
      <c r="W42" s="82"/>
      <c r="X42" s="83">
        <f t="shared" ca="1" si="13"/>
        <v>8</v>
      </c>
      <c r="Y42" s="82" t="b">
        <f t="shared" ca="1" si="14"/>
        <v>0</v>
      </c>
      <c r="Z42" s="94" t="b">
        <f t="shared" ca="1" si="15"/>
        <v>0</v>
      </c>
      <c r="AA42" s="94" t="b">
        <f t="shared" ca="1" si="16"/>
        <v>0</v>
      </c>
      <c r="AB42" s="178">
        <f t="shared" ca="1" si="17"/>
        <v>0</v>
      </c>
      <c r="AC42" s="94" t="b">
        <v>0</v>
      </c>
      <c r="AD42" s="127"/>
      <c r="AE42" s="185"/>
      <c r="AF42" s="175" t="str">
        <f t="shared" ca="1" si="18"/>
        <v/>
      </c>
      <c r="AG42" s="183">
        <f t="shared" ca="1" si="9"/>
        <v>0</v>
      </c>
      <c r="AH42" s="174"/>
      <c r="AI42" s="95" t="str">
        <f t="shared" ca="1" si="19"/>
        <v>Complete</v>
      </c>
      <c r="AJ42" s="110"/>
      <c r="AK42" s="111"/>
      <c r="AL42" s="110"/>
      <c r="AM42" s="110"/>
      <c r="AN42" s="90"/>
    </row>
    <row r="43" spans="1:40" s="74" customFormat="1" ht="19.5" hidden="1">
      <c r="A43" s="76"/>
      <c r="B43" s="77"/>
      <c r="C43" s="86" t="s">
        <v>753</v>
      </c>
      <c r="D43" s="87">
        <f ca="1">IF(IFERROR(ROW(TrialBalanceExact)+MATCH(C43,OFFSET(TrialBalanceExact,0,0,ROWS(TrialBalanceExact),1),0)-1=ROW(),TRUE),0, IF(ISERROR(VLOOKUP(C43,TrialBalanceExact,2,0)),0,VLOOKUP(C43,TrialBalanceExact,2,0)))</f>
        <v>13</v>
      </c>
      <c r="E43" s="87">
        <v>100</v>
      </c>
      <c r="F43" s="87"/>
      <c r="G43" s="101" t="s">
        <v>563</v>
      </c>
      <c r="H43" s="172"/>
      <c r="I43" s="734"/>
      <c r="J43" s="735"/>
      <c r="K43" s="735"/>
      <c r="L43" s="736"/>
      <c r="M43" s="737"/>
      <c r="N43" s="213" t="s">
        <v>136</v>
      </c>
      <c r="O43" s="738"/>
      <c r="P43" s="739" t="str">
        <f>$C43&amp;"-"&amp;$E43</f>
        <v>Totalmember-100</v>
      </c>
      <c r="Q43" s="739" t="s">
        <v>877</v>
      </c>
      <c r="R43" s="739" t="s">
        <v>967</v>
      </c>
      <c r="S43" s="739" t="s">
        <v>968</v>
      </c>
      <c r="T43" s="740">
        <f ca="1">ABS(IF(ISERROR(VLOOKUP(C43,TrialBalanceExact,8,0)),0,VLOOKUP(C43,TrialBalanceExact,8,0)))</f>
        <v>23244.5</v>
      </c>
      <c r="U43" s="740">
        <f ca="1">ABS(IF(ISNUMBER(AH43),AH43,IF(ISBLANK(AH43),NA(),INDIRECT("'" &amp; _xll.SheetFromID(R43) &amp; "'!Reconcile_" &amp; SUBSTITUTE(AH43," ","")))))</f>
        <v>23244.5</v>
      </c>
      <c r="V43" s="740">
        <f ca="1">IFERROR(IF(ABS(ROUND($T43-$U43,2))&lt;=Options_Tolerance,1,-1),0)</f>
        <v>1</v>
      </c>
      <c r="W43" s="740" t="str">
        <f ca="1">$C43&amp;"-"&amp;V43</f>
        <v>Totalmember-1</v>
      </c>
      <c r="X43" s="741">
        <f>IFERROR(VLOOKUP(AI43,StatusDescriptionsOrder,2,0),0)</f>
        <v>8</v>
      </c>
      <c r="Y43" s="739" t="b">
        <v>0</v>
      </c>
      <c r="Z43" s="742" t="b">
        <v>0</v>
      </c>
      <c r="AA43" s="743" t="b">
        <f>IFERROR(VLOOKUP(R43,HNSW_ItemsCount!A:D,2,0)&gt;0,FALSE)</f>
        <v>0</v>
      </c>
      <c r="AB43" s="743">
        <f>IFERROR(VLOOKUP(R43,HNSW_ItemsCount!A:D,4,0),0)</f>
        <v>0</v>
      </c>
      <c r="AC43" s="744" t="b">
        <v>0</v>
      </c>
      <c r="AD43" s="127" t="s">
        <v>970</v>
      </c>
      <c r="AE43" s="745" t="s">
        <v>58</v>
      </c>
      <c r="AF43" s="746" t="s">
        <v>74</v>
      </c>
      <c r="AG43" s="747">
        <f t="shared" si="9"/>
        <v>0</v>
      </c>
      <c r="AH43" s="748">
        <v>23244.5</v>
      </c>
      <c r="AI43" s="749" t="s">
        <v>37</v>
      </c>
      <c r="AJ43" s="750" t="s">
        <v>1041</v>
      </c>
      <c r="AK43" s="751">
        <v>43545</v>
      </c>
      <c r="AL43" s="752" t="s">
        <v>58</v>
      </c>
      <c r="AM43" s="753" t="s">
        <v>25</v>
      </c>
      <c r="AN43" s="90"/>
    </row>
    <row r="44" spans="1:40" s="74" customFormat="1" ht="19.5">
      <c r="A44" s="76"/>
      <c r="B44" s="77"/>
      <c r="C44" s="671" t="s">
        <v>755</v>
      </c>
      <c r="D44" s="87">
        <v>14</v>
      </c>
      <c r="E44" s="87">
        <v>3</v>
      </c>
      <c r="F44" s="87" t="s">
        <v>579</v>
      </c>
      <c r="G44" s="101" t="s">
        <v>563</v>
      </c>
      <c r="H44" s="172"/>
      <c r="I44" s="674" t="s">
        <v>756</v>
      </c>
      <c r="J44" s="678">
        <v>41057</v>
      </c>
      <c r="K44" s="678">
        <v>0</v>
      </c>
      <c r="L44" s="99">
        <v>41057</v>
      </c>
      <c r="M44" s="81">
        <f t="shared" ref="M44:M56" ca="1" si="20">IF(AND($AC44,$O44&gt;0),"–",$O44)</f>
        <v>0</v>
      </c>
      <c r="N44" s="80" t="s">
        <v>83</v>
      </c>
      <c r="O44" s="93">
        <f ca="1">IF(OR(ISBLANK($C44),$C44="",$C44=0),0,COUNTIF(TB_WPTags,$C44&amp;"-100"))</f>
        <v>0</v>
      </c>
      <c r="P44" s="82"/>
      <c r="Q44" s="82"/>
      <c r="R44" s="82"/>
      <c r="S44" s="82"/>
      <c r="T44" s="82"/>
      <c r="U44" s="82"/>
      <c r="V44" s="83" t="str">
        <f t="shared" ref="V44:V56" ca="1" si="21">IF(OR(ISBLANK($C44),$AC44),"NA",IF(COUNTIF(W:W,$C44&amp;"--1")&gt;0,"-1",IF(COUNTIF(W:W,$C44&amp;"-1")&gt;0,"1","0")))</f>
        <v>0</v>
      </c>
      <c r="W44" s="82"/>
      <c r="X44" s="83">
        <f t="shared" ref="X44:X56" ca="1" si="22">IF($O44&gt;0,MIN(OFFSET($X44,1,0,$O44)),0)</f>
        <v>0</v>
      </c>
      <c r="Y44" s="82" t="b">
        <f t="shared" ref="Y44:Y56" ca="1" si="23">IF(AND($O44&gt;0,AC44&lt;&gt;TRUE),COUNTIF(OFFSET($Y44,1,0,$O44),TRUE)&gt;=1,FALSE)</f>
        <v>0</v>
      </c>
      <c r="Z44" s="94" t="b">
        <f t="shared" ref="Z44:Z56" ca="1" si="24">IF(AND($O44&gt;0,AC44&lt;&gt;TRUE),COUNTIF(OFFSET($Z44,1,0,$O44),TRUE)&gt;=1,FALSE)</f>
        <v>0</v>
      </c>
      <c r="AA44" s="94" t="b">
        <f t="shared" ref="AA44:AA56" ca="1" si="25">IF(AND($O44&gt;0,AC44&lt;&gt;TRUE),COUNTIF(OFFSET($AA44,1,0,$O44),TRUE)&gt;=1,FALSE)</f>
        <v>0</v>
      </c>
      <c r="AB44" s="178">
        <f t="shared" ref="AB44:AB56" ca="1" si="26">IF(AND($O44&gt;0,AC44&lt;&gt;TRUE),SUM(OFFSET($AG44,1,0,$O44)),0)</f>
        <v>0</v>
      </c>
      <c r="AC44" s="94" t="b">
        <v>0</v>
      </c>
      <c r="AD44" s="127"/>
      <c r="AE44" s="185"/>
      <c r="AF44" s="175" t="str">
        <f t="shared" ref="AF44:AF56" ca="1" si="27">IF(AND(Y44,AC44&lt;&gt;TRUE),"]","")</f>
        <v/>
      </c>
      <c r="AG44" s="183">
        <f t="shared" ca="1" si="9"/>
        <v>0</v>
      </c>
      <c r="AH44" s="174"/>
      <c r="AI44" s="95" t="str">
        <f t="shared" ref="AI44:AI56" ca="1" si="28">IF(AND($O44&gt;0,AC44&lt;&gt;TRUE),IF($X44&gt;=1,INDEX(StatusDescriptions,$X44+1,0),StatusBlank),"")</f>
        <v/>
      </c>
      <c r="AJ44" s="110"/>
      <c r="AK44" s="111"/>
      <c r="AL44" s="110"/>
      <c r="AM44" s="110"/>
      <c r="AN44" s="90"/>
    </row>
    <row r="45" spans="1:40" s="74" customFormat="1" ht="19.5">
      <c r="A45" s="76"/>
      <c r="B45" s="77"/>
      <c r="C45" s="671" t="s">
        <v>757</v>
      </c>
      <c r="D45" s="87">
        <v>15</v>
      </c>
      <c r="E45" s="87">
        <v>2</v>
      </c>
      <c r="F45" s="87" t="s">
        <v>582</v>
      </c>
      <c r="G45" s="101" t="s">
        <v>563</v>
      </c>
      <c r="H45" s="172"/>
      <c r="I45" s="673" t="s">
        <v>758</v>
      </c>
      <c r="J45" s="678">
        <v>41057</v>
      </c>
      <c r="K45" s="678">
        <v>0</v>
      </c>
      <c r="L45" s="99">
        <v>41057</v>
      </c>
      <c r="M45" s="81">
        <f t="shared" ca="1" si="20"/>
        <v>0</v>
      </c>
      <c r="N45" s="80" t="s">
        <v>83</v>
      </c>
      <c r="O45" s="93">
        <f ca="1">IF(OR(ISBLANK($C45),$C45="",$C45=0),0,COUNTIF(TB_WPTags,$C45&amp;"-100"))</f>
        <v>0</v>
      </c>
      <c r="P45" s="82"/>
      <c r="Q45" s="82"/>
      <c r="R45" s="82"/>
      <c r="S45" s="82"/>
      <c r="T45" s="82"/>
      <c r="U45" s="82"/>
      <c r="V45" s="83" t="str">
        <f t="shared" ca="1" si="21"/>
        <v>0</v>
      </c>
      <c r="W45" s="82"/>
      <c r="X45" s="83">
        <f t="shared" ca="1" si="22"/>
        <v>0</v>
      </c>
      <c r="Y45" s="82" t="b">
        <f t="shared" ca="1" si="23"/>
        <v>0</v>
      </c>
      <c r="Z45" s="94" t="b">
        <f t="shared" ca="1" si="24"/>
        <v>0</v>
      </c>
      <c r="AA45" s="94" t="b">
        <f t="shared" ca="1" si="25"/>
        <v>0</v>
      </c>
      <c r="AB45" s="178">
        <f t="shared" ca="1" si="26"/>
        <v>0</v>
      </c>
      <c r="AC45" s="94" t="b">
        <v>0</v>
      </c>
      <c r="AD45" s="127"/>
      <c r="AE45" s="185"/>
      <c r="AF45" s="175" t="str">
        <f t="shared" ca="1" si="27"/>
        <v/>
      </c>
      <c r="AG45" s="183">
        <f t="shared" ca="1" si="9"/>
        <v>0</v>
      </c>
      <c r="AH45" s="174"/>
      <c r="AI45" s="95" t="str">
        <f t="shared" ca="1" si="28"/>
        <v/>
      </c>
      <c r="AJ45" s="110"/>
      <c r="AK45" s="111"/>
      <c r="AL45" s="110"/>
      <c r="AM45" s="110"/>
      <c r="AN45" s="90"/>
    </row>
    <row r="46" spans="1:40" s="74" customFormat="1" ht="19.5">
      <c r="A46" s="76"/>
      <c r="B46" s="77"/>
      <c r="C46" s="671" t="s">
        <v>1044</v>
      </c>
      <c r="D46" s="87">
        <v>16</v>
      </c>
      <c r="E46" s="87">
        <v>2</v>
      </c>
      <c r="F46" s="87" t="s">
        <v>565</v>
      </c>
      <c r="G46" s="101" t="s">
        <v>563</v>
      </c>
      <c r="H46" s="172"/>
      <c r="I46" s="673" t="s">
        <v>1045</v>
      </c>
      <c r="J46" s="97">
        <v>0</v>
      </c>
      <c r="K46" s="97">
        <v>0</v>
      </c>
      <c r="L46" s="99">
        <v>0</v>
      </c>
      <c r="M46" s="81">
        <f t="shared" ca="1" si="20"/>
        <v>0</v>
      </c>
      <c r="N46" s="80"/>
      <c r="O46" s="93">
        <f ca="1">IF(OR(ISBLANK($C46),$C46="",$C46=0),0,COUNTIF(TB_WPTags,$C46&amp;"-100"))</f>
        <v>0</v>
      </c>
      <c r="P46" s="82"/>
      <c r="Q46" s="82"/>
      <c r="R46" s="82"/>
      <c r="S46" s="82"/>
      <c r="T46" s="82"/>
      <c r="U46" s="82"/>
      <c r="V46" s="83" t="str">
        <f t="shared" ca="1" si="21"/>
        <v>0</v>
      </c>
      <c r="W46" s="82"/>
      <c r="X46" s="83">
        <f t="shared" ca="1" si="22"/>
        <v>0</v>
      </c>
      <c r="Y46" s="82" t="b">
        <f t="shared" ca="1" si="23"/>
        <v>0</v>
      </c>
      <c r="Z46" s="94" t="b">
        <f t="shared" ca="1" si="24"/>
        <v>0</v>
      </c>
      <c r="AA46" s="94" t="b">
        <f t="shared" ca="1" si="25"/>
        <v>0</v>
      </c>
      <c r="AB46" s="178">
        <f t="shared" ca="1" si="26"/>
        <v>0</v>
      </c>
      <c r="AC46" s="94" t="b">
        <v>0</v>
      </c>
      <c r="AD46" s="127"/>
      <c r="AE46" s="185"/>
      <c r="AF46" s="175" t="str">
        <f t="shared" ca="1" si="27"/>
        <v/>
      </c>
      <c r="AG46" s="183">
        <f t="shared" ca="1" si="9"/>
        <v>0</v>
      </c>
      <c r="AH46" s="174"/>
      <c r="AI46" s="95" t="str">
        <f t="shared" ca="1" si="28"/>
        <v/>
      </c>
      <c r="AJ46" s="110"/>
      <c r="AK46" s="111"/>
      <c r="AL46" s="110"/>
      <c r="AM46" s="110"/>
      <c r="AN46" s="90"/>
    </row>
    <row r="47" spans="1:40" s="74" customFormat="1" ht="19.5">
      <c r="A47" s="76"/>
      <c r="B47" s="77"/>
      <c r="C47" s="671" t="s">
        <v>1046</v>
      </c>
      <c r="D47" s="87">
        <v>17</v>
      </c>
      <c r="E47" s="87">
        <v>3</v>
      </c>
      <c r="F47" s="87" t="s">
        <v>568</v>
      </c>
      <c r="G47" s="101" t="s">
        <v>563</v>
      </c>
      <c r="H47" s="172"/>
      <c r="I47" s="674" t="s">
        <v>1047</v>
      </c>
      <c r="J47" s="97">
        <v>0</v>
      </c>
      <c r="K47" s="97">
        <v>0</v>
      </c>
      <c r="L47" s="99">
        <v>0</v>
      </c>
      <c r="M47" s="81">
        <f t="shared" ca="1" si="20"/>
        <v>0</v>
      </c>
      <c r="N47" s="80"/>
      <c r="O47" s="93">
        <f ca="1">IF(OR(ISBLANK($C47),$C47="",$C47=0),0,COUNTIF(TB_WPTags,$C47&amp;"-100"))</f>
        <v>0</v>
      </c>
      <c r="P47" s="82"/>
      <c r="Q47" s="82"/>
      <c r="R47" s="82"/>
      <c r="S47" s="82"/>
      <c r="T47" s="82"/>
      <c r="U47" s="82"/>
      <c r="V47" s="83" t="str">
        <f t="shared" ca="1" si="21"/>
        <v>0</v>
      </c>
      <c r="W47" s="82"/>
      <c r="X47" s="83">
        <f t="shared" ca="1" si="22"/>
        <v>0</v>
      </c>
      <c r="Y47" s="82" t="b">
        <f t="shared" ca="1" si="23"/>
        <v>0</v>
      </c>
      <c r="Z47" s="94" t="b">
        <f t="shared" ca="1" si="24"/>
        <v>0</v>
      </c>
      <c r="AA47" s="94" t="b">
        <f t="shared" ca="1" si="25"/>
        <v>0</v>
      </c>
      <c r="AB47" s="178">
        <f t="shared" ca="1" si="26"/>
        <v>0</v>
      </c>
      <c r="AC47" s="94" t="b">
        <v>0</v>
      </c>
      <c r="AD47" s="127"/>
      <c r="AE47" s="185"/>
      <c r="AF47" s="175" t="str">
        <f t="shared" ca="1" si="27"/>
        <v/>
      </c>
      <c r="AG47" s="183">
        <f t="shared" ca="1" si="9"/>
        <v>0</v>
      </c>
      <c r="AH47" s="174"/>
      <c r="AI47" s="95" t="str">
        <f t="shared" ca="1" si="28"/>
        <v/>
      </c>
      <c r="AJ47" s="110"/>
      <c r="AK47" s="111"/>
      <c r="AL47" s="110"/>
      <c r="AM47" s="110"/>
      <c r="AN47" s="90"/>
    </row>
    <row r="48" spans="1:40" s="74" customFormat="1" ht="19.5">
      <c r="A48" s="76"/>
      <c r="B48" s="77"/>
      <c r="C48" s="671" t="s">
        <v>1048</v>
      </c>
      <c r="D48" s="87">
        <v>18</v>
      </c>
      <c r="E48" s="87">
        <v>4</v>
      </c>
      <c r="F48" s="87" t="s">
        <v>570</v>
      </c>
      <c r="G48" s="101" t="s">
        <v>563</v>
      </c>
      <c r="H48" s="172"/>
      <c r="I48" s="675" t="s">
        <v>596</v>
      </c>
      <c r="J48" s="97">
        <v>0</v>
      </c>
      <c r="K48" s="97">
        <v>0</v>
      </c>
      <c r="L48" s="99">
        <v>0</v>
      </c>
      <c r="M48" s="81">
        <f t="shared" ca="1" si="20"/>
        <v>0</v>
      </c>
      <c r="N48" s="80"/>
      <c r="O48" s="93">
        <f ca="1">IF(OR(ISBLANK($C48),$C48="",$C48=0),0,COUNTIF(TB_WPTags,$C48&amp;"-100"))</f>
        <v>0</v>
      </c>
      <c r="P48" s="82"/>
      <c r="Q48" s="82"/>
      <c r="R48" s="82"/>
      <c r="S48" s="82"/>
      <c r="T48" s="82"/>
      <c r="U48" s="82"/>
      <c r="V48" s="83" t="str">
        <f t="shared" ca="1" si="21"/>
        <v>0</v>
      </c>
      <c r="W48" s="82"/>
      <c r="X48" s="83">
        <f t="shared" ca="1" si="22"/>
        <v>0</v>
      </c>
      <c r="Y48" s="82" t="b">
        <f t="shared" ca="1" si="23"/>
        <v>0</v>
      </c>
      <c r="Z48" s="94" t="b">
        <f t="shared" ca="1" si="24"/>
        <v>0</v>
      </c>
      <c r="AA48" s="94" t="b">
        <f t="shared" ca="1" si="25"/>
        <v>0</v>
      </c>
      <c r="AB48" s="178">
        <f t="shared" ca="1" si="26"/>
        <v>0</v>
      </c>
      <c r="AC48" s="94" t="b">
        <v>0</v>
      </c>
      <c r="AD48" s="127"/>
      <c r="AE48" s="185"/>
      <c r="AF48" s="175" t="str">
        <f t="shared" ca="1" si="27"/>
        <v/>
      </c>
      <c r="AG48" s="183">
        <f t="shared" ca="1" si="9"/>
        <v>0</v>
      </c>
      <c r="AH48" s="174"/>
      <c r="AI48" s="95" t="str">
        <f t="shared" ca="1" si="28"/>
        <v/>
      </c>
      <c r="AJ48" s="110"/>
      <c r="AK48" s="111"/>
      <c r="AL48" s="110"/>
      <c r="AM48" s="110"/>
      <c r="AN48" s="90"/>
    </row>
    <row r="49" spans="1:40" s="74" customFormat="1" ht="19.5">
      <c r="A49" s="76"/>
      <c r="B49" s="77"/>
      <c r="C49" s="671" t="s">
        <v>1049</v>
      </c>
      <c r="D49" s="87">
        <v>19</v>
      </c>
      <c r="E49" s="87">
        <v>5</v>
      </c>
      <c r="F49" s="87" t="s">
        <v>573</v>
      </c>
      <c r="G49" s="101" t="s">
        <v>563</v>
      </c>
      <c r="H49" s="172" t="s">
        <v>599</v>
      </c>
      <c r="I49" s="676" t="s">
        <v>1009</v>
      </c>
      <c r="J49" s="677">
        <v>3647</v>
      </c>
      <c r="K49" s="677">
        <v>0</v>
      </c>
      <c r="L49" s="99">
        <v>3647</v>
      </c>
      <c r="M49" s="81">
        <f t="shared" ca="1" si="20"/>
        <v>0</v>
      </c>
      <c r="N49" s="80" t="s">
        <v>83</v>
      </c>
      <c r="O49" s="93">
        <f ca="1">IF(OR(ISBLANK($C49),$C49="",$C49=0),0,COUNTIF(TB_WPTags,$C49&amp;"-100"))</f>
        <v>0</v>
      </c>
      <c r="P49" s="82"/>
      <c r="Q49" s="82"/>
      <c r="R49" s="82"/>
      <c r="S49" s="82"/>
      <c r="T49" s="82"/>
      <c r="U49" s="82"/>
      <c r="V49" s="83" t="str">
        <f t="shared" ca="1" si="21"/>
        <v>0</v>
      </c>
      <c r="W49" s="82"/>
      <c r="X49" s="83">
        <f t="shared" ca="1" si="22"/>
        <v>0</v>
      </c>
      <c r="Y49" s="82" t="b">
        <f t="shared" ca="1" si="23"/>
        <v>0</v>
      </c>
      <c r="Z49" s="94" t="b">
        <f t="shared" ca="1" si="24"/>
        <v>0</v>
      </c>
      <c r="AA49" s="94" t="b">
        <f t="shared" ca="1" si="25"/>
        <v>0</v>
      </c>
      <c r="AB49" s="178">
        <f t="shared" ca="1" si="26"/>
        <v>0</v>
      </c>
      <c r="AC49" s="94" t="b">
        <v>0</v>
      </c>
      <c r="AD49" s="127"/>
      <c r="AE49" s="185"/>
      <c r="AF49" s="175" t="str">
        <f t="shared" ca="1" si="27"/>
        <v/>
      </c>
      <c r="AG49" s="183">
        <f t="shared" ca="1" si="9"/>
        <v>0</v>
      </c>
      <c r="AH49" s="174"/>
      <c r="AI49" s="95" t="str">
        <f t="shared" ca="1" si="28"/>
        <v/>
      </c>
      <c r="AJ49" s="110"/>
      <c r="AK49" s="111"/>
      <c r="AL49" s="110"/>
      <c r="AM49" s="110"/>
      <c r="AN49" s="90"/>
    </row>
    <row r="50" spans="1:40" s="74" customFormat="1" ht="19.5">
      <c r="A50" s="76"/>
      <c r="B50" s="77"/>
      <c r="C50" s="671" t="s">
        <v>1050</v>
      </c>
      <c r="D50" s="87">
        <v>20</v>
      </c>
      <c r="E50" s="87">
        <v>4</v>
      </c>
      <c r="F50" s="87" t="s">
        <v>576</v>
      </c>
      <c r="G50" s="101" t="s">
        <v>563</v>
      </c>
      <c r="H50" s="172"/>
      <c r="I50" s="675" t="s">
        <v>603</v>
      </c>
      <c r="J50" s="678">
        <v>3647</v>
      </c>
      <c r="K50" s="678">
        <v>0</v>
      </c>
      <c r="L50" s="99">
        <v>3647</v>
      </c>
      <c r="M50" s="81">
        <f t="shared" ca="1" si="20"/>
        <v>0</v>
      </c>
      <c r="N50" s="80" t="s">
        <v>83</v>
      </c>
      <c r="O50" s="93">
        <f ca="1">IF(OR(ISBLANK($C50),$C50="",$C50=0),0,COUNTIF(TB_WPTags,$C50&amp;"-100"))</f>
        <v>0</v>
      </c>
      <c r="P50" s="82"/>
      <c r="Q50" s="82"/>
      <c r="R50" s="82"/>
      <c r="S50" s="82"/>
      <c r="T50" s="82"/>
      <c r="U50" s="82"/>
      <c r="V50" s="83" t="str">
        <f t="shared" ca="1" si="21"/>
        <v>0</v>
      </c>
      <c r="W50" s="82"/>
      <c r="X50" s="83">
        <f t="shared" ca="1" si="22"/>
        <v>0</v>
      </c>
      <c r="Y50" s="82" t="b">
        <f t="shared" ca="1" si="23"/>
        <v>0</v>
      </c>
      <c r="Z50" s="94" t="b">
        <f t="shared" ca="1" si="24"/>
        <v>0</v>
      </c>
      <c r="AA50" s="94" t="b">
        <f t="shared" ca="1" si="25"/>
        <v>0</v>
      </c>
      <c r="AB50" s="178">
        <f t="shared" ca="1" si="26"/>
        <v>0</v>
      </c>
      <c r="AC50" s="94" t="b">
        <v>0</v>
      </c>
      <c r="AD50" s="127"/>
      <c r="AE50" s="185"/>
      <c r="AF50" s="175" t="str">
        <f t="shared" ca="1" si="27"/>
        <v/>
      </c>
      <c r="AG50" s="183">
        <f t="shared" ca="1" si="9"/>
        <v>0</v>
      </c>
      <c r="AH50" s="174"/>
      <c r="AI50" s="95" t="str">
        <f t="shared" ca="1" si="28"/>
        <v/>
      </c>
      <c r="AJ50" s="110"/>
      <c r="AK50" s="111"/>
      <c r="AL50" s="110"/>
      <c r="AM50" s="110"/>
      <c r="AN50" s="90"/>
    </row>
    <row r="51" spans="1:40" s="74" customFormat="1" ht="19.5">
      <c r="A51" s="76"/>
      <c r="B51" s="77"/>
      <c r="C51" s="671" t="s">
        <v>1051</v>
      </c>
      <c r="D51" s="87">
        <v>21</v>
      </c>
      <c r="E51" s="87">
        <v>3</v>
      </c>
      <c r="F51" s="87" t="s">
        <v>579</v>
      </c>
      <c r="G51" s="101" t="s">
        <v>563</v>
      </c>
      <c r="H51" s="172"/>
      <c r="I51" s="674" t="s">
        <v>1052</v>
      </c>
      <c r="J51" s="678">
        <v>3647</v>
      </c>
      <c r="K51" s="678">
        <v>0</v>
      </c>
      <c r="L51" s="99">
        <v>3647</v>
      </c>
      <c r="M51" s="81">
        <f t="shared" ca="1" si="20"/>
        <v>0</v>
      </c>
      <c r="N51" s="80" t="s">
        <v>83</v>
      </c>
      <c r="O51" s="93">
        <f ca="1">IF(OR(ISBLANK($C51),$C51="",$C51=0),0,COUNTIF(TB_WPTags,$C51&amp;"-100"))</f>
        <v>0</v>
      </c>
      <c r="P51" s="82"/>
      <c r="Q51" s="82"/>
      <c r="R51" s="82"/>
      <c r="S51" s="82"/>
      <c r="T51" s="82"/>
      <c r="U51" s="82"/>
      <c r="V51" s="83" t="str">
        <f t="shared" ca="1" si="21"/>
        <v>0</v>
      </c>
      <c r="W51" s="82"/>
      <c r="X51" s="83">
        <f t="shared" ca="1" si="22"/>
        <v>0</v>
      </c>
      <c r="Y51" s="82" t="b">
        <f t="shared" ca="1" si="23"/>
        <v>0</v>
      </c>
      <c r="Z51" s="94" t="b">
        <f t="shared" ca="1" si="24"/>
        <v>0</v>
      </c>
      <c r="AA51" s="94" t="b">
        <f t="shared" ca="1" si="25"/>
        <v>0</v>
      </c>
      <c r="AB51" s="178">
        <f t="shared" ca="1" si="26"/>
        <v>0</v>
      </c>
      <c r="AC51" s="94" t="b">
        <v>0</v>
      </c>
      <c r="AD51" s="127"/>
      <c r="AE51" s="185"/>
      <c r="AF51" s="175" t="str">
        <f t="shared" ca="1" si="27"/>
        <v/>
      </c>
      <c r="AG51" s="183">
        <f t="shared" ca="1" si="9"/>
        <v>0</v>
      </c>
      <c r="AH51" s="174"/>
      <c r="AI51" s="95" t="str">
        <f t="shared" ca="1" si="28"/>
        <v/>
      </c>
      <c r="AJ51" s="110"/>
      <c r="AK51" s="111"/>
      <c r="AL51" s="110"/>
      <c r="AM51" s="110"/>
      <c r="AN51" s="90"/>
    </row>
    <row r="52" spans="1:40" s="74" customFormat="1" ht="19.5">
      <c r="A52" s="76"/>
      <c r="B52" s="77"/>
      <c r="C52" s="671" t="s">
        <v>1053</v>
      </c>
      <c r="D52" s="87">
        <v>22</v>
      </c>
      <c r="E52" s="87">
        <v>2</v>
      </c>
      <c r="F52" s="87" t="s">
        <v>582</v>
      </c>
      <c r="G52" s="101" t="s">
        <v>563</v>
      </c>
      <c r="H52" s="172"/>
      <c r="I52" s="673" t="s">
        <v>1054</v>
      </c>
      <c r="J52" s="678">
        <v>3647</v>
      </c>
      <c r="K52" s="678">
        <v>0</v>
      </c>
      <c r="L52" s="99">
        <v>3647</v>
      </c>
      <c r="M52" s="81">
        <f t="shared" ca="1" si="20"/>
        <v>0</v>
      </c>
      <c r="N52" s="80" t="s">
        <v>83</v>
      </c>
      <c r="O52" s="93">
        <f ca="1">IF(OR(ISBLANK($C52),$C52="",$C52=0),0,COUNTIF(TB_WPTags,$C52&amp;"-100"))</f>
        <v>0</v>
      </c>
      <c r="P52" s="82"/>
      <c r="Q52" s="82"/>
      <c r="R52" s="82"/>
      <c r="S52" s="82"/>
      <c r="T52" s="82"/>
      <c r="U52" s="82"/>
      <c r="V52" s="83" t="str">
        <f t="shared" ca="1" si="21"/>
        <v>0</v>
      </c>
      <c r="W52" s="82"/>
      <c r="X52" s="83">
        <f t="shared" ca="1" si="22"/>
        <v>0</v>
      </c>
      <c r="Y52" s="82" t="b">
        <f t="shared" ca="1" si="23"/>
        <v>0</v>
      </c>
      <c r="Z52" s="94" t="b">
        <f t="shared" ca="1" si="24"/>
        <v>0</v>
      </c>
      <c r="AA52" s="94" t="b">
        <f t="shared" ca="1" si="25"/>
        <v>0</v>
      </c>
      <c r="AB52" s="178">
        <f t="shared" ca="1" si="26"/>
        <v>0</v>
      </c>
      <c r="AC52" s="94" t="b">
        <v>0</v>
      </c>
      <c r="AD52" s="127"/>
      <c r="AE52" s="185"/>
      <c r="AF52" s="175" t="str">
        <f t="shared" ca="1" si="27"/>
        <v/>
      </c>
      <c r="AG52" s="183">
        <f t="shared" ca="1" si="9"/>
        <v>0</v>
      </c>
      <c r="AH52" s="174"/>
      <c r="AI52" s="95" t="str">
        <f t="shared" ca="1" si="28"/>
        <v/>
      </c>
      <c r="AJ52" s="110"/>
      <c r="AK52" s="111"/>
      <c r="AL52" s="110"/>
      <c r="AM52" s="110"/>
      <c r="AN52" s="90"/>
    </row>
    <row r="53" spans="1:40" s="74" customFormat="1" ht="19.5">
      <c r="A53" s="76"/>
      <c r="B53" s="77"/>
      <c r="C53" s="671" t="s">
        <v>564</v>
      </c>
      <c r="D53" s="87">
        <v>23</v>
      </c>
      <c r="E53" s="87">
        <v>2</v>
      </c>
      <c r="F53" s="87" t="s">
        <v>565</v>
      </c>
      <c r="G53" s="101" t="s">
        <v>563</v>
      </c>
      <c r="H53" s="172"/>
      <c r="I53" s="673" t="s">
        <v>566</v>
      </c>
      <c r="J53" s="97">
        <v>0</v>
      </c>
      <c r="K53" s="97">
        <v>0</v>
      </c>
      <c r="L53" s="99">
        <v>0</v>
      </c>
      <c r="M53" s="81">
        <f t="shared" ca="1" si="20"/>
        <v>0</v>
      </c>
      <c r="N53" s="80"/>
      <c r="O53" s="93">
        <f ca="1">IF(OR(ISBLANK($C53),$C53="",$C53=0),0,COUNTIF(TB_WPTags,$C53&amp;"-100"))</f>
        <v>0</v>
      </c>
      <c r="P53" s="82"/>
      <c r="Q53" s="82"/>
      <c r="R53" s="82"/>
      <c r="S53" s="82"/>
      <c r="T53" s="82"/>
      <c r="U53" s="82"/>
      <c r="V53" s="83" t="str">
        <f t="shared" ca="1" si="21"/>
        <v>0</v>
      </c>
      <c r="W53" s="82"/>
      <c r="X53" s="83">
        <f t="shared" ca="1" si="22"/>
        <v>0</v>
      </c>
      <c r="Y53" s="82" t="b">
        <f t="shared" ca="1" si="23"/>
        <v>0</v>
      </c>
      <c r="Z53" s="94" t="b">
        <f t="shared" ca="1" si="24"/>
        <v>0</v>
      </c>
      <c r="AA53" s="94" t="b">
        <f t="shared" ca="1" si="25"/>
        <v>0</v>
      </c>
      <c r="AB53" s="178">
        <f t="shared" ca="1" si="26"/>
        <v>0</v>
      </c>
      <c r="AC53" s="94" t="b">
        <v>0</v>
      </c>
      <c r="AD53" s="127"/>
      <c r="AE53" s="185"/>
      <c r="AF53" s="175" t="str">
        <f t="shared" ca="1" si="27"/>
        <v/>
      </c>
      <c r="AG53" s="183">
        <f t="shared" ca="1" si="9"/>
        <v>0</v>
      </c>
      <c r="AH53" s="174"/>
      <c r="AI53" s="95" t="str">
        <f t="shared" ca="1" si="28"/>
        <v/>
      </c>
      <c r="AJ53" s="110"/>
      <c r="AK53" s="111"/>
      <c r="AL53" s="110"/>
      <c r="AM53" s="110"/>
      <c r="AN53" s="90"/>
    </row>
    <row r="54" spans="1:40" s="74" customFormat="1" ht="19.5">
      <c r="A54" s="76"/>
      <c r="B54" s="77"/>
      <c r="C54" s="671" t="s">
        <v>567</v>
      </c>
      <c r="D54" s="87">
        <v>24</v>
      </c>
      <c r="E54" s="87">
        <v>3</v>
      </c>
      <c r="F54" s="87" t="s">
        <v>568</v>
      </c>
      <c r="G54" s="101" t="s">
        <v>563</v>
      </c>
      <c r="H54" s="172"/>
      <c r="I54" s="674" t="s">
        <v>386</v>
      </c>
      <c r="J54" s="97">
        <v>0</v>
      </c>
      <c r="K54" s="97">
        <v>0</v>
      </c>
      <c r="L54" s="99">
        <v>0</v>
      </c>
      <c r="M54" s="81">
        <f t="shared" ca="1" si="20"/>
        <v>0</v>
      </c>
      <c r="N54" s="80"/>
      <c r="O54" s="93">
        <f ca="1">IF(OR(ISBLANK($C54),$C54="",$C54=0),0,COUNTIF(TB_WPTags,$C54&amp;"-100"))</f>
        <v>0</v>
      </c>
      <c r="P54" s="82"/>
      <c r="Q54" s="82"/>
      <c r="R54" s="82"/>
      <c r="S54" s="82"/>
      <c r="T54" s="82"/>
      <c r="U54" s="82"/>
      <c r="V54" s="83" t="str">
        <f t="shared" ca="1" si="21"/>
        <v>0</v>
      </c>
      <c r="W54" s="82"/>
      <c r="X54" s="83">
        <f t="shared" ca="1" si="22"/>
        <v>0</v>
      </c>
      <c r="Y54" s="82" t="b">
        <f t="shared" ca="1" si="23"/>
        <v>0</v>
      </c>
      <c r="Z54" s="94" t="b">
        <f t="shared" ca="1" si="24"/>
        <v>0</v>
      </c>
      <c r="AA54" s="94" t="b">
        <f t="shared" ca="1" si="25"/>
        <v>0</v>
      </c>
      <c r="AB54" s="178">
        <f t="shared" ca="1" si="26"/>
        <v>0</v>
      </c>
      <c r="AC54" s="94" t="b">
        <v>0</v>
      </c>
      <c r="AD54" s="127"/>
      <c r="AE54" s="185"/>
      <c r="AF54" s="175" t="str">
        <f t="shared" ca="1" si="27"/>
        <v/>
      </c>
      <c r="AG54" s="183">
        <f t="shared" ca="1" si="9"/>
        <v>0</v>
      </c>
      <c r="AH54" s="174"/>
      <c r="AI54" s="95" t="str">
        <f t="shared" ca="1" si="28"/>
        <v/>
      </c>
      <c r="AJ54" s="110"/>
      <c r="AK54" s="111"/>
      <c r="AL54" s="110"/>
      <c r="AM54" s="110"/>
      <c r="AN54" s="90"/>
    </row>
    <row r="55" spans="1:40" s="74" customFormat="1" ht="19.5">
      <c r="A55" s="76"/>
      <c r="B55" s="77"/>
      <c r="C55" s="671" t="s">
        <v>569</v>
      </c>
      <c r="D55" s="87">
        <v>25</v>
      </c>
      <c r="E55" s="87">
        <v>4</v>
      </c>
      <c r="F55" s="87" t="s">
        <v>570</v>
      </c>
      <c r="G55" s="101" t="s">
        <v>563</v>
      </c>
      <c r="H55" s="172"/>
      <c r="I55" s="675" t="s">
        <v>571</v>
      </c>
      <c r="J55" s="97">
        <v>0</v>
      </c>
      <c r="K55" s="97">
        <v>0</v>
      </c>
      <c r="L55" s="99">
        <v>0</v>
      </c>
      <c r="M55" s="81">
        <f t="shared" ca="1" si="20"/>
        <v>0</v>
      </c>
      <c r="N55" s="80"/>
      <c r="O55" s="93">
        <f ca="1">IF(OR(ISBLANK($C55),$C55="",$C55=0),0,COUNTIF(TB_WPTags,$C55&amp;"-100"))</f>
        <v>0</v>
      </c>
      <c r="P55" s="82"/>
      <c r="Q55" s="82"/>
      <c r="R55" s="82"/>
      <c r="S55" s="82"/>
      <c r="T55" s="82"/>
      <c r="U55" s="82"/>
      <c r="V55" s="83" t="str">
        <f t="shared" ca="1" si="21"/>
        <v>0</v>
      </c>
      <c r="W55" s="82"/>
      <c r="X55" s="83">
        <f t="shared" ca="1" si="22"/>
        <v>0</v>
      </c>
      <c r="Y55" s="82" t="b">
        <f t="shared" ca="1" si="23"/>
        <v>0</v>
      </c>
      <c r="Z55" s="94" t="b">
        <f t="shared" ca="1" si="24"/>
        <v>0</v>
      </c>
      <c r="AA55" s="94" t="b">
        <f t="shared" ca="1" si="25"/>
        <v>0</v>
      </c>
      <c r="AB55" s="178">
        <f t="shared" ca="1" si="26"/>
        <v>0</v>
      </c>
      <c r="AC55" s="94" t="b">
        <v>0</v>
      </c>
      <c r="AD55" s="127"/>
      <c r="AE55" s="185"/>
      <c r="AF55" s="175" t="str">
        <f t="shared" ca="1" si="27"/>
        <v/>
      </c>
      <c r="AG55" s="183">
        <f t="shared" ca="1" si="9"/>
        <v>0</v>
      </c>
      <c r="AH55" s="174"/>
      <c r="AI55" s="95" t="str">
        <f t="shared" ca="1" si="28"/>
        <v/>
      </c>
      <c r="AJ55" s="110"/>
      <c r="AK55" s="111"/>
      <c r="AL55" s="110"/>
      <c r="AM55" s="110"/>
      <c r="AN55" s="90"/>
    </row>
    <row r="56" spans="1:40" s="74" customFormat="1" ht="19.5">
      <c r="A56" s="76"/>
      <c r="B56" s="77"/>
      <c r="C56" s="671" t="s">
        <v>572</v>
      </c>
      <c r="D56" s="87">
        <v>26</v>
      </c>
      <c r="E56" s="87">
        <v>5</v>
      </c>
      <c r="F56" s="87" t="s">
        <v>573</v>
      </c>
      <c r="G56" s="101" t="s">
        <v>563</v>
      </c>
      <c r="H56" s="172"/>
      <c r="I56" s="676" t="s">
        <v>574</v>
      </c>
      <c r="J56" s="677">
        <v>823.99</v>
      </c>
      <c r="K56" s="677">
        <v>0</v>
      </c>
      <c r="L56" s="99">
        <v>823.99</v>
      </c>
      <c r="M56" s="81">
        <f t="shared" ca="1" si="20"/>
        <v>1</v>
      </c>
      <c r="N56" s="80" t="s">
        <v>83</v>
      </c>
      <c r="O56" s="93">
        <f ca="1">IF(OR(ISBLANK($C56),$C56="",$C56=0),0,COUNTIF(TB_WPTags,$C56&amp;"-100"))</f>
        <v>1</v>
      </c>
      <c r="P56" s="82"/>
      <c r="Q56" s="82"/>
      <c r="R56" s="82"/>
      <c r="S56" s="82"/>
      <c r="T56" s="82"/>
      <c r="U56" s="82"/>
      <c r="V56" s="83" t="str">
        <f t="shared" ca="1" si="21"/>
        <v>1</v>
      </c>
      <c r="W56" s="82"/>
      <c r="X56" s="83">
        <f t="shared" ca="1" si="22"/>
        <v>8</v>
      </c>
      <c r="Y56" s="82" t="b">
        <f t="shared" ca="1" si="23"/>
        <v>0</v>
      </c>
      <c r="Z56" s="94" t="b">
        <f t="shared" ca="1" si="24"/>
        <v>0</v>
      </c>
      <c r="AA56" s="94" t="b">
        <f t="shared" ca="1" si="25"/>
        <v>0</v>
      </c>
      <c r="AB56" s="178">
        <f t="shared" ca="1" si="26"/>
        <v>0</v>
      </c>
      <c r="AC56" s="94" t="b">
        <v>0</v>
      </c>
      <c r="AD56" s="127"/>
      <c r="AE56" s="185" t="s">
        <v>58</v>
      </c>
      <c r="AF56" s="175" t="str">
        <f t="shared" ca="1" si="27"/>
        <v/>
      </c>
      <c r="AG56" s="183">
        <f t="shared" ca="1" si="9"/>
        <v>0</v>
      </c>
      <c r="AH56" s="174"/>
      <c r="AI56" s="95" t="str">
        <f t="shared" ca="1" si="28"/>
        <v>Complete</v>
      </c>
      <c r="AJ56" s="110"/>
      <c r="AK56" s="111"/>
      <c r="AL56" s="110"/>
      <c r="AM56" s="110"/>
      <c r="AN56" s="90"/>
    </row>
    <row r="57" spans="1:40" s="74" customFormat="1" ht="19.5" hidden="1">
      <c r="A57" s="76"/>
      <c r="B57" s="77"/>
      <c r="C57" s="86" t="s">
        <v>572</v>
      </c>
      <c r="D57" s="87">
        <f ca="1">IF(IFERROR(ROW(TrialBalanceExact)+MATCH(C57,OFFSET(TrialBalanceExact,0,0,ROWS(TrialBalanceExact),1),0)-1=ROW(),TRUE),0, IF(ISERROR(VLOOKUP(C57,TrialBalanceExact,2,0)),0,VLOOKUP(C57,TrialBalanceExact,2,0)))</f>
        <v>26</v>
      </c>
      <c r="E57" s="87">
        <v>100</v>
      </c>
      <c r="F57" s="87"/>
      <c r="G57" s="101" t="s">
        <v>563</v>
      </c>
      <c r="H57" s="172"/>
      <c r="I57" s="734"/>
      <c r="J57" s="735"/>
      <c r="K57" s="735"/>
      <c r="L57" s="736"/>
      <c r="M57" s="737"/>
      <c r="N57" s="213" t="s">
        <v>136</v>
      </c>
      <c r="O57" s="738"/>
      <c r="P57" s="739" t="str">
        <f>$C57&amp;"-"&amp;$E57</f>
        <v>interest.OtherAssets.CashAtBank.9c33cc9f-099c-410b-a660-2225d53d8513-100</v>
      </c>
      <c r="Q57" s="739" t="s">
        <v>897</v>
      </c>
      <c r="R57" s="739" t="s">
        <v>905</v>
      </c>
      <c r="S57" s="739"/>
      <c r="T57" s="740">
        <f ca="1">ABS(IF(ISERROR(VLOOKUP(C57,TrialBalanceExact,8,0)),0,VLOOKUP(C57,TrialBalanceExact,8,0)))</f>
        <v>823.99</v>
      </c>
      <c r="U57" s="740">
        <f ca="1">ABS(IF(ISNUMBER(AH57),AH57,IF(ISBLANK(AH57),NA(),INDIRECT("'" &amp; _xll.SheetFromID(R57) &amp; "'!Reconcile_" &amp; SUBSTITUTE(AH57," ","")))))</f>
        <v>823.99</v>
      </c>
      <c r="V57" s="740">
        <f ca="1">IFERROR(IF(ABS(ROUND($T57-$U57,2))&lt;=Options_Tolerance,1,-1),0)</f>
        <v>1</v>
      </c>
      <c r="W57" s="740" t="str">
        <f ca="1">$C57&amp;"-"&amp;V57</f>
        <v>interest.OtherAssets.CashAtBank.9c33cc9f-099c-410b-a660-2225d53d8513-1</v>
      </c>
      <c r="X57" s="741">
        <f>IFERROR(VLOOKUP(AI57,StatusDescriptionsOrder,2,0),0)</f>
        <v>8</v>
      </c>
      <c r="Y57" s="739" t="b">
        <v>0</v>
      </c>
      <c r="Z57" s="742" t="b">
        <v>0</v>
      </c>
      <c r="AA57" s="743" t="b">
        <f>IFERROR(VLOOKUP(R57,HNSW_ItemsCount!A:D,2,0)&gt;0,FALSE)</f>
        <v>0</v>
      </c>
      <c r="AB57" s="743">
        <f>IFERROR(VLOOKUP(R57,HNSW_ItemsCount!A:D,4,0),0)</f>
        <v>0</v>
      </c>
      <c r="AC57" s="744" t="b">
        <v>0</v>
      </c>
      <c r="AD57" s="127" t="s">
        <v>900</v>
      </c>
      <c r="AE57" s="745" t="s">
        <v>58</v>
      </c>
      <c r="AF57" s="746" t="s">
        <v>74</v>
      </c>
      <c r="AG57" s="747">
        <f t="shared" si="9"/>
        <v>0</v>
      </c>
      <c r="AH57" s="748">
        <v>823.99</v>
      </c>
      <c r="AI57" s="749" t="s">
        <v>37</v>
      </c>
      <c r="AJ57" s="750" t="s">
        <v>1041</v>
      </c>
      <c r="AK57" s="751">
        <v>43545</v>
      </c>
      <c r="AL57" s="752" t="s">
        <v>58</v>
      </c>
      <c r="AM57" s="753" t="s">
        <v>25</v>
      </c>
      <c r="AN57" s="90"/>
    </row>
    <row r="58" spans="1:40" s="74" customFormat="1" ht="19.5">
      <c r="A58" s="76"/>
      <c r="B58" s="77"/>
      <c r="C58" s="671" t="s">
        <v>575</v>
      </c>
      <c r="D58" s="87">
        <v>27</v>
      </c>
      <c r="E58" s="87">
        <v>4</v>
      </c>
      <c r="F58" s="87" t="s">
        <v>576</v>
      </c>
      <c r="G58" s="101" t="s">
        <v>563</v>
      </c>
      <c r="H58" s="172"/>
      <c r="I58" s="675" t="s">
        <v>577</v>
      </c>
      <c r="J58" s="678">
        <v>823.99</v>
      </c>
      <c r="K58" s="678">
        <v>0</v>
      </c>
      <c r="L58" s="99">
        <v>823.99</v>
      </c>
      <c r="M58" s="81">
        <f ca="1">IF(AND($AC58,$O58&gt;0),"–",$O58)</f>
        <v>0</v>
      </c>
      <c r="N58" s="80" t="s">
        <v>83</v>
      </c>
      <c r="O58" s="93">
        <f ca="1">IF(OR(ISBLANK($C58),$C58="",$C58=0),0,COUNTIF(TB_WPTags,$C58&amp;"-100"))</f>
        <v>0</v>
      </c>
      <c r="P58" s="82"/>
      <c r="Q58" s="82"/>
      <c r="R58" s="82"/>
      <c r="S58" s="82"/>
      <c r="T58" s="82"/>
      <c r="U58" s="82"/>
      <c r="V58" s="83" t="str">
        <f ca="1">IF(OR(ISBLANK($C58),$AC58),"NA",IF(COUNTIF(W:W,$C58&amp;"--1")&gt;0,"-1",IF(COUNTIF(W:W,$C58&amp;"-1")&gt;0,"1","0")))</f>
        <v>0</v>
      </c>
      <c r="W58" s="82"/>
      <c r="X58" s="83">
        <f ca="1">IF($O58&gt;0,MIN(OFFSET($X58,1,0,$O58)),0)</f>
        <v>0</v>
      </c>
      <c r="Y58" s="82" t="b">
        <f ca="1">IF(AND($O58&gt;0,AC58&lt;&gt;TRUE),COUNTIF(OFFSET($Y58,1,0,$O58),TRUE)&gt;=1,FALSE)</f>
        <v>0</v>
      </c>
      <c r="Z58" s="94" t="b">
        <f ca="1">IF(AND($O58&gt;0,AC58&lt;&gt;TRUE),COUNTIF(OFFSET($Z58,1,0,$O58),TRUE)&gt;=1,FALSE)</f>
        <v>0</v>
      </c>
      <c r="AA58" s="94" t="b">
        <f ca="1">IF(AND($O58&gt;0,AC58&lt;&gt;TRUE),COUNTIF(OFFSET($AA58,1,0,$O58),TRUE)&gt;=1,FALSE)</f>
        <v>0</v>
      </c>
      <c r="AB58" s="178">
        <f ca="1">IF(AND($O58&gt;0,AC58&lt;&gt;TRUE),SUM(OFFSET($AG58,1,0,$O58)),0)</f>
        <v>0</v>
      </c>
      <c r="AC58" s="94" t="b">
        <v>0</v>
      </c>
      <c r="AD58" s="127"/>
      <c r="AE58" s="185" t="s">
        <v>58</v>
      </c>
      <c r="AF58" s="175" t="str">
        <f ca="1">IF(AND(Y58,AC58&lt;&gt;TRUE),"]","")</f>
        <v/>
      </c>
      <c r="AG58" s="183">
        <f t="shared" ca="1" si="9"/>
        <v>0</v>
      </c>
      <c r="AH58" s="174"/>
      <c r="AI58" s="95" t="str">
        <f ca="1">IF(AND($O58&gt;0,AC58&lt;&gt;TRUE),IF($X58&gt;=1,INDEX(StatusDescriptions,$X58+1,0),StatusBlank),"")</f>
        <v/>
      </c>
      <c r="AJ58" s="110"/>
      <c r="AK58" s="111"/>
      <c r="AL58" s="110"/>
      <c r="AM58" s="110"/>
      <c r="AN58" s="90"/>
    </row>
    <row r="59" spans="1:40" s="74" customFormat="1" ht="19.5">
      <c r="A59" s="76"/>
      <c r="B59" s="77"/>
      <c r="C59" s="671" t="s">
        <v>578</v>
      </c>
      <c r="D59" s="87">
        <v>28</v>
      </c>
      <c r="E59" s="87">
        <v>3</v>
      </c>
      <c r="F59" s="87" t="s">
        <v>579</v>
      </c>
      <c r="G59" s="101" t="s">
        <v>563</v>
      </c>
      <c r="H59" s="172"/>
      <c r="I59" s="674" t="s">
        <v>580</v>
      </c>
      <c r="J59" s="678">
        <v>823.99</v>
      </c>
      <c r="K59" s="678">
        <v>0</v>
      </c>
      <c r="L59" s="99">
        <v>823.99</v>
      </c>
      <c r="M59" s="81">
        <f ca="1">IF(AND($AC59,$O59&gt;0),"–",$O59)</f>
        <v>0</v>
      </c>
      <c r="N59" s="80" t="s">
        <v>83</v>
      </c>
      <c r="O59" s="93">
        <f ca="1">IF(OR(ISBLANK($C59),$C59="",$C59=0),0,COUNTIF(TB_WPTags,$C59&amp;"-100"))</f>
        <v>0</v>
      </c>
      <c r="P59" s="82"/>
      <c r="Q59" s="82"/>
      <c r="R59" s="82"/>
      <c r="S59" s="82"/>
      <c r="T59" s="82"/>
      <c r="U59" s="82"/>
      <c r="V59" s="83" t="str">
        <f ca="1">IF(OR(ISBLANK($C59),$AC59),"NA",IF(COUNTIF(W:W,$C59&amp;"--1")&gt;0,"-1",IF(COUNTIF(W:W,$C59&amp;"-1")&gt;0,"1","0")))</f>
        <v>0</v>
      </c>
      <c r="W59" s="82"/>
      <c r="X59" s="83">
        <f ca="1">IF($O59&gt;0,MIN(OFFSET($X59,1,0,$O59)),0)</f>
        <v>0</v>
      </c>
      <c r="Y59" s="82" t="b">
        <f ca="1">IF(AND($O59&gt;0,AC59&lt;&gt;TRUE),COUNTIF(OFFSET($Y59,1,0,$O59),TRUE)&gt;=1,FALSE)</f>
        <v>0</v>
      </c>
      <c r="Z59" s="94" t="b">
        <f ca="1">IF(AND($O59&gt;0,AC59&lt;&gt;TRUE),COUNTIF(OFFSET($Z59,1,0,$O59),TRUE)&gt;=1,FALSE)</f>
        <v>0</v>
      </c>
      <c r="AA59" s="94" t="b">
        <f ca="1">IF(AND($O59&gt;0,AC59&lt;&gt;TRUE),COUNTIF(OFFSET($AA59,1,0,$O59),TRUE)&gt;=1,FALSE)</f>
        <v>0</v>
      </c>
      <c r="AB59" s="178">
        <f ca="1">IF(AND($O59&gt;0,AC59&lt;&gt;TRUE),SUM(OFFSET($AG59,1,0,$O59)),0)</f>
        <v>0</v>
      </c>
      <c r="AC59" s="94" t="b">
        <v>0</v>
      </c>
      <c r="AD59" s="127"/>
      <c r="AE59" s="185" t="s">
        <v>58</v>
      </c>
      <c r="AF59" s="175" t="str">
        <f ca="1">IF(AND(Y59,AC59&lt;&gt;TRUE),"]","")</f>
        <v/>
      </c>
      <c r="AG59" s="183">
        <f t="shared" ca="1" si="9"/>
        <v>0</v>
      </c>
      <c r="AH59" s="174"/>
      <c r="AI59" s="95" t="str">
        <f ca="1">IF(AND($O59&gt;0,AC59&lt;&gt;TRUE),IF($X59&gt;=1,INDEX(StatusDescriptions,$X59+1,0),StatusBlank),"")</f>
        <v/>
      </c>
      <c r="AJ59" s="110"/>
      <c r="AK59" s="111"/>
      <c r="AL59" s="110"/>
      <c r="AM59" s="110"/>
      <c r="AN59" s="90"/>
    </row>
    <row r="60" spans="1:40" s="74" customFormat="1" ht="19.5">
      <c r="A60" s="76"/>
      <c r="B60" s="77"/>
      <c r="C60" s="671" t="s">
        <v>653</v>
      </c>
      <c r="D60" s="87">
        <v>29</v>
      </c>
      <c r="E60" s="87">
        <v>3</v>
      </c>
      <c r="F60" s="87" t="s">
        <v>568</v>
      </c>
      <c r="G60" s="101" t="s">
        <v>563</v>
      </c>
      <c r="H60" s="172"/>
      <c r="I60" s="674" t="s">
        <v>654</v>
      </c>
      <c r="J60" s="97">
        <v>0</v>
      </c>
      <c r="K60" s="97">
        <v>0</v>
      </c>
      <c r="L60" s="99">
        <v>0</v>
      </c>
      <c r="M60" s="81">
        <f ca="1">IF(AND($AC60,$O60&gt;0),"–",$O60)</f>
        <v>0</v>
      </c>
      <c r="N60" s="80"/>
      <c r="O60" s="93">
        <f ca="1">IF(OR(ISBLANK($C60),$C60="",$C60=0),0,COUNTIF(TB_WPTags,$C60&amp;"-100"))</f>
        <v>0</v>
      </c>
      <c r="P60" s="82"/>
      <c r="Q60" s="82"/>
      <c r="R60" s="82"/>
      <c r="S60" s="82"/>
      <c r="T60" s="82"/>
      <c r="U60" s="82"/>
      <c r="V60" s="83" t="str">
        <f ca="1">IF(OR(ISBLANK($C60),$AC60),"NA",IF(COUNTIF(W:W,$C60&amp;"--1")&gt;0,"-1",IF(COUNTIF(W:W,$C60&amp;"-1")&gt;0,"1","0")))</f>
        <v>0</v>
      </c>
      <c r="W60" s="82"/>
      <c r="X60" s="83">
        <f ca="1">IF($O60&gt;0,MIN(OFFSET($X60,1,0,$O60)),0)</f>
        <v>0</v>
      </c>
      <c r="Y60" s="82" t="b">
        <f ca="1">IF(AND($O60&gt;0,AC60&lt;&gt;TRUE),COUNTIF(OFFSET($Y60,1,0,$O60),TRUE)&gt;=1,FALSE)</f>
        <v>0</v>
      </c>
      <c r="Z60" s="94" t="b">
        <f ca="1">IF(AND($O60&gt;0,AC60&lt;&gt;TRUE),COUNTIF(OFFSET($Z60,1,0,$O60),TRUE)&gt;=1,FALSE)</f>
        <v>0</v>
      </c>
      <c r="AA60" s="94" t="b">
        <f ca="1">IF(AND($O60&gt;0,AC60&lt;&gt;TRUE),COUNTIF(OFFSET($AA60,1,0,$O60),TRUE)&gt;=1,FALSE)</f>
        <v>0</v>
      </c>
      <c r="AB60" s="178">
        <f ca="1">IF(AND($O60&gt;0,AC60&lt;&gt;TRUE),SUM(OFFSET($AG60,1,0,$O60)),0)</f>
        <v>0</v>
      </c>
      <c r="AC60" s="94" t="b">
        <v>0</v>
      </c>
      <c r="AD60" s="127"/>
      <c r="AE60" s="185"/>
      <c r="AF60" s="175" t="str">
        <f ca="1">IF(AND(Y60,AC60&lt;&gt;TRUE),"]","")</f>
        <v/>
      </c>
      <c r="AG60" s="183">
        <f t="shared" ca="1" si="9"/>
        <v>0</v>
      </c>
      <c r="AH60" s="174"/>
      <c r="AI60" s="95" t="str">
        <f ca="1">IF(AND($O60&gt;0,AC60&lt;&gt;TRUE),IF($X60&gt;=1,INDEX(StatusDescriptions,$X60+1,0),StatusBlank),"")</f>
        <v/>
      </c>
      <c r="AJ60" s="110"/>
      <c r="AK60" s="111"/>
      <c r="AL60" s="110"/>
      <c r="AM60" s="110"/>
      <c r="AN60" s="90"/>
    </row>
    <row r="61" spans="1:40" s="74" customFormat="1" ht="19.5">
      <c r="A61" s="76"/>
      <c r="B61" s="77"/>
      <c r="C61" s="671" t="s">
        <v>655</v>
      </c>
      <c r="D61" s="87">
        <v>30</v>
      </c>
      <c r="E61" s="87">
        <v>4</v>
      </c>
      <c r="F61" s="87" t="s">
        <v>570</v>
      </c>
      <c r="G61" s="101" t="s">
        <v>563</v>
      </c>
      <c r="H61" s="172"/>
      <c r="I61" s="675" t="s">
        <v>596</v>
      </c>
      <c r="J61" s="97">
        <v>0</v>
      </c>
      <c r="K61" s="97">
        <v>0</v>
      </c>
      <c r="L61" s="99">
        <v>0</v>
      </c>
      <c r="M61" s="81">
        <f ca="1">IF(AND($AC61,$O61&gt;0),"–",$O61)</f>
        <v>0</v>
      </c>
      <c r="N61" s="80"/>
      <c r="O61" s="93">
        <f ca="1">IF(OR(ISBLANK($C61),$C61="",$C61=0),0,COUNTIF(TB_WPTags,$C61&amp;"-100"))</f>
        <v>0</v>
      </c>
      <c r="P61" s="82"/>
      <c r="Q61" s="82"/>
      <c r="R61" s="82"/>
      <c r="S61" s="82"/>
      <c r="T61" s="82"/>
      <c r="U61" s="82"/>
      <c r="V61" s="83" t="str">
        <f ca="1">IF(OR(ISBLANK($C61),$AC61),"NA",IF(COUNTIF(W:W,$C61&amp;"--1")&gt;0,"-1",IF(COUNTIF(W:W,$C61&amp;"-1")&gt;0,"1","0")))</f>
        <v>0</v>
      </c>
      <c r="W61" s="82"/>
      <c r="X61" s="83">
        <f ca="1">IF($O61&gt;0,MIN(OFFSET($X61,1,0,$O61)),0)</f>
        <v>0</v>
      </c>
      <c r="Y61" s="82" t="b">
        <f ca="1">IF(AND($O61&gt;0,AC61&lt;&gt;TRUE),COUNTIF(OFFSET($Y61,1,0,$O61),TRUE)&gt;=1,FALSE)</f>
        <v>0</v>
      </c>
      <c r="Z61" s="94" t="b">
        <f ca="1">IF(AND($O61&gt;0,AC61&lt;&gt;TRUE),COUNTIF(OFFSET($Z61,1,0,$O61),TRUE)&gt;=1,FALSE)</f>
        <v>0</v>
      </c>
      <c r="AA61" s="94" t="b">
        <f ca="1">IF(AND($O61&gt;0,AC61&lt;&gt;TRUE),COUNTIF(OFFSET($AA61,1,0,$O61),TRUE)&gt;=1,FALSE)</f>
        <v>0</v>
      </c>
      <c r="AB61" s="178">
        <f ca="1">IF(AND($O61&gt;0,AC61&lt;&gt;TRUE),SUM(OFFSET($AG61,1,0,$O61)),0)</f>
        <v>0</v>
      </c>
      <c r="AC61" s="94" t="b">
        <v>0</v>
      </c>
      <c r="AD61" s="127"/>
      <c r="AE61" s="185"/>
      <c r="AF61" s="175" t="str">
        <f ca="1">IF(AND(Y61,AC61&lt;&gt;TRUE),"]","")</f>
        <v/>
      </c>
      <c r="AG61" s="183">
        <f t="shared" ca="1" si="9"/>
        <v>0</v>
      </c>
      <c r="AH61" s="174"/>
      <c r="AI61" s="95" t="str">
        <f ca="1">IF(AND($O61&gt;0,AC61&lt;&gt;TRUE),IF($X61&gt;=1,INDEX(StatusDescriptions,$X61+1,0),StatusBlank),"")</f>
        <v/>
      </c>
      <c r="AJ61" s="110"/>
      <c r="AK61" s="111"/>
      <c r="AL61" s="110"/>
      <c r="AM61" s="110"/>
      <c r="AN61" s="90"/>
    </row>
    <row r="62" spans="1:40" s="74" customFormat="1" ht="19.5">
      <c r="A62" s="76"/>
      <c r="B62" s="77"/>
      <c r="C62" s="671" t="s">
        <v>726</v>
      </c>
      <c r="D62" s="87">
        <v>31</v>
      </c>
      <c r="E62" s="87">
        <v>5</v>
      </c>
      <c r="F62" s="87" t="s">
        <v>573</v>
      </c>
      <c r="G62" s="101" t="s">
        <v>563</v>
      </c>
      <c r="H62" s="172" t="s">
        <v>599</v>
      </c>
      <c r="I62" s="676" t="s">
        <v>1009</v>
      </c>
      <c r="J62" s="677">
        <v>43870</v>
      </c>
      <c r="K62" s="677">
        <v>0</v>
      </c>
      <c r="L62" s="99">
        <v>43870</v>
      </c>
      <c r="M62" s="81">
        <f ca="1">IF(AND($AC62,$O62&gt;0),"–",$O62)</f>
        <v>1</v>
      </c>
      <c r="N62" s="80" t="s">
        <v>83</v>
      </c>
      <c r="O62" s="93">
        <f ca="1">IF(OR(ISBLANK($C62),$C62="",$C62=0),0,COUNTIF(TB_WPTags,$C62&amp;"-100"))</f>
        <v>1</v>
      </c>
      <c r="P62" s="82"/>
      <c r="Q62" s="82"/>
      <c r="R62" s="82"/>
      <c r="S62" s="82"/>
      <c r="T62" s="82"/>
      <c r="U62" s="82"/>
      <c r="V62" s="83" t="str">
        <f ca="1">IF(OR(ISBLANK($C62),$AC62),"NA",IF(COUNTIF(W:W,$C62&amp;"--1")&gt;0,"-1",IF(COUNTIF(W:W,$C62&amp;"-1")&gt;0,"1","0")))</f>
        <v>1</v>
      </c>
      <c r="W62" s="82"/>
      <c r="X62" s="83">
        <f ca="1">IF($O62&gt;0,MIN(OFFSET($X62,1,0,$O62)),0)</f>
        <v>5</v>
      </c>
      <c r="Y62" s="82" t="b">
        <f ca="1">IF(AND($O62&gt;0,AC62&lt;&gt;TRUE),COUNTIF(OFFSET($Y62,1,0,$O62),TRUE)&gt;=1,FALSE)</f>
        <v>0</v>
      </c>
      <c r="Z62" s="94" t="b">
        <f ca="1">IF(AND($O62&gt;0,AC62&lt;&gt;TRUE),COUNTIF(OFFSET($Z62,1,0,$O62),TRUE)&gt;=1,FALSE)</f>
        <v>0</v>
      </c>
      <c r="AA62" s="94" t="b">
        <f ca="1">IF(AND($O62&gt;0,AC62&lt;&gt;TRUE),COUNTIF(OFFSET($AA62,1,0,$O62),TRUE)&gt;=1,FALSE)</f>
        <v>0</v>
      </c>
      <c r="AB62" s="178">
        <f ca="1">IF(AND($O62&gt;0,AC62&lt;&gt;TRUE),SUM(OFFSET($AG62,1,0,$O62)),0)</f>
        <v>0</v>
      </c>
      <c r="AC62" s="94" t="b">
        <v>0</v>
      </c>
      <c r="AD62" s="127"/>
      <c r="AE62" s="185"/>
      <c r="AF62" s="175" t="str">
        <f ca="1">IF(AND(Y62,AC62&lt;&gt;TRUE),"]","")</f>
        <v/>
      </c>
      <c r="AG62" s="183">
        <f t="shared" ca="1" si="9"/>
        <v>0</v>
      </c>
      <c r="AH62" s="174"/>
      <c r="AI62" s="95" t="str">
        <f ca="1">IF(AND($O62&gt;0,AC62&lt;&gt;TRUE),IF($X62&gt;=1,INDEX(StatusDescriptions,$X62+1,0),StatusBlank),"")</f>
        <v>Rework Complete</v>
      </c>
      <c r="AJ62" s="110"/>
      <c r="AK62" s="111"/>
      <c r="AL62" s="110"/>
      <c r="AM62" s="110"/>
      <c r="AN62" s="90"/>
    </row>
    <row r="63" spans="1:40" s="74" customFormat="1" ht="19.5" hidden="1">
      <c r="A63" s="76"/>
      <c r="B63" s="77"/>
      <c r="C63" s="86" t="s">
        <v>726</v>
      </c>
      <c r="D63" s="87">
        <f ca="1">IF(IFERROR(ROW(TrialBalanceExact)+MATCH(C63,OFFSET(TrialBalanceExact,0,0,ROWS(TrialBalanceExact),1),0)-1=ROW(),TRUE),0, IF(ISERROR(VLOOKUP(C63,TrialBalanceExact,2,0)),0,VLOOKUP(C63,TrialBalanceExact,2,0)))</f>
        <v>31</v>
      </c>
      <c r="E63" s="87">
        <v>100</v>
      </c>
      <c r="F63" s="87"/>
      <c r="G63" s="101" t="s">
        <v>563</v>
      </c>
      <c r="H63" s="172" t="s">
        <v>599</v>
      </c>
      <c r="I63" s="734"/>
      <c r="J63" s="735"/>
      <c r="K63" s="735"/>
      <c r="L63" s="736"/>
      <c r="M63" s="737"/>
      <c r="N63" s="213" t="s">
        <v>136</v>
      </c>
      <c r="O63" s="738"/>
      <c r="P63" s="739" t="str">
        <f>$C63&amp;"-"&amp;$E63</f>
        <v>rent.Property.98da9e35-149c-408d-81d9-e7c6bce587f6-100</v>
      </c>
      <c r="Q63" s="739" t="s">
        <v>861</v>
      </c>
      <c r="R63" s="739" t="s">
        <v>862</v>
      </c>
      <c r="S63" s="739" t="s">
        <v>863</v>
      </c>
      <c r="T63" s="740">
        <f ca="1">ABS(IF(ISERROR(VLOOKUP(C63,TrialBalanceExact,8,0)),0,VLOOKUP(C63,TrialBalanceExact,8,0)))</f>
        <v>43870</v>
      </c>
      <c r="U63" s="740">
        <f ca="1">ABS(IF(ISNUMBER(AH63),AH63,IF(ISBLANK(AH63),NA(),INDIRECT("'" &amp; _xll.SheetFromID(R63) &amp; "'!Reconcile_" &amp; SUBSTITUTE(AH63," ","")))))</f>
        <v>43870</v>
      </c>
      <c r="V63" s="740">
        <f ca="1">IFERROR(IF(ABS(ROUND($T63-$U63,2))&lt;=Options_Tolerance,1,-1),0)</f>
        <v>1</v>
      </c>
      <c r="W63" s="740" t="str">
        <f ca="1">$C63&amp;"-"&amp;V63</f>
        <v>rent.Property.98da9e35-149c-408d-81d9-e7c6bce587f6-1</v>
      </c>
      <c r="X63" s="741">
        <f>IFERROR(VLOOKUP(AI63,StatusDescriptionsOrder,2,0),0)</f>
        <v>5</v>
      </c>
      <c r="Y63" s="739" t="b">
        <v>0</v>
      </c>
      <c r="Z63" s="742" t="b">
        <v>0</v>
      </c>
      <c r="AA63" s="743" t="b">
        <f>IFERROR(VLOOKUP(R63,HNSW_ItemsCount!A:D,2,0)&gt;0,FALSE)</f>
        <v>0</v>
      </c>
      <c r="AB63" s="743">
        <f>IFERROR(VLOOKUP(R63,HNSW_ItemsCount!A:D,4,0),0)</f>
        <v>0</v>
      </c>
      <c r="AC63" s="744" t="b">
        <v>0</v>
      </c>
      <c r="AD63" s="127" t="s">
        <v>864</v>
      </c>
      <c r="AE63" s="745" t="s">
        <v>58</v>
      </c>
      <c r="AF63" s="746" t="s">
        <v>74</v>
      </c>
      <c r="AG63" s="747">
        <f t="shared" si="9"/>
        <v>0</v>
      </c>
      <c r="AH63" s="748">
        <v>43870</v>
      </c>
      <c r="AI63" s="749" t="s">
        <v>36</v>
      </c>
      <c r="AJ63" s="750" t="s">
        <v>552</v>
      </c>
      <c r="AK63" s="751">
        <v>43546</v>
      </c>
      <c r="AL63" s="752" t="s">
        <v>58</v>
      </c>
      <c r="AM63" s="753" t="s">
        <v>25</v>
      </c>
      <c r="AN63" s="90"/>
    </row>
    <row r="64" spans="1:40" s="74" customFormat="1" ht="19.5">
      <c r="A64" s="76"/>
      <c r="B64" s="77"/>
      <c r="C64" s="671" t="s">
        <v>656</v>
      </c>
      <c r="D64" s="87">
        <v>32</v>
      </c>
      <c r="E64" s="87">
        <v>5</v>
      </c>
      <c r="F64" s="87" t="s">
        <v>573</v>
      </c>
      <c r="G64" s="101" t="s">
        <v>563</v>
      </c>
      <c r="H64" s="172" t="s">
        <v>599</v>
      </c>
      <c r="I64" s="676" t="s">
        <v>1010</v>
      </c>
      <c r="J64" s="677">
        <v>19586.439999999999</v>
      </c>
      <c r="K64" s="677">
        <v>0</v>
      </c>
      <c r="L64" s="99">
        <v>19586.439999999999</v>
      </c>
      <c r="M64" s="81">
        <f ca="1">IF(AND($AC64,$O64&gt;0),"–",$O64)</f>
        <v>1</v>
      </c>
      <c r="N64" s="80" t="s">
        <v>83</v>
      </c>
      <c r="O64" s="93">
        <f ca="1">IF(OR(ISBLANK($C64),$C64="",$C64=0),0,COUNTIF(TB_WPTags,$C64&amp;"-100"))</f>
        <v>1</v>
      </c>
      <c r="P64" s="82"/>
      <c r="Q64" s="82"/>
      <c r="R64" s="82"/>
      <c r="S64" s="82"/>
      <c r="T64" s="82"/>
      <c r="U64" s="82"/>
      <c r="V64" s="83" t="str">
        <f ca="1">IF(OR(ISBLANK($C64),$AC64),"NA",IF(COUNTIF(W:W,$C64&amp;"--1")&gt;0,"-1",IF(COUNTIF(W:W,$C64&amp;"-1")&gt;0,"1","0")))</f>
        <v>1</v>
      </c>
      <c r="W64" s="82"/>
      <c r="X64" s="83">
        <f ca="1">IF($O64&gt;0,MIN(OFFSET($X64,1,0,$O64)),0)</f>
        <v>5</v>
      </c>
      <c r="Y64" s="82" t="b">
        <f ca="1">IF(AND($O64&gt;0,AC64&lt;&gt;TRUE),COUNTIF(OFFSET($Y64,1,0,$O64),TRUE)&gt;=1,FALSE)</f>
        <v>0</v>
      </c>
      <c r="Z64" s="94" t="b">
        <f ca="1">IF(AND($O64&gt;0,AC64&lt;&gt;TRUE),COUNTIF(OFFSET($Z64,1,0,$O64),TRUE)&gt;=1,FALSE)</f>
        <v>0</v>
      </c>
      <c r="AA64" s="94" t="b">
        <f ca="1">IF(AND($O64&gt;0,AC64&lt;&gt;TRUE),COUNTIF(OFFSET($AA64,1,0,$O64),TRUE)&gt;=1,FALSE)</f>
        <v>0</v>
      </c>
      <c r="AB64" s="178">
        <f ca="1">IF(AND($O64&gt;0,AC64&lt;&gt;TRUE),SUM(OFFSET($AG64,1,0,$O64)),0)</f>
        <v>0</v>
      </c>
      <c r="AC64" s="94" t="b">
        <v>0</v>
      </c>
      <c r="AD64" s="127"/>
      <c r="AE64" s="185"/>
      <c r="AF64" s="175" t="str">
        <f ca="1">IF(AND(Y64,AC64&lt;&gt;TRUE),"]","")</f>
        <v/>
      </c>
      <c r="AG64" s="183">
        <f t="shared" ca="1" si="9"/>
        <v>0</v>
      </c>
      <c r="AH64" s="174"/>
      <c r="AI64" s="95" t="str">
        <f ca="1">IF(AND($O64&gt;0,AC64&lt;&gt;TRUE),IF($X64&gt;=1,INDEX(StatusDescriptions,$X64+1,0),StatusBlank),"")</f>
        <v>Rework Complete</v>
      </c>
      <c r="AJ64" s="110"/>
      <c r="AK64" s="111"/>
      <c r="AL64" s="110"/>
      <c r="AM64" s="110"/>
      <c r="AN64" s="90"/>
    </row>
    <row r="65" spans="1:40" s="74" customFormat="1" ht="19.5" hidden="1">
      <c r="A65" s="76"/>
      <c r="B65" s="77"/>
      <c r="C65" s="86" t="s">
        <v>656</v>
      </c>
      <c r="D65" s="87">
        <f ca="1">IF(IFERROR(ROW(TrialBalanceExact)+MATCH(C65,OFFSET(TrialBalanceExact,0,0,ROWS(TrialBalanceExact),1),0)-1=ROW(),TRUE),0, IF(ISERROR(VLOOKUP(C65,TrialBalanceExact,2,0)),0,VLOOKUP(C65,TrialBalanceExact,2,0)))</f>
        <v>32</v>
      </c>
      <c r="E65" s="87">
        <v>100</v>
      </c>
      <c r="F65" s="87"/>
      <c r="G65" s="101" t="s">
        <v>563</v>
      </c>
      <c r="H65" s="172" t="s">
        <v>599</v>
      </c>
      <c r="I65" s="734"/>
      <c r="J65" s="735"/>
      <c r="K65" s="735"/>
      <c r="L65" s="736"/>
      <c r="M65" s="737"/>
      <c r="N65" s="213" t="s">
        <v>136</v>
      </c>
      <c r="O65" s="738"/>
      <c r="P65" s="739" t="str">
        <f>$C65&amp;"-"&amp;$E65</f>
        <v>rent.Property.49362750-9aeb-4984-a896-1dd8b81c2e48-100</v>
      </c>
      <c r="Q65" s="739" t="s">
        <v>877</v>
      </c>
      <c r="R65" s="739" t="s">
        <v>862</v>
      </c>
      <c r="S65" s="739"/>
      <c r="T65" s="740">
        <f ca="1">ABS(IF(ISERROR(VLOOKUP(C65,TrialBalanceExact,8,0)),0,VLOOKUP(C65,TrialBalanceExact,8,0)))</f>
        <v>19586.439999999999</v>
      </c>
      <c r="U65" s="740">
        <f ca="1">ABS(IF(ISNUMBER(AH65),AH65,IF(ISBLANK(AH65),NA(),INDIRECT("'" &amp; _xll.SheetFromID(R65) &amp; "'!Reconcile_" &amp; SUBSTITUTE(AH65," ","")))))</f>
        <v>19586.439999999999</v>
      </c>
      <c r="V65" s="740">
        <f ca="1">IFERROR(IF(ABS(ROUND($T65-$U65,2))&lt;=Options_Tolerance,1,-1),0)</f>
        <v>1</v>
      </c>
      <c r="W65" s="740" t="str">
        <f ca="1">$C65&amp;"-"&amp;V65</f>
        <v>rent.Property.49362750-9aeb-4984-a896-1dd8b81c2e48-1</v>
      </c>
      <c r="X65" s="741">
        <f>IFERROR(VLOOKUP(AI65,StatusDescriptionsOrder,2,0),0)</f>
        <v>5</v>
      </c>
      <c r="Y65" s="739" t="b">
        <v>0</v>
      </c>
      <c r="Z65" s="742" t="b">
        <v>0</v>
      </c>
      <c r="AA65" s="743" t="b">
        <f>IFERROR(VLOOKUP(R65,HNSW_ItemsCount!A:D,2,0)&gt;0,FALSE)</f>
        <v>0</v>
      </c>
      <c r="AB65" s="743">
        <f>IFERROR(VLOOKUP(R65,HNSW_ItemsCount!A:D,4,0),0)</f>
        <v>0</v>
      </c>
      <c r="AC65" s="744" t="b">
        <v>0</v>
      </c>
      <c r="AD65" s="127" t="s">
        <v>864</v>
      </c>
      <c r="AE65" s="745" t="s">
        <v>58</v>
      </c>
      <c r="AF65" s="746" t="s">
        <v>74</v>
      </c>
      <c r="AG65" s="747">
        <f t="shared" si="9"/>
        <v>0</v>
      </c>
      <c r="AH65" s="748">
        <v>19586.439999999999</v>
      </c>
      <c r="AI65" s="749" t="s">
        <v>36</v>
      </c>
      <c r="AJ65" s="750" t="s">
        <v>552</v>
      </c>
      <c r="AK65" s="751">
        <v>43546</v>
      </c>
      <c r="AL65" s="752" t="s">
        <v>58</v>
      </c>
      <c r="AM65" s="753" t="s">
        <v>25</v>
      </c>
      <c r="AN65" s="90"/>
    </row>
    <row r="66" spans="1:40" s="74" customFormat="1" ht="19.5">
      <c r="A66" s="76"/>
      <c r="B66" s="77"/>
      <c r="C66" s="671" t="s">
        <v>657</v>
      </c>
      <c r="D66" s="87">
        <v>33</v>
      </c>
      <c r="E66" s="87">
        <v>4</v>
      </c>
      <c r="F66" s="87" t="s">
        <v>576</v>
      </c>
      <c r="G66" s="101" t="s">
        <v>563</v>
      </c>
      <c r="H66" s="172"/>
      <c r="I66" s="675" t="s">
        <v>603</v>
      </c>
      <c r="J66" s="678">
        <v>63456.44</v>
      </c>
      <c r="K66" s="678">
        <v>0</v>
      </c>
      <c r="L66" s="99">
        <v>63456.44</v>
      </c>
      <c r="M66" s="81">
        <f ca="1">IF(AND($AC66,$O66&gt;0),"–",$O66)</f>
        <v>0</v>
      </c>
      <c r="N66" s="80" t="s">
        <v>83</v>
      </c>
      <c r="O66" s="93">
        <f ca="1">IF(OR(ISBLANK($C66),$C66="",$C66=0),0,COUNTIF(TB_WPTags,$C66&amp;"-100"))</f>
        <v>0</v>
      </c>
      <c r="P66" s="82"/>
      <c r="Q66" s="82"/>
      <c r="R66" s="82"/>
      <c r="S66" s="82"/>
      <c r="T66" s="82"/>
      <c r="U66" s="82"/>
      <c r="V66" s="83" t="str">
        <f ca="1">IF(OR(ISBLANK($C66),$AC66),"NA",IF(COUNTIF(W:W,$C66&amp;"--1")&gt;0,"-1",IF(COUNTIF(W:W,$C66&amp;"-1")&gt;0,"1","0")))</f>
        <v>0</v>
      </c>
      <c r="W66" s="82"/>
      <c r="X66" s="83">
        <f ca="1">IF($O66&gt;0,MIN(OFFSET($X66,1,0,$O66)),0)</f>
        <v>0</v>
      </c>
      <c r="Y66" s="82" t="b">
        <f ca="1">IF(AND($O66&gt;0,AC66&lt;&gt;TRUE),COUNTIF(OFFSET($Y66,1,0,$O66),TRUE)&gt;=1,FALSE)</f>
        <v>0</v>
      </c>
      <c r="Z66" s="94" t="b">
        <f ca="1">IF(AND($O66&gt;0,AC66&lt;&gt;TRUE),COUNTIF(OFFSET($Z66,1,0,$O66),TRUE)&gt;=1,FALSE)</f>
        <v>0</v>
      </c>
      <c r="AA66" s="94" t="b">
        <f ca="1">IF(AND($O66&gt;0,AC66&lt;&gt;TRUE),COUNTIF(OFFSET($AA66,1,0,$O66),TRUE)&gt;=1,FALSE)</f>
        <v>0</v>
      </c>
      <c r="AB66" s="178">
        <f ca="1">IF(AND($O66&gt;0,AC66&lt;&gt;TRUE),SUM(OFFSET($AG66,1,0,$O66)),0)</f>
        <v>0</v>
      </c>
      <c r="AC66" s="94" t="b">
        <v>0</v>
      </c>
      <c r="AD66" s="127"/>
      <c r="AE66" s="185"/>
      <c r="AF66" s="175" t="str">
        <f ca="1">IF(AND(Y66,AC66&lt;&gt;TRUE),"]","")</f>
        <v/>
      </c>
      <c r="AG66" s="183">
        <f t="shared" ca="1" si="9"/>
        <v>0</v>
      </c>
      <c r="AH66" s="174"/>
      <c r="AI66" s="95" t="str">
        <f ca="1">IF(AND($O66&gt;0,AC66&lt;&gt;TRUE),IF($X66&gt;=1,INDEX(StatusDescriptions,$X66+1,0),StatusBlank),"")</f>
        <v/>
      </c>
      <c r="AJ66" s="110"/>
      <c r="AK66" s="111"/>
      <c r="AL66" s="110"/>
      <c r="AM66" s="110"/>
      <c r="AN66" s="90"/>
    </row>
    <row r="67" spans="1:40" s="74" customFormat="1" ht="19.5">
      <c r="A67" s="76"/>
      <c r="B67" s="77"/>
      <c r="C67" s="671" t="s">
        <v>658</v>
      </c>
      <c r="D67" s="87">
        <v>34</v>
      </c>
      <c r="E67" s="87">
        <v>3</v>
      </c>
      <c r="F67" s="87" t="s">
        <v>579</v>
      </c>
      <c r="G67" s="101" t="s">
        <v>563</v>
      </c>
      <c r="H67" s="172"/>
      <c r="I67" s="674" t="s">
        <v>659</v>
      </c>
      <c r="J67" s="678">
        <v>63456.44</v>
      </c>
      <c r="K67" s="678">
        <v>0</v>
      </c>
      <c r="L67" s="99">
        <v>63456.44</v>
      </c>
      <c r="M67" s="81">
        <f ca="1">IF(AND($AC67,$O67&gt;0),"–",$O67)</f>
        <v>0</v>
      </c>
      <c r="N67" s="80" t="s">
        <v>83</v>
      </c>
      <c r="O67" s="93">
        <f ca="1">IF(OR(ISBLANK($C67),$C67="",$C67=0),0,COUNTIF(TB_WPTags,$C67&amp;"-100"))</f>
        <v>0</v>
      </c>
      <c r="P67" s="82"/>
      <c r="Q67" s="82"/>
      <c r="R67" s="82"/>
      <c r="S67" s="82"/>
      <c r="T67" s="82"/>
      <c r="U67" s="82"/>
      <c r="V67" s="83" t="str">
        <f ca="1">IF(OR(ISBLANK($C67),$AC67),"NA",IF(COUNTIF(W:W,$C67&amp;"--1")&gt;0,"-1",IF(COUNTIF(W:W,$C67&amp;"-1")&gt;0,"1","0")))</f>
        <v>0</v>
      </c>
      <c r="W67" s="82"/>
      <c r="X67" s="83">
        <f ca="1">IF($O67&gt;0,MIN(OFFSET($X67,1,0,$O67)),0)</f>
        <v>0</v>
      </c>
      <c r="Y67" s="82" t="b">
        <f ca="1">IF(AND($O67&gt;0,AC67&lt;&gt;TRUE),COUNTIF(OFFSET($Y67,1,0,$O67),TRUE)&gt;=1,FALSE)</f>
        <v>0</v>
      </c>
      <c r="Z67" s="94" t="b">
        <f ca="1">IF(AND($O67&gt;0,AC67&lt;&gt;TRUE),COUNTIF(OFFSET($Z67,1,0,$O67),TRUE)&gt;=1,FALSE)</f>
        <v>0</v>
      </c>
      <c r="AA67" s="94" t="b">
        <f ca="1">IF(AND($O67&gt;0,AC67&lt;&gt;TRUE),COUNTIF(OFFSET($AA67,1,0,$O67),TRUE)&gt;=1,FALSE)</f>
        <v>0</v>
      </c>
      <c r="AB67" s="178">
        <f ca="1">IF(AND($O67&gt;0,AC67&lt;&gt;TRUE),SUM(OFFSET($AG67,1,0,$O67)),0)</f>
        <v>0</v>
      </c>
      <c r="AC67" s="94" t="b">
        <v>0</v>
      </c>
      <c r="AD67" s="127"/>
      <c r="AE67" s="185"/>
      <c r="AF67" s="175" t="str">
        <f ca="1">IF(AND(Y67,AC67&lt;&gt;TRUE),"]","")</f>
        <v/>
      </c>
      <c r="AG67" s="183">
        <f t="shared" ca="1" si="9"/>
        <v>0</v>
      </c>
      <c r="AH67" s="174"/>
      <c r="AI67" s="95" t="str">
        <f ca="1">IF(AND($O67&gt;0,AC67&lt;&gt;TRUE),IF($X67&gt;=1,INDEX(StatusDescriptions,$X67+1,0),StatusBlank),"")</f>
        <v/>
      </c>
      <c r="AJ67" s="110"/>
      <c r="AK67" s="111"/>
      <c r="AL67" s="110"/>
      <c r="AM67" s="110"/>
      <c r="AN67" s="90"/>
    </row>
    <row r="68" spans="1:40" s="74" customFormat="1" ht="19.5">
      <c r="A68" s="76"/>
      <c r="B68" s="77"/>
      <c r="C68" s="671" t="s">
        <v>1075</v>
      </c>
      <c r="D68" s="87">
        <v>35</v>
      </c>
      <c r="E68" s="87">
        <v>3</v>
      </c>
      <c r="F68" s="87" t="s">
        <v>568</v>
      </c>
      <c r="G68" s="101" t="s">
        <v>563</v>
      </c>
      <c r="H68" s="172"/>
      <c r="I68" s="674" t="s">
        <v>1076</v>
      </c>
      <c r="J68" s="97">
        <v>0</v>
      </c>
      <c r="K68" s="97">
        <v>0</v>
      </c>
      <c r="L68" s="99">
        <v>0</v>
      </c>
      <c r="M68" s="81">
        <f ca="1">IF(AND($AC68,$O68&gt;0),"–",$O68)</f>
        <v>0</v>
      </c>
      <c r="N68" s="80"/>
      <c r="O68" s="93">
        <f ca="1">IF(OR(ISBLANK($C68),$C68="",$C68=0),0,COUNTIF(TB_WPTags,$C68&amp;"-100"))</f>
        <v>0</v>
      </c>
      <c r="P68" s="82"/>
      <c r="Q68" s="82"/>
      <c r="R68" s="82"/>
      <c r="S68" s="82"/>
      <c r="T68" s="82"/>
      <c r="U68" s="82"/>
      <c r="V68" s="83" t="str">
        <f ca="1">IF(OR(ISBLANK($C68),$AC68),"NA",IF(COUNTIF(W:W,$C68&amp;"--1")&gt;0,"-1",IF(COUNTIF(W:W,$C68&amp;"-1")&gt;0,"1","0")))</f>
        <v>0</v>
      </c>
      <c r="W68" s="82"/>
      <c r="X68" s="83">
        <f ca="1">IF($O68&gt;0,MIN(OFFSET($X68,1,0,$O68)),0)</f>
        <v>0</v>
      </c>
      <c r="Y68" s="82" t="b">
        <f ca="1">IF(AND($O68&gt;0,AC68&lt;&gt;TRUE),COUNTIF(OFFSET($Y68,1,0,$O68),TRUE)&gt;=1,FALSE)</f>
        <v>0</v>
      </c>
      <c r="Z68" s="94" t="b">
        <f ca="1">IF(AND($O68&gt;0,AC68&lt;&gt;TRUE),COUNTIF(OFFSET($Z68,1,0,$O68),TRUE)&gt;=1,FALSE)</f>
        <v>0</v>
      </c>
      <c r="AA68" s="94" t="b">
        <f ca="1">IF(AND($O68&gt;0,AC68&lt;&gt;TRUE),COUNTIF(OFFSET($AA68,1,0,$O68),TRUE)&gt;=1,FALSE)</f>
        <v>0</v>
      </c>
      <c r="AB68" s="178">
        <f ca="1">IF(AND($O68&gt;0,AC68&lt;&gt;TRUE),SUM(OFFSET($AG68,1,0,$O68)),0)</f>
        <v>0</v>
      </c>
      <c r="AC68" s="94" t="b">
        <v>0</v>
      </c>
      <c r="AD68" s="127"/>
      <c r="AE68" s="185"/>
      <c r="AF68" s="175" t="str">
        <f ca="1">IF(AND(Y68,AC68&lt;&gt;TRUE),"]","")</f>
        <v/>
      </c>
      <c r="AG68" s="183">
        <f t="shared" ca="1" si="9"/>
        <v>0</v>
      </c>
      <c r="AH68" s="174"/>
      <c r="AI68" s="95" t="str">
        <f ca="1">IF(AND($O68&gt;0,AC68&lt;&gt;TRUE),IF($X68&gt;=1,INDEX(StatusDescriptions,$X68+1,0),StatusBlank),"")</f>
        <v/>
      </c>
      <c r="AJ68" s="110"/>
      <c r="AK68" s="111"/>
      <c r="AL68" s="110"/>
      <c r="AM68" s="110"/>
      <c r="AN68" s="90"/>
    </row>
    <row r="69" spans="1:40" s="74" customFormat="1" ht="19.5">
      <c r="A69" s="76"/>
      <c r="B69" s="77"/>
      <c r="C69" s="671" t="s">
        <v>1077</v>
      </c>
      <c r="D69" s="87">
        <v>36</v>
      </c>
      <c r="E69" s="87">
        <v>4</v>
      </c>
      <c r="F69" s="87" t="s">
        <v>570</v>
      </c>
      <c r="G69" s="101" t="s">
        <v>563</v>
      </c>
      <c r="H69" s="172"/>
      <c r="I69" s="675" t="s">
        <v>596</v>
      </c>
      <c r="J69" s="97">
        <v>0</v>
      </c>
      <c r="K69" s="97">
        <v>0</v>
      </c>
      <c r="L69" s="99">
        <v>0</v>
      </c>
      <c r="M69" s="81">
        <f ca="1">IF(AND($AC69,$O69&gt;0),"–",$O69)</f>
        <v>0</v>
      </c>
      <c r="N69" s="80"/>
      <c r="O69" s="93">
        <f ca="1">IF(OR(ISBLANK($C69),$C69="",$C69=0),0,COUNTIF(TB_WPTags,$C69&amp;"-100"))</f>
        <v>0</v>
      </c>
      <c r="P69" s="82"/>
      <c r="Q69" s="82"/>
      <c r="R69" s="82"/>
      <c r="S69" s="82"/>
      <c r="T69" s="82"/>
      <c r="U69" s="82"/>
      <c r="V69" s="83" t="str">
        <f ca="1">IF(OR(ISBLANK($C69),$AC69),"NA",IF(COUNTIF(W:W,$C69&amp;"--1")&gt;0,"-1",IF(COUNTIF(W:W,$C69&amp;"-1")&gt;0,"1","0")))</f>
        <v>0</v>
      </c>
      <c r="W69" s="82"/>
      <c r="X69" s="83">
        <f ca="1">IF($O69&gt;0,MIN(OFFSET($X69,1,0,$O69)),0)</f>
        <v>0</v>
      </c>
      <c r="Y69" s="82" t="b">
        <f ca="1">IF(AND($O69&gt;0,AC69&lt;&gt;TRUE),COUNTIF(OFFSET($Y69,1,0,$O69),TRUE)&gt;=1,FALSE)</f>
        <v>0</v>
      </c>
      <c r="Z69" s="94" t="b">
        <f ca="1">IF(AND($O69&gt;0,AC69&lt;&gt;TRUE),COUNTIF(OFFSET($Z69,1,0,$O69),TRUE)&gt;=1,FALSE)</f>
        <v>0</v>
      </c>
      <c r="AA69" s="94" t="b">
        <f ca="1">IF(AND($O69&gt;0,AC69&lt;&gt;TRUE),COUNTIF(OFFSET($AA69,1,0,$O69),TRUE)&gt;=1,FALSE)</f>
        <v>0</v>
      </c>
      <c r="AB69" s="178">
        <f ca="1">IF(AND($O69&gt;0,AC69&lt;&gt;TRUE),SUM(OFFSET($AG69,1,0,$O69)),0)</f>
        <v>0</v>
      </c>
      <c r="AC69" s="94" t="b">
        <v>0</v>
      </c>
      <c r="AD69" s="127"/>
      <c r="AE69" s="185"/>
      <c r="AF69" s="175" t="str">
        <f ca="1">IF(AND(Y69,AC69&lt;&gt;TRUE),"]","")</f>
        <v/>
      </c>
      <c r="AG69" s="183">
        <f t="shared" ca="1" si="9"/>
        <v>0</v>
      </c>
      <c r="AH69" s="174"/>
      <c r="AI69" s="95" t="str">
        <f ca="1">IF(AND($O69&gt;0,AC69&lt;&gt;TRUE),IF($X69&gt;=1,INDEX(StatusDescriptions,$X69+1,0),StatusBlank),"")</f>
        <v/>
      </c>
      <c r="AJ69" s="110"/>
      <c r="AK69" s="111"/>
      <c r="AL69" s="110"/>
      <c r="AM69" s="110"/>
      <c r="AN69" s="90"/>
    </row>
    <row r="70" spans="1:40" s="74" customFormat="1" ht="19.5">
      <c r="A70" s="76"/>
      <c r="B70" s="77"/>
      <c r="C70" s="671" t="s">
        <v>1078</v>
      </c>
      <c r="D70" s="87">
        <v>37</v>
      </c>
      <c r="E70" s="87">
        <v>5</v>
      </c>
      <c r="F70" s="87" t="s">
        <v>573</v>
      </c>
      <c r="G70" s="101" t="s">
        <v>563</v>
      </c>
      <c r="H70" s="172" t="s">
        <v>599</v>
      </c>
      <c r="I70" s="676" t="s">
        <v>1009</v>
      </c>
      <c r="J70" s="677">
        <v>2083</v>
      </c>
      <c r="K70" s="677">
        <v>0</v>
      </c>
      <c r="L70" s="99">
        <v>2083</v>
      </c>
      <c r="M70" s="81">
        <f ca="1">IF(AND($AC70,$O70&gt;0),"–",$O70)</f>
        <v>1</v>
      </c>
      <c r="N70" s="80" t="s">
        <v>83</v>
      </c>
      <c r="O70" s="93">
        <f ca="1">IF(OR(ISBLANK($C70),$C70="",$C70=0),0,COUNTIF(TB_WPTags,$C70&amp;"-100"))</f>
        <v>1</v>
      </c>
      <c r="P70" s="82"/>
      <c r="Q70" s="82"/>
      <c r="R70" s="82"/>
      <c r="S70" s="82"/>
      <c r="T70" s="82"/>
      <c r="U70" s="82"/>
      <c r="V70" s="83" t="str">
        <f ca="1">IF(OR(ISBLANK($C70),$AC70),"NA",IF(COUNTIF(W:W,$C70&amp;"--1")&gt;0,"-1",IF(COUNTIF(W:W,$C70&amp;"-1")&gt;0,"1","0")))</f>
        <v>1</v>
      </c>
      <c r="W70" s="82"/>
      <c r="X70" s="83">
        <f ca="1">IF($O70&gt;0,MIN(OFFSET($X70,1,0,$O70)),0)</f>
        <v>3</v>
      </c>
      <c r="Y70" s="82" t="b">
        <f ca="1">IF(AND($O70&gt;0,AC70&lt;&gt;TRUE),COUNTIF(OFFSET($Y70,1,0,$O70),TRUE)&gt;=1,FALSE)</f>
        <v>0</v>
      </c>
      <c r="Z70" s="94" t="b">
        <f ca="1">IF(AND($O70&gt;0,AC70&lt;&gt;TRUE),COUNTIF(OFFSET($Z70,1,0,$O70),TRUE)&gt;=1,FALSE)</f>
        <v>0</v>
      </c>
      <c r="AA70" s="94" t="b">
        <f ca="1">IF(AND($O70&gt;0,AC70&lt;&gt;TRUE),COUNTIF(OFFSET($AA70,1,0,$O70),TRUE)&gt;=1,FALSE)</f>
        <v>0</v>
      </c>
      <c r="AB70" s="178">
        <f ca="1">IF(AND($O70&gt;0,AC70&lt;&gt;TRUE),SUM(OFFSET($AG70,1,0,$O70)),0)</f>
        <v>0</v>
      </c>
      <c r="AC70" s="94" t="b">
        <v>0</v>
      </c>
      <c r="AD70" s="127"/>
      <c r="AE70" s="185"/>
      <c r="AF70" s="175" t="str">
        <f ca="1">IF(AND(Y70,AC70&lt;&gt;TRUE),"]","")</f>
        <v/>
      </c>
      <c r="AG70" s="183">
        <f t="shared" ca="1" si="9"/>
        <v>0</v>
      </c>
      <c r="AH70" s="174"/>
      <c r="AI70" s="95" t="str">
        <f ca="1">IF(AND($O70&gt;0,AC70&lt;&gt;TRUE),IF($X70&gt;=1,INDEX(StatusDescriptions,$X70+1,0),StatusBlank),"")</f>
        <v>Ready for Review</v>
      </c>
      <c r="AJ70" s="110"/>
      <c r="AK70" s="111"/>
      <c r="AL70" s="110"/>
      <c r="AM70" s="110"/>
      <c r="AN70" s="90"/>
    </row>
    <row r="71" spans="1:40" s="74" customFormat="1" ht="19.5" hidden="1">
      <c r="A71" s="76"/>
      <c r="B71" s="77"/>
      <c r="C71" s="86" t="s">
        <v>1078</v>
      </c>
      <c r="D71" s="87">
        <f ca="1">IF(IFERROR(ROW(TrialBalanceExact)+MATCH(C71,OFFSET(TrialBalanceExact,0,0,ROWS(TrialBalanceExact),1),0)-1=ROW(),TRUE),0, IF(ISERROR(VLOOKUP(C71,TrialBalanceExact,2,0)),0,VLOOKUP(C71,TrialBalanceExact,2,0)))</f>
        <v>37</v>
      </c>
      <c r="E71" s="87">
        <v>100</v>
      </c>
      <c r="F71" s="87"/>
      <c r="G71" s="101" t="s">
        <v>563</v>
      </c>
      <c r="H71" s="172" t="s">
        <v>599</v>
      </c>
      <c r="I71" s="734"/>
      <c r="J71" s="735"/>
      <c r="K71" s="735"/>
      <c r="L71" s="736"/>
      <c r="M71" s="737"/>
      <c r="N71" s="213" t="s">
        <v>136</v>
      </c>
      <c r="O71" s="738"/>
      <c r="P71" s="739" t="str">
        <f>$C71&amp;"-"&amp;$E71</f>
        <v>other_investment_income.PropertyIncome.RentReceivedinAdvance.Property.98da9e35-149c-408d-81d9-e7c6bce587f6-100</v>
      </c>
      <c r="Q71" s="739" t="s">
        <v>861</v>
      </c>
      <c r="R71" s="739" t="s">
        <v>1083</v>
      </c>
      <c r="S71" s="739" t="s">
        <v>968</v>
      </c>
      <c r="T71" s="740">
        <f ca="1">ABS(IF(ISERROR(VLOOKUP(C71,TrialBalanceExact,8,0)),0,VLOOKUP(C71,TrialBalanceExact,8,0)))</f>
        <v>2083</v>
      </c>
      <c r="U71" s="740">
        <f ca="1">ABS(IF(ISNUMBER(AH71),AH71,IF(ISBLANK(AH71),NA(),INDIRECT("'" &amp; _xll.SheetFromID(R71) &amp; "'!Reconcile_" &amp; SUBSTITUTE(AH71," ","")))))</f>
        <v>2083</v>
      </c>
      <c r="V71" s="740">
        <f ca="1">IFERROR(IF(ABS(ROUND($T71-$U71,2))&lt;=Options_Tolerance,1,-1),0)</f>
        <v>1</v>
      </c>
      <c r="W71" s="740" t="str">
        <f ca="1">$C71&amp;"-"&amp;V71</f>
        <v>other_investment_income.PropertyIncome.RentReceivedinAdvance.Property.98da9e35-149c-408d-81d9-e7c6bce587f6-1</v>
      </c>
      <c r="X71" s="741">
        <f>IFERROR(VLOOKUP(AI71,StatusDescriptionsOrder,2,0),0)</f>
        <v>3</v>
      </c>
      <c r="Y71" s="739" t="b">
        <v>0</v>
      </c>
      <c r="Z71" s="742" t="b">
        <v>0</v>
      </c>
      <c r="AA71" s="743" t="b">
        <f>IFERROR(VLOOKUP(R71,HNSW_ItemsCount!A:D,2,0)&gt;0,FALSE)</f>
        <v>0</v>
      </c>
      <c r="AB71" s="743">
        <f>IFERROR(VLOOKUP(R71,HNSW_ItemsCount!A:D,4,0),0)</f>
        <v>0</v>
      </c>
      <c r="AC71" s="744" t="b">
        <v>0</v>
      </c>
      <c r="AD71" s="127" t="s">
        <v>1085</v>
      </c>
      <c r="AE71" s="745" t="s">
        <v>58</v>
      </c>
      <c r="AF71" s="746" t="s">
        <v>74</v>
      </c>
      <c r="AG71" s="747">
        <f t="shared" si="9"/>
        <v>0</v>
      </c>
      <c r="AH71" s="748">
        <v>2083</v>
      </c>
      <c r="AI71" s="749" t="s">
        <v>31</v>
      </c>
      <c r="AJ71" s="750" t="s">
        <v>552</v>
      </c>
      <c r="AK71" s="751">
        <v>43546</v>
      </c>
      <c r="AL71" s="752" t="s">
        <v>58</v>
      </c>
      <c r="AM71" s="753" t="s">
        <v>25</v>
      </c>
      <c r="AN71" s="90"/>
    </row>
    <row r="72" spans="1:40" s="74" customFormat="1" ht="19.5">
      <c r="A72" s="76"/>
      <c r="B72" s="77"/>
      <c r="C72" s="671" t="s">
        <v>1079</v>
      </c>
      <c r="D72" s="87">
        <v>38</v>
      </c>
      <c r="E72" s="87">
        <v>4</v>
      </c>
      <c r="F72" s="87" t="s">
        <v>576</v>
      </c>
      <c r="G72" s="101" t="s">
        <v>563</v>
      </c>
      <c r="H72" s="172"/>
      <c r="I72" s="675" t="s">
        <v>603</v>
      </c>
      <c r="J72" s="678">
        <v>2083</v>
      </c>
      <c r="K72" s="678">
        <v>0</v>
      </c>
      <c r="L72" s="99">
        <v>2083</v>
      </c>
      <c r="M72" s="81">
        <f ca="1">IF(AND($AC72,$O72&gt;0),"–",$O72)</f>
        <v>0</v>
      </c>
      <c r="N72" s="80" t="s">
        <v>83</v>
      </c>
      <c r="O72" s="93">
        <f ca="1">IF(OR(ISBLANK($C72),$C72="",$C72=0),0,COUNTIF(TB_WPTags,$C72&amp;"-100"))</f>
        <v>0</v>
      </c>
      <c r="P72" s="82"/>
      <c r="Q72" s="82"/>
      <c r="R72" s="82"/>
      <c r="S72" s="82"/>
      <c r="T72" s="82"/>
      <c r="U72" s="82"/>
      <c r="V72" s="83" t="str">
        <f ca="1">IF(OR(ISBLANK($C72),$AC72),"NA",IF(COUNTIF(W:W,$C72&amp;"--1")&gt;0,"-1",IF(COUNTIF(W:W,$C72&amp;"-1")&gt;0,"1","0")))</f>
        <v>0</v>
      </c>
      <c r="W72" s="82"/>
      <c r="X72" s="83">
        <f ca="1">IF($O72&gt;0,MIN(OFFSET($X72,1,0,$O72)),0)</f>
        <v>0</v>
      </c>
      <c r="Y72" s="82" t="b">
        <f ca="1">IF(AND($O72&gt;0,AC72&lt;&gt;TRUE),COUNTIF(OFFSET($Y72,1,0,$O72),TRUE)&gt;=1,FALSE)</f>
        <v>0</v>
      </c>
      <c r="Z72" s="94" t="b">
        <f ca="1">IF(AND($O72&gt;0,AC72&lt;&gt;TRUE),COUNTIF(OFFSET($Z72,1,0,$O72),TRUE)&gt;=1,FALSE)</f>
        <v>0</v>
      </c>
      <c r="AA72" s="94" t="b">
        <f ca="1">IF(AND($O72&gt;0,AC72&lt;&gt;TRUE),COUNTIF(OFFSET($AA72,1,0,$O72),TRUE)&gt;=1,FALSE)</f>
        <v>0</v>
      </c>
      <c r="AB72" s="178">
        <f ca="1">IF(AND($O72&gt;0,AC72&lt;&gt;TRUE),SUM(OFFSET($AG72,1,0,$O72)),0)</f>
        <v>0</v>
      </c>
      <c r="AC72" s="94" t="b">
        <v>0</v>
      </c>
      <c r="AD72" s="127"/>
      <c r="AE72" s="185"/>
      <c r="AF72" s="175" t="str">
        <f ca="1">IF(AND(Y72,AC72&lt;&gt;TRUE),"]","")</f>
        <v/>
      </c>
      <c r="AG72" s="183">
        <f t="shared" ca="1" si="9"/>
        <v>0</v>
      </c>
      <c r="AH72" s="174"/>
      <c r="AI72" s="95" t="str">
        <f ca="1">IF(AND($O72&gt;0,AC72&lt;&gt;TRUE),IF($X72&gt;=1,INDEX(StatusDescriptions,$X72+1,0),StatusBlank),"")</f>
        <v/>
      </c>
      <c r="AJ72" s="110"/>
      <c r="AK72" s="111"/>
      <c r="AL72" s="110"/>
      <c r="AM72" s="110"/>
      <c r="AN72" s="90"/>
    </row>
    <row r="73" spans="1:40" s="74" customFormat="1" ht="19.5">
      <c r="A73" s="76"/>
      <c r="B73" s="77"/>
      <c r="C73" s="671" t="s">
        <v>1080</v>
      </c>
      <c r="D73" s="87">
        <v>39</v>
      </c>
      <c r="E73" s="87">
        <v>3</v>
      </c>
      <c r="F73" s="87" t="s">
        <v>579</v>
      </c>
      <c r="G73" s="101" t="s">
        <v>563</v>
      </c>
      <c r="H73" s="172"/>
      <c r="I73" s="674" t="s">
        <v>1081</v>
      </c>
      <c r="J73" s="678">
        <v>2083</v>
      </c>
      <c r="K73" s="678">
        <v>0</v>
      </c>
      <c r="L73" s="99">
        <v>2083</v>
      </c>
      <c r="M73" s="81">
        <f ca="1">IF(AND($AC73,$O73&gt;0),"–",$O73)</f>
        <v>0</v>
      </c>
      <c r="N73" s="80" t="s">
        <v>83</v>
      </c>
      <c r="O73" s="93">
        <f ca="1">IF(OR(ISBLANK($C73),$C73="",$C73=0),0,COUNTIF(TB_WPTags,$C73&amp;"-100"))</f>
        <v>0</v>
      </c>
      <c r="P73" s="82"/>
      <c r="Q73" s="82"/>
      <c r="R73" s="82"/>
      <c r="S73" s="82"/>
      <c r="T73" s="82"/>
      <c r="U73" s="82"/>
      <c r="V73" s="83" t="str">
        <f ca="1">IF(OR(ISBLANK($C73),$AC73),"NA",IF(COUNTIF(W:W,$C73&amp;"--1")&gt;0,"-1",IF(COUNTIF(W:W,$C73&amp;"-1")&gt;0,"1","0")))</f>
        <v>0</v>
      </c>
      <c r="W73" s="82"/>
      <c r="X73" s="83">
        <f ca="1">IF($O73&gt;0,MIN(OFFSET($X73,1,0,$O73)),0)</f>
        <v>0</v>
      </c>
      <c r="Y73" s="82" t="b">
        <f ca="1">IF(AND($O73&gt;0,AC73&lt;&gt;TRUE),COUNTIF(OFFSET($Y73,1,0,$O73),TRUE)&gt;=1,FALSE)</f>
        <v>0</v>
      </c>
      <c r="Z73" s="94" t="b">
        <f ca="1">IF(AND($O73&gt;0,AC73&lt;&gt;TRUE),COUNTIF(OFFSET($Z73,1,0,$O73),TRUE)&gt;=1,FALSE)</f>
        <v>0</v>
      </c>
      <c r="AA73" s="94" t="b">
        <f ca="1">IF(AND($O73&gt;0,AC73&lt;&gt;TRUE),COUNTIF(OFFSET($AA73,1,0,$O73),TRUE)&gt;=1,FALSE)</f>
        <v>0</v>
      </c>
      <c r="AB73" s="178">
        <f ca="1">IF(AND($O73&gt;0,AC73&lt;&gt;TRUE),SUM(OFFSET($AG73,1,0,$O73)),0)</f>
        <v>0</v>
      </c>
      <c r="AC73" s="94" t="b">
        <v>0</v>
      </c>
      <c r="AD73" s="127"/>
      <c r="AE73" s="185"/>
      <c r="AF73" s="175" t="str">
        <f ca="1">IF(AND(Y73,AC73&lt;&gt;TRUE),"]","")</f>
        <v/>
      </c>
      <c r="AG73" s="183">
        <f t="shared" ca="1" si="9"/>
        <v>0</v>
      </c>
      <c r="AH73" s="174"/>
      <c r="AI73" s="95" t="str">
        <f ca="1">IF(AND($O73&gt;0,AC73&lt;&gt;TRUE),IF($X73&gt;=1,INDEX(StatusDescriptions,$X73+1,0),StatusBlank),"")</f>
        <v/>
      </c>
      <c r="AJ73" s="110"/>
      <c r="AK73" s="111"/>
      <c r="AL73" s="110"/>
      <c r="AM73" s="110"/>
      <c r="AN73" s="90"/>
    </row>
    <row r="74" spans="1:40" s="74" customFormat="1" ht="19.5">
      <c r="A74" s="76"/>
      <c r="B74" s="77"/>
      <c r="C74" s="671" t="s">
        <v>581</v>
      </c>
      <c r="D74" s="87">
        <v>40</v>
      </c>
      <c r="E74" s="87">
        <v>2</v>
      </c>
      <c r="F74" s="87" t="s">
        <v>582</v>
      </c>
      <c r="G74" s="101" t="s">
        <v>563</v>
      </c>
      <c r="H74" s="172"/>
      <c r="I74" s="673" t="s">
        <v>583</v>
      </c>
      <c r="J74" s="678">
        <v>66363.429999999993</v>
      </c>
      <c r="K74" s="678">
        <v>0</v>
      </c>
      <c r="L74" s="99">
        <v>66363.429999999993</v>
      </c>
      <c r="M74" s="81">
        <f ca="1">IF(AND($AC74,$O74&gt;0),"–",$O74)</f>
        <v>0</v>
      </c>
      <c r="N74" s="80" t="s">
        <v>83</v>
      </c>
      <c r="O74" s="93">
        <f ca="1">IF(OR(ISBLANK($C74),$C74="",$C74=0),0,COUNTIF(TB_WPTags,$C74&amp;"-100"))</f>
        <v>0</v>
      </c>
      <c r="P74" s="82"/>
      <c r="Q74" s="82"/>
      <c r="R74" s="82"/>
      <c r="S74" s="82"/>
      <c r="T74" s="82"/>
      <c r="U74" s="82"/>
      <c r="V74" s="83" t="str">
        <f ca="1">IF(OR(ISBLANK($C74),$AC74),"NA",IF(COUNTIF(W:W,$C74&amp;"--1")&gt;0,"-1",IF(COUNTIF(W:W,$C74&amp;"-1")&gt;0,"1","0")))</f>
        <v>0</v>
      </c>
      <c r="W74" s="82"/>
      <c r="X74" s="83">
        <f ca="1">IF($O74&gt;0,MIN(OFFSET($X74,1,0,$O74)),0)</f>
        <v>0</v>
      </c>
      <c r="Y74" s="82" t="b">
        <f ca="1">IF(AND($O74&gt;0,AC74&lt;&gt;TRUE),COUNTIF(OFFSET($Y74,1,0,$O74),TRUE)&gt;=1,FALSE)</f>
        <v>0</v>
      </c>
      <c r="Z74" s="94" t="b">
        <f ca="1">IF(AND($O74&gt;0,AC74&lt;&gt;TRUE),COUNTIF(OFFSET($Z74,1,0,$O74),TRUE)&gt;=1,FALSE)</f>
        <v>0</v>
      </c>
      <c r="AA74" s="94" t="b">
        <f ca="1">IF(AND($O74&gt;0,AC74&lt;&gt;TRUE),COUNTIF(OFFSET($AA74,1,0,$O74),TRUE)&gt;=1,FALSE)</f>
        <v>0</v>
      </c>
      <c r="AB74" s="178">
        <f ca="1">IF(AND($O74&gt;0,AC74&lt;&gt;TRUE),SUM(OFFSET($AG74,1,0,$O74)),0)</f>
        <v>0</v>
      </c>
      <c r="AC74" s="94" t="b">
        <v>0</v>
      </c>
      <c r="AD74" s="127"/>
      <c r="AE74" s="185" t="s">
        <v>58</v>
      </c>
      <c r="AF74" s="175" t="str">
        <f ca="1">IF(AND(Y74,AC74&lt;&gt;TRUE),"]","")</f>
        <v/>
      </c>
      <c r="AG74" s="183">
        <f t="shared" ca="1" si="9"/>
        <v>0</v>
      </c>
      <c r="AH74" s="174"/>
      <c r="AI74" s="95" t="str">
        <f ca="1">IF(AND($O74&gt;0,AC74&lt;&gt;TRUE),IF($X74&gt;=1,INDEX(StatusDescriptions,$X74+1,0),StatusBlank),"")</f>
        <v/>
      </c>
      <c r="AJ74" s="110"/>
      <c r="AK74" s="111"/>
      <c r="AL74" s="110"/>
      <c r="AM74" s="110"/>
      <c r="AN74" s="90"/>
    </row>
    <row r="75" spans="1:40" s="74" customFormat="1" ht="19.5">
      <c r="A75" s="76"/>
      <c r="B75" s="77"/>
      <c r="C75" s="671" t="s">
        <v>1070</v>
      </c>
      <c r="D75" s="87">
        <v>41</v>
      </c>
      <c r="E75" s="87">
        <v>2</v>
      </c>
      <c r="F75" s="87" t="s">
        <v>565</v>
      </c>
      <c r="G75" s="101" t="s">
        <v>563</v>
      </c>
      <c r="H75" s="172"/>
      <c r="I75" s="673" t="s">
        <v>455</v>
      </c>
      <c r="J75" s="97">
        <v>0</v>
      </c>
      <c r="K75" s="97">
        <v>0</v>
      </c>
      <c r="L75" s="99">
        <v>0</v>
      </c>
      <c r="M75" s="81">
        <f ca="1">IF(AND($AC75,$O75&gt;0),"–",$O75)</f>
        <v>0</v>
      </c>
      <c r="N75" s="80"/>
      <c r="O75" s="93">
        <f ca="1">IF(OR(ISBLANK($C75),$C75="",$C75=0),0,COUNTIF(TB_WPTags,$C75&amp;"-100"))</f>
        <v>0</v>
      </c>
      <c r="P75" s="82"/>
      <c r="Q75" s="82"/>
      <c r="R75" s="82"/>
      <c r="S75" s="82"/>
      <c r="T75" s="82"/>
      <c r="U75" s="82"/>
      <c r="V75" s="83" t="str">
        <f ca="1">IF(OR(ISBLANK($C75),$AC75),"NA",IF(COUNTIF(W:W,$C75&amp;"--1")&gt;0,"-1",IF(COUNTIF(W:W,$C75&amp;"-1")&gt;0,"1","0")))</f>
        <v>0</v>
      </c>
      <c r="W75" s="82"/>
      <c r="X75" s="83">
        <f ca="1">IF($O75&gt;0,MIN(OFFSET($X75,1,0,$O75)),0)</f>
        <v>0</v>
      </c>
      <c r="Y75" s="82" t="b">
        <f ca="1">IF(AND($O75&gt;0,AC75&lt;&gt;TRUE),COUNTIF(OFFSET($Y75,1,0,$O75),TRUE)&gt;=1,FALSE)</f>
        <v>0</v>
      </c>
      <c r="Z75" s="94" t="b">
        <f ca="1">IF(AND($O75&gt;0,AC75&lt;&gt;TRUE),COUNTIF(OFFSET($Z75,1,0,$O75),TRUE)&gt;=1,FALSE)</f>
        <v>0</v>
      </c>
      <c r="AA75" s="94" t="b">
        <f ca="1">IF(AND($O75&gt;0,AC75&lt;&gt;TRUE),COUNTIF(OFFSET($AA75,1,0,$O75),TRUE)&gt;=1,FALSE)</f>
        <v>0</v>
      </c>
      <c r="AB75" s="178">
        <f ca="1">IF(AND($O75&gt;0,AC75&lt;&gt;TRUE),SUM(OFFSET($AG75,1,0,$O75)),0)</f>
        <v>0</v>
      </c>
      <c r="AC75" s="94" t="b">
        <v>0</v>
      </c>
      <c r="AD75" s="127"/>
      <c r="AE75" s="185"/>
      <c r="AF75" s="175" t="str">
        <f ca="1">IF(AND(Y75,AC75&lt;&gt;TRUE),"]","")</f>
        <v/>
      </c>
      <c r="AG75" s="183">
        <f t="shared" ca="1" si="9"/>
        <v>0</v>
      </c>
      <c r="AH75" s="174"/>
      <c r="AI75" s="95" t="str">
        <f ca="1">IF(AND($O75&gt;0,AC75&lt;&gt;TRUE),IF($X75&gt;=1,INDEX(StatusDescriptions,$X75+1,0),StatusBlank),"")</f>
        <v/>
      </c>
      <c r="AJ75" s="110"/>
      <c r="AK75" s="111"/>
      <c r="AL75" s="110"/>
      <c r="AM75" s="110"/>
      <c r="AN75" s="90"/>
    </row>
    <row r="76" spans="1:40" s="74" customFormat="1" ht="19.5">
      <c r="A76" s="76"/>
      <c r="B76" s="77"/>
      <c r="C76" s="671" t="s">
        <v>1071</v>
      </c>
      <c r="D76" s="87">
        <v>42</v>
      </c>
      <c r="E76" s="87">
        <v>3</v>
      </c>
      <c r="F76" s="87" t="s">
        <v>623</v>
      </c>
      <c r="G76" s="101" t="s">
        <v>563</v>
      </c>
      <c r="H76" s="172"/>
      <c r="I76" s="681" t="s">
        <v>1072</v>
      </c>
      <c r="J76" s="677">
        <v>7.88</v>
      </c>
      <c r="K76" s="677">
        <v>0</v>
      </c>
      <c r="L76" s="99">
        <v>7.88</v>
      </c>
      <c r="M76" s="81">
        <f ca="1">IF(AND($AC76,$O76&gt;0),"–",$O76)</f>
        <v>1</v>
      </c>
      <c r="N76" s="80" t="s">
        <v>83</v>
      </c>
      <c r="O76" s="93">
        <f ca="1">IF(OR(ISBLANK($C76),$C76="",$C76=0),0,COUNTIF(TB_WPTags,$C76&amp;"-100"))</f>
        <v>1</v>
      </c>
      <c r="P76" s="82"/>
      <c r="Q76" s="82"/>
      <c r="R76" s="82"/>
      <c r="S76" s="82"/>
      <c r="T76" s="82"/>
      <c r="U76" s="82"/>
      <c r="V76" s="83" t="str">
        <f ca="1">IF(OR(ISBLANK($C76),$AC76),"NA",IF(COUNTIF(W:W,$C76&amp;"--1")&gt;0,"-1",IF(COUNTIF(W:W,$C76&amp;"-1")&gt;0,"1","0")))</f>
        <v>1</v>
      </c>
      <c r="W76" s="82"/>
      <c r="X76" s="83">
        <f ca="1">IF($O76&gt;0,MIN(OFFSET($X76,1,0,$O76)),0)</f>
        <v>3</v>
      </c>
      <c r="Y76" s="82" t="b">
        <f ca="1">IF(AND($O76&gt;0,AC76&lt;&gt;TRUE),COUNTIF(OFFSET($Y76,1,0,$O76),TRUE)&gt;=1,FALSE)</f>
        <v>0</v>
      </c>
      <c r="Z76" s="94" t="b">
        <f ca="1">IF(AND($O76&gt;0,AC76&lt;&gt;TRUE),COUNTIF(OFFSET($Z76,1,0,$O76),TRUE)&gt;=1,FALSE)</f>
        <v>0</v>
      </c>
      <c r="AA76" s="94" t="b">
        <f ca="1">IF(AND($O76&gt;0,AC76&lt;&gt;TRUE),COUNTIF(OFFSET($AA76,1,0,$O76),TRUE)&gt;=1,FALSE)</f>
        <v>0</v>
      </c>
      <c r="AB76" s="178">
        <f ca="1">IF(AND($O76&gt;0,AC76&lt;&gt;TRUE),SUM(OFFSET($AG76,1,0,$O76)),0)</f>
        <v>0</v>
      </c>
      <c r="AC76" s="94" t="b">
        <v>0</v>
      </c>
      <c r="AD76" s="127"/>
      <c r="AE76" s="185"/>
      <c r="AF76" s="175" t="str">
        <f ca="1">IF(AND(Y76,AC76&lt;&gt;TRUE),"]","")</f>
        <v/>
      </c>
      <c r="AG76" s="183">
        <f t="shared" ca="1" si="9"/>
        <v>0</v>
      </c>
      <c r="AH76" s="174"/>
      <c r="AI76" s="95" t="str">
        <f ca="1">IF(AND($O76&gt;0,AC76&lt;&gt;TRUE),IF($X76&gt;=1,INDEX(StatusDescriptions,$X76+1,0),StatusBlank),"")</f>
        <v>Ready for Review</v>
      </c>
      <c r="AJ76" s="110"/>
      <c r="AK76" s="111"/>
      <c r="AL76" s="110"/>
      <c r="AM76" s="110"/>
      <c r="AN76" s="90"/>
    </row>
    <row r="77" spans="1:40" s="74" customFormat="1" ht="24" hidden="1">
      <c r="A77" s="76"/>
      <c r="B77" s="77"/>
      <c r="C77" s="86" t="s">
        <v>1071</v>
      </c>
      <c r="D77" s="87">
        <f ca="1">IF(IFERROR(ROW(TrialBalanceExact)+MATCH(C77,OFFSET(TrialBalanceExact,0,0,ROWS(TrialBalanceExact),1),0)-1=ROW(),TRUE),0, IF(ISERROR(VLOOKUP(C77,TrialBalanceExact,2,0)),0,VLOOKUP(C77,TrialBalanceExact,2,0)))</f>
        <v>42</v>
      </c>
      <c r="E77" s="87">
        <v>100</v>
      </c>
      <c r="F77" s="87"/>
      <c r="G77" s="101" t="s">
        <v>563</v>
      </c>
      <c r="H77" s="172"/>
      <c r="I77" s="734"/>
      <c r="J77" s="735"/>
      <c r="K77" s="735"/>
      <c r="L77" s="736"/>
      <c r="M77" s="737"/>
      <c r="N77" s="213" t="s">
        <v>136</v>
      </c>
      <c r="O77" s="738"/>
      <c r="P77" s="739" t="str">
        <f>$C77&amp;"-"&amp;$E77</f>
        <v>sundries.Interest.ATO-100</v>
      </c>
      <c r="Q77" s="739" t="s">
        <v>897</v>
      </c>
      <c r="R77" s="739" t="s">
        <v>1090</v>
      </c>
      <c r="S77" s="739"/>
      <c r="T77" s="740">
        <f ca="1">ABS(IF(ISERROR(VLOOKUP(C77,TrialBalanceExact,8,0)),0,VLOOKUP(C77,TrialBalanceExact,8,0)))</f>
        <v>7.88</v>
      </c>
      <c r="U77" s="740">
        <f ca="1">ABS(IF(ISNUMBER(AH77),AH77,IF(ISBLANK(AH77),NA(),INDIRECT("'" &amp; _xll.SheetFromID(R77) &amp; "'!Reconcile_" &amp; SUBSTITUTE(AH77," ","")))))</f>
        <v>7.88</v>
      </c>
      <c r="V77" s="740">
        <f ca="1">IFERROR(IF(ABS(ROUND($T77-$U77,2))&lt;=Options_Tolerance,1,-1),0)</f>
        <v>1</v>
      </c>
      <c r="W77" s="740" t="str">
        <f ca="1">$C77&amp;"-"&amp;V77</f>
        <v>sundries.Interest.ATO-1</v>
      </c>
      <c r="X77" s="741">
        <f>IFERROR(VLOOKUP(AI77,StatusDescriptionsOrder,2,0),0)</f>
        <v>3</v>
      </c>
      <c r="Y77" s="739" t="b">
        <v>0</v>
      </c>
      <c r="Z77" s="742" t="b">
        <v>0</v>
      </c>
      <c r="AA77" s="743" t="b">
        <f>IFERROR(VLOOKUP(R77,HNSW_ItemsCount!A:D,2,0)&gt;0,FALSE)</f>
        <v>0</v>
      </c>
      <c r="AB77" s="743">
        <f>IFERROR(VLOOKUP(R77,HNSW_ItemsCount!A:D,4,0),0)</f>
        <v>0</v>
      </c>
      <c r="AC77" s="744" t="b">
        <v>0</v>
      </c>
      <c r="AD77" s="127" t="s">
        <v>1001</v>
      </c>
      <c r="AE77" s="745" t="s">
        <v>58</v>
      </c>
      <c r="AF77" s="746" t="s">
        <v>74</v>
      </c>
      <c r="AG77" s="747">
        <f t="shared" si="9"/>
        <v>0</v>
      </c>
      <c r="AH77" s="748">
        <v>7.88</v>
      </c>
      <c r="AI77" s="749" t="s">
        <v>31</v>
      </c>
      <c r="AJ77" s="750" t="s">
        <v>552</v>
      </c>
      <c r="AK77" s="751">
        <v>43546</v>
      </c>
      <c r="AL77" s="752" t="s">
        <v>58</v>
      </c>
      <c r="AM77" s="753" t="s">
        <v>25</v>
      </c>
      <c r="AN77" s="90"/>
    </row>
    <row r="78" spans="1:40" s="74" customFormat="1" ht="19.5">
      <c r="A78" s="76"/>
      <c r="B78" s="77"/>
      <c r="C78" s="671" t="s">
        <v>1073</v>
      </c>
      <c r="D78" s="87">
        <v>43</v>
      </c>
      <c r="E78" s="87">
        <v>2</v>
      </c>
      <c r="F78" s="87" t="s">
        <v>582</v>
      </c>
      <c r="G78" s="101" t="s">
        <v>563</v>
      </c>
      <c r="H78" s="172"/>
      <c r="I78" s="673" t="s">
        <v>1074</v>
      </c>
      <c r="J78" s="678">
        <v>7.88</v>
      </c>
      <c r="K78" s="678">
        <v>0</v>
      </c>
      <c r="L78" s="99">
        <v>7.88</v>
      </c>
      <c r="M78" s="81">
        <f t="shared" ref="M78:M89" ca="1" si="29">IF(AND($AC78,$O78&gt;0),"–",$O78)</f>
        <v>0</v>
      </c>
      <c r="N78" s="80" t="s">
        <v>83</v>
      </c>
      <c r="O78" s="93">
        <f ca="1">IF(OR(ISBLANK($C78),$C78="",$C78=0),0,COUNTIF(TB_WPTags,$C78&amp;"-100"))</f>
        <v>0</v>
      </c>
      <c r="P78" s="82"/>
      <c r="Q78" s="82"/>
      <c r="R78" s="82"/>
      <c r="S78" s="82"/>
      <c r="T78" s="82"/>
      <c r="U78" s="82"/>
      <c r="V78" s="83" t="str">
        <f t="shared" ref="V78:V89" ca="1" si="30">IF(OR(ISBLANK($C78),$AC78),"NA",IF(COUNTIF(W:W,$C78&amp;"--1")&gt;0,"-1",IF(COUNTIF(W:W,$C78&amp;"-1")&gt;0,"1","0")))</f>
        <v>0</v>
      </c>
      <c r="W78" s="82"/>
      <c r="X78" s="83">
        <f t="shared" ref="X78:X89" ca="1" si="31">IF($O78&gt;0,MIN(OFFSET($X78,1,0,$O78)),0)</f>
        <v>0</v>
      </c>
      <c r="Y78" s="82" t="b">
        <f t="shared" ref="Y78:Y89" ca="1" si="32">IF(AND($O78&gt;0,AC78&lt;&gt;TRUE),COUNTIF(OFFSET($Y78,1,0,$O78),TRUE)&gt;=1,FALSE)</f>
        <v>0</v>
      </c>
      <c r="Z78" s="94" t="b">
        <f t="shared" ref="Z78:Z89" ca="1" si="33">IF(AND($O78&gt;0,AC78&lt;&gt;TRUE),COUNTIF(OFFSET($Z78,1,0,$O78),TRUE)&gt;=1,FALSE)</f>
        <v>0</v>
      </c>
      <c r="AA78" s="94" t="b">
        <f t="shared" ref="AA78:AA89" ca="1" si="34">IF(AND($O78&gt;0,AC78&lt;&gt;TRUE),COUNTIF(OFFSET($AA78,1,0,$O78),TRUE)&gt;=1,FALSE)</f>
        <v>0</v>
      </c>
      <c r="AB78" s="178">
        <f t="shared" ref="AB78:AB89" ca="1" si="35">IF(AND($O78&gt;0,AC78&lt;&gt;TRUE),SUM(OFFSET($AG78,1,0,$O78)),0)</f>
        <v>0</v>
      </c>
      <c r="AC78" s="94" t="b">
        <v>0</v>
      </c>
      <c r="AD78" s="127"/>
      <c r="AE78" s="185"/>
      <c r="AF78" s="175" t="str">
        <f t="shared" ref="AF78:AF89" ca="1" si="36">IF(AND(Y78,AC78&lt;&gt;TRUE),"]","")</f>
        <v/>
      </c>
      <c r="AG78" s="183">
        <f t="shared" ca="1" si="9"/>
        <v>0</v>
      </c>
      <c r="AH78" s="174"/>
      <c r="AI78" s="95" t="str">
        <f t="shared" ref="AI78:AI89" ca="1" si="37">IF(AND($O78&gt;0,AC78&lt;&gt;TRUE),IF($X78&gt;=1,INDEX(StatusDescriptions,$X78+1,0),StatusBlank),"")</f>
        <v/>
      </c>
      <c r="AJ78" s="110"/>
      <c r="AK78" s="111"/>
      <c r="AL78" s="110"/>
      <c r="AM78" s="110"/>
      <c r="AN78" s="90"/>
    </row>
    <row r="79" spans="1:40" s="74" customFormat="1" ht="19.5">
      <c r="A79" s="76"/>
      <c r="B79" s="77"/>
      <c r="C79" s="671" t="s">
        <v>584</v>
      </c>
      <c r="D79" s="87">
        <v>44</v>
      </c>
      <c r="E79" s="87">
        <v>1</v>
      </c>
      <c r="F79" s="87" t="s">
        <v>585</v>
      </c>
      <c r="G79" s="101" t="s">
        <v>563</v>
      </c>
      <c r="H79" s="172"/>
      <c r="I79" s="673" t="s">
        <v>586</v>
      </c>
      <c r="J79" s="678">
        <v>111075.31</v>
      </c>
      <c r="K79" s="678">
        <v>0</v>
      </c>
      <c r="L79" s="99">
        <v>111075.31</v>
      </c>
      <c r="M79" s="81">
        <f t="shared" ca="1" si="29"/>
        <v>0</v>
      </c>
      <c r="N79" s="80" t="s">
        <v>83</v>
      </c>
      <c r="O79" s="93">
        <f ca="1">IF(OR(ISBLANK($C79),$C79="",$C79=0),0,COUNTIF(TB_WPTags,$C79&amp;"-100"))</f>
        <v>0</v>
      </c>
      <c r="P79" s="82"/>
      <c r="Q79" s="82"/>
      <c r="R79" s="82"/>
      <c r="S79" s="82"/>
      <c r="T79" s="82"/>
      <c r="U79" s="82"/>
      <c r="V79" s="83" t="str">
        <f t="shared" ca="1" si="30"/>
        <v>0</v>
      </c>
      <c r="W79" s="82"/>
      <c r="X79" s="83">
        <f t="shared" ca="1" si="31"/>
        <v>0</v>
      </c>
      <c r="Y79" s="82" t="b">
        <f t="shared" ca="1" si="32"/>
        <v>0</v>
      </c>
      <c r="Z79" s="94" t="b">
        <f t="shared" ca="1" si="33"/>
        <v>0</v>
      </c>
      <c r="AA79" s="94" t="b">
        <f t="shared" ca="1" si="34"/>
        <v>0</v>
      </c>
      <c r="AB79" s="178">
        <f t="shared" ca="1" si="35"/>
        <v>0</v>
      </c>
      <c r="AC79" s="94" t="b">
        <v>0</v>
      </c>
      <c r="AD79" s="127"/>
      <c r="AE79" s="185" t="s">
        <v>58</v>
      </c>
      <c r="AF79" s="175" t="str">
        <f t="shared" ca="1" si="36"/>
        <v/>
      </c>
      <c r="AG79" s="183">
        <f t="shared" ca="1" si="9"/>
        <v>0</v>
      </c>
      <c r="AH79" s="174"/>
      <c r="AI79" s="95" t="str">
        <f t="shared" ca="1" si="37"/>
        <v/>
      </c>
      <c r="AJ79" s="110"/>
      <c r="AK79" s="111"/>
      <c r="AL79" s="110"/>
      <c r="AM79" s="110"/>
      <c r="AN79" s="90"/>
    </row>
    <row r="80" spans="1:40" s="74" customFormat="1" ht="19.5">
      <c r="A80" s="76"/>
      <c r="B80" s="77"/>
      <c r="C80" s="671" t="s">
        <v>660</v>
      </c>
      <c r="D80" s="87">
        <v>45</v>
      </c>
      <c r="E80" s="87">
        <v>1</v>
      </c>
      <c r="F80" s="87" t="s">
        <v>562</v>
      </c>
      <c r="G80" s="101" t="s">
        <v>661</v>
      </c>
      <c r="H80" s="172"/>
      <c r="I80" s="672" t="s">
        <v>660</v>
      </c>
      <c r="J80" s="97">
        <v>0</v>
      </c>
      <c r="K80" s="97">
        <v>0</v>
      </c>
      <c r="L80" s="99">
        <v>0</v>
      </c>
      <c r="M80" s="81">
        <f t="shared" ca="1" si="29"/>
        <v>0</v>
      </c>
      <c r="N80" s="80"/>
      <c r="O80" s="93">
        <f ca="1">IF(OR(ISBLANK($C80),$C80="",$C80=0),0,COUNTIF(TB_WPTags,$C80&amp;"-100"))</f>
        <v>0</v>
      </c>
      <c r="P80" s="82"/>
      <c r="Q80" s="82"/>
      <c r="R80" s="82"/>
      <c r="S80" s="82"/>
      <c r="T80" s="82"/>
      <c r="U80" s="82"/>
      <c r="V80" s="83" t="str">
        <f t="shared" ca="1" si="30"/>
        <v>0</v>
      </c>
      <c r="W80" s="82"/>
      <c r="X80" s="83">
        <f t="shared" ca="1" si="31"/>
        <v>0</v>
      </c>
      <c r="Y80" s="82" t="b">
        <f t="shared" ca="1" si="32"/>
        <v>0</v>
      </c>
      <c r="Z80" s="94" t="b">
        <f t="shared" ca="1" si="33"/>
        <v>0</v>
      </c>
      <c r="AA80" s="94" t="b">
        <f t="shared" ca="1" si="34"/>
        <v>0</v>
      </c>
      <c r="AB80" s="178">
        <f t="shared" ca="1" si="35"/>
        <v>0</v>
      </c>
      <c r="AC80" s="94" t="b">
        <v>0</v>
      </c>
      <c r="AD80" s="127"/>
      <c r="AE80" s="185"/>
      <c r="AF80" s="175" t="str">
        <f t="shared" ca="1" si="36"/>
        <v/>
      </c>
      <c r="AG80" s="183">
        <f t="shared" ca="1" si="9"/>
        <v>0</v>
      </c>
      <c r="AH80" s="174"/>
      <c r="AI80" s="95" t="str">
        <f t="shared" ca="1" si="37"/>
        <v/>
      </c>
      <c r="AJ80" s="110"/>
      <c r="AK80" s="111"/>
      <c r="AL80" s="110"/>
      <c r="AM80" s="110"/>
      <c r="AN80" s="90"/>
    </row>
    <row r="81" spans="1:40" s="74" customFormat="1" ht="19.5">
      <c r="A81" s="76"/>
      <c r="B81" s="77"/>
      <c r="C81" s="671" t="s">
        <v>759</v>
      </c>
      <c r="D81" s="87">
        <v>46</v>
      </c>
      <c r="E81" s="87">
        <v>2</v>
      </c>
      <c r="F81" s="87" t="s">
        <v>565</v>
      </c>
      <c r="G81" s="101" t="s">
        <v>661</v>
      </c>
      <c r="H81" s="172"/>
      <c r="I81" s="673" t="s">
        <v>760</v>
      </c>
      <c r="J81" s="97">
        <v>0</v>
      </c>
      <c r="K81" s="97">
        <v>0</v>
      </c>
      <c r="L81" s="99">
        <v>0</v>
      </c>
      <c r="M81" s="81">
        <f t="shared" ca="1" si="29"/>
        <v>0</v>
      </c>
      <c r="N81" s="80"/>
      <c r="O81" s="93">
        <f ca="1">IF(OR(ISBLANK($C81),$C81="",$C81=0),0,COUNTIF(TB_WPTags,$C81&amp;"-100"))</f>
        <v>0</v>
      </c>
      <c r="P81" s="82"/>
      <c r="Q81" s="82"/>
      <c r="R81" s="82"/>
      <c r="S81" s="82"/>
      <c r="T81" s="82"/>
      <c r="U81" s="82"/>
      <c r="V81" s="83" t="str">
        <f t="shared" ca="1" si="30"/>
        <v>0</v>
      </c>
      <c r="W81" s="82"/>
      <c r="X81" s="83">
        <f t="shared" ca="1" si="31"/>
        <v>0</v>
      </c>
      <c r="Y81" s="82" t="b">
        <f t="shared" ca="1" si="32"/>
        <v>0</v>
      </c>
      <c r="Z81" s="94" t="b">
        <f t="shared" ca="1" si="33"/>
        <v>0</v>
      </c>
      <c r="AA81" s="94" t="b">
        <f t="shared" ca="1" si="34"/>
        <v>0</v>
      </c>
      <c r="AB81" s="178">
        <f t="shared" ca="1" si="35"/>
        <v>0</v>
      </c>
      <c r="AC81" s="94" t="b">
        <v>0</v>
      </c>
      <c r="AD81" s="127"/>
      <c r="AE81" s="185"/>
      <c r="AF81" s="175" t="str">
        <f t="shared" ca="1" si="36"/>
        <v/>
      </c>
      <c r="AG81" s="183">
        <f t="shared" ca="1" si="9"/>
        <v>0</v>
      </c>
      <c r="AH81" s="174"/>
      <c r="AI81" s="95" t="str">
        <f t="shared" ca="1" si="37"/>
        <v/>
      </c>
      <c r="AJ81" s="110"/>
      <c r="AK81" s="111"/>
      <c r="AL81" s="110"/>
      <c r="AM81" s="110"/>
      <c r="AN81" s="90"/>
    </row>
    <row r="82" spans="1:40" s="74" customFormat="1" ht="19.5">
      <c r="A82" s="76"/>
      <c r="B82" s="77"/>
      <c r="C82" s="671" t="s">
        <v>761</v>
      </c>
      <c r="D82" s="87">
        <v>47</v>
      </c>
      <c r="E82" s="87">
        <v>3</v>
      </c>
      <c r="F82" s="87" t="s">
        <v>568</v>
      </c>
      <c r="G82" s="101" t="s">
        <v>661</v>
      </c>
      <c r="H82" s="172"/>
      <c r="I82" s="674" t="s">
        <v>762</v>
      </c>
      <c r="J82" s="97">
        <v>0</v>
      </c>
      <c r="K82" s="97">
        <v>0</v>
      </c>
      <c r="L82" s="99">
        <v>0</v>
      </c>
      <c r="M82" s="81">
        <f t="shared" ca="1" si="29"/>
        <v>0</v>
      </c>
      <c r="N82" s="80"/>
      <c r="O82" s="93">
        <f ca="1">IF(OR(ISBLANK($C82),$C82="",$C82=0),0,COUNTIF(TB_WPTags,$C82&amp;"-100"))</f>
        <v>0</v>
      </c>
      <c r="P82" s="82"/>
      <c r="Q82" s="82"/>
      <c r="R82" s="82"/>
      <c r="S82" s="82"/>
      <c r="T82" s="82"/>
      <c r="U82" s="82"/>
      <c r="V82" s="83" t="str">
        <f t="shared" ca="1" si="30"/>
        <v>0</v>
      </c>
      <c r="W82" s="82"/>
      <c r="X82" s="83">
        <f t="shared" ca="1" si="31"/>
        <v>0</v>
      </c>
      <c r="Y82" s="82" t="b">
        <f t="shared" ca="1" si="32"/>
        <v>0</v>
      </c>
      <c r="Z82" s="94" t="b">
        <f t="shared" ca="1" si="33"/>
        <v>0</v>
      </c>
      <c r="AA82" s="94" t="b">
        <f t="shared" ca="1" si="34"/>
        <v>0</v>
      </c>
      <c r="AB82" s="178">
        <f t="shared" ca="1" si="35"/>
        <v>0</v>
      </c>
      <c r="AC82" s="94" t="b">
        <v>0</v>
      </c>
      <c r="AD82" s="127"/>
      <c r="AE82" s="185"/>
      <c r="AF82" s="175" t="str">
        <f t="shared" ca="1" si="36"/>
        <v/>
      </c>
      <c r="AG82" s="183">
        <f t="shared" ca="1" si="9"/>
        <v>0</v>
      </c>
      <c r="AH82" s="174"/>
      <c r="AI82" s="95" t="str">
        <f t="shared" ca="1" si="37"/>
        <v/>
      </c>
      <c r="AJ82" s="110"/>
      <c r="AK82" s="111"/>
      <c r="AL82" s="110"/>
      <c r="AM82" s="110"/>
      <c r="AN82" s="90"/>
    </row>
    <row r="83" spans="1:40" s="74" customFormat="1" ht="19.5">
      <c r="A83" s="76"/>
      <c r="B83" s="77"/>
      <c r="C83" s="671" t="s">
        <v>763</v>
      </c>
      <c r="D83" s="87">
        <v>48</v>
      </c>
      <c r="E83" s="87">
        <v>4</v>
      </c>
      <c r="F83" s="87" t="s">
        <v>570</v>
      </c>
      <c r="G83" s="101" t="s">
        <v>661</v>
      </c>
      <c r="H83" s="172"/>
      <c r="I83" s="675" t="s">
        <v>644</v>
      </c>
      <c r="J83" s="97">
        <v>0</v>
      </c>
      <c r="K83" s="97">
        <v>0</v>
      </c>
      <c r="L83" s="99">
        <v>0</v>
      </c>
      <c r="M83" s="81">
        <f t="shared" ca="1" si="29"/>
        <v>0</v>
      </c>
      <c r="N83" s="80"/>
      <c r="O83" s="93">
        <f ca="1">IF(OR(ISBLANK($C83),$C83="",$C83=0),0,COUNTIF(TB_WPTags,$C83&amp;"-100"))</f>
        <v>0</v>
      </c>
      <c r="P83" s="82"/>
      <c r="Q83" s="82"/>
      <c r="R83" s="82"/>
      <c r="S83" s="82"/>
      <c r="T83" s="82"/>
      <c r="U83" s="82"/>
      <c r="V83" s="83" t="str">
        <f t="shared" ca="1" si="30"/>
        <v>0</v>
      </c>
      <c r="W83" s="82"/>
      <c r="X83" s="83">
        <f t="shared" ca="1" si="31"/>
        <v>0</v>
      </c>
      <c r="Y83" s="82" t="b">
        <f t="shared" ca="1" si="32"/>
        <v>0</v>
      </c>
      <c r="Z83" s="94" t="b">
        <f t="shared" ca="1" si="33"/>
        <v>0</v>
      </c>
      <c r="AA83" s="94" t="b">
        <f t="shared" ca="1" si="34"/>
        <v>0</v>
      </c>
      <c r="AB83" s="178">
        <f t="shared" ca="1" si="35"/>
        <v>0</v>
      </c>
      <c r="AC83" s="94" t="b">
        <v>0</v>
      </c>
      <c r="AD83" s="127"/>
      <c r="AE83" s="185"/>
      <c r="AF83" s="175" t="str">
        <f t="shared" ca="1" si="36"/>
        <v/>
      </c>
      <c r="AG83" s="183">
        <f t="shared" ca="1" si="9"/>
        <v>0</v>
      </c>
      <c r="AH83" s="174"/>
      <c r="AI83" s="95" t="str">
        <f t="shared" ca="1" si="37"/>
        <v/>
      </c>
      <c r="AJ83" s="110"/>
      <c r="AK83" s="111"/>
      <c r="AL83" s="110"/>
      <c r="AM83" s="110"/>
      <c r="AN83" s="90"/>
    </row>
    <row r="84" spans="1:40" s="74" customFormat="1" ht="19.5">
      <c r="A84" s="76"/>
      <c r="B84" s="77"/>
      <c r="C84" s="671" t="s">
        <v>764</v>
      </c>
      <c r="D84" s="87">
        <v>49</v>
      </c>
      <c r="E84" s="87">
        <v>5</v>
      </c>
      <c r="F84" s="87" t="s">
        <v>573</v>
      </c>
      <c r="G84" s="101" t="s">
        <v>661</v>
      </c>
      <c r="H84" s="172"/>
      <c r="I84" s="676" t="s">
        <v>1124</v>
      </c>
      <c r="J84" s="677">
        <v>30000</v>
      </c>
      <c r="K84" s="677">
        <v>0</v>
      </c>
      <c r="L84" s="99">
        <v>30000</v>
      </c>
      <c r="M84" s="81">
        <f t="shared" ca="1" si="29"/>
        <v>0</v>
      </c>
      <c r="N84" s="80" t="s">
        <v>83</v>
      </c>
      <c r="O84" s="93">
        <f ca="1">IF(OR(ISBLANK($C84),$C84="",$C84=0),0,COUNTIF(TB_WPTags,$C84&amp;"-100"))</f>
        <v>0</v>
      </c>
      <c r="P84" s="82"/>
      <c r="Q84" s="82"/>
      <c r="R84" s="82"/>
      <c r="S84" s="82"/>
      <c r="T84" s="82"/>
      <c r="U84" s="82"/>
      <c r="V84" s="83" t="str">
        <f t="shared" ca="1" si="30"/>
        <v>0</v>
      </c>
      <c r="W84" s="82"/>
      <c r="X84" s="83">
        <f t="shared" ca="1" si="31"/>
        <v>0</v>
      </c>
      <c r="Y84" s="82" t="b">
        <f t="shared" ca="1" si="32"/>
        <v>0</v>
      </c>
      <c r="Z84" s="94" t="b">
        <f t="shared" ca="1" si="33"/>
        <v>0</v>
      </c>
      <c r="AA84" s="94" t="b">
        <f t="shared" ca="1" si="34"/>
        <v>0</v>
      </c>
      <c r="AB84" s="178">
        <f t="shared" ca="1" si="35"/>
        <v>0</v>
      </c>
      <c r="AC84" s="94" t="b">
        <v>0</v>
      </c>
      <c r="AD84" s="127"/>
      <c r="AE84" s="185" t="s">
        <v>58</v>
      </c>
      <c r="AF84" s="175" t="str">
        <f t="shared" ca="1" si="36"/>
        <v/>
      </c>
      <c r="AG84" s="183">
        <f t="shared" ca="1" si="9"/>
        <v>0</v>
      </c>
      <c r="AH84" s="174"/>
      <c r="AI84" s="95" t="str">
        <f t="shared" ca="1" si="37"/>
        <v/>
      </c>
      <c r="AJ84" s="110"/>
      <c r="AK84" s="111"/>
      <c r="AL84" s="110"/>
      <c r="AM84" s="110"/>
      <c r="AN84" s="90"/>
    </row>
    <row r="85" spans="1:40" s="74" customFormat="1" ht="19.5">
      <c r="A85" s="76"/>
      <c r="B85" s="77"/>
      <c r="C85" s="671" t="s">
        <v>765</v>
      </c>
      <c r="D85" s="87">
        <v>50</v>
      </c>
      <c r="E85" s="87">
        <v>4</v>
      </c>
      <c r="F85" s="87" t="s">
        <v>576</v>
      </c>
      <c r="G85" s="101" t="s">
        <v>661</v>
      </c>
      <c r="H85" s="172"/>
      <c r="I85" s="675" t="s">
        <v>648</v>
      </c>
      <c r="J85" s="678">
        <v>30000</v>
      </c>
      <c r="K85" s="678">
        <v>0</v>
      </c>
      <c r="L85" s="99">
        <v>30000</v>
      </c>
      <c r="M85" s="81">
        <f t="shared" ca="1" si="29"/>
        <v>0</v>
      </c>
      <c r="N85" s="80" t="s">
        <v>83</v>
      </c>
      <c r="O85" s="93">
        <f ca="1">IF(OR(ISBLANK($C85),$C85="",$C85=0),0,COUNTIF(TB_WPTags,$C85&amp;"-100"))</f>
        <v>0</v>
      </c>
      <c r="P85" s="82"/>
      <c r="Q85" s="82"/>
      <c r="R85" s="82"/>
      <c r="S85" s="82"/>
      <c r="T85" s="82"/>
      <c r="U85" s="82"/>
      <c r="V85" s="83" t="str">
        <f t="shared" ca="1" si="30"/>
        <v>0</v>
      </c>
      <c r="W85" s="82"/>
      <c r="X85" s="83">
        <f t="shared" ca="1" si="31"/>
        <v>0</v>
      </c>
      <c r="Y85" s="82" t="b">
        <f t="shared" ca="1" si="32"/>
        <v>0</v>
      </c>
      <c r="Z85" s="94" t="b">
        <f t="shared" ca="1" si="33"/>
        <v>0</v>
      </c>
      <c r="AA85" s="94" t="b">
        <f t="shared" ca="1" si="34"/>
        <v>0</v>
      </c>
      <c r="AB85" s="178">
        <f t="shared" ca="1" si="35"/>
        <v>0</v>
      </c>
      <c r="AC85" s="94" t="b">
        <v>0</v>
      </c>
      <c r="AD85" s="127"/>
      <c r="AE85" s="185"/>
      <c r="AF85" s="175" t="str">
        <f t="shared" ca="1" si="36"/>
        <v/>
      </c>
      <c r="AG85" s="183">
        <f t="shared" ca="1" si="9"/>
        <v>0</v>
      </c>
      <c r="AH85" s="174"/>
      <c r="AI85" s="95" t="str">
        <f t="shared" ca="1" si="37"/>
        <v/>
      </c>
      <c r="AJ85" s="110"/>
      <c r="AK85" s="111"/>
      <c r="AL85" s="110"/>
      <c r="AM85" s="110"/>
      <c r="AN85" s="90"/>
    </row>
    <row r="86" spans="1:40" s="74" customFormat="1" ht="19.5">
      <c r="A86" s="76"/>
      <c r="B86" s="77"/>
      <c r="C86" s="671" t="s">
        <v>766</v>
      </c>
      <c r="D86" s="87">
        <v>51</v>
      </c>
      <c r="E86" s="87">
        <v>3</v>
      </c>
      <c r="F86" s="87" t="s">
        <v>579</v>
      </c>
      <c r="G86" s="101" t="s">
        <v>661</v>
      </c>
      <c r="H86" s="172"/>
      <c r="I86" s="674" t="s">
        <v>767</v>
      </c>
      <c r="J86" s="678">
        <v>30000</v>
      </c>
      <c r="K86" s="678">
        <v>0</v>
      </c>
      <c r="L86" s="99">
        <v>30000</v>
      </c>
      <c r="M86" s="81">
        <f t="shared" ca="1" si="29"/>
        <v>0</v>
      </c>
      <c r="N86" s="80" t="s">
        <v>83</v>
      </c>
      <c r="O86" s="93">
        <f ca="1">IF(OR(ISBLANK($C86),$C86="",$C86=0),0,COUNTIF(TB_WPTags,$C86&amp;"-100"))</f>
        <v>0</v>
      </c>
      <c r="P86" s="82"/>
      <c r="Q86" s="82"/>
      <c r="R86" s="82"/>
      <c r="S86" s="82"/>
      <c r="T86" s="82"/>
      <c r="U86" s="82"/>
      <c r="V86" s="83" t="str">
        <f t="shared" ca="1" si="30"/>
        <v>0</v>
      </c>
      <c r="W86" s="82"/>
      <c r="X86" s="83">
        <f t="shared" ca="1" si="31"/>
        <v>0</v>
      </c>
      <c r="Y86" s="82" t="b">
        <f t="shared" ca="1" si="32"/>
        <v>0</v>
      </c>
      <c r="Z86" s="94" t="b">
        <f t="shared" ca="1" si="33"/>
        <v>0</v>
      </c>
      <c r="AA86" s="94" t="b">
        <f t="shared" ca="1" si="34"/>
        <v>0</v>
      </c>
      <c r="AB86" s="178">
        <f t="shared" ca="1" si="35"/>
        <v>0</v>
      </c>
      <c r="AC86" s="94" t="b">
        <v>0</v>
      </c>
      <c r="AD86" s="127"/>
      <c r="AE86" s="185"/>
      <c r="AF86" s="175" t="str">
        <f t="shared" ca="1" si="36"/>
        <v/>
      </c>
      <c r="AG86" s="183">
        <f t="shared" ca="1" si="9"/>
        <v>0</v>
      </c>
      <c r="AH86" s="174"/>
      <c r="AI86" s="95" t="str">
        <f t="shared" ca="1" si="37"/>
        <v/>
      </c>
      <c r="AJ86" s="110"/>
      <c r="AK86" s="111"/>
      <c r="AL86" s="110"/>
      <c r="AM86" s="110"/>
      <c r="AN86" s="90"/>
    </row>
    <row r="87" spans="1:40" s="74" customFormat="1" ht="19.5">
      <c r="A87" s="76"/>
      <c r="B87" s="77"/>
      <c r="C87" s="671" t="s">
        <v>768</v>
      </c>
      <c r="D87" s="87">
        <v>52</v>
      </c>
      <c r="E87" s="87">
        <v>2</v>
      </c>
      <c r="F87" s="87" t="s">
        <v>582</v>
      </c>
      <c r="G87" s="101" t="s">
        <v>661</v>
      </c>
      <c r="H87" s="172"/>
      <c r="I87" s="673" t="s">
        <v>769</v>
      </c>
      <c r="J87" s="678">
        <v>30000</v>
      </c>
      <c r="K87" s="678">
        <v>0</v>
      </c>
      <c r="L87" s="99">
        <v>30000</v>
      </c>
      <c r="M87" s="81">
        <f t="shared" ca="1" si="29"/>
        <v>0</v>
      </c>
      <c r="N87" s="80" t="s">
        <v>83</v>
      </c>
      <c r="O87" s="93">
        <f ca="1">IF(OR(ISBLANK($C87),$C87="",$C87=0),0,COUNTIF(TB_WPTags,$C87&amp;"-100"))</f>
        <v>0</v>
      </c>
      <c r="P87" s="82"/>
      <c r="Q87" s="82"/>
      <c r="R87" s="82"/>
      <c r="S87" s="82"/>
      <c r="T87" s="82"/>
      <c r="U87" s="82"/>
      <c r="V87" s="83" t="str">
        <f t="shared" ca="1" si="30"/>
        <v>0</v>
      </c>
      <c r="W87" s="82"/>
      <c r="X87" s="83">
        <f t="shared" ca="1" si="31"/>
        <v>0</v>
      </c>
      <c r="Y87" s="82" t="b">
        <f t="shared" ca="1" si="32"/>
        <v>0</v>
      </c>
      <c r="Z87" s="94" t="b">
        <f t="shared" ca="1" si="33"/>
        <v>0</v>
      </c>
      <c r="AA87" s="94" t="b">
        <f t="shared" ca="1" si="34"/>
        <v>0</v>
      </c>
      <c r="AB87" s="178">
        <f t="shared" ca="1" si="35"/>
        <v>0</v>
      </c>
      <c r="AC87" s="94" t="b">
        <v>0</v>
      </c>
      <c r="AD87" s="127"/>
      <c r="AE87" s="185"/>
      <c r="AF87" s="175" t="str">
        <f t="shared" ca="1" si="36"/>
        <v/>
      </c>
      <c r="AG87" s="183">
        <f t="shared" ca="1" si="9"/>
        <v>0</v>
      </c>
      <c r="AH87" s="174"/>
      <c r="AI87" s="95" t="str">
        <f t="shared" ca="1" si="37"/>
        <v/>
      </c>
      <c r="AJ87" s="110"/>
      <c r="AK87" s="111"/>
      <c r="AL87" s="110"/>
      <c r="AM87" s="110"/>
      <c r="AN87" s="90"/>
    </row>
    <row r="88" spans="1:40" s="74" customFormat="1" ht="19.5">
      <c r="A88" s="76"/>
      <c r="B88" s="77"/>
      <c r="C88" s="671" t="s">
        <v>662</v>
      </c>
      <c r="D88" s="87">
        <v>53</v>
      </c>
      <c r="E88" s="87">
        <v>2</v>
      </c>
      <c r="F88" s="87" t="s">
        <v>565</v>
      </c>
      <c r="G88" s="101" t="s">
        <v>661</v>
      </c>
      <c r="H88" s="172"/>
      <c r="I88" s="673" t="s">
        <v>663</v>
      </c>
      <c r="J88" s="97">
        <v>0</v>
      </c>
      <c r="K88" s="97">
        <v>0</v>
      </c>
      <c r="L88" s="99">
        <v>0</v>
      </c>
      <c r="M88" s="81">
        <f t="shared" ca="1" si="29"/>
        <v>0</v>
      </c>
      <c r="N88" s="80"/>
      <c r="O88" s="93">
        <f ca="1">IF(OR(ISBLANK($C88),$C88="",$C88=0),0,COUNTIF(TB_WPTags,$C88&amp;"-100"))</f>
        <v>0</v>
      </c>
      <c r="P88" s="82"/>
      <c r="Q88" s="82"/>
      <c r="R88" s="82"/>
      <c r="S88" s="82"/>
      <c r="T88" s="82"/>
      <c r="U88" s="82"/>
      <c r="V88" s="83" t="str">
        <f t="shared" ca="1" si="30"/>
        <v>0</v>
      </c>
      <c r="W88" s="82"/>
      <c r="X88" s="83">
        <f t="shared" ca="1" si="31"/>
        <v>0</v>
      </c>
      <c r="Y88" s="82" t="b">
        <f t="shared" ca="1" si="32"/>
        <v>0</v>
      </c>
      <c r="Z88" s="94" t="b">
        <f t="shared" ca="1" si="33"/>
        <v>0</v>
      </c>
      <c r="AA88" s="94" t="b">
        <f t="shared" ca="1" si="34"/>
        <v>0</v>
      </c>
      <c r="AB88" s="178">
        <f t="shared" ca="1" si="35"/>
        <v>0</v>
      </c>
      <c r="AC88" s="94" t="b">
        <v>0</v>
      </c>
      <c r="AD88" s="127"/>
      <c r="AE88" s="185"/>
      <c r="AF88" s="175" t="str">
        <f t="shared" ca="1" si="36"/>
        <v/>
      </c>
      <c r="AG88" s="183">
        <f t="shared" ca="1" si="9"/>
        <v>0</v>
      </c>
      <c r="AH88" s="174"/>
      <c r="AI88" s="95" t="str">
        <f t="shared" ca="1" si="37"/>
        <v/>
      </c>
      <c r="AJ88" s="110"/>
      <c r="AK88" s="111"/>
      <c r="AL88" s="110"/>
      <c r="AM88" s="110"/>
      <c r="AN88" s="90"/>
    </row>
    <row r="89" spans="1:40" s="74" customFormat="1" ht="19.5">
      <c r="A89" s="76"/>
      <c r="B89" s="77"/>
      <c r="C89" s="671" t="s">
        <v>727</v>
      </c>
      <c r="D89" s="87">
        <v>54</v>
      </c>
      <c r="E89" s="87">
        <v>3</v>
      </c>
      <c r="F89" s="87" t="s">
        <v>623</v>
      </c>
      <c r="G89" s="101" t="s">
        <v>661</v>
      </c>
      <c r="H89" s="172"/>
      <c r="I89" s="681" t="s">
        <v>728</v>
      </c>
      <c r="J89" s="677">
        <v>2640</v>
      </c>
      <c r="K89" s="677">
        <v>0</v>
      </c>
      <c r="L89" s="99">
        <v>2640</v>
      </c>
      <c r="M89" s="81">
        <f t="shared" ca="1" si="29"/>
        <v>1</v>
      </c>
      <c r="N89" s="80" t="s">
        <v>83</v>
      </c>
      <c r="O89" s="93">
        <f ca="1">IF(OR(ISBLANK($C89),$C89="",$C89=0),0,COUNTIF(TB_WPTags,$C89&amp;"-100"))</f>
        <v>1</v>
      </c>
      <c r="P89" s="82"/>
      <c r="Q89" s="82"/>
      <c r="R89" s="82"/>
      <c r="S89" s="82"/>
      <c r="T89" s="82"/>
      <c r="U89" s="82"/>
      <c r="V89" s="83" t="str">
        <f t="shared" ca="1" si="30"/>
        <v>1</v>
      </c>
      <c r="W89" s="82"/>
      <c r="X89" s="83">
        <f t="shared" ca="1" si="31"/>
        <v>8</v>
      </c>
      <c r="Y89" s="82" t="b">
        <f t="shared" ca="1" si="32"/>
        <v>0</v>
      </c>
      <c r="Z89" s="94" t="b">
        <f t="shared" ca="1" si="33"/>
        <v>0</v>
      </c>
      <c r="AA89" s="94" t="b">
        <f t="shared" ca="1" si="34"/>
        <v>0</v>
      </c>
      <c r="AB89" s="178">
        <f t="shared" ca="1" si="35"/>
        <v>0</v>
      </c>
      <c r="AC89" s="94" t="b">
        <v>0</v>
      </c>
      <c r="AD89" s="127"/>
      <c r="AE89" s="185"/>
      <c r="AF89" s="175" t="str">
        <f t="shared" ca="1" si="36"/>
        <v/>
      </c>
      <c r="AG89" s="183">
        <f t="shared" ca="1" si="9"/>
        <v>0</v>
      </c>
      <c r="AH89" s="174"/>
      <c r="AI89" s="95" t="str">
        <f t="shared" ca="1" si="37"/>
        <v>Complete</v>
      </c>
      <c r="AJ89" s="110"/>
      <c r="AK89" s="111"/>
      <c r="AL89" s="110"/>
      <c r="AM89" s="110"/>
      <c r="AN89" s="90"/>
    </row>
    <row r="90" spans="1:40" s="74" customFormat="1" ht="19.5" hidden="1">
      <c r="A90" s="76"/>
      <c r="B90" s="77"/>
      <c r="C90" s="86" t="s">
        <v>727</v>
      </c>
      <c r="D90" s="87">
        <f ca="1">IF(IFERROR(ROW(TrialBalanceExact)+MATCH(C90,OFFSET(TrialBalanceExact,0,0,ROWS(TrialBalanceExact),1),0)-1=ROW(),TRUE),0, IF(ISERROR(VLOOKUP(C90,TrialBalanceExact,2,0)),0,VLOOKUP(C90,TrialBalanceExact,2,0)))</f>
        <v>54</v>
      </c>
      <c r="E90" s="87">
        <v>100</v>
      </c>
      <c r="F90" s="87"/>
      <c r="G90" s="101" t="s">
        <v>661</v>
      </c>
      <c r="H90" s="172"/>
      <c r="I90" s="734"/>
      <c r="J90" s="735"/>
      <c r="K90" s="735"/>
      <c r="L90" s="736"/>
      <c r="M90" s="737"/>
      <c r="N90" s="213" t="s">
        <v>136</v>
      </c>
      <c r="O90" s="738"/>
      <c r="P90" s="739" t="str">
        <f>$C90&amp;"-"&amp;$E90</f>
        <v>sundries_expense.AdministrationExpense.AccountancyFee-100</v>
      </c>
      <c r="Q90" s="739" t="s">
        <v>861</v>
      </c>
      <c r="R90" s="739" t="s">
        <v>889</v>
      </c>
      <c r="S90" s="739" t="s">
        <v>890</v>
      </c>
      <c r="T90" s="740">
        <f ca="1">ABS(IF(ISERROR(VLOOKUP(C90,TrialBalanceExact,8,0)),0,VLOOKUP(C90,TrialBalanceExact,8,0)))</f>
        <v>2640</v>
      </c>
      <c r="U90" s="740">
        <f ca="1">ABS(IF(ISNUMBER(AH90),AH90,IF(ISBLANK(AH90),NA(),INDIRECT("'" &amp; _xll.SheetFromID(R90) &amp; "'!Reconcile_" &amp; SUBSTITUTE(AH90," ","")))))</f>
        <v>2640</v>
      </c>
      <c r="V90" s="740">
        <f ca="1">IFERROR(IF(ABS(ROUND($T90-$U90,2))&lt;=Options_Tolerance,1,-1),0)</f>
        <v>1</v>
      </c>
      <c r="W90" s="740" t="str">
        <f ca="1">$C90&amp;"-"&amp;V90</f>
        <v>sundries_expense.AdministrationExpense.AccountancyFee-1</v>
      </c>
      <c r="X90" s="741">
        <f>IFERROR(VLOOKUP(AI90,StatusDescriptionsOrder,2,0),0)</f>
        <v>8</v>
      </c>
      <c r="Y90" s="739" t="b">
        <v>0</v>
      </c>
      <c r="Z90" s="742" t="b">
        <v>0</v>
      </c>
      <c r="AA90" s="743" t="b">
        <f>IFERROR(VLOOKUP(R90,HNSW_ItemsCount!A:D,2,0)&gt;0,FALSE)</f>
        <v>0</v>
      </c>
      <c r="AB90" s="743">
        <f>IFERROR(VLOOKUP(R90,HNSW_ItemsCount!A:D,4,0),0)</f>
        <v>0</v>
      </c>
      <c r="AC90" s="744" t="b">
        <v>0</v>
      </c>
      <c r="AD90" s="127" t="s">
        <v>896</v>
      </c>
      <c r="AE90" s="745" t="s">
        <v>58</v>
      </c>
      <c r="AF90" s="746" t="s">
        <v>74</v>
      </c>
      <c r="AG90" s="747">
        <f t="shared" si="9"/>
        <v>0</v>
      </c>
      <c r="AH90" s="748">
        <v>2640</v>
      </c>
      <c r="AI90" s="749" t="s">
        <v>37</v>
      </c>
      <c r="AJ90" s="750" t="s">
        <v>1041</v>
      </c>
      <c r="AK90" s="751">
        <v>43545</v>
      </c>
      <c r="AL90" s="752" t="s">
        <v>58</v>
      </c>
      <c r="AM90" s="753" t="s">
        <v>25</v>
      </c>
      <c r="AN90" s="90"/>
    </row>
    <row r="91" spans="1:40" s="74" customFormat="1" ht="19.5">
      <c r="A91" s="76"/>
      <c r="B91" s="77"/>
      <c r="C91" s="671" t="s">
        <v>729</v>
      </c>
      <c r="D91" s="87">
        <v>55</v>
      </c>
      <c r="E91" s="87">
        <v>3</v>
      </c>
      <c r="F91" s="87" t="s">
        <v>623</v>
      </c>
      <c r="G91" s="101" t="s">
        <v>661</v>
      </c>
      <c r="H91" s="172"/>
      <c r="I91" s="681" t="s">
        <v>730</v>
      </c>
      <c r="J91" s="677">
        <v>660</v>
      </c>
      <c r="K91" s="677">
        <v>0</v>
      </c>
      <c r="L91" s="99">
        <v>660</v>
      </c>
      <c r="M91" s="81">
        <f ca="1">IF(AND($AC91,$O91&gt;0),"–",$O91)</f>
        <v>1</v>
      </c>
      <c r="N91" s="80" t="s">
        <v>83</v>
      </c>
      <c r="O91" s="93">
        <f ca="1">IF(OR(ISBLANK($C91),$C91="",$C91=0),0,COUNTIF(TB_WPTags,$C91&amp;"-100"))</f>
        <v>1</v>
      </c>
      <c r="P91" s="82"/>
      <c r="Q91" s="82"/>
      <c r="R91" s="82"/>
      <c r="S91" s="82"/>
      <c r="T91" s="82"/>
      <c r="U91" s="82"/>
      <c r="V91" s="83" t="str">
        <f ca="1">IF(OR(ISBLANK($C91),$AC91),"NA",IF(COUNTIF(W:W,$C91&amp;"--1")&gt;0,"-1",IF(COUNTIF(W:W,$C91&amp;"-1")&gt;0,"1","0")))</f>
        <v>1</v>
      </c>
      <c r="W91" s="82"/>
      <c r="X91" s="83">
        <f ca="1">IF($O91&gt;0,MIN(OFFSET($X91,1,0,$O91)),0)</f>
        <v>8</v>
      </c>
      <c r="Y91" s="82" t="b">
        <f ca="1">IF(AND($O91&gt;0,AC91&lt;&gt;TRUE),COUNTIF(OFFSET($Y91,1,0,$O91),TRUE)&gt;=1,FALSE)</f>
        <v>0</v>
      </c>
      <c r="Z91" s="94" t="b">
        <f ca="1">IF(AND($O91&gt;0,AC91&lt;&gt;TRUE),COUNTIF(OFFSET($Z91,1,0,$O91),TRUE)&gt;=1,FALSE)</f>
        <v>0</v>
      </c>
      <c r="AA91" s="94" t="b">
        <f ca="1">IF(AND($O91&gt;0,AC91&lt;&gt;TRUE),COUNTIF(OFFSET($AA91,1,0,$O91),TRUE)&gt;=1,FALSE)</f>
        <v>0</v>
      </c>
      <c r="AB91" s="178">
        <f ca="1">IF(AND($O91&gt;0,AC91&lt;&gt;TRUE),SUM(OFFSET($AG91,1,0,$O91)),0)</f>
        <v>0</v>
      </c>
      <c r="AC91" s="94" t="b">
        <v>0</v>
      </c>
      <c r="AD91" s="127"/>
      <c r="AE91" s="185"/>
      <c r="AF91" s="175" t="str">
        <f ca="1">IF(AND(Y91,AC91&lt;&gt;TRUE),"]","")</f>
        <v/>
      </c>
      <c r="AG91" s="183">
        <f t="shared" ca="1" si="9"/>
        <v>0</v>
      </c>
      <c r="AH91" s="174"/>
      <c r="AI91" s="95" t="str">
        <f ca="1">IF(AND($O91&gt;0,AC91&lt;&gt;TRUE),IF($X91&gt;=1,INDEX(StatusDescriptions,$X91+1,0),StatusBlank),"")</f>
        <v>Complete</v>
      </c>
      <c r="AJ91" s="110"/>
      <c r="AK91" s="111"/>
      <c r="AL91" s="110"/>
      <c r="AM91" s="110"/>
      <c r="AN91" s="90"/>
    </row>
    <row r="92" spans="1:40" s="74" customFormat="1" ht="19.5" hidden="1">
      <c r="A92" s="76"/>
      <c r="B92" s="77"/>
      <c r="C92" s="86" t="s">
        <v>729</v>
      </c>
      <c r="D92" s="87">
        <f ca="1">IF(IFERROR(ROW(TrialBalanceExact)+MATCH(C92,OFFSET(TrialBalanceExact,0,0,ROWS(TrialBalanceExact),1),0)-1=ROW(),TRUE),0, IF(ISERROR(VLOOKUP(C92,TrialBalanceExact,2,0)),0,VLOOKUP(C92,TrialBalanceExact,2,0)))</f>
        <v>55</v>
      </c>
      <c r="E92" s="87">
        <v>100</v>
      </c>
      <c r="F92" s="87"/>
      <c r="G92" s="101" t="s">
        <v>661</v>
      </c>
      <c r="H92" s="172"/>
      <c r="I92" s="734"/>
      <c r="J92" s="735"/>
      <c r="K92" s="735"/>
      <c r="L92" s="736"/>
      <c r="M92" s="737"/>
      <c r="N92" s="213" t="s">
        <v>136</v>
      </c>
      <c r="O92" s="738"/>
      <c r="P92" s="739" t="str">
        <f>$C92&amp;"-"&amp;$E92</f>
        <v>sundries_expense.AdministrationExpense.AuditorFee-100</v>
      </c>
      <c r="Q92" s="739" t="s">
        <v>877</v>
      </c>
      <c r="R92" s="739" t="s">
        <v>889</v>
      </c>
      <c r="S92" s="739"/>
      <c r="T92" s="740">
        <f ca="1">ABS(IF(ISERROR(VLOOKUP(C92,TrialBalanceExact,8,0)),0,VLOOKUP(C92,TrialBalanceExact,8,0)))</f>
        <v>660</v>
      </c>
      <c r="U92" s="740">
        <f ca="1">ABS(IF(ISNUMBER(AH92),AH92,IF(ISBLANK(AH92),NA(),INDIRECT("'" &amp; _xll.SheetFromID(R92) &amp; "'!Reconcile_" &amp; SUBSTITUTE(AH92," ","")))))</f>
        <v>660</v>
      </c>
      <c r="V92" s="740">
        <f ca="1">IFERROR(IF(ABS(ROUND($T92-$U92,2))&lt;=Options_Tolerance,1,-1),0)</f>
        <v>1</v>
      </c>
      <c r="W92" s="740" t="str">
        <f ca="1">$C92&amp;"-"&amp;V92</f>
        <v>sundries_expense.AdministrationExpense.AuditorFee-1</v>
      </c>
      <c r="X92" s="741">
        <f>IFERROR(VLOOKUP(AI92,StatusDescriptionsOrder,2,0),0)</f>
        <v>8</v>
      </c>
      <c r="Y92" s="739" t="b">
        <v>0</v>
      </c>
      <c r="Z92" s="742" t="b">
        <v>0</v>
      </c>
      <c r="AA92" s="743" t="b">
        <f>IFERROR(VLOOKUP(R92,HNSW_ItemsCount!A:D,2,0)&gt;0,FALSE)</f>
        <v>0</v>
      </c>
      <c r="AB92" s="743">
        <f>IFERROR(VLOOKUP(R92,HNSW_ItemsCount!A:D,4,0),0)</f>
        <v>0</v>
      </c>
      <c r="AC92" s="744" t="b">
        <v>0</v>
      </c>
      <c r="AD92" s="127" t="s">
        <v>896</v>
      </c>
      <c r="AE92" s="745" t="s">
        <v>58</v>
      </c>
      <c r="AF92" s="746" t="s">
        <v>74</v>
      </c>
      <c r="AG92" s="747">
        <f t="shared" si="9"/>
        <v>0</v>
      </c>
      <c r="AH92" s="748">
        <v>660</v>
      </c>
      <c r="AI92" s="749" t="s">
        <v>37</v>
      </c>
      <c r="AJ92" s="750" t="s">
        <v>1041</v>
      </c>
      <c r="AK92" s="751">
        <v>43545</v>
      </c>
      <c r="AL92" s="752" t="s">
        <v>58</v>
      </c>
      <c r="AM92" s="753" t="s">
        <v>25</v>
      </c>
      <c r="AN92" s="90"/>
    </row>
    <row r="93" spans="1:40" s="74" customFormat="1" ht="19.5">
      <c r="A93" s="76"/>
      <c r="B93" s="77"/>
      <c r="C93" s="671" t="s">
        <v>1017</v>
      </c>
      <c r="D93" s="87">
        <v>56</v>
      </c>
      <c r="E93" s="87">
        <v>3</v>
      </c>
      <c r="F93" s="87" t="s">
        <v>568</v>
      </c>
      <c r="G93" s="101" t="s">
        <v>661</v>
      </c>
      <c r="H93" s="172"/>
      <c r="I93" s="674" t="s">
        <v>1018</v>
      </c>
      <c r="J93" s="97">
        <v>0</v>
      </c>
      <c r="K93" s="97">
        <v>0</v>
      </c>
      <c r="L93" s="99">
        <v>0</v>
      </c>
      <c r="M93" s="81">
        <f ca="1">IF(AND($AC93,$O93&gt;0),"–",$O93)</f>
        <v>0</v>
      </c>
      <c r="N93" s="80"/>
      <c r="O93" s="93">
        <f ca="1">IF(OR(ISBLANK($C93),$C93="",$C93=0),0,COUNTIF(TB_WPTags,$C93&amp;"-100"))</f>
        <v>0</v>
      </c>
      <c r="P93" s="82"/>
      <c r="Q93" s="82"/>
      <c r="R93" s="82"/>
      <c r="S93" s="82"/>
      <c r="T93" s="82"/>
      <c r="U93" s="82"/>
      <c r="V93" s="83" t="str">
        <f ca="1">IF(OR(ISBLANK($C93),$AC93),"NA",IF(COUNTIF(W:W,$C93&amp;"--1")&gt;0,"-1",IF(COUNTIF(W:W,$C93&amp;"-1")&gt;0,"1","0")))</f>
        <v>0</v>
      </c>
      <c r="W93" s="82"/>
      <c r="X93" s="83">
        <f ca="1">IF($O93&gt;0,MIN(OFFSET($X93,1,0,$O93)),0)</f>
        <v>0</v>
      </c>
      <c r="Y93" s="82" t="b">
        <f ca="1">IF(AND($O93&gt;0,AC93&lt;&gt;TRUE),COUNTIF(OFFSET($Y93,1,0,$O93),TRUE)&gt;=1,FALSE)</f>
        <v>0</v>
      </c>
      <c r="Z93" s="94" t="b">
        <f ca="1">IF(AND($O93&gt;0,AC93&lt;&gt;TRUE),COUNTIF(OFFSET($Z93,1,0,$O93),TRUE)&gt;=1,FALSE)</f>
        <v>0</v>
      </c>
      <c r="AA93" s="94" t="b">
        <f ca="1">IF(AND($O93&gt;0,AC93&lt;&gt;TRUE),COUNTIF(OFFSET($AA93,1,0,$O93),TRUE)&gt;=1,FALSE)</f>
        <v>0</v>
      </c>
      <c r="AB93" s="178">
        <f ca="1">IF(AND($O93&gt;0,AC93&lt;&gt;TRUE),SUM(OFFSET($AG93,1,0,$O93)),0)</f>
        <v>0</v>
      </c>
      <c r="AC93" s="94" t="b">
        <v>0</v>
      </c>
      <c r="AD93" s="127"/>
      <c r="AE93" s="185"/>
      <c r="AF93" s="175" t="str">
        <f ca="1">IF(AND(Y93,AC93&lt;&gt;TRUE),"]","")</f>
        <v/>
      </c>
      <c r="AG93" s="183">
        <f t="shared" ref="AG93:AG156" ca="1" si="38">AB93</f>
        <v>0</v>
      </c>
      <c r="AH93" s="174"/>
      <c r="AI93" s="95" t="str">
        <f ca="1">IF(AND($O93&gt;0,AC93&lt;&gt;TRUE),IF($X93&gt;=1,INDEX(StatusDescriptions,$X93+1,0),StatusBlank),"")</f>
        <v/>
      </c>
      <c r="AJ93" s="110"/>
      <c r="AK93" s="111"/>
      <c r="AL93" s="110"/>
      <c r="AM93" s="110"/>
      <c r="AN93" s="90"/>
    </row>
    <row r="94" spans="1:40" s="74" customFormat="1" ht="19.5">
      <c r="A94" s="76"/>
      <c r="B94" s="77"/>
      <c r="C94" s="671" t="s">
        <v>1019</v>
      </c>
      <c r="D94" s="87">
        <v>57</v>
      </c>
      <c r="E94" s="87">
        <v>4</v>
      </c>
      <c r="F94" s="87" t="s">
        <v>570</v>
      </c>
      <c r="G94" s="101" t="s">
        <v>661</v>
      </c>
      <c r="H94" s="172"/>
      <c r="I94" s="675" t="s">
        <v>1020</v>
      </c>
      <c r="J94" s="97">
        <v>0</v>
      </c>
      <c r="K94" s="97">
        <v>0</v>
      </c>
      <c r="L94" s="99">
        <v>0</v>
      </c>
      <c r="M94" s="81">
        <f ca="1">IF(AND($AC94,$O94&gt;0),"–",$O94)</f>
        <v>0</v>
      </c>
      <c r="N94" s="80"/>
      <c r="O94" s="93">
        <f ca="1">IF(OR(ISBLANK($C94),$C94="",$C94=0),0,COUNTIF(TB_WPTags,$C94&amp;"-100"))</f>
        <v>0</v>
      </c>
      <c r="P94" s="82"/>
      <c r="Q94" s="82"/>
      <c r="R94" s="82"/>
      <c r="S94" s="82"/>
      <c r="T94" s="82"/>
      <c r="U94" s="82"/>
      <c r="V94" s="83" t="str">
        <f ca="1">IF(OR(ISBLANK($C94),$AC94),"NA",IF(COUNTIF(W:W,$C94&amp;"--1")&gt;0,"-1",IF(COUNTIF(W:W,$C94&amp;"-1")&gt;0,"1","0")))</f>
        <v>0</v>
      </c>
      <c r="W94" s="82"/>
      <c r="X94" s="83">
        <f ca="1">IF($O94&gt;0,MIN(OFFSET($X94,1,0,$O94)),0)</f>
        <v>0</v>
      </c>
      <c r="Y94" s="82" t="b">
        <f ca="1">IF(AND($O94&gt;0,AC94&lt;&gt;TRUE),COUNTIF(OFFSET($Y94,1,0,$O94),TRUE)&gt;=1,FALSE)</f>
        <v>0</v>
      </c>
      <c r="Z94" s="94" t="b">
        <f ca="1">IF(AND($O94&gt;0,AC94&lt;&gt;TRUE),COUNTIF(OFFSET($Z94,1,0,$O94),TRUE)&gt;=1,FALSE)</f>
        <v>0</v>
      </c>
      <c r="AA94" s="94" t="b">
        <f ca="1">IF(AND($O94&gt;0,AC94&lt;&gt;TRUE),COUNTIF(OFFSET($AA94,1,0,$O94),TRUE)&gt;=1,FALSE)</f>
        <v>0</v>
      </c>
      <c r="AB94" s="178">
        <f ca="1">IF(AND($O94&gt;0,AC94&lt;&gt;TRUE),SUM(OFFSET($AG94,1,0,$O94)),0)</f>
        <v>0</v>
      </c>
      <c r="AC94" s="94" t="b">
        <v>0</v>
      </c>
      <c r="AD94" s="127"/>
      <c r="AE94" s="185"/>
      <c r="AF94" s="175" t="str">
        <f ca="1">IF(AND(Y94,AC94&lt;&gt;TRUE),"]","")</f>
        <v/>
      </c>
      <c r="AG94" s="183">
        <f t="shared" ca="1" si="38"/>
        <v>0</v>
      </c>
      <c r="AH94" s="174"/>
      <c r="AI94" s="95" t="str">
        <f ca="1">IF(AND($O94&gt;0,AC94&lt;&gt;TRUE),IF($X94&gt;=1,INDEX(StatusDescriptions,$X94+1,0),StatusBlank),"")</f>
        <v/>
      </c>
      <c r="AJ94" s="110"/>
      <c r="AK94" s="111"/>
      <c r="AL94" s="110"/>
      <c r="AM94" s="110"/>
      <c r="AN94" s="90"/>
    </row>
    <row r="95" spans="1:40" s="74" customFormat="1" ht="19.5">
      <c r="A95" s="76"/>
      <c r="B95" s="77"/>
      <c r="C95" s="671" t="s">
        <v>1021</v>
      </c>
      <c r="D95" s="87">
        <v>58</v>
      </c>
      <c r="E95" s="87">
        <v>5</v>
      </c>
      <c r="F95" s="87" t="s">
        <v>669</v>
      </c>
      <c r="G95" s="101" t="s">
        <v>661</v>
      </c>
      <c r="H95" s="172"/>
      <c r="I95" s="682" t="s">
        <v>596</v>
      </c>
      <c r="J95" s="97">
        <v>0</v>
      </c>
      <c r="K95" s="97">
        <v>0</v>
      </c>
      <c r="L95" s="99">
        <v>0</v>
      </c>
      <c r="M95" s="81">
        <f ca="1">IF(AND($AC95,$O95&gt;0),"–",$O95)</f>
        <v>0</v>
      </c>
      <c r="N95" s="80"/>
      <c r="O95" s="93">
        <f ca="1">IF(OR(ISBLANK($C95),$C95="",$C95=0),0,COUNTIF(TB_WPTags,$C95&amp;"-100"))</f>
        <v>0</v>
      </c>
      <c r="P95" s="82"/>
      <c r="Q95" s="82"/>
      <c r="R95" s="82"/>
      <c r="S95" s="82"/>
      <c r="T95" s="82"/>
      <c r="U95" s="82"/>
      <c r="V95" s="83" t="str">
        <f ca="1">IF(OR(ISBLANK($C95),$AC95),"NA",IF(COUNTIF(W:W,$C95&amp;"--1")&gt;0,"-1",IF(COUNTIF(W:W,$C95&amp;"-1")&gt;0,"1","0")))</f>
        <v>0</v>
      </c>
      <c r="W95" s="82"/>
      <c r="X95" s="83">
        <f ca="1">IF($O95&gt;0,MIN(OFFSET($X95,1,0,$O95)),0)</f>
        <v>0</v>
      </c>
      <c r="Y95" s="82" t="b">
        <f ca="1">IF(AND($O95&gt;0,AC95&lt;&gt;TRUE),COUNTIF(OFFSET($Y95,1,0,$O95),TRUE)&gt;=1,FALSE)</f>
        <v>0</v>
      </c>
      <c r="Z95" s="94" t="b">
        <f ca="1">IF(AND($O95&gt;0,AC95&lt;&gt;TRUE),COUNTIF(OFFSET($Z95,1,0,$O95),TRUE)&gt;=1,FALSE)</f>
        <v>0</v>
      </c>
      <c r="AA95" s="94" t="b">
        <f ca="1">IF(AND($O95&gt;0,AC95&lt;&gt;TRUE),COUNTIF(OFFSET($AA95,1,0,$O95),TRUE)&gt;=1,FALSE)</f>
        <v>0</v>
      </c>
      <c r="AB95" s="178">
        <f ca="1">IF(AND($O95&gt;0,AC95&lt;&gt;TRUE),SUM(OFFSET($AG95,1,0,$O95)),0)</f>
        <v>0</v>
      </c>
      <c r="AC95" s="94" t="b">
        <v>0</v>
      </c>
      <c r="AD95" s="127"/>
      <c r="AE95" s="185"/>
      <c r="AF95" s="175" t="str">
        <f ca="1">IF(AND(Y95,AC95&lt;&gt;TRUE),"]","")</f>
        <v/>
      </c>
      <c r="AG95" s="183">
        <f t="shared" ca="1" si="38"/>
        <v>0</v>
      </c>
      <c r="AH95" s="174"/>
      <c r="AI95" s="95" t="str">
        <f ca="1">IF(AND($O95&gt;0,AC95&lt;&gt;TRUE),IF($X95&gt;=1,INDEX(StatusDescriptions,$X95+1,0),StatusBlank),"")</f>
        <v/>
      </c>
      <c r="AJ95" s="110"/>
      <c r="AK95" s="111"/>
      <c r="AL95" s="110"/>
      <c r="AM95" s="110"/>
      <c r="AN95" s="90"/>
    </row>
    <row r="96" spans="1:40" s="74" customFormat="1" ht="19.5">
      <c r="A96" s="76"/>
      <c r="B96" s="77"/>
      <c r="C96" s="671" t="s">
        <v>1022</v>
      </c>
      <c r="D96" s="87">
        <v>59</v>
      </c>
      <c r="E96" s="87">
        <v>6</v>
      </c>
      <c r="F96" s="87" t="s">
        <v>671</v>
      </c>
      <c r="G96" s="101" t="s">
        <v>661</v>
      </c>
      <c r="H96" s="172" t="s">
        <v>599</v>
      </c>
      <c r="I96" s="676" t="s">
        <v>1009</v>
      </c>
      <c r="J96" s="677">
        <v>1369</v>
      </c>
      <c r="K96" s="677">
        <v>0</v>
      </c>
      <c r="L96" s="99">
        <v>1369</v>
      </c>
      <c r="M96" s="81">
        <f ca="1">IF(AND($AC96,$O96&gt;0),"–",$O96)</f>
        <v>1</v>
      </c>
      <c r="N96" s="80" t="s">
        <v>83</v>
      </c>
      <c r="O96" s="93">
        <f ca="1">IF(OR(ISBLANK($C96),$C96="",$C96=0),0,COUNTIF(TB_WPTags,$C96&amp;"-100"))</f>
        <v>1</v>
      </c>
      <c r="P96" s="82"/>
      <c r="Q96" s="82"/>
      <c r="R96" s="82"/>
      <c r="S96" s="82"/>
      <c r="T96" s="82"/>
      <c r="U96" s="82"/>
      <c r="V96" s="83" t="str">
        <f ca="1">IF(OR(ISBLANK($C96),$AC96),"NA",IF(COUNTIF(W:W,$C96&amp;"--1")&gt;0,"-1",IF(COUNTIF(W:W,$C96&amp;"-1")&gt;0,"1","0")))</f>
        <v>1</v>
      </c>
      <c r="W96" s="82"/>
      <c r="X96" s="83">
        <f ca="1">IF($O96&gt;0,MIN(OFFSET($X96,1,0,$O96)),0)</f>
        <v>5</v>
      </c>
      <c r="Y96" s="82" t="b">
        <f ca="1">IF(AND($O96&gt;0,AC96&lt;&gt;TRUE),COUNTIF(OFFSET($Y96,1,0,$O96),TRUE)&gt;=1,FALSE)</f>
        <v>0</v>
      </c>
      <c r="Z96" s="94" t="b">
        <f ca="1">IF(AND($O96&gt;0,AC96&lt;&gt;TRUE),COUNTIF(OFFSET($Z96,1,0,$O96),TRUE)&gt;=1,FALSE)</f>
        <v>0</v>
      </c>
      <c r="AA96" s="94" t="b">
        <f ca="1">IF(AND($O96&gt;0,AC96&lt;&gt;TRUE),COUNTIF(OFFSET($AA96,1,0,$O96),TRUE)&gt;=1,FALSE)</f>
        <v>0</v>
      </c>
      <c r="AB96" s="178">
        <f ca="1">IF(AND($O96&gt;0,AC96&lt;&gt;TRUE),SUM(OFFSET($AG96,1,0,$O96)),0)</f>
        <v>0</v>
      </c>
      <c r="AC96" s="94" t="b">
        <v>0</v>
      </c>
      <c r="AD96" s="127"/>
      <c r="AE96" s="185"/>
      <c r="AF96" s="175" t="str">
        <f ca="1">IF(AND(Y96,AC96&lt;&gt;TRUE),"]","")</f>
        <v/>
      </c>
      <c r="AG96" s="183">
        <f t="shared" ca="1" si="38"/>
        <v>0</v>
      </c>
      <c r="AH96" s="174"/>
      <c r="AI96" s="95" t="str">
        <f ca="1">IF(AND($O96&gt;0,AC96&lt;&gt;TRUE),IF($X96&gt;=1,INDEX(StatusDescriptions,$X96+1,0),StatusBlank),"")</f>
        <v>Rework Complete</v>
      </c>
      <c r="AJ96" s="110"/>
      <c r="AK96" s="111"/>
      <c r="AL96" s="110"/>
      <c r="AM96" s="110"/>
      <c r="AN96" s="90"/>
    </row>
    <row r="97" spans="1:40" s="74" customFormat="1" ht="19.5" hidden="1">
      <c r="A97" s="76"/>
      <c r="B97" s="77"/>
      <c r="C97" s="86" t="s">
        <v>1022</v>
      </c>
      <c r="D97" s="87">
        <f ca="1">IF(IFERROR(ROW(TrialBalanceExact)+MATCH(C97,OFFSET(TrialBalanceExact,0,0,ROWS(TrialBalanceExact),1),0)-1=ROW(),TRUE),0, IF(ISERROR(VLOOKUP(C97,TrialBalanceExact,2,0)),0,VLOOKUP(C97,TrialBalanceExact,2,0)))</f>
        <v>59</v>
      </c>
      <c r="E97" s="87">
        <v>100</v>
      </c>
      <c r="F97" s="87"/>
      <c r="G97" s="101" t="s">
        <v>661</v>
      </c>
      <c r="H97" s="172" t="s">
        <v>599</v>
      </c>
      <c r="I97" s="734"/>
      <c r="J97" s="735"/>
      <c r="K97" s="735"/>
      <c r="L97" s="736"/>
      <c r="M97" s="737"/>
      <c r="N97" s="213" t="s">
        <v>136</v>
      </c>
      <c r="O97" s="738"/>
      <c r="P97" s="739" t="str">
        <f>$C97&amp;"-"&amp;$E97</f>
        <v>depreciation_expense.DepreciationExpense.PropertyDepreciation.Property.98da9e35-149c-408d-81d9-e7c6bce587f6-100</v>
      </c>
      <c r="Q97" s="739" t="s">
        <v>877</v>
      </c>
      <c r="R97" s="739" t="s">
        <v>862</v>
      </c>
      <c r="S97" s="739" t="s">
        <v>863</v>
      </c>
      <c r="T97" s="740">
        <f ca="1">ABS(IF(ISERROR(VLOOKUP(C97,TrialBalanceExact,8,0)),0,VLOOKUP(C97,TrialBalanceExact,8,0)))</f>
        <v>1369</v>
      </c>
      <c r="U97" s="740">
        <f ca="1">ABS(IF(ISNUMBER(AH97),AH97,IF(ISBLANK(AH97),NA(),INDIRECT("'" &amp; _xll.SheetFromID(R97) &amp; "'!Reconcile_" &amp; SUBSTITUTE(AH97," ","")))))</f>
        <v>1369</v>
      </c>
      <c r="V97" s="740">
        <f ca="1">IFERROR(IF(ABS(ROUND($T97-$U97,2))&lt;=Options_Tolerance,1,-1),0)</f>
        <v>1</v>
      </c>
      <c r="W97" s="740" t="str">
        <f ca="1">$C97&amp;"-"&amp;V97</f>
        <v>depreciation_expense.DepreciationExpense.PropertyDepreciation.Property.98da9e35-149c-408d-81d9-e7c6bce587f6-1</v>
      </c>
      <c r="X97" s="741">
        <f>IFERROR(VLOOKUP(AI97,StatusDescriptionsOrder,2,0),0)</f>
        <v>5</v>
      </c>
      <c r="Y97" s="739" t="b">
        <v>0</v>
      </c>
      <c r="Z97" s="742" t="b">
        <v>0</v>
      </c>
      <c r="AA97" s="743" t="b">
        <f>IFERROR(VLOOKUP(R97,HNSW_ItemsCount!A:D,2,0)&gt;0,FALSE)</f>
        <v>0</v>
      </c>
      <c r="AB97" s="743">
        <f>IFERROR(VLOOKUP(R97,HNSW_ItemsCount!A:D,4,0),0)</f>
        <v>0</v>
      </c>
      <c r="AC97" s="744" t="b">
        <v>0</v>
      </c>
      <c r="AD97" s="127" t="s">
        <v>864</v>
      </c>
      <c r="AE97" s="745" t="s">
        <v>58</v>
      </c>
      <c r="AF97" s="746" t="s">
        <v>74</v>
      </c>
      <c r="AG97" s="747">
        <f t="shared" si="38"/>
        <v>0</v>
      </c>
      <c r="AH97" s="748">
        <v>1369</v>
      </c>
      <c r="AI97" s="749" t="s">
        <v>36</v>
      </c>
      <c r="AJ97" s="750" t="s">
        <v>552</v>
      </c>
      <c r="AK97" s="751">
        <v>43546</v>
      </c>
      <c r="AL97" s="752" t="s">
        <v>58</v>
      </c>
      <c r="AM97" s="753" t="s">
        <v>25</v>
      </c>
      <c r="AN97" s="90"/>
    </row>
    <row r="98" spans="1:40" s="74" customFormat="1" ht="19.5">
      <c r="A98" s="76"/>
      <c r="B98" s="77"/>
      <c r="C98" s="671" t="s">
        <v>1023</v>
      </c>
      <c r="D98" s="87">
        <v>60</v>
      </c>
      <c r="E98" s="87">
        <v>5</v>
      </c>
      <c r="F98" s="87" t="s">
        <v>673</v>
      </c>
      <c r="G98" s="101" t="s">
        <v>661</v>
      </c>
      <c r="H98" s="172"/>
      <c r="I98" s="682" t="s">
        <v>603</v>
      </c>
      <c r="J98" s="678">
        <v>1369</v>
      </c>
      <c r="K98" s="678">
        <v>0</v>
      </c>
      <c r="L98" s="99">
        <v>1369</v>
      </c>
      <c r="M98" s="81">
        <f ca="1">IF(AND($AC98,$O98&gt;0),"–",$O98)</f>
        <v>0</v>
      </c>
      <c r="N98" s="80" t="s">
        <v>83</v>
      </c>
      <c r="O98" s="93">
        <f ca="1">IF(OR(ISBLANK($C98),$C98="",$C98=0),0,COUNTIF(TB_WPTags,$C98&amp;"-100"))</f>
        <v>0</v>
      </c>
      <c r="P98" s="82"/>
      <c r="Q98" s="82"/>
      <c r="R98" s="82"/>
      <c r="S98" s="82"/>
      <c r="T98" s="82"/>
      <c r="U98" s="82"/>
      <c r="V98" s="83" t="str">
        <f ca="1">IF(OR(ISBLANK($C98),$AC98),"NA",IF(COUNTIF(W:W,$C98&amp;"--1")&gt;0,"-1",IF(COUNTIF(W:W,$C98&amp;"-1")&gt;0,"1","0")))</f>
        <v>0</v>
      </c>
      <c r="W98" s="82"/>
      <c r="X98" s="83">
        <f ca="1">IF($O98&gt;0,MIN(OFFSET($X98,1,0,$O98)),0)</f>
        <v>0</v>
      </c>
      <c r="Y98" s="82" t="b">
        <f ca="1">IF(AND($O98&gt;0,AC98&lt;&gt;TRUE),COUNTIF(OFFSET($Y98,1,0,$O98),TRUE)&gt;=1,FALSE)</f>
        <v>0</v>
      </c>
      <c r="Z98" s="94" t="b">
        <f ca="1">IF(AND($O98&gt;0,AC98&lt;&gt;TRUE),COUNTIF(OFFSET($Z98,1,0,$O98),TRUE)&gt;=1,FALSE)</f>
        <v>0</v>
      </c>
      <c r="AA98" s="94" t="b">
        <f ca="1">IF(AND($O98&gt;0,AC98&lt;&gt;TRUE),COUNTIF(OFFSET($AA98,1,0,$O98),TRUE)&gt;=1,FALSE)</f>
        <v>0</v>
      </c>
      <c r="AB98" s="178">
        <f ca="1">IF(AND($O98&gt;0,AC98&lt;&gt;TRUE),SUM(OFFSET($AG98,1,0,$O98)),0)</f>
        <v>0</v>
      </c>
      <c r="AC98" s="94" t="b">
        <v>0</v>
      </c>
      <c r="AD98" s="127"/>
      <c r="AE98" s="185"/>
      <c r="AF98" s="175" t="str">
        <f ca="1">IF(AND(Y98,AC98&lt;&gt;TRUE),"]","")</f>
        <v/>
      </c>
      <c r="AG98" s="183">
        <f t="shared" ca="1" si="38"/>
        <v>0</v>
      </c>
      <c r="AH98" s="174"/>
      <c r="AI98" s="95" t="str">
        <f ca="1">IF(AND($O98&gt;0,AC98&lt;&gt;TRUE),IF($X98&gt;=1,INDEX(StatusDescriptions,$X98+1,0),StatusBlank),"")</f>
        <v/>
      </c>
      <c r="AJ98" s="110"/>
      <c r="AK98" s="111"/>
      <c r="AL98" s="110"/>
      <c r="AM98" s="110"/>
      <c r="AN98" s="90"/>
    </row>
    <row r="99" spans="1:40" s="74" customFormat="1" ht="19.5">
      <c r="A99" s="76"/>
      <c r="B99" s="77"/>
      <c r="C99" s="671" t="s">
        <v>1024</v>
      </c>
      <c r="D99" s="87">
        <v>61</v>
      </c>
      <c r="E99" s="87">
        <v>4</v>
      </c>
      <c r="F99" s="87" t="s">
        <v>576</v>
      </c>
      <c r="G99" s="101" t="s">
        <v>661</v>
      </c>
      <c r="H99" s="172"/>
      <c r="I99" s="675" t="s">
        <v>1025</v>
      </c>
      <c r="J99" s="678">
        <v>1369</v>
      </c>
      <c r="K99" s="678">
        <v>0</v>
      </c>
      <c r="L99" s="99">
        <v>1369</v>
      </c>
      <c r="M99" s="81">
        <f ca="1">IF(AND($AC99,$O99&gt;0),"–",$O99)</f>
        <v>0</v>
      </c>
      <c r="N99" s="80" t="s">
        <v>83</v>
      </c>
      <c r="O99" s="93">
        <f ca="1">IF(OR(ISBLANK($C99),$C99="",$C99=0),0,COUNTIF(TB_WPTags,$C99&amp;"-100"))</f>
        <v>0</v>
      </c>
      <c r="P99" s="82"/>
      <c r="Q99" s="82"/>
      <c r="R99" s="82"/>
      <c r="S99" s="82"/>
      <c r="T99" s="82"/>
      <c r="U99" s="82"/>
      <c r="V99" s="83" t="str">
        <f ca="1">IF(OR(ISBLANK($C99),$AC99),"NA",IF(COUNTIF(W:W,$C99&amp;"--1")&gt;0,"-1",IF(COUNTIF(W:W,$C99&amp;"-1")&gt;0,"1","0")))</f>
        <v>0</v>
      </c>
      <c r="W99" s="82"/>
      <c r="X99" s="83">
        <f ca="1">IF($O99&gt;0,MIN(OFFSET($X99,1,0,$O99)),0)</f>
        <v>0</v>
      </c>
      <c r="Y99" s="82" t="b">
        <f ca="1">IF(AND($O99&gt;0,AC99&lt;&gt;TRUE),COUNTIF(OFFSET($Y99,1,0,$O99),TRUE)&gt;=1,FALSE)</f>
        <v>0</v>
      </c>
      <c r="Z99" s="94" t="b">
        <f ca="1">IF(AND($O99&gt;0,AC99&lt;&gt;TRUE),COUNTIF(OFFSET($Z99,1,0,$O99),TRUE)&gt;=1,FALSE)</f>
        <v>0</v>
      </c>
      <c r="AA99" s="94" t="b">
        <f ca="1">IF(AND($O99&gt;0,AC99&lt;&gt;TRUE),COUNTIF(OFFSET($AA99,1,0,$O99),TRUE)&gt;=1,FALSE)</f>
        <v>0</v>
      </c>
      <c r="AB99" s="178">
        <f ca="1">IF(AND($O99&gt;0,AC99&lt;&gt;TRUE),SUM(OFFSET($AG99,1,0,$O99)),0)</f>
        <v>0</v>
      </c>
      <c r="AC99" s="94" t="b">
        <v>0</v>
      </c>
      <c r="AD99" s="127"/>
      <c r="AE99" s="185"/>
      <c r="AF99" s="175" t="str">
        <f ca="1">IF(AND(Y99,AC99&lt;&gt;TRUE),"]","")</f>
        <v/>
      </c>
      <c r="AG99" s="183">
        <f t="shared" ca="1" si="38"/>
        <v>0</v>
      </c>
      <c r="AH99" s="174"/>
      <c r="AI99" s="95" t="str">
        <f ca="1">IF(AND($O99&gt;0,AC99&lt;&gt;TRUE),IF($X99&gt;=1,INDEX(StatusDescriptions,$X99+1,0),StatusBlank),"")</f>
        <v/>
      </c>
      <c r="AJ99" s="110"/>
      <c r="AK99" s="111"/>
      <c r="AL99" s="110"/>
      <c r="AM99" s="110"/>
      <c r="AN99" s="90"/>
    </row>
    <row r="100" spans="1:40" s="74" customFormat="1" ht="19.5">
      <c r="A100" s="76"/>
      <c r="B100" s="77"/>
      <c r="C100" s="671" t="s">
        <v>1026</v>
      </c>
      <c r="D100" s="87">
        <v>62</v>
      </c>
      <c r="E100" s="87">
        <v>4</v>
      </c>
      <c r="F100" s="87" t="s">
        <v>570</v>
      </c>
      <c r="G100" s="101" t="s">
        <v>661</v>
      </c>
      <c r="H100" s="172"/>
      <c r="I100" s="675" t="s">
        <v>1027</v>
      </c>
      <c r="J100" s="97">
        <v>0</v>
      </c>
      <c r="K100" s="97">
        <v>0</v>
      </c>
      <c r="L100" s="99">
        <v>0</v>
      </c>
      <c r="M100" s="81">
        <f ca="1">IF(AND($AC100,$O100&gt;0),"–",$O100)</f>
        <v>0</v>
      </c>
      <c r="N100" s="80"/>
      <c r="O100" s="93">
        <f ca="1">IF(OR(ISBLANK($C100),$C100="",$C100=0),0,COUNTIF(TB_WPTags,$C100&amp;"-100"))</f>
        <v>0</v>
      </c>
      <c r="P100" s="82"/>
      <c r="Q100" s="82"/>
      <c r="R100" s="82"/>
      <c r="S100" s="82"/>
      <c r="T100" s="82"/>
      <c r="U100" s="82"/>
      <c r="V100" s="83" t="str">
        <f ca="1">IF(OR(ISBLANK($C100),$AC100),"NA",IF(COUNTIF(W:W,$C100&amp;"--1")&gt;0,"-1",IF(COUNTIF(W:W,$C100&amp;"-1")&gt;0,"1","0")))</f>
        <v>0</v>
      </c>
      <c r="W100" s="82"/>
      <c r="X100" s="83">
        <f ca="1">IF($O100&gt;0,MIN(OFFSET($X100,1,0,$O100)),0)</f>
        <v>0</v>
      </c>
      <c r="Y100" s="82" t="b">
        <f ca="1">IF(AND($O100&gt;0,AC100&lt;&gt;TRUE),COUNTIF(OFFSET($Y100,1,0,$O100),TRUE)&gt;=1,FALSE)</f>
        <v>0</v>
      </c>
      <c r="Z100" s="94" t="b">
        <f ca="1">IF(AND($O100&gt;0,AC100&lt;&gt;TRUE),COUNTIF(OFFSET($Z100,1,0,$O100),TRUE)&gt;=1,FALSE)</f>
        <v>0</v>
      </c>
      <c r="AA100" s="94" t="b">
        <f ca="1">IF(AND($O100&gt;0,AC100&lt;&gt;TRUE),COUNTIF(OFFSET($AA100,1,0,$O100),TRUE)&gt;=1,FALSE)</f>
        <v>0</v>
      </c>
      <c r="AB100" s="178">
        <f ca="1">IF(AND($O100&gt;0,AC100&lt;&gt;TRUE),SUM(OFFSET($AG100,1,0,$O100)),0)</f>
        <v>0</v>
      </c>
      <c r="AC100" s="94" t="b">
        <v>0</v>
      </c>
      <c r="AD100" s="127"/>
      <c r="AE100" s="185"/>
      <c r="AF100" s="175" t="str">
        <f ca="1">IF(AND(Y100,AC100&lt;&gt;TRUE),"]","")</f>
        <v/>
      </c>
      <c r="AG100" s="183">
        <f t="shared" ca="1" si="38"/>
        <v>0</v>
      </c>
      <c r="AH100" s="174"/>
      <c r="AI100" s="95" t="str">
        <f ca="1">IF(AND($O100&gt;0,AC100&lt;&gt;TRUE),IF($X100&gt;=1,INDEX(StatusDescriptions,$X100+1,0),StatusBlank),"")</f>
        <v/>
      </c>
      <c r="AJ100" s="110"/>
      <c r="AK100" s="111"/>
      <c r="AL100" s="110"/>
      <c r="AM100" s="110"/>
      <c r="AN100" s="90"/>
    </row>
    <row r="101" spans="1:40" s="74" customFormat="1" ht="19.5">
      <c r="A101" s="76"/>
      <c r="B101" s="77"/>
      <c r="C101" s="671" t="s">
        <v>1028</v>
      </c>
      <c r="D101" s="87">
        <v>63</v>
      </c>
      <c r="E101" s="87">
        <v>5</v>
      </c>
      <c r="F101" s="87" t="s">
        <v>669</v>
      </c>
      <c r="G101" s="101" t="s">
        <v>661</v>
      </c>
      <c r="H101" s="172"/>
      <c r="I101" s="682" t="s">
        <v>596</v>
      </c>
      <c r="J101" s="97">
        <v>0</v>
      </c>
      <c r="K101" s="97">
        <v>0</v>
      </c>
      <c r="L101" s="99">
        <v>0</v>
      </c>
      <c r="M101" s="81">
        <f ca="1">IF(AND($AC101,$O101&gt;0),"–",$O101)</f>
        <v>0</v>
      </c>
      <c r="N101" s="80"/>
      <c r="O101" s="93">
        <f ca="1">IF(OR(ISBLANK($C101),$C101="",$C101=0),0,COUNTIF(TB_WPTags,$C101&amp;"-100"))</f>
        <v>0</v>
      </c>
      <c r="P101" s="82"/>
      <c r="Q101" s="82"/>
      <c r="R101" s="82"/>
      <c r="S101" s="82"/>
      <c r="T101" s="82"/>
      <c r="U101" s="82"/>
      <c r="V101" s="83" t="str">
        <f ca="1">IF(OR(ISBLANK($C101),$AC101),"NA",IF(COUNTIF(W:W,$C101&amp;"--1")&gt;0,"-1",IF(COUNTIF(W:W,$C101&amp;"-1")&gt;0,"1","0")))</f>
        <v>0</v>
      </c>
      <c r="W101" s="82"/>
      <c r="X101" s="83">
        <f ca="1">IF($O101&gt;0,MIN(OFFSET($X101,1,0,$O101)),0)</f>
        <v>0</v>
      </c>
      <c r="Y101" s="82" t="b">
        <f ca="1">IF(AND($O101&gt;0,AC101&lt;&gt;TRUE),COUNTIF(OFFSET($Y101,1,0,$O101),TRUE)&gt;=1,FALSE)</f>
        <v>0</v>
      </c>
      <c r="Z101" s="94" t="b">
        <f ca="1">IF(AND($O101&gt;0,AC101&lt;&gt;TRUE),COUNTIF(OFFSET($Z101,1,0,$O101),TRUE)&gt;=1,FALSE)</f>
        <v>0</v>
      </c>
      <c r="AA101" s="94" t="b">
        <f ca="1">IF(AND($O101&gt;0,AC101&lt;&gt;TRUE),COUNTIF(OFFSET($AA101,1,0,$O101),TRUE)&gt;=1,FALSE)</f>
        <v>0</v>
      </c>
      <c r="AB101" s="178">
        <f ca="1">IF(AND($O101&gt;0,AC101&lt;&gt;TRUE),SUM(OFFSET($AG101,1,0,$O101)),0)</f>
        <v>0</v>
      </c>
      <c r="AC101" s="94" t="b">
        <v>0</v>
      </c>
      <c r="AD101" s="127"/>
      <c r="AE101" s="185"/>
      <c r="AF101" s="175" t="str">
        <f ca="1">IF(AND(Y101,AC101&lt;&gt;TRUE),"]","")</f>
        <v/>
      </c>
      <c r="AG101" s="183">
        <f t="shared" ca="1" si="38"/>
        <v>0</v>
      </c>
      <c r="AH101" s="174"/>
      <c r="AI101" s="95" t="str">
        <f ca="1">IF(AND($O101&gt;0,AC101&lt;&gt;TRUE),IF($X101&gt;=1,INDEX(StatusDescriptions,$X101+1,0),StatusBlank),"")</f>
        <v/>
      </c>
      <c r="AJ101" s="110"/>
      <c r="AK101" s="111"/>
      <c r="AL101" s="110"/>
      <c r="AM101" s="110"/>
      <c r="AN101" s="90"/>
    </row>
    <row r="102" spans="1:40" s="74" customFormat="1" ht="19.5">
      <c r="A102" s="76"/>
      <c r="B102" s="77"/>
      <c r="C102" s="671" t="s">
        <v>1029</v>
      </c>
      <c r="D102" s="87">
        <v>64</v>
      </c>
      <c r="E102" s="87">
        <v>6</v>
      </c>
      <c r="F102" s="87" t="s">
        <v>671</v>
      </c>
      <c r="G102" s="101" t="s">
        <v>661</v>
      </c>
      <c r="H102" s="172" t="s">
        <v>599</v>
      </c>
      <c r="I102" s="676" t="s">
        <v>1009</v>
      </c>
      <c r="J102" s="677">
        <v>2278</v>
      </c>
      <c r="K102" s="677">
        <v>0</v>
      </c>
      <c r="L102" s="99">
        <v>2278</v>
      </c>
      <c r="M102" s="81">
        <f ca="1">IF(AND($AC102,$O102&gt;0),"–",$O102)</f>
        <v>1</v>
      </c>
      <c r="N102" s="80" t="s">
        <v>83</v>
      </c>
      <c r="O102" s="93">
        <f ca="1">IF(OR(ISBLANK($C102),$C102="",$C102=0),0,COUNTIF(TB_WPTags,$C102&amp;"-100"))</f>
        <v>1</v>
      </c>
      <c r="P102" s="82"/>
      <c r="Q102" s="82"/>
      <c r="R102" s="82"/>
      <c r="S102" s="82"/>
      <c r="T102" s="82"/>
      <c r="U102" s="82"/>
      <c r="V102" s="83" t="str">
        <f ca="1">IF(OR(ISBLANK($C102),$AC102),"NA",IF(COUNTIF(W:W,$C102&amp;"--1")&gt;0,"-1",IF(COUNTIF(W:W,$C102&amp;"-1")&gt;0,"1","0")))</f>
        <v>1</v>
      </c>
      <c r="W102" s="82"/>
      <c r="X102" s="83">
        <f ca="1">IF($O102&gt;0,MIN(OFFSET($X102,1,0,$O102)),0)</f>
        <v>5</v>
      </c>
      <c r="Y102" s="82" t="b">
        <f ca="1">IF(AND($O102&gt;0,AC102&lt;&gt;TRUE),COUNTIF(OFFSET($Y102,1,0,$O102),TRUE)&gt;=1,FALSE)</f>
        <v>0</v>
      </c>
      <c r="Z102" s="94" t="b">
        <f ca="1">IF(AND($O102&gt;0,AC102&lt;&gt;TRUE),COUNTIF(OFFSET($Z102,1,0,$O102),TRUE)&gt;=1,FALSE)</f>
        <v>0</v>
      </c>
      <c r="AA102" s="94" t="b">
        <f ca="1">IF(AND($O102&gt;0,AC102&lt;&gt;TRUE),COUNTIF(OFFSET($AA102,1,0,$O102),TRUE)&gt;=1,FALSE)</f>
        <v>0</v>
      </c>
      <c r="AB102" s="178">
        <f ca="1">IF(AND($O102&gt;0,AC102&lt;&gt;TRUE),SUM(OFFSET($AG102,1,0,$O102)),0)</f>
        <v>0</v>
      </c>
      <c r="AC102" s="94" t="b">
        <v>0</v>
      </c>
      <c r="AD102" s="127"/>
      <c r="AE102" s="185"/>
      <c r="AF102" s="175" t="str">
        <f ca="1">IF(AND(Y102,AC102&lt;&gt;TRUE),"]","")</f>
        <v/>
      </c>
      <c r="AG102" s="183">
        <f t="shared" ca="1" si="38"/>
        <v>0</v>
      </c>
      <c r="AH102" s="174"/>
      <c r="AI102" s="95" t="str">
        <f ca="1">IF(AND($O102&gt;0,AC102&lt;&gt;TRUE),IF($X102&gt;=1,INDEX(StatusDescriptions,$X102+1,0),StatusBlank),"")</f>
        <v>Rework Complete</v>
      </c>
      <c r="AJ102" s="110"/>
      <c r="AK102" s="111"/>
      <c r="AL102" s="110"/>
      <c r="AM102" s="110"/>
      <c r="AN102" s="90"/>
    </row>
    <row r="103" spans="1:40" s="74" customFormat="1" ht="19.5" hidden="1">
      <c r="A103" s="76"/>
      <c r="B103" s="77"/>
      <c r="C103" s="86" t="s">
        <v>1029</v>
      </c>
      <c r="D103" s="87">
        <f ca="1">IF(IFERROR(ROW(TrialBalanceExact)+MATCH(C103,OFFSET(TrialBalanceExact,0,0,ROWS(TrialBalanceExact),1),0)-1=ROW(),TRUE),0, IF(ISERROR(VLOOKUP(C103,TrialBalanceExact,2,0)),0,VLOOKUP(C103,TrialBalanceExact,2,0)))</f>
        <v>64</v>
      </c>
      <c r="E103" s="87">
        <v>100</v>
      </c>
      <c r="F103" s="87"/>
      <c r="G103" s="101" t="s">
        <v>661</v>
      </c>
      <c r="H103" s="172" t="s">
        <v>599</v>
      </c>
      <c r="I103" s="734"/>
      <c r="J103" s="735"/>
      <c r="K103" s="735"/>
      <c r="L103" s="736"/>
      <c r="M103" s="737"/>
      <c r="N103" s="213" t="s">
        <v>136</v>
      </c>
      <c r="O103" s="738"/>
      <c r="P103" s="739" t="str">
        <f>$C103&amp;"-"&amp;$E103</f>
        <v>depreciation_expense.DepreciationExpense.CapitalWorkDeduction.Property.98da9e35-149c-408d-81d9-e7c6bce587f6-100</v>
      </c>
      <c r="Q103" s="739" t="s">
        <v>877</v>
      </c>
      <c r="R103" s="739" t="s">
        <v>862</v>
      </c>
      <c r="S103" s="739" t="s">
        <v>863</v>
      </c>
      <c r="T103" s="740">
        <f ca="1">ABS(IF(ISERROR(VLOOKUP(C103,TrialBalanceExact,8,0)),0,VLOOKUP(C103,TrialBalanceExact,8,0)))</f>
        <v>2278</v>
      </c>
      <c r="U103" s="740">
        <f ca="1">ABS(IF(ISNUMBER(AH103),AH103,IF(ISBLANK(AH103),NA(),INDIRECT("'" &amp; _xll.SheetFromID(R103) &amp; "'!Reconcile_" &amp; SUBSTITUTE(AH103," ","")))))</f>
        <v>2278</v>
      </c>
      <c r="V103" s="740">
        <f ca="1">IFERROR(IF(ABS(ROUND($T103-$U103,2))&lt;=Options_Tolerance,1,-1),0)</f>
        <v>1</v>
      </c>
      <c r="W103" s="740" t="str">
        <f ca="1">$C103&amp;"-"&amp;V103</f>
        <v>depreciation_expense.DepreciationExpense.CapitalWorkDeduction.Property.98da9e35-149c-408d-81d9-e7c6bce587f6-1</v>
      </c>
      <c r="X103" s="741">
        <f>IFERROR(VLOOKUP(AI103,StatusDescriptionsOrder,2,0),0)</f>
        <v>5</v>
      </c>
      <c r="Y103" s="739" t="b">
        <v>0</v>
      </c>
      <c r="Z103" s="742" t="b">
        <v>0</v>
      </c>
      <c r="AA103" s="743" t="b">
        <f>IFERROR(VLOOKUP(R103,HNSW_ItemsCount!A:D,2,0)&gt;0,FALSE)</f>
        <v>0</v>
      </c>
      <c r="AB103" s="743">
        <f>IFERROR(VLOOKUP(R103,HNSW_ItemsCount!A:D,4,0),0)</f>
        <v>0</v>
      </c>
      <c r="AC103" s="744" t="b">
        <v>0</v>
      </c>
      <c r="AD103" s="127" t="s">
        <v>864</v>
      </c>
      <c r="AE103" s="745" t="s">
        <v>58</v>
      </c>
      <c r="AF103" s="746" t="s">
        <v>74</v>
      </c>
      <c r="AG103" s="747">
        <f t="shared" si="38"/>
        <v>0</v>
      </c>
      <c r="AH103" s="748">
        <v>2278</v>
      </c>
      <c r="AI103" s="749" t="s">
        <v>36</v>
      </c>
      <c r="AJ103" s="750" t="s">
        <v>552</v>
      </c>
      <c r="AK103" s="751">
        <v>43546</v>
      </c>
      <c r="AL103" s="752" t="s">
        <v>58</v>
      </c>
      <c r="AM103" s="753" t="s">
        <v>25</v>
      </c>
      <c r="AN103" s="90"/>
    </row>
    <row r="104" spans="1:40" s="74" customFormat="1" ht="19.5">
      <c r="A104" s="76"/>
      <c r="B104" s="77"/>
      <c r="C104" s="671" t="s">
        <v>1030</v>
      </c>
      <c r="D104" s="87">
        <v>65</v>
      </c>
      <c r="E104" s="87">
        <v>5</v>
      </c>
      <c r="F104" s="87" t="s">
        <v>673</v>
      </c>
      <c r="G104" s="101" t="s">
        <v>661</v>
      </c>
      <c r="H104" s="172"/>
      <c r="I104" s="682" t="s">
        <v>603</v>
      </c>
      <c r="J104" s="678">
        <v>2278</v>
      </c>
      <c r="K104" s="678">
        <v>0</v>
      </c>
      <c r="L104" s="99">
        <v>2278</v>
      </c>
      <c r="M104" s="81">
        <f t="shared" ref="M104:M111" ca="1" si="39">IF(AND($AC104,$O104&gt;0),"–",$O104)</f>
        <v>0</v>
      </c>
      <c r="N104" s="80" t="s">
        <v>83</v>
      </c>
      <c r="O104" s="93">
        <f ca="1">IF(OR(ISBLANK($C104),$C104="",$C104=0),0,COUNTIF(TB_WPTags,$C104&amp;"-100"))</f>
        <v>0</v>
      </c>
      <c r="P104" s="82"/>
      <c r="Q104" s="82"/>
      <c r="R104" s="82"/>
      <c r="S104" s="82"/>
      <c r="T104" s="82"/>
      <c r="U104" s="82"/>
      <c r="V104" s="83" t="str">
        <f t="shared" ref="V104:V111" ca="1" si="40">IF(OR(ISBLANK($C104),$AC104),"NA",IF(COUNTIF(W:W,$C104&amp;"--1")&gt;0,"-1",IF(COUNTIF(W:W,$C104&amp;"-1")&gt;0,"1","0")))</f>
        <v>0</v>
      </c>
      <c r="W104" s="82"/>
      <c r="X104" s="83">
        <f t="shared" ref="X104:X111" ca="1" si="41">IF($O104&gt;0,MIN(OFFSET($X104,1,0,$O104)),0)</f>
        <v>0</v>
      </c>
      <c r="Y104" s="82" t="b">
        <f t="shared" ref="Y104:Y111" ca="1" si="42">IF(AND($O104&gt;0,AC104&lt;&gt;TRUE),COUNTIF(OFFSET($Y104,1,0,$O104),TRUE)&gt;=1,FALSE)</f>
        <v>0</v>
      </c>
      <c r="Z104" s="94" t="b">
        <f t="shared" ref="Z104:Z111" ca="1" si="43">IF(AND($O104&gt;0,AC104&lt;&gt;TRUE),COUNTIF(OFFSET($Z104,1,0,$O104),TRUE)&gt;=1,FALSE)</f>
        <v>0</v>
      </c>
      <c r="AA104" s="94" t="b">
        <f t="shared" ref="AA104:AA111" ca="1" si="44">IF(AND($O104&gt;0,AC104&lt;&gt;TRUE),COUNTIF(OFFSET($AA104,1,0,$O104),TRUE)&gt;=1,FALSE)</f>
        <v>0</v>
      </c>
      <c r="AB104" s="178">
        <f t="shared" ref="AB104:AB111" ca="1" si="45">IF(AND($O104&gt;0,AC104&lt;&gt;TRUE),SUM(OFFSET($AG104,1,0,$O104)),0)</f>
        <v>0</v>
      </c>
      <c r="AC104" s="94" t="b">
        <v>0</v>
      </c>
      <c r="AD104" s="127"/>
      <c r="AE104" s="185"/>
      <c r="AF104" s="175" t="str">
        <f t="shared" ref="AF104:AF111" ca="1" si="46">IF(AND(Y104,AC104&lt;&gt;TRUE),"]","")</f>
        <v/>
      </c>
      <c r="AG104" s="183">
        <f t="shared" ca="1" si="38"/>
        <v>0</v>
      </c>
      <c r="AH104" s="174"/>
      <c r="AI104" s="95" t="str">
        <f t="shared" ref="AI104:AI111" ca="1" si="47">IF(AND($O104&gt;0,AC104&lt;&gt;TRUE),IF($X104&gt;=1,INDEX(StatusDescriptions,$X104+1,0),StatusBlank),"")</f>
        <v/>
      </c>
      <c r="AJ104" s="110"/>
      <c r="AK104" s="111"/>
      <c r="AL104" s="110"/>
      <c r="AM104" s="110"/>
      <c r="AN104" s="90"/>
    </row>
    <row r="105" spans="1:40" s="74" customFormat="1" ht="19.5">
      <c r="A105" s="76"/>
      <c r="B105" s="77"/>
      <c r="C105" s="671" t="s">
        <v>1031</v>
      </c>
      <c r="D105" s="87">
        <v>66</v>
      </c>
      <c r="E105" s="87">
        <v>4</v>
      </c>
      <c r="F105" s="87" t="s">
        <v>576</v>
      </c>
      <c r="G105" s="101" t="s">
        <v>661</v>
      </c>
      <c r="H105" s="172"/>
      <c r="I105" s="675" t="s">
        <v>1032</v>
      </c>
      <c r="J105" s="678">
        <v>2278</v>
      </c>
      <c r="K105" s="678">
        <v>0</v>
      </c>
      <c r="L105" s="99">
        <v>2278</v>
      </c>
      <c r="M105" s="81">
        <f t="shared" ca="1" si="39"/>
        <v>0</v>
      </c>
      <c r="N105" s="80" t="s">
        <v>83</v>
      </c>
      <c r="O105" s="93">
        <f ca="1">IF(OR(ISBLANK($C105),$C105="",$C105=0),0,COUNTIF(TB_WPTags,$C105&amp;"-100"))</f>
        <v>0</v>
      </c>
      <c r="P105" s="82"/>
      <c r="Q105" s="82"/>
      <c r="R105" s="82"/>
      <c r="S105" s="82"/>
      <c r="T105" s="82"/>
      <c r="U105" s="82"/>
      <c r="V105" s="83" t="str">
        <f t="shared" ca="1" si="40"/>
        <v>0</v>
      </c>
      <c r="W105" s="82"/>
      <c r="X105" s="83">
        <f t="shared" ca="1" si="41"/>
        <v>0</v>
      </c>
      <c r="Y105" s="82" t="b">
        <f t="shared" ca="1" si="42"/>
        <v>0</v>
      </c>
      <c r="Z105" s="94" t="b">
        <f t="shared" ca="1" si="43"/>
        <v>0</v>
      </c>
      <c r="AA105" s="94" t="b">
        <f t="shared" ca="1" si="44"/>
        <v>0</v>
      </c>
      <c r="AB105" s="178">
        <f t="shared" ca="1" si="45"/>
        <v>0</v>
      </c>
      <c r="AC105" s="94" t="b">
        <v>0</v>
      </c>
      <c r="AD105" s="127"/>
      <c r="AE105" s="185"/>
      <c r="AF105" s="175" t="str">
        <f t="shared" ca="1" si="46"/>
        <v/>
      </c>
      <c r="AG105" s="183">
        <f t="shared" ca="1" si="38"/>
        <v>0</v>
      </c>
      <c r="AH105" s="174"/>
      <c r="AI105" s="95" t="str">
        <f t="shared" ca="1" si="47"/>
        <v/>
      </c>
      <c r="AJ105" s="110"/>
      <c r="AK105" s="111"/>
      <c r="AL105" s="110"/>
      <c r="AM105" s="110"/>
      <c r="AN105" s="90"/>
    </row>
    <row r="106" spans="1:40" s="74" customFormat="1" ht="19.5">
      <c r="A106" s="76"/>
      <c r="B106" s="77"/>
      <c r="C106" s="671" t="s">
        <v>1033</v>
      </c>
      <c r="D106" s="87">
        <v>67</v>
      </c>
      <c r="E106" s="87">
        <v>3</v>
      </c>
      <c r="F106" s="87" t="s">
        <v>579</v>
      </c>
      <c r="G106" s="101" t="s">
        <v>661</v>
      </c>
      <c r="H106" s="172"/>
      <c r="I106" s="674" t="s">
        <v>1034</v>
      </c>
      <c r="J106" s="678">
        <v>3647</v>
      </c>
      <c r="K106" s="678">
        <v>0</v>
      </c>
      <c r="L106" s="99">
        <v>3647</v>
      </c>
      <c r="M106" s="81">
        <f t="shared" ca="1" si="39"/>
        <v>0</v>
      </c>
      <c r="N106" s="80" t="s">
        <v>83</v>
      </c>
      <c r="O106" s="93">
        <f ca="1">IF(OR(ISBLANK($C106),$C106="",$C106=0),0,COUNTIF(TB_WPTags,$C106&amp;"-100"))</f>
        <v>0</v>
      </c>
      <c r="P106" s="82"/>
      <c r="Q106" s="82"/>
      <c r="R106" s="82"/>
      <c r="S106" s="82"/>
      <c r="T106" s="82"/>
      <c r="U106" s="82"/>
      <c r="V106" s="83" t="str">
        <f t="shared" ca="1" si="40"/>
        <v>0</v>
      </c>
      <c r="W106" s="82"/>
      <c r="X106" s="83">
        <f t="shared" ca="1" si="41"/>
        <v>0</v>
      </c>
      <c r="Y106" s="82" t="b">
        <f t="shared" ca="1" si="42"/>
        <v>0</v>
      </c>
      <c r="Z106" s="94" t="b">
        <f t="shared" ca="1" si="43"/>
        <v>0</v>
      </c>
      <c r="AA106" s="94" t="b">
        <f t="shared" ca="1" si="44"/>
        <v>0</v>
      </c>
      <c r="AB106" s="178">
        <f t="shared" ca="1" si="45"/>
        <v>0</v>
      </c>
      <c r="AC106" s="94" t="b">
        <v>0</v>
      </c>
      <c r="AD106" s="127"/>
      <c r="AE106" s="185"/>
      <c r="AF106" s="175" t="str">
        <f t="shared" ca="1" si="46"/>
        <v/>
      </c>
      <c r="AG106" s="183">
        <f t="shared" ca="1" si="38"/>
        <v>0</v>
      </c>
      <c r="AH106" s="174"/>
      <c r="AI106" s="95" t="str">
        <f t="shared" ca="1" si="47"/>
        <v/>
      </c>
      <c r="AJ106" s="110"/>
      <c r="AK106" s="111"/>
      <c r="AL106" s="110"/>
      <c r="AM106" s="110"/>
      <c r="AN106" s="90"/>
    </row>
    <row r="107" spans="1:40" s="74" customFormat="1" ht="19.5">
      <c r="A107" s="76"/>
      <c r="B107" s="77"/>
      <c r="C107" s="671" t="s">
        <v>1125</v>
      </c>
      <c r="D107" s="87">
        <v>68</v>
      </c>
      <c r="E107" s="87">
        <v>3</v>
      </c>
      <c r="F107" s="87" t="s">
        <v>623</v>
      </c>
      <c r="G107" s="101" t="s">
        <v>661</v>
      </c>
      <c r="H107" s="172"/>
      <c r="I107" s="681" t="s">
        <v>1126</v>
      </c>
      <c r="J107" s="677">
        <v>2420</v>
      </c>
      <c r="K107" s="677">
        <v>0</v>
      </c>
      <c r="L107" s="99">
        <v>2420</v>
      </c>
      <c r="M107" s="81">
        <f t="shared" ca="1" si="39"/>
        <v>0</v>
      </c>
      <c r="N107" s="80" t="s">
        <v>83</v>
      </c>
      <c r="O107" s="93">
        <f ca="1">IF(OR(ISBLANK($C107),$C107="",$C107=0),0,COUNTIF(TB_WPTags,$C107&amp;"-100"))</f>
        <v>0</v>
      </c>
      <c r="P107" s="82"/>
      <c r="Q107" s="82"/>
      <c r="R107" s="82"/>
      <c r="S107" s="82"/>
      <c r="T107" s="82"/>
      <c r="U107" s="82"/>
      <c r="V107" s="83" t="str">
        <f t="shared" ca="1" si="40"/>
        <v>0</v>
      </c>
      <c r="W107" s="82"/>
      <c r="X107" s="83">
        <f t="shared" ca="1" si="41"/>
        <v>0</v>
      </c>
      <c r="Y107" s="82" t="b">
        <f t="shared" ca="1" si="42"/>
        <v>0</v>
      </c>
      <c r="Z107" s="94" t="b">
        <f t="shared" ca="1" si="43"/>
        <v>0</v>
      </c>
      <c r="AA107" s="94" t="b">
        <f t="shared" ca="1" si="44"/>
        <v>0</v>
      </c>
      <c r="AB107" s="178">
        <f t="shared" ca="1" si="45"/>
        <v>0</v>
      </c>
      <c r="AC107" s="94" t="b">
        <v>0</v>
      </c>
      <c r="AD107" s="127"/>
      <c r="AE107" s="185"/>
      <c r="AF107" s="175" t="str">
        <f t="shared" ca="1" si="46"/>
        <v/>
      </c>
      <c r="AG107" s="183">
        <f t="shared" ca="1" si="38"/>
        <v>0</v>
      </c>
      <c r="AH107" s="174"/>
      <c r="AI107" s="95" t="str">
        <f t="shared" ca="1" si="47"/>
        <v/>
      </c>
      <c r="AJ107" s="110"/>
      <c r="AK107" s="111"/>
      <c r="AL107" s="110"/>
      <c r="AM107" s="110"/>
      <c r="AN107" s="90"/>
    </row>
    <row r="108" spans="1:40" s="74" customFormat="1" ht="19.5">
      <c r="A108" s="76"/>
      <c r="B108" s="77"/>
      <c r="C108" s="671" t="s">
        <v>664</v>
      </c>
      <c r="D108" s="87">
        <v>69</v>
      </c>
      <c r="E108" s="87">
        <v>3</v>
      </c>
      <c r="F108" s="87" t="s">
        <v>568</v>
      </c>
      <c r="G108" s="101" t="s">
        <v>661</v>
      </c>
      <c r="H108" s="172"/>
      <c r="I108" s="674" t="s">
        <v>665</v>
      </c>
      <c r="J108" s="97">
        <v>0</v>
      </c>
      <c r="K108" s="97">
        <v>0</v>
      </c>
      <c r="L108" s="99">
        <v>0</v>
      </c>
      <c r="M108" s="81">
        <f t="shared" ca="1" si="39"/>
        <v>0</v>
      </c>
      <c r="N108" s="80"/>
      <c r="O108" s="93">
        <f ca="1">IF(OR(ISBLANK($C108),$C108="",$C108=0),0,COUNTIF(TB_WPTags,$C108&amp;"-100"))</f>
        <v>0</v>
      </c>
      <c r="P108" s="82"/>
      <c r="Q108" s="82"/>
      <c r="R108" s="82"/>
      <c r="S108" s="82"/>
      <c r="T108" s="82"/>
      <c r="U108" s="82"/>
      <c r="V108" s="83" t="str">
        <f t="shared" ca="1" si="40"/>
        <v>0</v>
      </c>
      <c r="W108" s="82"/>
      <c r="X108" s="83">
        <f t="shared" ca="1" si="41"/>
        <v>0</v>
      </c>
      <c r="Y108" s="82" t="b">
        <f t="shared" ca="1" si="42"/>
        <v>0</v>
      </c>
      <c r="Z108" s="94" t="b">
        <f t="shared" ca="1" si="43"/>
        <v>0</v>
      </c>
      <c r="AA108" s="94" t="b">
        <f t="shared" ca="1" si="44"/>
        <v>0</v>
      </c>
      <c r="AB108" s="178">
        <f t="shared" ca="1" si="45"/>
        <v>0</v>
      </c>
      <c r="AC108" s="94" t="b">
        <v>0</v>
      </c>
      <c r="AD108" s="127"/>
      <c r="AE108" s="185"/>
      <c r="AF108" s="175" t="str">
        <f t="shared" ca="1" si="46"/>
        <v/>
      </c>
      <c r="AG108" s="183">
        <f t="shared" ca="1" si="38"/>
        <v>0</v>
      </c>
      <c r="AH108" s="174"/>
      <c r="AI108" s="95" t="str">
        <f t="shared" ca="1" si="47"/>
        <v/>
      </c>
      <c r="AJ108" s="110"/>
      <c r="AK108" s="111"/>
      <c r="AL108" s="110"/>
      <c r="AM108" s="110"/>
      <c r="AN108" s="90"/>
    </row>
    <row r="109" spans="1:40" s="74" customFormat="1" ht="19.5">
      <c r="A109" s="76"/>
      <c r="B109" s="77"/>
      <c r="C109" s="671" t="s">
        <v>666</v>
      </c>
      <c r="D109" s="87">
        <v>70</v>
      </c>
      <c r="E109" s="87">
        <v>4</v>
      </c>
      <c r="F109" s="87" t="s">
        <v>570</v>
      </c>
      <c r="G109" s="101" t="s">
        <v>661</v>
      </c>
      <c r="H109" s="172"/>
      <c r="I109" s="675" t="s">
        <v>667</v>
      </c>
      <c r="J109" s="97">
        <v>0</v>
      </c>
      <c r="K109" s="97">
        <v>0</v>
      </c>
      <c r="L109" s="99">
        <v>0</v>
      </c>
      <c r="M109" s="81">
        <f t="shared" ca="1" si="39"/>
        <v>0</v>
      </c>
      <c r="N109" s="80"/>
      <c r="O109" s="93">
        <f ca="1">IF(OR(ISBLANK($C109),$C109="",$C109=0),0,COUNTIF(TB_WPTags,$C109&amp;"-100"))</f>
        <v>0</v>
      </c>
      <c r="P109" s="82"/>
      <c r="Q109" s="82"/>
      <c r="R109" s="82"/>
      <c r="S109" s="82"/>
      <c r="T109" s="82"/>
      <c r="U109" s="82"/>
      <c r="V109" s="83" t="str">
        <f t="shared" ca="1" si="40"/>
        <v>0</v>
      </c>
      <c r="W109" s="82"/>
      <c r="X109" s="83">
        <f t="shared" ca="1" si="41"/>
        <v>0</v>
      </c>
      <c r="Y109" s="82" t="b">
        <f t="shared" ca="1" si="42"/>
        <v>0</v>
      </c>
      <c r="Z109" s="94" t="b">
        <f t="shared" ca="1" si="43"/>
        <v>0</v>
      </c>
      <c r="AA109" s="94" t="b">
        <f t="shared" ca="1" si="44"/>
        <v>0</v>
      </c>
      <c r="AB109" s="178">
        <f t="shared" ca="1" si="45"/>
        <v>0</v>
      </c>
      <c r="AC109" s="94" t="b">
        <v>0</v>
      </c>
      <c r="AD109" s="127"/>
      <c r="AE109" s="185"/>
      <c r="AF109" s="175" t="str">
        <f t="shared" ca="1" si="46"/>
        <v/>
      </c>
      <c r="AG109" s="183">
        <f t="shared" ca="1" si="38"/>
        <v>0</v>
      </c>
      <c r="AH109" s="174"/>
      <c r="AI109" s="95" t="str">
        <f t="shared" ca="1" si="47"/>
        <v/>
      </c>
      <c r="AJ109" s="110"/>
      <c r="AK109" s="111"/>
      <c r="AL109" s="110"/>
      <c r="AM109" s="110"/>
      <c r="AN109" s="90"/>
    </row>
    <row r="110" spans="1:40" s="74" customFormat="1" ht="19.5">
      <c r="A110" s="76"/>
      <c r="B110" s="77"/>
      <c r="C110" s="671" t="s">
        <v>668</v>
      </c>
      <c r="D110" s="87">
        <v>71</v>
      </c>
      <c r="E110" s="87">
        <v>5</v>
      </c>
      <c r="F110" s="87" t="s">
        <v>669</v>
      </c>
      <c r="G110" s="101" t="s">
        <v>661</v>
      </c>
      <c r="H110" s="172"/>
      <c r="I110" s="682" t="s">
        <v>596</v>
      </c>
      <c r="J110" s="97">
        <v>0</v>
      </c>
      <c r="K110" s="97">
        <v>0</v>
      </c>
      <c r="L110" s="99">
        <v>0</v>
      </c>
      <c r="M110" s="81">
        <f t="shared" ca="1" si="39"/>
        <v>0</v>
      </c>
      <c r="N110" s="80"/>
      <c r="O110" s="93">
        <f ca="1">IF(OR(ISBLANK($C110),$C110="",$C110=0),0,COUNTIF(TB_WPTags,$C110&amp;"-100"))</f>
        <v>0</v>
      </c>
      <c r="P110" s="82"/>
      <c r="Q110" s="82"/>
      <c r="R110" s="82"/>
      <c r="S110" s="82"/>
      <c r="T110" s="82"/>
      <c r="U110" s="82"/>
      <c r="V110" s="83" t="str">
        <f t="shared" ca="1" si="40"/>
        <v>0</v>
      </c>
      <c r="W110" s="82"/>
      <c r="X110" s="83">
        <f t="shared" ca="1" si="41"/>
        <v>0</v>
      </c>
      <c r="Y110" s="82" t="b">
        <f t="shared" ca="1" si="42"/>
        <v>0</v>
      </c>
      <c r="Z110" s="94" t="b">
        <f t="shared" ca="1" si="43"/>
        <v>0</v>
      </c>
      <c r="AA110" s="94" t="b">
        <f t="shared" ca="1" si="44"/>
        <v>0</v>
      </c>
      <c r="AB110" s="178">
        <f t="shared" ca="1" si="45"/>
        <v>0</v>
      </c>
      <c r="AC110" s="94" t="b">
        <v>0</v>
      </c>
      <c r="AD110" s="127"/>
      <c r="AE110" s="185"/>
      <c r="AF110" s="175" t="str">
        <f t="shared" ca="1" si="46"/>
        <v/>
      </c>
      <c r="AG110" s="183">
        <f t="shared" ca="1" si="38"/>
        <v>0</v>
      </c>
      <c r="AH110" s="174"/>
      <c r="AI110" s="95" t="str">
        <f t="shared" ca="1" si="47"/>
        <v/>
      </c>
      <c r="AJ110" s="110"/>
      <c r="AK110" s="111"/>
      <c r="AL110" s="110"/>
      <c r="AM110" s="110"/>
      <c r="AN110" s="90"/>
    </row>
    <row r="111" spans="1:40" s="74" customFormat="1" ht="19.5">
      <c r="A111" s="76"/>
      <c r="B111" s="77"/>
      <c r="C111" s="671" t="s">
        <v>731</v>
      </c>
      <c r="D111" s="87">
        <v>72</v>
      </c>
      <c r="E111" s="87">
        <v>6</v>
      </c>
      <c r="F111" s="87" t="s">
        <v>671</v>
      </c>
      <c r="G111" s="101" t="s">
        <v>661</v>
      </c>
      <c r="H111" s="172" t="s">
        <v>599</v>
      </c>
      <c r="I111" s="676" t="s">
        <v>1009</v>
      </c>
      <c r="J111" s="677">
        <v>1456.59</v>
      </c>
      <c r="K111" s="677">
        <v>0</v>
      </c>
      <c r="L111" s="99">
        <v>1456.59</v>
      </c>
      <c r="M111" s="81">
        <f t="shared" ca="1" si="39"/>
        <v>1</v>
      </c>
      <c r="N111" s="80" t="s">
        <v>83</v>
      </c>
      <c r="O111" s="93">
        <f ca="1">IF(OR(ISBLANK($C111),$C111="",$C111=0),0,COUNTIF(TB_WPTags,$C111&amp;"-100"))</f>
        <v>1</v>
      </c>
      <c r="P111" s="82"/>
      <c r="Q111" s="82"/>
      <c r="R111" s="82"/>
      <c r="S111" s="82"/>
      <c r="T111" s="82"/>
      <c r="U111" s="82"/>
      <c r="V111" s="83" t="str">
        <f t="shared" ca="1" si="40"/>
        <v>1</v>
      </c>
      <c r="W111" s="82"/>
      <c r="X111" s="83">
        <f t="shared" ca="1" si="41"/>
        <v>5</v>
      </c>
      <c r="Y111" s="82" t="b">
        <f t="shared" ca="1" si="42"/>
        <v>0</v>
      </c>
      <c r="Z111" s="94" t="b">
        <f t="shared" ca="1" si="43"/>
        <v>0</v>
      </c>
      <c r="AA111" s="94" t="b">
        <f t="shared" ca="1" si="44"/>
        <v>0</v>
      </c>
      <c r="AB111" s="178">
        <f t="shared" ca="1" si="45"/>
        <v>0</v>
      </c>
      <c r="AC111" s="94" t="b">
        <v>0</v>
      </c>
      <c r="AD111" s="127"/>
      <c r="AE111" s="185"/>
      <c r="AF111" s="175" t="str">
        <f t="shared" ca="1" si="46"/>
        <v/>
      </c>
      <c r="AG111" s="183">
        <f t="shared" ca="1" si="38"/>
        <v>0</v>
      </c>
      <c r="AH111" s="174"/>
      <c r="AI111" s="95" t="str">
        <f t="shared" ca="1" si="47"/>
        <v>Rework Complete</v>
      </c>
      <c r="AJ111" s="110"/>
      <c r="AK111" s="111"/>
      <c r="AL111" s="110"/>
      <c r="AM111" s="110"/>
      <c r="AN111" s="90"/>
    </row>
    <row r="112" spans="1:40" s="74" customFormat="1" ht="19.5" hidden="1">
      <c r="A112" s="76"/>
      <c r="B112" s="77"/>
      <c r="C112" s="86" t="s">
        <v>731</v>
      </c>
      <c r="D112" s="87">
        <f ca="1">IF(IFERROR(ROW(TrialBalanceExact)+MATCH(C112,OFFSET(TrialBalanceExact,0,0,ROWS(TrialBalanceExact),1),0)-1=ROW(),TRUE),0, IF(ISERROR(VLOOKUP(C112,TrialBalanceExact,2,0)),0,VLOOKUP(C112,TrialBalanceExact,2,0)))</f>
        <v>72</v>
      </c>
      <c r="E112" s="87">
        <v>100</v>
      </c>
      <c r="F112" s="87"/>
      <c r="G112" s="101" t="s">
        <v>661</v>
      </c>
      <c r="H112" s="172" t="s">
        <v>599</v>
      </c>
      <c r="I112" s="734"/>
      <c r="J112" s="735"/>
      <c r="K112" s="735"/>
      <c r="L112" s="736"/>
      <c r="M112" s="737"/>
      <c r="N112" s="213" t="s">
        <v>136</v>
      </c>
      <c r="O112" s="738"/>
      <c r="P112" s="739" t="str">
        <f>$C112&amp;"-"&amp;$E112</f>
        <v>property_expenses_expense.PropertyExpenses.AgentsManagementFee.Property.98da9e35-149c-408d-81d9-e7c6bce587f6-100</v>
      </c>
      <c r="Q112" s="739" t="s">
        <v>877</v>
      </c>
      <c r="R112" s="739" t="s">
        <v>862</v>
      </c>
      <c r="S112" s="739"/>
      <c r="T112" s="740">
        <f ca="1">ABS(IF(ISERROR(VLOOKUP(C112,TrialBalanceExact,8,0)),0,VLOOKUP(C112,TrialBalanceExact,8,0)))</f>
        <v>1456.59</v>
      </c>
      <c r="U112" s="740">
        <f ca="1">ABS(IF(ISNUMBER(AH112),AH112,IF(ISBLANK(AH112),NA(),INDIRECT("'" &amp; _xll.SheetFromID(R112) &amp; "'!Reconcile_" &amp; SUBSTITUTE(AH112," ","")))))</f>
        <v>1456.59</v>
      </c>
      <c r="V112" s="740">
        <f ca="1">IFERROR(IF(ABS(ROUND($T112-$U112,2))&lt;=Options_Tolerance,1,-1),0)</f>
        <v>1</v>
      </c>
      <c r="W112" s="740" t="str">
        <f ca="1">$C112&amp;"-"&amp;V112</f>
        <v>property_expenses_expense.PropertyExpenses.AgentsManagementFee.Property.98da9e35-149c-408d-81d9-e7c6bce587f6-1</v>
      </c>
      <c r="X112" s="741">
        <f>IFERROR(VLOOKUP(AI112,StatusDescriptionsOrder,2,0),0)</f>
        <v>5</v>
      </c>
      <c r="Y112" s="739" t="b">
        <v>0</v>
      </c>
      <c r="Z112" s="742" t="b">
        <v>0</v>
      </c>
      <c r="AA112" s="743" t="b">
        <f>IFERROR(VLOOKUP(R112,HNSW_ItemsCount!A:D,2,0)&gt;0,FALSE)</f>
        <v>0</v>
      </c>
      <c r="AB112" s="743">
        <f>IFERROR(VLOOKUP(R112,HNSW_ItemsCount!A:D,4,0),0)</f>
        <v>0</v>
      </c>
      <c r="AC112" s="744" t="b">
        <v>0</v>
      </c>
      <c r="AD112" s="127" t="s">
        <v>864</v>
      </c>
      <c r="AE112" s="745" t="s">
        <v>58</v>
      </c>
      <c r="AF112" s="746" t="s">
        <v>74</v>
      </c>
      <c r="AG112" s="747">
        <f t="shared" si="38"/>
        <v>0</v>
      </c>
      <c r="AH112" s="748">
        <v>1456.59</v>
      </c>
      <c r="AI112" s="749" t="s">
        <v>36</v>
      </c>
      <c r="AJ112" s="750" t="s">
        <v>552</v>
      </c>
      <c r="AK112" s="751">
        <v>43546</v>
      </c>
      <c r="AL112" s="752" t="s">
        <v>58</v>
      </c>
      <c r="AM112" s="753" t="s">
        <v>25</v>
      </c>
      <c r="AN112" s="90"/>
    </row>
    <row r="113" spans="1:40" s="74" customFormat="1" ht="19.5">
      <c r="A113" s="76"/>
      <c r="B113" s="77"/>
      <c r="C113" s="671" t="s">
        <v>670</v>
      </c>
      <c r="D113" s="87">
        <v>73</v>
      </c>
      <c r="E113" s="87">
        <v>6</v>
      </c>
      <c r="F113" s="87" t="s">
        <v>671</v>
      </c>
      <c r="G113" s="101" t="s">
        <v>661</v>
      </c>
      <c r="H113" s="172" t="s">
        <v>599</v>
      </c>
      <c r="I113" s="676" t="s">
        <v>1010</v>
      </c>
      <c r="J113" s="677">
        <v>1541.84</v>
      </c>
      <c r="K113" s="677">
        <v>0</v>
      </c>
      <c r="L113" s="99">
        <v>1541.84</v>
      </c>
      <c r="M113" s="81">
        <f ca="1">IF(AND($AC113,$O113&gt;0),"–",$O113)</f>
        <v>1</v>
      </c>
      <c r="N113" s="80" t="s">
        <v>83</v>
      </c>
      <c r="O113" s="93">
        <f ca="1">IF(OR(ISBLANK($C113),$C113="",$C113=0),0,COUNTIF(TB_WPTags,$C113&amp;"-100"))</f>
        <v>1</v>
      </c>
      <c r="P113" s="82"/>
      <c r="Q113" s="82"/>
      <c r="R113" s="82"/>
      <c r="S113" s="82"/>
      <c r="T113" s="82"/>
      <c r="U113" s="82"/>
      <c r="V113" s="83" t="str">
        <f ca="1">IF(OR(ISBLANK($C113),$AC113),"NA",IF(COUNTIF(W:W,$C113&amp;"--1")&gt;0,"-1",IF(COUNTIF(W:W,$C113&amp;"-1")&gt;0,"1","0")))</f>
        <v>1</v>
      </c>
      <c r="W113" s="82"/>
      <c r="X113" s="83">
        <f ca="1">IF($O113&gt;0,MIN(OFFSET($X113,1,0,$O113)),0)</f>
        <v>5</v>
      </c>
      <c r="Y113" s="82" t="b">
        <f ca="1">IF(AND($O113&gt;0,AC113&lt;&gt;TRUE),COUNTIF(OFFSET($Y113,1,0,$O113),TRUE)&gt;=1,FALSE)</f>
        <v>0</v>
      </c>
      <c r="Z113" s="94" t="b">
        <f ca="1">IF(AND($O113&gt;0,AC113&lt;&gt;TRUE),COUNTIF(OFFSET($Z113,1,0,$O113),TRUE)&gt;=1,FALSE)</f>
        <v>0</v>
      </c>
      <c r="AA113" s="94" t="b">
        <f ca="1">IF(AND($O113&gt;0,AC113&lt;&gt;TRUE),COUNTIF(OFFSET($AA113,1,0,$O113),TRUE)&gt;=1,FALSE)</f>
        <v>0</v>
      </c>
      <c r="AB113" s="178">
        <f ca="1">IF(AND($O113&gt;0,AC113&lt;&gt;TRUE),SUM(OFFSET($AG113,1,0,$O113)),0)</f>
        <v>0</v>
      </c>
      <c r="AC113" s="94" t="b">
        <v>0</v>
      </c>
      <c r="AD113" s="127"/>
      <c r="AE113" s="185"/>
      <c r="AF113" s="175" t="str">
        <f ca="1">IF(AND(Y113,AC113&lt;&gt;TRUE),"]","")</f>
        <v/>
      </c>
      <c r="AG113" s="183">
        <f t="shared" ca="1" si="38"/>
        <v>0</v>
      </c>
      <c r="AH113" s="174"/>
      <c r="AI113" s="95" t="str">
        <f ca="1">IF(AND($O113&gt;0,AC113&lt;&gt;TRUE),IF($X113&gt;=1,INDEX(StatusDescriptions,$X113+1,0),StatusBlank),"")</f>
        <v>Rework Complete</v>
      </c>
      <c r="AJ113" s="110"/>
      <c r="AK113" s="111"/>
      <c r="AL113" s="110"/>
      <c r="AM113" s="110"/>
      <c r="AN113" s="90"/>
    </row>
    <row r="114" spans="1:40" s="74" customFormat="1" ht="19.5" hidden="1">
      <c r="A114" s="76"/>
      <c r="B114" s="77"/>
      <c r="C114" s="86" t="s">
        <v>670</v>
      </c>
      <c r="D114" s="87">
        <f ca="1">IF(IFERROR(ROW(TrialBalanceExact)+MATCH(C114,OFFSET(TrialBalanceExact,0,0,ROWS(TrialBalanceExact),1),0)-1=ROW(),TRUE),0, IF(ISERROR(VLOOKUP(C114,TrialBalanceExact,2,0)),0,VLOOKUP(C114,TrialBalanceExact,2,0)))</f>
        <v>73</v>
      </c>
      <c r="E114" s="87">
        <v>100</v>
      </c>
      <c r="F114" s="87"/>
      <c r="G114" s="101" t="s">
        <v>661</v>
      </c>
      <c r="H114" s="172" t="s">
        <v>599</v>
      </c>
      <c r="I114" s="734"/>
      <c r="J114" s="735"/>
      <c r="K114" s="735"/>
      <c r="L114" s="736"/>
      <c r="M114" s="737"/>
      <c r="N114" s="213" t="s">
        <v>136</v>
      </c>
      <c r="O114" s="738"/>
      <c r="P114" s="739" t="str">
        <f>$C114&amp;"-"&amp;$E114</f>
        <v>property_expenses_expense.PropertyExpenses.AgentsManagementFee.Property.49362750-9aeb-4984-a896-1dd8b81c2e48-100</v>
      </c>
      <c r="Q114" s="739" t="s">
        <v>877</v>
      </c>
      <c r="R114" s="739" t="s">
        <v>862</v>
      </c>
      <c r="S114" s="739"/>
      <c r="T114" s="740">
        <f ca="1">ABS(IF(ISERROR(VLOOKUP(C114,TrialBalanceExact,8,0)),0,VLOOKUP(C114,TrialBalanceExact,8,0)))</f>
        <v>1541.84</v>
      </c>
      <c r="U114" s="740">
        <f ca="1">ABS(IF(ISNUMBER(AH114),AH114,IF(ISBLANK(AH114),NA(),INDIRECT("'" &amp; _xll.SheetFromID(R114) &amp; "'!Reconcile_" &amp; SUBSTITUTE(AH114," ","")))))</f>
        <v>1541.84</v>
      </c>
      <c r="V114" s="740">
        <f ca="1">IFERROR(IF(ABS(ROUND($T114-$U114,2))&lt;=Options_Tolerance,1,-1),0)</f>
        <v>1</v>
      </c>
      <c r="W114" s="740" t="str">
        <f ca="1">$C114&amp;"-"&amp;V114</f>
        <v>property_expenses_expense.PropertyExpenses.AgentsManagementFee.Property.49362750-9aeb-4984-a896-1dd8b81c2e48-1</v>
      </c>
      <c r="X114" s="741">
        <f>IFERROR(VLOOKUP(AI114,StatusDescriptionsOrder,2,0),0)</f>
        <v>5</v>
      </c>
      <c r="Y114" s="739" t="b">
        <v>0</v>
      </c>
      <c r="Z114" s="742" t="b">
        <v>0</v>
      </c>
      <c r="AA114" s="743" t="b">
        <f>IFERROR(VLOOKUP(R114,HNSW_ItemsCount!A:D,2,0)&gt;0,FALSE)</f>
        <v>0</v>
      </c>
      <c r="AB114" s="743">
        <f>IFERROR(VLOOKUP(R114,HNSW_ItemsCount!A:D,4,0),0)</f>
        <v>0</v>
      </c>
      <c r="AC114" s="744" t="b">
        <v>0</v>
      </c>
      <c r="AD114" s="127" t="s">
        <v>864</v>
      </c>
      <c r="AE114" s="745" t="s">
        <v>58</v>
      </c>
      <c r="AF114" s="746" t="s">
        <v>74</v>
      </c>
      <c r="AG114" s="747">
        <f t="shared" si="38"/>
        <v>0</v>
      </c>
      <c r="AH114" s="748">
        <v>1541.84</v>
      </c>
      <c r="AI114" s="749" t="s">
        <v>36</v>
      </c>
      <c r="AJ114" s="750" t="s">
        <v>552</v>
      </c>
      <c r="AK114" s="751">
        <v>43546</v>
      </c>
      <c r="AL114" s="752" t="s">
        <v>58</v>
      </c>
      <c r="AM114" s="753" t="s">
        <v>25</v>
      </c>
      <c r="AN114" s="90"/>
    </row>
    <row r="115" spans="1:40" s="74" customFormat="1" ht="19.5">
      <c r="A115" s="76"/>
      <c r="B115" s="77"/>
      <c r="C115" s="671" t="s">
        <v>672</v>
      </c>
      <c r="D115" s="87">
        <v>74</v>
      </c>
      <c r="E115" s="87">
        <v>5</v>
      </c>
      <c r="F115" s="87" t="s">
        <v>673</v>
      </c>
      <c r="G115" s="101" t="s">
        <v>661</v>
      </c>
      <c r="H115" s="172"/>
      <c r="I115" s="682" t="s">
        <v>603</v>
      </c>
      <c r="J115" s="678">
        <v>2998.43</v>
      </c>
      <c r="K115" s="678">
        <v>0</v>
      </c>
      <c r="L115" s="99">
        <v>2998.43</v>
      </c>
      <c r="M115" s="81">
        <f ca="1">IF(AND($AC115,$O115&gt;0),"–",$O115)</f>
        <v>0</v>
      </c>
      <c r="N115" s="80" t="s">
        <v>83</v>
      </c>
      <c r="O115" s="93">
        <f ca="1">IF(OR(ISBLANK($C115),$C115="",$C115=0),0,COUNTIF(TB_WPTags,$C115&amp;"-100"))</f>
        <v>0</v>
      </c>
      <c r="P115" s="82"/>
      <c r="Q115" s="82"/>
      <c r="R115" s="82"/>
      <c r="S115" s="82"/>
      <c r="T115" s="82"/>
      <c r="U115" s="82"/>
      <c r="V115" s="83" t="str">
        <f ca="1">IF(OR(ISBLANK($C115),$AC115),"NA",IF(COUNTIF(W:W,$C115&amp;"--1")&gt;0,"-1",IF(COUNTIF(W:W,$C115&amp;"-1")&gt;0,"1","0")))</f>
        <v>0</v>
      </c>
      <c r="W115" s="82"/>
      <c r="X115" s="83">
        <f ca="1">IF($O115&gt;0,MIN(OFFSET($X115,1,0,$O115)),0)</f>
        <v>0</v>
      </c>
      <c r="Y115" s="82" t="b">
        <f ca="1">IF(AND($O115&gt;0,AC115&lt;&gt;TRUE),COUNTIF(OFFSET($Y115,1,0,$O115),TRUE)&gt;=1,FALSE)</f>
        <v>0</v>
      </c>
      <c r="Z115" s="94" t="b">
        <f ca="1">IF(AND($O115&gt;0,AC115&lt;&gt;TRUE),COUNTIF(OFFSET($Z115,1,0,$O115),TRUE)&gt;=1,FALSE)</f>
        <v>0</v>
      </c>
      <c r="AA115" s="94" t="b">
        <f ca="1">IF(AND($O115&gt;0,AC115&lt;&gt;TRUE),COUNTIF(OFFSET($AA115,1,0,$O115),TRUE)&gt;=1,FALSE)</f>
        <v>0</v>
      </c>
      <c r="AB115" s="178">
        <f ca="1">IF(AND($O115&gt;0,AC115&lt;&gt;TRUE),SUM(OFFSET($AG115,1,0,$O115)),0)</f>
        <v>0</v>
      </c>
      <c r="AC115" s="94" t="b">
        <v>0</v>
      </c>
      <c r="AD115" s="127"/>
      <c r="AE115" s="185"/>
      <c r="AF115" s="175" t="str">
        <f ca="1">IF(AND(Y115,AC115&lt;&gt;TRUE),"]","")</f>
        <v/>
      </c>
      <c r="AG115" s="183">
        <f t="shared" ca="1" si="38"/>
        <v>0</v>
      </c>
      <c r="AH115" s="174"/>
      <c r="AI115" s="95" t="str">
        <f ca="1">IF(AND($O115&gt;0,AC115&lt;&gt;TRUE),IF($X115&gt;=1,INDEX(StatusDescriptions,$X115+1,0),StatusBlank),"")</f>
        <v/>
      </c>
      <c r="AJ115" s="110"/>
      <c r="AK115" s="111"/>
      <c r="AL115" s="110"/>
      <c r="AM115" s="110"/>
      <c r="AN115" s="90"/>
    </row>
    <row r="116" spans="1:40" s="74" customFormat="1" ht="19.5">
      <c r="A116" s="76"/>
      <c r="B116" s="77"/>
      <c r="C116" s="671" t="s">
        <v>674</v>
      </c>
      <c r="D116" s="87">
        <v>75</v>
      </c>
      <c r="E116" s="87">
        <v>4</v>
      </c>
      <c r="F116" s="87" t="s">
        <v>576</v>
      </c>
      <c r="G116" s="101" t="s">
        <v>661</v>
      </c>
      <c r="H116" s="172"/>
      <c r="I116" s="675" t="s">
        <v>675</v>
      </c>
      <c r="J116" s="678">
        <v>2998.43</v>
      </c>
      <c r="K116" s="678">
        <v>0</v>
      </c>
      <c r="L116" s="99">
        <v>2998.43</v>
      </c>
      <c r="M116" s="81">
        <f ca="1">IF(AND($AC116,$O116&gt;0),"–",$O116)</f>
        <v>0</v>
      </c>
      <c r="N116" s="80" t="s">
        <v>83</v>
      </c>
      <c r="O116" s="93">
        <f ca="1">IF(OR(ISBLANK($C116),$C116="",$C116=0),0,COUNTIF(TB_WPTags,$C116&amp;"-100"))</f>
        <v>0</v>
      </c>
      <c r="P116" s="82"/>
      <c r="Q116" s="82"/>
      <c r="R116" s="82"/>
      <c r="S116" s="82"/>
      <c r="T116" s="82"/>
      <c r="U116" s="82"/>
      <c r="V116" s="83" t="str">
        <f ca="1">IF(OR(ISBLANK($C116),$AC116),"NA",IF(COUNTIF(W:W,$C116&amp;"--1")&gt;0,"-1",IF(COUNTIF(W:W,$C116&amp;"-1")&gt;0,"1","0")))</f>
        <v>0</v>
      </c>
      <c r="W116" s="82"/>
      <c r="X116" s="83">
        <f ca="1">IF($O116&gt;0,MIN(OFFSET($X116,1,0,$O116)),0)</f>
        <v>0</v>
      </c>
      <c r="Y116" s="82" t="b">
        <f ca="1">IF(AND($O116&gt;0,AC116&lt;&gt;TRUE),COUNTIF(OFFSET($Y116,1,0,$O116),TRUE)&gt;=1,FALSE)</f>
        <v>0</v>
      </c>
      <c r="Z116" s="94" t="b">
        <f ca="1">IF(AND($O116&gt;0,AC116&lt;&gt;TRUE),COUNTIF(OFFSET($Z116,1,0,$O116),TRUE)&gt;=1,FALSE)</f>
        <v>0</v>
      </c>
      <c r="AA116" s="94" t="b">
        <f ca="1">IF(AND($O116&gt;0,AC116&lt;&gt;TRUE),COUNTIF(OFFSET($AA116,1,0,$O116),TRUE)&gt;=1,FALSE)</f>
        <v>0</v>
      </c>
      <c r="AB116" s="178">
        <f ca="1">IF(AND($O116&gt;0,AC116&lt;&gt;TRUE),SUM(OFFSET($AG116,1,0,$O116)),0)</f>
        <v>0</v>
      </c>
      <c r="AC116" s="94" t="b">
        <v>0</v>
      </c>
      <c r="AD116" s="127"/>
      <c r="AE116" s="185"/>
      <c r="AF116" s="175" t="str">
        <f ca="1">IF(AND(Y116,AC116&lt;&gt;TRUE),"]","")</f>
        <v/>
      </c>
      <c r="AG116" s="183">
        <f t="shared" ca="1" si="38"/>
        <v>0</v>
      </c>
      <c r="AH116" s="174"/>
      <c r="AI116" s="95" t="str">
        <f ca="1">IF(AND($O116&gt;0,AC116&lt;&gt;TRUE),IF($X116&gt;=1,INDEX(StatusDescriptions,$X116+1,0),StatusBlank),"")</f>
        <v/>
      </c>
      <c r="AJ116" s="110"/>
      <c r="AK116" s="111"/>
      <c r="AL116" s="110"/>
      <c r="AM116" s="110"/>
      <c r="AN116" s="90"/>
    </row>
    <row r="117" spans="1:40" s="74" customFormat="1" ht="19.5">
      <c r="A117" s="76"/>
      <c r="B117" s="77"/>
      <c r="C117" s="671" t="s">
        <v>676</v>
      </c>
      <c r="D117" s="87">
        <v>76</v>
      </c>
      <c r="E117" s="87">
        <v>4</v>
      </c>
      <c r="F117" s="87" t="s">
        <v>570</v>
      </c>
      <c r="G117" s="101" t="s">
        <v>661</v>
      </c>
      <c r="H117" s="172"/>
      <c r="I117" s="675" t="s">
        <v>677</v>
      </c>
      <c r="J117" s="97">
        <v>0</v>
      </c>
      <c r="K117" s="97">
        <v>0</v>
      </c>
      <c r="L117" s="99">
        <v>0</v>
      </c>
      <c r="M117" s="81">
        <f ca="1">IF(AND($AC117,$O117&gt;0),"–",$O117)</f>
        <v>0</v>
      </c>
      <c r="N117" s="80"/>
      <c r="O117" s="93">
        <f ca="1">IF(OR(ISBLANK($C117),$C117="",$C117=0),0,COUNTIF(TB_WPTags,$C117&amp;"-100"))</f>
        <v>0</v>
      </c>
      <c r="P117" s="82"/>
      <c r="Q117" s="82"/>
      <c r="R117" s="82"/>
      <c r="S117" s="82"/>
      <c r="T117" s="82"/>
      <c r="U117" s="82"/>
      <c r="V117" s="83" t="str">
        <f ca="1">IF(OR(ISBLANK($C117),$AC117),"NA",IF(COUNTIF(W:W,$C117&amp;"--1")&gt;0,"-1",IF(COUNTIF(W:W,$C117&amp;"-1")&gt;0,"1","0")))</f>
        <v>0</v>
      </c>
      <c r="W117" s="82"/>
      <c r="X117" s="83">
        <f ca="1">IF($O117&gt;0,MIN(OFFSET($X117,1,0,$O117)),0)</f>
        <v>0</v>
      </c>
      <c r="Y117" s="82" t="b">
        <f ca="1">IF(AND($O117&gt;0,AC117&lt;&gt;TRUE),COUNTIF(OFFSET($Y117,1,0,$O117),TRUE)&gt;=1,FALSE)</f>
        <v>0</v>
      </c>
      <c r="Z117" s="94" t="b">
        <f ca="1">IF(AND($O117&gt;0,AC117&lt;&gt;TRUE),COUNTIF(OFFSET($Z117,1,0,$O117),TRUE)&gt;=1,FALSE)</f>
        <v>0</v>
      </c>
      <c r="AA117" s="94" t="b">
        <f ca="1">IF(AND($O117&gt;0,AC117&lt;&gt;TRUE),COUNTIF(OFFSET($AA117,1,0,$O117),TRUE)&gt;=1,FALSE)</f>
        <v>0</v>
      </c>
      <c r="AB117" s="178">
        <f ca="1">IF(AND($O117&gt;0,AC117&lt;&gt;TRUE),SUM(OFFSET($AG117,1,0,$O117)),0)</f>
        <v>0</v>
      </c>
      <c r="AC117" s="94" t="b">
        <v>0</v>
      </c>
      <c r="AD117" s="127"/>
      <c r="AE117" s="185"/>
      <c r="AF117" s="175" t="str">
        <f ca="1">IF(AND(Y117,AC117&lt;&gt;TRUE),"]","")</f>
        <v/>
      </c>
      <c r="AG117" s="183">
        <f t="shared" ca="1" si="38"/>
        <v>0</v>
      </c>
      <c r="AH117" s="174"/>
      <c r="AI117" s="95" t="str">
        <f ca="1">IF(AND($O117&gt;0,AC117&lt;&gt;TRUE),IF($X117&gt;=1,INDEX(StatusDescriptions,$X117+1,0),StatusBlank),"")</f>
        <v/>
      </c>
      <c r="AJ117" s="110"/>
      <c r="AK117" s="111"/>
      <c r="AL117" s="110"/>
      <c r="AM117" s="110"/>
      <c r="AN117" s="90"/>
    </row>
    <row r="118" spans="1:40" s="74" customFormat="1" ht="19.5">
      <c r="A118" s="76"/>
      <c r="B118" s="77"/>
      <c r="C118" s="671" t="s">
        <v>678</v>
      </c>
      <c r="D118" s="87">
        <v>77</v>
      </c>
      <c r="E118" s="87">
        <v>5</v>
      </c>
      <c r="F118" s="87" t="s">
        <v>669</v>
      </c>
      <c r="G118" s="101" t="s">
        <v>661</v>
      </c>
      <c r="H118" s="172"/>
      <c r="I118" s="682" t="s">
        <v>596</v>
      </c>
      <c r="J118" s="97">
        <v>0</v>
      </c>
      <c r="K118" s="97">
        <v>0</v>
      </c>
      <c r="L118" s="99">
        <v>0</v>
      </c>
      <c r="M118" s="81">
        <f ca="1">IF(AND($AC118,$O118&gt;0),"–",$O118)</f>
        <v>0</v>
      </c>
      <c r="N118" s="80"/>
      <c r="O118" s="93">
        <f ca="1">IF(OR(ISBLANK($C118),$C118="",$C118=0),0,COUNTIF(TB_WPTags,$C118&amp;"-100"))</f>
        <v>0</v>
      </c>
      <c r="P118" s="82"/>
      <c r="Q118" s="82"/>
      <c r="R118" s="82"/>
      <c r="S118" s="82"/>
      <c r="T118" s="82"/>
      <c r="U118" s="82"/>
      <c r="V118" s="83" t="str">
        <f ca="1">IF(OR(ISBLANK($C118),$AC118),"NA",IF(COUNTIF(W:W,$C118&amp;"--1")&gt;0,"-1",IF(COUNTIF(W:W,$C118&amp;"-1")&gt;0,"1","0")))</f>
        <v>0</v>
      </c>
      <c r="W118" s="82"/>
      <c r="X118" s="83">
        <f ca="1">IF($O118&gt;0,MIN(OFFSET($X118,1,0,$O118)),0)</f>
        <v>0</v>
      </c>
      <c r="Y118" s="82" t="b">
        <f ca="1">IF(AND($O118&gt;0,AC118&lt;&gt;TRUE),COUNTIF(OFFSET($Y118,1,0,$O118),TRUE)&gt;=1,FALSE)</f>
        <v>0</v>
      </c>
      <c r="Z118" s="94" t="b">
        <f ca="1">IF(AND($O118&gt;0,AC118&lt;&gt;TRUE),COUNTIF(OFFSET($Z118,1,0,$O118),TRUE)&gt;=1,FALSE)</f>
        <v>0</v>
      </c>
      <c r="AA118" s="94" t="b">
        <f ca="1">IF(AND($O118&gt;0,AC118&lt;&gt;TRUE),COUNTIF(OFFSET($AA118,1,0,$O118),TRUE)&gt;=1,FALSE)</f>
        <v>0</v>
      </c>
      <c r="AB118" s="178">
        <f ca="1">IF(AND($O118&gt;0,AC118&lt;&gt;TRUE),SUM(OFFSET($AG118,1,0,$O118)),0)</f>
        <v>0</v>
      </c>
      <c r="AC118" s="94" t="b">
        <v>0</v>
      </c>
      <c r="AD118" s="127"/>
      <c r="AE118" s="185"/>
      <c r="AF118" s="175" t="str">
        <f ca="1">IF(AND(Y118,AC118&lt;&gt;TRUE),"]","")</f>
        <v/>
      </c>
      <c r="AG118" s="183">
        <f t="shared" ca="1" si="38"/>
        <v>0</v>
      </c>
      <c r="AH118" s="174"/>
      <c r="AI118" s="95" t="str">
        <f ca="1">IF(AND($O118&gt;0,AC118&lt;&gt;TRUE),IF($X118&gt;=1,INDEX(StatusDescriptions,$X118+1,0),StatusBlank),"")</f>
        <v/>
      </c>
      <c r="AJ118" s="110"/>
      <c r="AK118" s="111"/>
      <c r="AL118" s="110"/>
      <c r="AM118" s="110"/>
      <c r="AN118" s="90"/>
    </row>
    <row r="119" spans="1:40" s="74" customFormat="1" ht="19.5">
      <c r="A119" s="76"/>
      <c r="B119" s="77"/>
      <c r="C119" s="671" t="s">
        <v>732</v>
      </c>
      <c r="D119" s="87">
        <v>78</v>
      </c>
      <c r="E119" s="87">
        <v>6</v>
      </c>
      <c r="F119" s="87" t="s">
        <v>671</v>
      </c>
      <c r="G119" s="101" t="s">
        <v>661</v>
      </c>
      <c r="H119" s="172" t="s">
        <v>599</v>
      </c>
      <c r="I119" s="676" t="s">
        <v>1009</v>
      </c>
      <c r="J119" s="677">
        <v>1802.92</v>
      </c>
      <c r="K119" s="677">
        <v>0</v>
      </c>
      <c r="L119" s="99">
        <v>1802.92</v>
      </c>
      <c r="M119" s="81">
        <f ca="1">IF(AND($AC119,$O119&gt;0),"–",$O119)</f>
        <v>1</v>
      </c>
      <c r="N119" s="80" t="s">
        <v>83</v>
      </c>
      <c r="O119" s="93">
        <f ca="1">IF(OR(ISBLANK($C119),$C119="",$C119=0),0,COUNTIF(TB_WPTags,$C119&amp;"-100"))</f>
        <v>1</v>
      </c>
      <c r="P119" s="82"/>
      <c r="Q119" s="82"/>
      <c r="R119" s="82"/>
      <c r="S119" s="82"/>
      <c r="T119" s="82"/>
      <c r="U119" s="82"/>
      <c r="V119" s="83" t="str">
        <f ca="1">IF(OR(ISBLANK($C119),$AC119),"NA",IF(COUNTIF(W:W,$C119&amp;"--1")&gt;0,"-1",IF(COUNTIF(W:W,$C119&amp;"-1")&gt;0,"1","0")))</f>
        <v>1</v>
      </c>
      <c r="W119" s="82"/>
      <c r="X119" s="83">
        <f ca="1">IF($O119&gt;0,MIN(OFFSET($X119,1,0,$O119)),0)</f>
        <v>5</v>
      </c>
      <c r="Y119" s="82" t="b">
        <f ca="1">IF(AND($O119&gt;0,AC119&lt;&gt;TRUE),COUNTIF(OFFSET($Y119,1,0,$O119),TRUE)&gt;=1,FALSE)</f>
        <v>0</v>
      </c>
      <c r="Z119" s="94" t="b">
        <f ca="1">IF(AND($O119&gt;0,AC119&lt;&gt;TRUE),COUNTIF(OFFSET($Z119,1,0,$O119),TRUE)&gt;=1,FALSE)</f>
        <v>0</v>
      </c>
      <c r="AA119" s="94" t="b">
        <f ca="1">IF(AND($O119&gt;0,AC119&lt;&gt;TRUE),COUNTIF(OFFSET($AA119,1,0,$O119),TRUE)&gt;=1,FALSE)</f>
        <v>0</v>
      </c>
      <c r="AB119" s="178">
        <f ca="1">IF(AND($O119&gt;0,AC119&lt;&gt;TRUE),SUM(OFFSET($AG119,1,0,$O119)),0)</f>
        <v>0</v>
      </c>
      <c r="AC119" s="94" t="b">
        <v>0</v>
      </c>
      <c r="AD119" s="127"/>
      <c r="AE119" s="185"/>
      <c r="AF119" s="175" t="str">
        <f ca="1">IF(AND(Y119,AC119&lt;&gt;TRUE),"]","")</f>
        <v/>
      </c>
      <c r="AG119" s="183">
        <f t="shared" ca="1" si="38"/>
        <v>0</v>
      </c>
      <c r="AH119" s="174"/>
      <c r="AI119" s="95" t="str">
        <f ca="1">IF(AND($O119&gt;0,AC119&lt;&gt;TRUE),IF($X119&gt;=1,INDEX(StatusDescriptions,$X119+1,0),StatusBlank),"")</f>
        <v>Rework Complete</v>
      </c>
      <c r="AJ119" s="110"/>
      <c r="AK119" s="111"/>
      <c r="AL119" s="110"/>
      <c r="AM119" s="110"/>
      <c r="AN119" s="90"/>
    </row>
    <row r="120" spans="1:40" s="74" customFormat="1" ht="19.5" hidden="1">
      <c r="A120" s="76"/>
      <c r="B120" s="77"/>
      <c r="C120" s="86" t="s">
        <v>732</v>
      </c>
      <c r="D120" s="87">
        <f ca="1">IF(IFERROR(ROW(TrialBalanceExact)+MATCH(C120,OFFSET(TrialBalanceExact,0,0,ROWS(TrialBalanceExact),1),0)-1=ROW(),TRUE),0, IF(ISERROR(VLOOKUP(C120,TrialBalanceExact,2,0)),0,VLOOKUP(C120,TrialBalanceExact,2,0)))</f>
        <v>78</v>
      </c>
      <c r="E120" s="87">
        <v>100</v>
      </c>
      <c r="F120" s="87"/>
      <c r="G120" s="101" t="s">
        <v>661</v>
      </c>
      <c r="H120" s="172" t="s">
        <v>599</v>
      </c>
      <c r="I120" s="734"/>
      <c r="J120" s="735"/>
      <c r="K120" s="735"/>
      <c r="L120" s="736"/>
      <c r="M120" s="737"/>
      <c r="N120" s="213" t="s">
        <v>136</v>
      </c>
      <c r="O120" s="738"/>
      <c r="P120" s="739" t="str">
        <f>$C120&amp;"-"&amp;$E120</f>
        <v>property_expenses_expense.PropertyExpenses.Rates.Property.98da9e35-149c-408d-81d9-e7c6bce587f6-100</v>
      </c>
      <c r="Q120" s="739" t="s">
        <v>877</v>
      </c>
      <c r="R120" s="739" t="s">
        <v>862</v>
      </c>
      <c r="S120" s="739"/>
      <c r="T120" s="740">
        <f ca="1">ABS(IF(ISERROR(VLOOKUP(C120,TrialBalanceExact,8,0)),0,VLOOKUP(C120,TrialBalanceExact,8,0)))</f>
        <v>1802.92</v>
      </c>
      <c r="U120" s="740">
        <f ca="1">ABS(IF(ISNUMBER(AH120),AH120,IF(ISBLANK(AH120),NA(),INDIRECT("'" &amp; _xll.SheetFromID(R120) &amp; "'!Reconcile_" &amp; SUBSTITUTE(AH120," ","")))))</f>
        <v>1802.92</v>
      </c>
      <c r="V120" s="740">
        <f ca="1">IFERROR(IF(ABS(ROUND($T120-$U120,2))&lt;=Options_Tolerance,1,-1),0)</f>
        <v>1</v>
      </c>
      <c r="W120" s="740" t="str">
        <f ca="1">$C120&amp;"-"&amp;V120</f>
        <v>property_expenses_expense.PropertyExpenses.Rates.Property.98da9e35-149c-408d-81d9-e7c6bce587f6-1</v>
      </c>
      <c r="X120" s="741">
        <f>IFERROR(VLOOKUP(AI120,StatusDescriptionsOrder,2,0),0)</f>
        <v>5</v>
      </c>
      <c r="Y120" s="739" t="b">
        <v>0</v>
      </c>
      <c r="Z120" s="742" t="b">
        <v>0</v>
      </c>
      <c r="AA120" s="743" t="b">
        <f>IFERROR(VLOOKUP(R120,HNSW_ItemsCount!A:D,2,0)&gt;0,FALSE)</f>
        <v>0</v>
      </c>
      <c r="AB120" s="743">
        <f>IFERROR(VLOOKUP(R120,HNSW_ItemsCount!A:D,4,0),0)</f>
        <v>0</v>
      </c>
      <c r="AC120" s="744" t="b">
        <v>0</v>
      </c>
      <c r="AD120" s="127" t="s">
        <v>864</v>
      </c>
      <c r="AE120" s="745" t="s">
        <v>58</v>
      </c>
      <c r="AF120" s="746" t="s">
        <v>74</v>
      </c>
      <c r="AG120" s="747">
        <f t="shared" si="38"/>
        <v>0</v>
      </c>
      <c r="AH120" s="748">
        <v>1802.92</v>
      </c>
      <c r="AI120" s="749" t="s">
        <v>36</v>
      </c>
      <c r="AJ120" s="750" t="s">
        <v>552</v>
      </c>
      <c r="AK120" s="751">
        <v>43546</v>
      </c>
      <c r="AL120" s="752" t="s">
        <v>58</v>
      </c>
      <c r="AM120" s="753" t="s">
        <v>25</v>
      </c>
      <c r="AN120" s="90"/>
    </row>
    <row r="121" spans="1:40" s="74" customFormat="1" ht="19.5">
      <c r="A121" s="76"/>
      <c r="B121" s="77"/>
      <c r="C121" s="671" t="s">
        <v>679</v>
      </c>
      <c r="D121" s="87">
        <v>79</v>
      </c>
      <c r="E121" s="87">
        <v>6</v>
      </c>
      <c r="F121" s="87" t="s">
        <v>671</v>
      </c>
      <c r="G121" s="101" t="s">
        <v>661</v>
      </c>
      <c r="H121" s="172" t="s">
        <v>599</v>
      </c>
      <c r="I121" s="676" t="s">
        <v>1010</v>
      </c>
      <c r="J121" s="677">
        <v>1423.94</v>
      </c>
      <c r="K121" s="677">
        <v>0</v>
      </c>
      <c r="L121" s="99">
        <v>1423.94</v>
      </c>
      <c r="M121" s="81">
        <f ca="1">IF(AND($AC121,$O121&gt;0),"–",$O121)</f>
        <v>1</v>
      </c>
      <c r="N121" s="80" t="s">
        <v>83</v>
      </c>
      <c r="O121" s="93">
        <f ca="1">IF(OR(ISBLANK($C121),$C121="",$C121=0),0,COUNTIF(TB_WPTags,$C121&amp;"-100"))</f>
        <v>1</v>
      </c>
      <c r="P121" s="82"/>
      <c r="Q121" s="82"/>
      <c r="R121" s="82"/>
      <c r="S121" s="82"/>
      <c r="T121" s="82"/>
      <c r="U121" s="82"/>
      <c r="V121" s="83" t="str">
        <f ca="1">IF(OR(ISBLANK($C121),$AC121),"NA",IF(COUNTIF(W:W,$C121&amp;"--1")&gt;0,"-1",IF(COUNTIF(W:W,$C121&amp;"-1")&gt;0,"1","0")))</f>
        <v>1</v>
      </c>
      <c r="W121" s="82"/>
      <c r="X121" s="83">
        <f ca="1">IF($O121&gt;0,MIN(OFFSET($X121,1,0,$O121)),0)</f>
        <v>5</v>
      </c>
      <c r="Y121" s="82" t="b">
        <f ca="1">IF(AND($O121&gt;0,AC121&lt;&gt;TRUE),COUNTIF(OFFSET($Y121,1,0,$O121),TRUE)&gt;=1,FALSE)</f>
        <v>0</v>
      </c>
      <c r="Z121" s="94" t="b">
        <f ca="1">IF(AND($O121&gt;0,AC121&lt;&gt;TRUE),COUNTIF(OFFSET($Z121,1,0,$O121),TRUE)&gt;=1,FALSE)</f>
        <v>0</v>
      </c>
      <c r="AA121" s="94" t="b">
        <f ca="1">IF(AND($O121&gt;0,AC121&lt;&gt;TRUE),COUNTIF(OFFSET($AA121,1,0,$O121),TRUE)&gt;=1,FALSE)</f>
        <v>0</v>
      </c>
      <c r="AB121" s="178">
        <f ca="1">IF(AND($O121&gt;0,AC121&lt;&gt;TRUE),SUM(OFFSET($AG121,1,0,$O121)),0)</f>
        <v>0</v>
      </c>
      <c r="AC121" s="94" t="b">
        <v>0</v>
      </c>
      <c r="AD121" s="127"/>
      <c r="AE121" s="185"/>
      <c r="AF121" s="175" t="str">
        <f ca="1">IF(AND(Y121,AC121&lt;&gt;TRUE),"]","")</f>
        <v/>
      </c>
      <c r="AG121" s="183">
        <f t="shared" ca="1" si="38"/>
        <v>0</v>
      </c>
      <c r="AH121" s="174"/>
      <c r="AI121" s="95" t="str">
        <f ca="1">IF(AND($O121&gt;0,AC121&lt;&gt;TRUE),IF($X121&gt;=1,INDEX(StatusDescriptions,$X121+1,0),StatusBlank),"")</f>
        <v>Rework Complete</v>
      </c>
      <c r="AJ121" s="110"/>
      <c r="AK121" s="111"/>
      <c r="AL121" s="110"/>
      <c r="AM121" s="110"/>
      <c r="AN121" s="90"/>
    </row>
    <row r="122" spans="1:40" s="74" customFormat="1" ht="19.5" hidden="1">
      <c r="A122" s="76"/>
      <c r="B122" s="77"/>
      <c r="C122" s="86" t="s">
        <v>679</v>
      </c>
      <c r="D122" s="87">
        <f ca="1">IF(IFERROR(ROW(TrialBalanceExact)+MATCH(C122,OFFSET(TrialBalanceExact,0,0,ROWS(TrialBalanceExact),1),0)-1=ROW(),TRUE),0, IF(ISERROR(VLOOKUP(C122,TrialBalanceExact,2,0)),0,VLOOKUP(C122,TrialBalanceExact,2,0)))</f>
        <v>79</v>
      </c>
      <c r="E122" s="87">
        <v>100</v>
      </c>
      <c r="F122" s="87"/>
      <c r="G122" s="101" t="s">
        <v>661</v>
      </c>
      <c r="H122" s="172" t="s">
        <v>599</v>
      </c>
      <c r="I122" s="734"/>
      <c r="J122" s="735"/>
      <c r="K122" s="735"/>
      <c r="L122" s="736"/>
      <c r="M122" s="737"/>
      <c r="N122" s="213" t="s">
        <v>136</v>
      </c>
      <c r="O122" s="738"/>
      <c r="P122" s="739" t="str">
        <f>$C122&amp;"-"&amp;$E122</f>
        <v>property_expenses_expense.PropertyExpenses.Rates.Property.49362750-9aeb-4984-a896-1dd8b81c2e48-100</v>
      </c>
      <c r="Q122" s="739" t="s">
        <v>877</v>
      </c>
      <c r="R122" s="739" t="s">
        <v>862</v>
      </c>
      <c r="S122" s="739"/>
      <c r="T122" s="740">
        <f ca="1">ABS(IF(ISERROR(VLOOKUP(C122,TrialBalanceExact,8,0)),0,VLOOKUP(C122,TrialBalanceExact,8,0)))</f>
        <v>1423.94</v>
      </c>
      <c r="U122" s="740">
        <f ca="1">ABS(IF(ISNUMBER(AH122),AH122,IF(ISBLANK(AH122),NA(),INDIRECT("'" &amp; _xll.SheetFromID(R122) &amp; "'!Reconcile_" &amp; SUBSTITUTE(AH122," ","")))))</f>
        <v>1423.94</v>
      </c>
      <c r="V122" s="740">
        <f ca="1">IFERROR(IF(ABS(ROUND($T122-$U122,2))&lt;=Options_Tolerance,1,-1),0)</f>
        <v>1</v>
      </c>
      <c r="W122" s="740" t="str">
        <f ca="1">$C122&amp;"-"&amp;V122</f>
        <v>property_expenses_expense.PropertyExpenses.Rates.Property.49362750-9aeb-4984-a896-1dd8b81c2e48-1</v>
      </c>
      <c r="X122" s="741">
        <f>IFERROR(VLOOKUP(AI122,StatusDescriptionsOrder,2,0),0)</f>
        <v>5</v>
      </c>
      <c r="Y122" s="739" t="b">
        <v>0</v>
      </c>
      <c r="Z122" s="742" t="b">
        <v>0</v>
      </c>
      <c r="AA122" s="743" t="b">
        <f>IFERROR(VLOOKUP(R122,HNSW_ItemsCount!A:D,2,0)&gt;0,FALSE)</f>
        <v>0</v>
      </c>
      <c r="AB122" s="743">
        <f>IFERROR(VLOOKUP(R122,HNSW_ItemsCount!A:D,4,0),0)</f>
        <v>0</v>
      </c>
      <c r="AC122" s="744" t="b">
        <v>0</v>
      </c>
      <c r="AD122" s="127" t="s">
        <v>864</v>
      </c>
      <c r="AE122" s="745" t="s">
        <v>58</v>
      </c>
      <c r="AF122" s="746" t="s">
        <v>74</v>
      </c>
      <c r="AG122" s="747">
        <f t="shared" si="38"/>
        <v>0</v>
      </c>
      <c r="AH122" s="748">
        <v>1423.94</v>
      </c>
      <c r="AI122" s="749" t="s">
        <v>36</v>
      </c>
      <c r="AJ122" s="750" t="s">
        <v>552</v>
      </c>
      <c r="AK122" s="751">
        <v>43546</v>
      </c>
      <c r="AL122" s="752" t="s">
        <v>58</v>
      </c>
      <c r="AM122" s="753" t="s">
        <v>25</v>
      </c>
      <c r="AN122" s="90"/>
    </row>
    <row r="123" spans="1:40" s="74" customFormat="1" ht="19.5">
      <c r="A123" s="76"/>
      <c r="B123" s="77"/>
      <c r="C123" s="671" t="s">
        <v>680</v>
      </c>
      <c r="D123" s="87">
        <v>80</v>
      </c>
      <c r="E123" s="87">
        <v>5</v>
      </c>
      <c r="F123" s="87" t="s">
        <v>673</v>
      </c>
      <c r="G123" s="101" t="s">
        <v>661</v>
      </c>
      <c r="H123" s="172"/>
      <c r="I123" s="682" t="s">
        <v>603</v>
      </c>
      <c r="J123" s="678">
        <v>3226.86</v>
      </c>
      <c r="K123" s="678">
        <v>0</v>
      </c>
      <c r="L123" s="99">
        <v>3226.86</v>
      </c>
      <c r="M123" s="81">
        <f t="shared" ref="M123:M128" ca="1" si="48">IF(AND($AC123,$O123&gt;0),"–",$O123)</f>
        <v>0</v>
      </c>
      <c r="N123" s="80" t="s">
        <v>83</v>
      </c>
      <c r="O123" s="93">
        <f ca="1">IF(OR(ISBLANK($C123),$C123="",$C123=0),0,COUNTIF(TB_WPTags,$C123&amp;"-100"))</f>
        <v>0</v>
      </c>
      <c r="P123" s="82"/>
      <c r="Q123" s="82"/>
      <c r="R123" s="82"/>
      <c r="S123" s="82"/>
      <c r="T123" s="82"/>
      <c r="U123" s="82"/>
      <c r="V123" s="83" t="str">
        <f t="shared" ref="V123:V128" ca="1" si="49">IF(OR(ISBLANK($C123),$AC123),"NA",IF(COUNTIF(W:W,$C123&amp;"--1")&gt;0,"-1",IF(COUNTIF(W:W,$C123&amp;"-1")&gt;0,"1","0")))</f>
        <v>0</v>
      </c>
      <c r="W123" s="82"/>
      <c r="X123" s="83">
        <f t="shared" ref="X123:X128" ca="1" si="50">IF($O123&gt;0,MIN(OFFSET($X123,1,0,$O123)),0)</f>
        <v>0</v>
      </c>
      <c r="Y123" s="82" t="b">
        <f t="shared" ref="Y123:Y128" ca="1" si="51">IF(AND($O123&gt;0,AC123&lt;&gt;TRUE),COUNTIF(OFFSET($Y123,1,0,$O123),TRUE)&gt;=1,FALSE)</f>
        <v>0</v>
      </c>
      <c r="Z123" s="94" t="b">
        <f t="shared" ref="Z123:Z128" ca="1" si="52">IF(AND($O123&gt;0,AC123&lt;&gt;TRUE),COUNTIF(OFFSET($Z123,1,0,$O123),TRUE)&gt;=1,FALSE)</f>
        <v>0</v>
      </c>
      <c r="AA123" s="94" t="b">
        <f t="shared" ref="AA123:AA128" ca="1" si="53">IF(AND($O123&gt;0,AC123&lt;&gt;TRUE),COUNTIF(OFFSET($AA123,1,0,$O123),TRUE)&gt;=1,FALSE)</f>
        <v>0</v>
      </c>
      <c r="AB123" s="178">
        <f t="shared" ref="AB123:AB128" ca="1" si="54">IF(AND($O123&gt;0,AC123&lt;&gt;TRUE),SUM(OFFSET($AG123,1,0,$O123)),0)</f>
        <v>0</v>
      </c>
      <c r="AC123" s="94" t="b">
        <v>0</v>
      </c>
      <c r="AD123" s="127"/>
      <c r="AE123" s="185"/>
      <c r="AF123" s="175" t="str">
        <f t="shared" ref="AF123:AF128" ca="1" si="55">IF(AND(Y123,AC123&lt;&gt;TRUE),"]","")</f>
        <v/>
      </c>
      <c r="AG123" s="183">
        <f t="shared" ca="1" si="38"/>
        <v>0</v>
      </c>
      <c r="AH123" s="174"/>
      <c r="AI123" s="95" t="str">
        <f t="shared" ref="AI123:AI128" ca="1" si="56">IF(AND($O123&gt;0,AC123&lt;&gt;TRUE),IF($X123&gt;=1,INDEX(StatusDescriptions,$X123+1,0),StatusBlank),"")</f>
        <v/>
      </c>
      <c r="AJ123" s="110"/>
      <c r="AK123" s="111"/>
      <c r="AL123" s="110"/>
      <c r="AM123" s="110"/>
      <c r="AN123" s="90"/>
    </row>
    <row r="124" spans="1:40" s="74" customFormat="1" ht="19.5">
      <c r="A124" s="76"/>
      <c r="B124" s="77"/>
      <c r="C124" s="671" t="s">
        <v>681</v>
      </c>
      <c r="D124" s="87">
        <v>81</v>
      </c>
      <c r="E124" s="87">
        <v>4</v>
      </c>
      <c r="F124" s="87" t="s">
        <v>576</v>
      </c>
      <c r="G124" s="101" t="s">
        <v>661</v>
      </c>
      <c r="H124" s="172"/>
      <c r="I124" s="675" t="s">
        <v>682</v>
      </c>
      <c r="J124" s="678">
        <v>3226.86</v>
      </c>
      <c r="K124" s="678">
        <v>0</v>
      </c>
      <c r="L124" s="99">
        <v>3226.86</v>
      </c>
      <c r="M124" s="81">
        <f t="shared" ca="1" si="48"/>
        <v>0</v>
      </c>
      <c r="N124" s="80" t="s">
        <v>83</v>
      </c>
      <c r="O124" s="93">
        <f ca="1">IF(OR(ISBLANK($C124),$C124="",$C124=0),0,COUNTIF(TB_WPTags,$C124&amp;"-100"))</f>
        <v>0</v>
      </c>
      <c r="P124" s="82"/>
      <c r="Q124" s="82"/>
      <c r="R124" s="82"/>
      <c r="S124" s="82"/>
      <c r="T124" s="82"/>
      <c r="U124" s="82"/>
      <c r="V124" s="83" t="str">
        <f t="shared" ca="1" si="49"/>
        <v>0</v>
      </c>
      <c r="W124" s="82"/>
      <c r="X124" s="83">
        <f t="shared" ca="1" si="50"/>
        <v>0</v>
      </c>
      <c r="Y124" s="82" t="b">
        <f t="shared" ca="1" si="51"/>
        <v>0</v>
      </c>
      <c r="Z124" s="94" t="b">
        <f t="shared" ca="1" si="52"/>
        <v>0</v>
      </c>
      <c r="AA124" s="94" t="b">
        <f t="shared" ca="1" si="53"/>
        <v>0</v>
      </c>
      <c r="AB124" s="178">
        <f t="shared" ca="1" si="54"/>
        <v>0</v>
      </c>
      <c r="AC124" s="94" t="b">
        <v>0</v>
      </c>
      <c r="AD124" s="127"/>
      <c r="AE124" s="185"/>
      <c r="AF124" s="175" t="str">
        <f t="shared" ca="1" si="55"/>
        <v/>
      </c>
      <c r="AG124" s="183">
        <f t="shared" ca="1" si="38"/>
        <v>0</v>
      </c>
      <c r="AH124" s="174"/>
      <c r="AI124" s="95" t="str">
        <f t="shared" ca="1" si="56"/>
        <v/>
      </c>
      <c r="AJ124" s="110"/>
      <c r="AK124" s="111"/>
      <c r="AL124" s="110"/>
      <c r="AM124" s="110"/>
      <c r="AN124" s="90"/>
    </row>
    <row r="125" spans="1:40" s="74" customFormat="1" ht="19.5">
      <c r="A125" s="76"/>
      <c r="B125" s="77"/>
      <c r="C125" s="671" t="s">
        <v>961</v>
      </c>
      <c r="D125" s="87">
        <v>82</v>
      </c>
      <c r="E125" s="87">
        <v>4</v>
      </c>
      <c r="F125" s="87" t="s">
        <v>570</v>
      </c>
      <c r="G125" s="101" t="s">
        <v>661</v>
      </c>
      <c r="H125" s="172"/>
      <c r="I125" s="675" t="s">
        <v>770</v>
      </c>
      <c r="J125" s="97">
        <v>0</v>
      </c>
      <c r="K125" s="97">
        <v>0</v>
      </c>
      <c r="L125" s="99">
        <v>0</v>
      </c>
      <c r="M125" s="81">
        <f t="shared" ca="1" si="48"/>
        <v>0</v>
      </c>
      <c r="N125" s="80"/>
      <c r="O125" s="93">
        <f ca="1">IF(OR(ISBLANK($C125),$C125="",$C125=0),0,COUNTIF(TB_WPTags,$C125&amp;"-100"))</f>
        <v>0</v>
      </c>
      <c r="P125" s="82"/>
      <c r="Q125" s="82"/>
      <c r="R125" s="82"/>
      <c r="S125" s="82"/>
      <c r="T125" s="82"/>
      <c r="U125" s="82"/>
      <c r="V125" s="83" t="str">
        <f t="shared" ca="1" si="49"/>
        <v>0</v>
      </c>
      <c r="W125" s="82"/>
      <c r="X125" s="83">
        <f t="shared" ca="1" si="50"/>
        <v>0</v>
      </c>
      <c r="Y125" s="82" t="b">
        <f t="shared" ca="1" si="51"/>
        <v>0</v>
      </c>
      <c r="Z125" s="94" t="b">
        <f t="shared" ca="1" si="52"/>
        <v>0</v>
      </c>
      <c r="AA125" s="94" t="b">
        <f t="shared" ca="1" si="53"/>
        <v>0</v>
      </c>
      <c r="AB125" s="178">
        <f t="shared" ca="1" si="54"/>
        <v>0</v>
      </c>
      <c r="AC125" s="94" t="b">
        <v>0</v>
      </c>
      <c r="AD125" s="127"/>
      <c r="AE125" s="185"/>
      <c r="AF125" s="175" t="str">
        <f t="shared" ca="1" si="55"/>
        <v/>
      </c>
      <c r="AG125" s="183">
        <f t="shared" ca="1" si="38"/>
        <v>0</v>
      </c>
      <c r="AH125" s="174"/>
      <c r="AI125" s="95" t="str">
        <f t="shared" ca="1" si="56"/>
        <v/>
      </c>
      <c r="AJ125" s="110"/>
      <c r="AK125" s="111"/>
      <c r="AL125" s="110"/>
      <c r="AM125" s="110"/>
      <c r="AN125" s="90"/>
    </row>
    <row r="126" spans="1:40" s="74" customFormat="1" ht="19.5">
      <c r="A126" s="76"/>
      <c r="B126" s="77"/>
      <c r="C126" s="671" t="s">
        <v>962</v>
      </c>
      <c r="D126" s="87">
        <v>83</v>
      </c>
      <c r="E126" s="87">
        <v>5</v>
      </c>
      <c r="F126" s="87" t="s">
        <v>669</v>
      </c>
      <c r="G126" s="101" t="s">
        <v>661</v>
      </c>
      <c r="H126" s="172"/>
      <c r="I126" s="682" t="s">
        <v>596</v>
      </c>
      <c r="J126" s="97">
        <v>0</v>
      </c>
      <c r="K126" s="97">
        <v>0</v>
      </c>
      <c r="L126" s="99">
        <v>0</v>
      </c>
      <c r="M126" s="81">
        <f t="shared" ca="1" si="48"/>
        <v>0</v>
      </c>
      <c r="N126" s="80"/>
      <c r="O126" s="93">
        <f ca="1">IF(OR(ISBLANK($C126),$C126="",$C126=0),0,COUNTIF(TB_WPTags,$C126&amp;"-100"))</f>
        <v>0</v>
      </c>
      <c r="P126" s="82"/>
      <c r="Q126" s="82"/>
      <c r="R126" s="82"/>
      <c r="S126" s="82"/>
      <c r="T126" s="82"/>
      <c r="U126" s="82"/>
      <c r="V126" s="83" t="str">
        <f t="shared" ca="1" si="49"/>
        <v>0</v>
      </c>
      <c r="W126" s="82"/>
      <c r="X126" s="83">
        <f t="shared" ca="1" si="50"/>
        <v>0</v>
      </c>
      <c r="Y126" s="82" t="b">
        <f t="shared" ca="1" si="51"/>
        <v>0</v>
      </c>
      <c r="Z126" s="94" t="b">
        <f t="shared" ca="1" si="52"/>
        <v>0</v>
      </c>
      <c r="AA126" s="94" t="b">
        <f t="shared" ca="1" si="53"/>
        <v>0</v>
      </c>
      <c r="AB126" s="178">
        <f t="shared" ca="1" si="54"/>
        <v>0</v>
      </c>
      <c r="AC126" s="94" t="b">
        <v>0</v>
      </c>
      <c r="AD126" s="127"/>
      <c r="AE126" s="185"/>
      <c r="AF126" s="175" t="str">
        <f t="shared" ca="1" si="55"/>
        <v/>
      </c>
      <c r="AG126" s="183">
        <f t="shared" ca="1" si="38"/>
        <v>0</v>
      </c>
      <c r="AH126" s="174"/>
      <c r="AI126" s="95" t="str">
        <f t="shared" ca="1" si="56"/>
        <v/>
      </c>
      <c r="AJ126" s="110"/>
      <c r="AK126" s="111"/>
      <c r="AL126" s="110"/>
      <c r="AM126" s="110"/>
      <c r="AN126" s="90"/>
    </row>
    <row r="127" spans="1:40" s="74" customFormat="1" ht="19.5">
      <c r="A127" s="76"/>
      <c r="B127" s="77"/>
      <c r="C127" s="671" t="s">
        <v>1127</v>
      </c>
      <c r="D127" s="87">
        <v>84</v>
      </c>
      <c r="E127" s="87">
        <v>6</v>
      </c>
      <c r="F127" s="87" t="s">
        <v>671</v>
      </c>
      <c r="G127" s="101" t="s">
        <v>661</v>
      </c>
      <c r="H127" s="172" t="s">
        <v>599</v>
      </c>
      <c r="I127" s="676" t="s">
        <v>1009</v>
      </c>
      <c r="J127" s="677">
        <v>1510.16</v>
      </c>
      <c r="K127" s="677">
        <v>0</v>
      </c>
      <c r="L127" s="99">
        <v>1510.16</v>
      </c>
      <c r="M127" s="81">
        <f t="shared" ca="1" si="48"/>
        <v>0</v>
      </c>
      <c r="N127" s="80" t="s">
        <v>83</v>
      </c>
      <c r="O127" s="93">
        <f ca="1">IF(OR(ISBLANK($C127),$C127="",$C127=0),0,COUNTIF(TB_WPTags,$C127&amp;"-100"))</f>
        <v>0</v>
      </c>
      <c r="P127" s="82"/>
      <c r="Q127" s="82"/>
      <c r="R127" s="82"/>
      <c r="S127" s="82"/>
      <c r="T127" s="82"/>
      <c r="U127" s="82"/>
      <c r="V127" s="83" t="str">
        <f t="shared" ca="1" si="49"/>
        <v>0</v>
      </c>
      <c r="W127" s="82"/>
      <c r="X127" s="83">
        <f t="shared" ca="1" si="50"/>
        <v>0</v>
      </c>
      <c r="Y127" s="82" t="b">
        <f t="shared" ca="1" si="51"/>
        <v>0</v>
      </c>
      <c r="Z127" s="94" t="b">
        <f t="shared" ca="1" si="52"/>
        <v>0</v>
      </c>
      <c r="AA127" s="94" t="b">
        <f t="shared" ca="1" si="53"/>
        <v>0</v>
      </c>
      <c r="AB127" s="178">
        <f t="shared" ca="1" si="54"/>
        <v>0</v>
      </c>
      <c r="AC127" s="94" t="b">
        <v>0</v>
      </c>
      <c r="AD127" s="127"/>
      <c r="AE127" s="185"/>
      <c r="AF127" s="175" t="str">
        <f t="shared" ca="1" si="55"/>
        <v/>
      </c>
      <c r="AG127" s="183">
        <f t="shared" ca="1" si="38"/>
        <v>0</v>
      </c>
      <c r="AH127" s="174"/>
      <c r="AI127" s="95" t="str">
        <f t="shared" ca="1" si="56"/>
        <v/>
      </c>
      <c r="AJ127" s="110"/>
      <c r="AK127" s="111"/>
      <c r="AL127" s="110"/>
      <c r="AM127" s="110"/>
      <c r="AN127" s="90"/>
    </row>
    <row r="128" spans="1:40" s="74" customFormat="1" ht="19.5">
      <c r="A128" s="76"/>
      <c r="B128" s="77"/>
      <c r="C128" s="671" t="s">
        <v>963</v>
      </c>
      <c r="D128" s="87">
        <v>85</v>
      </c>
      <c r="E128" s="87">
        <v>6</v>
      </c>
      <c r="F128" s="87" t="s">
        <v>671</v>
      </c>
      <c r="G128" s="101" t="s">
        <v>661</v>
      </c>
      <c r="H128" s="172" t="s">
        <v>599</v>
      </c>
      <c r="I128" s="676" t="s">
        <v>1010</v>
      </c>
      <c r="J128" s="677">
        <v>835.75</v>
      </c>
      <c r="K128" s="677">
        <v>0</v>
      </c>
      <c r="L128" s="99">
        <v>835.75</v>
      </c>
      <c r="M128" s="81">
        <f t="shared" ca="1" si="48"/>
        <v>1</v>
      </c>
      <c r="N128" s="80" t="s">
        <v>83</v>
      </c>
      <c r="O128" s="93">
        <f ca="1">IF(OR(ISBLANK($C128),$C128="",$C128=0),0,COUNTIF(TB_WPTags,$C128&amp;"-100"))</f>
        <v>1</v>
      </c>
      <c r="P128" s="82"/>
      <c r="Q128" s="82"/>
      <c r="R128" s="82"/>
      <c r="S128" s="82"/>
      <c r="T128" s="82"/>
      <c r="U128" s="82"/>
      <c r="V128" s="83" t="str">
        <f t="shared" ca="1" si="49"/>
        <v>1</v>
      </c>
      <c r="W128" s="82"/>
      <c r="X128" s="83">
        <f t="shared" ca="1" si="50"/>
        <v>5</v>
      </c>
      <c r="Y128" s="82" t="b">
        <f t="shared" ca="1" si="51"/>
        <v>0</v>
      </c>
      <c r="Z128" s="94" t="b">
        <f t="shared" ca="1" si="52"/>
        <v>0</v>
      </c>
      <c r="AA128" s="94" t="b">
        <f t="shared" ca="1" si="53"/>
        <v>0</v>
      </c>
      <c r="AB128" s="178">
        <f t="shared" ca="1" si="54"/>
        <v>0</v>
      </c>
      <c r="AC128" s="94" t="b">
        <v>0</v>
      </c>
      <c r="AD128" s="127"/>
      <c r="AE128" s="185" t="s">
        <v>58</v>
      </c>
      <c r="AF128" s="175" t="str">
        <f t="shared" ca="1" si="55"/>
        <v/>
      </c>
      <c r="AG128" s="183">
        <f t="shared" ca="1" si="38"/>
        <v>0</v>
      </c>
      <c r="AH128" s="174"/>
      <c r="AI128" s="95" t="str">
        <f t="shared" ca="1" si="56"/>
        <v>Rework Complete</v>
      </c>
      <c r="AJ128" s="110"/>
      <c r="AK128" s="111"/>
      <c r="AL128" s="110"/>
      <c r="AM128" s="110"/>
      <c r="AN128" s="90"/>
    </row>
    <row r="129" spans="1:40" s="74" customFormat="1" ht="19.5" hidden="1">
      <c r="A129" s="76"/>
      <c r="B129" s="77"/>
      <c r="C129" s="86" t="s">
        <v>963</v>
      </c>
      <c r="D129" s="87">
        <f ca="1">IF(IFERROR(ROW(TrialBalanceExact)+MATCH(C129,OFFSET(TrialBalanceExact,0,0,ROWS(TrialBalanceExact),1),0)-1=ROW(),TRUE),0, IF(ISERROR(VLOOKUP(C129,TrialBalanceExact,2,0)),0,VLOOKUP(C129,TrialBalanceExact,2,0)))</f>
        <v>85</v>
      </c>
      <c r="E129" s="87">
        <v>100</v>
      </c>
      <c r="F129" s="87"/>
      <c r="G129" s="101" t="s">
        <v>661</v>
      </c>
      <c r="H129" s="172" t="s">
        <v>599</v>
      </c>
      <c r="I129" s="734"/>
      <c r="J129" s="735"/>
      <c r="K129" s="735"/>
      <c r="L129" s="736"/>
      <c r="M129" s="737"/>
      <c r="N129" s="213" t="s">
        <v>136</v>
      </c>
      <c r="O129" s="738"/>
      <c r="P129" s="739" t="str">
        <f>$C129&amp;"-"&amp;$E129</f>
        <v>property_expenses_expense.PropertyExpenses.InsurancePremium.Property.49362750-9aeb-4984-a896-1dd8b81c2e48-100</v>
      </c>
      <c r="Q129" s="739" t="s">
        <v>877</v>
      </c>
      <c r="R129" s="739" t="s">
        <v>862</v>
      </c>
      <c r="S129" s="739" t="s">
        <v>863</v>
      </c>
      <c r="T129" s="740">
        <f ca="1">ABS(IF(ISERROR(VLOOKUP(C129,TrialBalanceExact,8,0)),0,VLOOKUP(C129,TrialBalanceExact,8,0)))</f>
        <v>835.75</v>
      </c>
      <c r="U129" s="740">
        <f ca="1">ABS(IF(ISNUMBER(AH129),AH129,IF(ISBLANK(AH129),NA(),INDIRECT("'" &amp; _xll.SheetFromID(R129) &amp; "'!Reconcile_" &amp; SUBSTITUTE(AH129," ","")))))</f>
        <v>835.75</v>
      </c>
      <c r="V129" s="740">
        <f ca="1">IFERROR(IF(ABS(ROUND($T129-$U129,2))&lt;=Options_Tolerance,1,-1),0)</f>
        <v>1</v>
      </c>
      <c r="W129" s="740" t="str">
        <f ca="1">$C129&amp;"-"&amp;V129</f>
        <v>property_expenses_expense.PropertyExpenses.InsurancePremium.Property.49362750-9aeb-4984-a896-1dd8b81c2e48-1</v>
      </c>
      <c r="X129" s="741">
        <f>IFERROR(VLOOKUP(AI129,StatusDescriptionsOrder,2,0),0)</f>
        <v>5</v>
      </c>
      <c r="Y129" s="739" t="b">
        <v>0</v>
      </c>
      <c r="Z129" s="742" t="b">
        <v>0</v>
      </c>
      <c r="AA129" s="743" t="b">
        <f>IFERROR(VLOOKUP(R129,HNSW_ItemsCount!A:D,2,0)&gt;0,FALSE)</f>
        <v>0</v>
      </c>
      <c r="AB129" s="743">
        <f>IFERROR(VLOOKUP(R129,HNSW_ItemsCount!A:D,4,0),0)</f>
        <v>0</v>
      </c>
      <c r="AC129" s="744" t="b">
        <v>0</v>
      </c>
      <c r="AD129" s="127" t="s">
        <v>864</v>
      </c>
      <c r="AE129" s="745" t="s">
        <v>58</v>
      </c>
      <c r="AF129" s="746" t="s">
        <v>74</v>
      </c>
      <c r="AG129" s="747">
        <f t="shared" si="38"/>
        <v>0</v>
      </c>
      <c r="AH129" s="748">
        <v>835.75</v>
      </c>
      <c r="AI129" s="749" t="s">
        <v>36</v>
      </c>
      <c r="AJ129" s="750" t="s">
        <v>552</v>
      </c>
      <c r="AK129" s="751">
        <v>43546</v>
      </c>
      <c r="AL129" s="752" t="s">
        <v>58</v>
      </c>
      <c r="AM129" s="753" t="s">
        <v>25</v>
      </c>
      <c r="AN129" s="90"/>
    </row>
    <row r="130" spans="1:40" s="74" customFormat="1" ht="19.5">
      <c r="A130" s="76"/>
      <c r="B130" s="77"/>
      <c r="C130" s="671" t="s">
        <v>964</v>
      </c>
      <c r="D130" s="87">
        <v>86</v>
      </c>
      <c r="E130" s="87">
        <v>5</v>
      </c>
      <c r="F130" s="87" t="s">
        <v>673</v>
      </c>
      <c r="G130" s="101" t="s">
        <v>661</v>
      </c>
      <c r="H130" s="172"/>
      <c r="I130" s="682" t="s">
        <v>603</v>
      </c>
      <c r="J130" s="678">
        <v>2345.91</v>
      </c>
      <c r="K130" s="678">
        <v>0</v>
      </c>
      <c r="L130" s="99">
        <v>2345.91</v>
      </c>
      <c r="M130" s="81">
        <f ca="1">IF(AND($AC130,$O130&gt;0),"–",$O130)</f>
        <v>0</v>
      </c>
      <c r="N130" s="80" t="s">
        <v>83</v>
      </c>
      <c r="O130" s="93">
        <f ca="1">IF(OR(ISBLANK($C130),$C130="",$C130=0),0,COUNTIF(TB_WPTags,$C130&amp;"-100"))</f>
        <v>0</v>
      </c>
      <c r="P130" s="82"/>
      <c r="Q130" s="82"/>
      <c r="R130" s="82"/>
      <c r="S130" s="82"/>
      <c r="T130" s="82"/>
      <c r="U130" s="82"/>
      <c r="V130" s="83" t="str">
        <f ca="1">IF(OR(ISBLANK($C130),$AC130),"NA",IF(COUNTIF(W:W,$C130&amp;"--1")&gt;0,"-1",IF(COUNTIF(W:W,$C130&amp;"-1")&gt;0,"1","0")))</f>
        <v>0</v>
      </c>
      <c r="W130" s="82"/>
      <c r="X130" s="83">
        <f ca="1">IF($O130&gt;0,MIN(OFFSET($X130,1,0,$O130)),0)</f>
        <v>0</v>
      </c>
      <c r="Y130" s="82" t="b">
        <f ca="1">IF(AND($O130&gt;0,AC130&lt;&gt;TRUE),COUNTIF(OFFSET($Y130,1,0,$O130),TRUE)&gt;=1,FALSE)</f>
        <v>0</v>
      </c>
      <c r="Z130" s="94" t="b">
        <f ca="1">IF(AND($O130&gt;0,AC130&lt;&gt;TRUE),COUNTIF(OFFSET($Z130,1,0,$O130),TRUE)&gt;=1,FALSE)</f>
        <v>0</v>
      </c>
      <c r="AA130" s="94" t="b">
        <f ca="1">IF(AND($O130&gt;0,AC130&lt;&gt;TRUE),COUNTIF(OFFSET($AA130,1,0,$O130),TRUE)&gt;=1,FALSE)</f>
        <v>0</v>
      </c>
      <c r="AB130" s="178">
        <f ca="1">IF(AND($O130&gt;0,AC130&lt;&gt;TRUE),SUM(OFFSET($AG130,1,0,$O130)),0)</f>
        <v>0</v>
      </c>
      <c r="AC130" s="94" t="b">
        <v>0</v>
      </c>
      <c r="AD130" s="127"/>
      <c r="AE130" s="185"/>
      <c r="AF130" s="175" t="str">
        <f ca="1">IF(AND(Y130,AC130&lt;&gt;TRUE),"]","")</f>
        <v/>
      </c>
      <c r="AG130" s="183">
        <f t="shared" ca="1" si="38"/>
        <v>0</v>
      </c>
      <c r="AH130" s="174"/>
      <c r="AI130" s="95" t="str">
        <f ca="1">IF(AND($O130&gt;0,AC130&lt;&gt;TRUE),IF($X130&gt;=1,INDEX(StatusDescriptions,$X130+1,0),StatusBlank),"")</f>
        <v/>
      </c>
      <c r="AJ130" s="110"/>
      <c r="AK130" s="111"/>
      <c r="AL130" s="110"/>
      <c r="AM130" s="110"/>
      <c r="AN130" s="90"/>
    </row>
    <row r="131" spans="1:40" s="74" customFormat="1" ht="19.5">
      <c r="A131" s="76"/>
      <c r="B131" s="77"/>
      <c r="C131" s="671" t="s">
        <v>965</v>
      </c>
      <c r="D131" s="87">
        <v>87</v>
      </c>
      <c r="E131" s="87">
        <v>4</v>
      </c>
      <c r="F131" s="87" t="s">
        <v>576</v>
      </c>
      <c r="G131" s="101" t="s">
        <v>661</v>
      </c>
      <c r="H131" s="172"/>
      <c r="I131" s="675" t="s">
        <v>771</v>
      </c>
      <c r="J131" s="678">
        <v>2345.91</v>
      </c>
      <c r="K131" s="678">
        <v>0</v>
      </c>
      <c r="L131" s="99">
        <v>2345.91</v>
      </c>
      <c r="M131" s="81">
        <f ca="1">IF(AND($AC131,$O131&gt;0),"–",$O131)</f>
        <v>0</v>
      </c>
      <c r="N131" s="80" t="s">
        <v>83</v>
      </c>
      <c r="O131" s="93">
        <f ca="1">IF(OR(ISBLANK($C131),$C131="",$C131=0),0,COUNTIF(TB_WPTags,$C131&amp;"-100"))</f>
        <v>0</v>
      </c>
      <c r="P131" s="82"/>
      <c r="Q131" s="82"/>
      <c r="R131" s="82"/>
      <c r="S131" s="82"/>
      <c r="T131" s="82"/>
      <c r="U131" s="82"/>
      <c r="V131" s="83" t="str">
        <f ca="1">IF(OR(ISBLANK($C131),$AC131),"NA",IF(COUNTIF(W:W,$C131&amp;"--1")&gt;0,"-1",IF(COUNTIF(W:W,$C131&amp;"-1")&gt;0,"1","0")))</f>
        <v>0</v>
      </c>
      <c r="W131" s="82"/>
      <c r="X131" s="83">
        <f ca="1">IF($O131&gt;0,MIN(OFFSET($X131,1,0,$O131)),0)</f>
        <v>0</v>
      </c>
      <c r="Y131" s="82" t="b">
        <f ca="1">IF(AND($O131&gt;0,AC131&lt;&gt;TRUE),COUNTIF(OFFSET($Y131,1,0,$O131),TRUE)&gt;=1,FALSE)</f>
        <v>0</v>
      </c>
      <c r="Z131" s="94" t="b">
        <f ca="1">IF(AND($O131&gt;0,AC131&lt;&gt;TRUE),COUNTIF(OFFSET($Z131,1,0,$O131),TRUE)&gt;=1,FALSE)</f>
        <v>0</v>
      </c>
      <c r="AA131" s="94" t="b">
        <f ca="1">IF(AND($O131&gt;0,AC131&lt;&gt;TRUE),COUNTIF(OFFSET($AA131,1,0,$O131),TRUE)&gt;=1,FALSE)</f>
        <v>0</v>
      </c>
      <c r="AB131" s="178">
        <f ca="1">IF(AND($O131&gt;0,AC131&lt;&gt;TRUE),SUM(OFFSET($AG131,1,0,$O131)),0)</f>
        <v>0</v>
      </c>
      <c r="AC131" s="94" t="b">
        <v>0</v>
      </c>
      <c r="AD131" s="127"/>
      <c r="AE131" s="185"/>
      <c r="AF131" s="175" t="str">
        <f ca="1">IF(AND(Y131,AC131&lt;&gt;TRUE),"]","")</f>
        <v/>
      </c>
      <c r="AG131" s="183">
        <f t="shared" ca="1" si="38"/>
        <v>0</v>
      </c>
      <c r="AH131" s="174"/>
      <c r="AI131" s="95" t="str">
        <f ca="1">IF(AND($O131&gt;0,AC131&lt;&gt;TRUE),IF($X131&gt;=1,INDEX(StatusDescriptions,$X131+1,0),StatusBlank),"")</f>
        <v/>
      </c>
      <c r="AJ131" s="110"/>
      <c r="AK131" s="111"/>
      <c r="AL131" s="110"/>
      <c r="AM131" s="110"/>
      <c r="AN131" s="90"/>
    </row>
    <row r="132" spans="1:40" s="74" customFormat="1" ht="19.5">
      <c r="A132" s="76"/>
      <c r="B132" s="77"/>
      <c r="C132" s="671" t="s">
        <v>683</v>
      </c>
      <c r="D132" s="87">
        <v>88</v>
      </c>
      <c r="E132" s="87">
        <v>4</v>
      </c>
      <c r="F132" s="87" t="s">
        <v>570</v>
      </c>
      <c r="G132" s="101" t="s">
        <v>661</v>
      </c>
      <c r="H132" s="172"/>
      <c r="I132" s="675" t="s">
        <v>684</v>
      </c>
      <c r="J132" s="97">
        <v>0</v>
      </c>
      <c r="K132" s="97">
        <v>0</v>
      </c>
      <c r="L132" s="99">
        <v>0</v>
      </c>
      <c r="M132" s="81">
        <f ca="1">IF(AND($AC132,$O132&gt;0),"–",$O132)</f>
        <v>0</v>
      </c>
      <c r="N132" s="80"/>
      <c r="O132" s="93">
        <f ca="1">IF(OR(ISBLANK($C132),$C132="",$C132=0),0,COUNTIF(TB_WPTags,$C132&amp;"-100"))</f>
        <v>0</v>
      </c>
      <c r="P132" s="82"/>
      <c r="Q132" s="82"/>
      <c r="R132" s="82"/>
      <c r="S132" s="82"/>
      <c r="T132" s="82"/>
      <c r="U132" s="82"/>
      <c r="V132" s="83" t="str">
        <f ca="1">IF(OR(ISBLANK($C132),$AC132),"NA",IF(COUNTIF(W:W,$C132&amp;"--1")&gt;0,"-1",IF(COUNTIF(W:W,$C132&amp;"-1")&gt;0,"1","0")))</f>
        <v>0</v>
      </c>
      <c r="W132" s="82"/>
      <c r="X132" s="83">
        <f ca="1">IF($O132&gt;0,MIN(OFFSET($X132,1,0,$O132)),0)</f>
        <v>0</v>
      </c>
      <c r="Y132" s="82" t="b">
        <f ca="1">IF(AND($O132&gt;0,AC132&lt;&gt;TRUE),COUNTIF(OFFSET($Y132,1,0,$O132),TRUE)&gt;=1,FALSE)</f>
        <v>0</v>
      </c>
      <c r="Z132" s="94" t="b">
        <f ca="1">IF(AND($O132&gt;0,AC132&lt;&gt;TRUE),COUNTIF(OFFSET($Z132,1,0,$O132),TRUE)&gt;=1,FALSE)</f>
        <v>0</v>
      </c>
      <c r="AA132" s="94" t="b">
        <f ca="1">IF(AND($O132&gt;0,AC132&lt;&gt;TRUE),COUNTIF(OFFSET($AA132,1,0,$O132),TRUE)&gt;=1,FALSE)</f>
        <v>0</v>
      </c>
      <c r="AB132" s="178">
        <f ca="1">IF(AND($O132&gt;0,AC132&lt;&gt;TRUE),SUM(OFFSET($AG132,1,0,$O132)),0)</f>
        <v>0</v>
      </c>
      <c r="AC132" s="94" t="b">
        <v>0</v>
      </c>
      <c r="AD132" s="127"/>
      <c r="AE132" s="185"/>
      <c r="AF132" s="175" t="str">
        <f ca="1">IF(AND(Y132,AC132&lt;&gt;TRUE),"]","")</f>
        <v/>
      </c>
      <c r="AG132" s="183">
        <f t="shared" ca="1" si="38"/>
        <v>0</v>
      </c>
      <c r="AH132" s="174"/>
      <c r="AI132" s="95" t="str">
        <f ca="1">IF(AND($O132&gt;0,AC132&lt;&gt;TRUE),IF($X132&gt;=1,INDEX(StatusDescriptions,$X132+1,0),StatusBlank),"")</f>
        <v/>
      </c>
      <c r="AJ132" s="110"/>
      <c r="AK132" s="111"/>
      <c r="AL132" s="110"/>
      <c r="AM132" s="110"/>
      <c r="AN132" s="90"/>
    </row>
    <row r="133" spans="1:40" s="74" customFormat="1" ht="19.5">
      <c r="A133" s="76"/>
      <c r="B133" s="77"/>
      <c r="C133" s="671" t="s">
        <v>685</v>
      </c>
      <c r="D133" s="87">
        <v>89</v>
      </c>
      <c r="E133" s="87">
        <v>5</v>
      </c>
      <c r="F133" s="87" t="s">
        <v>669</v>
      </c>
      <c r="G133" s="101" t="s">
        <v>661</v>
      </c>
      <c r="H133" s="172"/>
      <c r="I133" s="682" t="s">
        <v>596</v>
      </c>
      <c r="J133" s="97">
        <v>0</v>
      </c>
      <c r="K133" s="97">
        <v>0</v>
      </c>
      <c r="L133" s="99">
        <v>0</v>
      </c>
      <c r="M133" s="81">
        <f ca="1">IF(AND($AC133,$O133&gt;0),"–",$O133)</f>
        <v>0</v>
      </c>
      <c r="N133" s="80"/>
      <c r="O133" s="93">
        <f ca="1">IF(OR(ISBLANK($C133),$C133="",$C133=0),0,COUNTIF(TB_WPTags,$C133&amp;"-100"))</f>
        <v>0</v>
      </c>
      <c r="P133" s="82"/>
      <c r="Q133" s="82"/>
      <c r="R133" s="82"/>
      <c r="S133" s="82"/>
      <c r="T133" s="82"/>
      <c r="U133" s="82"/>
      <c r="V133" s="83" t="str">
        <f ca="1">IF(OR(ISBLANK($C133),$AC133),"NA",IF(COUNTIF(W:W,$C133&amp;"--1")&gt;0,"-1",IF(COUNTIF(W:W,$C133&amp;"-1")&gt;0,"1","0")))</f>
        <v>0</v>
      </c>
      <c r="W133" s="82"/>
      <c r="X133" s="83">
        <f ca="1">IF($O133&gt;0,MIN(OFFSET($X133,1,0,$O133)),0)</f>
        <v>0</v>
      </c>
      <c r="Y133" s="82" t="b">
        <f ca="1">IF(AND($O133&gt;0,AC133&lt;&gt;TRUE),COUNTIF(OFFSET($Y133,1,0,$O133),TRUE)&gt;=1,FALSE)</f>
        <v>0</v>
      </c>
      <c r="Z133" s="94" t="b">
        <f ca="1">IF(AND($O133&gt;0,AC133&lt;&gt;TRUE),COUNTIF(OFFSET($Z133,1,0,$O133),TRUE)&gt;=1,FALSE)</f>
        <v>0</v>
      </c>
      <c r="AA133" s="94" t="b">
        <f ca="1">IF(AND($O133&gt;0,AC133&lt;&gt;TRUE),COUNTIF(OFFSET($AA133,1,0,$O133),TRUE)&gt;=1,FALSE)</f>
        <v>0</v>
      </c>
      <c r="AB133" s="178">
        <f ca="1">IF(AND($O133&gt;0,AC133&lt;&gt;TRUE),SUM(OFFSET($AG133,1,0,$O133)),0)</f>
        <v>0</v>
      </c>
      <c r="AC133" s="94" t="b">
        <v>0</v>
      </c>
      <c r="AD133" s="127"/>
      <c r="AE133" s="185"/>
      <c r="AF133" s="175" t="str">
        <f ca="1">IF(AND(Y133,AC133&lt;&gt;TRUE),"]","")</f>
        <v/>
      </c>
      <c r="AG133" s="183">
        <f t="shared" ca="1" si="38"/>
        <v>0</v>
      </c>
      <c r="AH133" s="174"/>
      <c r="AI133" s="95" t="str">
        <f ca="1">IF(AND($O133&gt;0,AC133&lt;&gt;TRUE),IF($X133&gt;=1,INDEX(StatusDescriptions,$X133+1,0),StatusBlank),"")</f>
        <v/>
      </c>
      <c r="AJ133" s="110"/>
      <c r="AK133" s="111"/>
      <c r="AL133" s="110"/>
      <c r="AM133" s="110"/>
      <c r="AN133" s="90"/>
    </row>
    <row r="134" spans="1:40" s="74" customFormat="1" ht="19.5">
      <c r="A134" s="76"/>
      <c r="B134" s="77"/>
      <c r="C134" s="671" t="s">
        <v>733</v>
      </c>
      <c r="D134" s="87">
        <v>90</v>
      </c>
      <c r="E134" s="87">
        <v>6</v>
      </c>
      <c r="F134" s="87" t="s">
        <v>671</v>
      </c>
      <c r="G134" s="101" t="s">
        <v>661</v>
      </c>
      <c r="H134" s="172" t="s">
        <v>599</v>
      </c>
      <c r="I134" s="676" t="s">
        <v>1009</v>
      </c>
      <c r="J134" s="677">
        <v>594.4</v>
      </c>
      <c r="K134" s="677">
        <v>0</v>
      </c>
      <c r="L134" s="99">
        <v>594.4</v>
      </c>
      <c r="M134" s="81">
        <f ca="1">IF(AND($AC134,$O134&gt;0),"–",$O134)</f>
        <v>1</v>
      </c>
      <c r="N134" s="80" t="s">
        <v>83</v>
      </c>
      <c r="O134" s="93">
        <f ca="1">IF(OR(ISBLANK($C134),$C134="",$C134=0),0,COUNTIF(TB_WPTags,$C134&amp;"-100"))</f>
        <v>1</v>
      </c>
      <c r="P134" s="82"/>
      <c r="Q134" s="82"/>
      <c r="R134" s="82"/>
      <c r="S134" s="82"/>
      <c r="T134" s="82"/>
      <c r="U134" s="82"/>
      <c r="V134" s="83" t="str">
        <f ca="1">IF(OR(ISBLANK($C134),$AC134),"NA",IF(COUNTIF(W:W,$C134&amp;"--1")&gt;0,"-1",IF(COUNTIF(W:W,$C134&amp;"-1")&gt;0,"1","0")))</f>
        <v>1</v>
      </c>
      <c r="W134" s="82"/>
      <c r="X134" s="83">
        <f ca="1">IF($O134&gt;0,MIN(OFFSET($X134,1,0,$O134)),0)</f>
        <v>5</v>
      </c>
      <c r="Y134" s="82" t="b">
        <f ca="1">IF(AND($O134&gt;0,AC134&lt;&gt;TRUE),COUNTIF(OFFSET($Y134,1,0,$O134),TRUE)&gt;=1,FALSE)</f>
        <v>0</v>
      </c>
      <c r="Z134" s="94" t="b">
        <f ca="1">IF(AND($O134&gt;0,AC134&lt;&gt;TRUE),COUNTIF(OFFSET($Z134,1,0,$O134),TRUE)&gt;=1,FALSE)</f>
        <v>0</v>
      </c>
      <c r="AA134" s="94" t="b">
        <f ca="1">IF(AND($O134&gt;0,AC134&lt;&gt;TRUE),COUNTIF(OFFSET($AA134,1,0,$O134),TRUE)&gt;=1,FALSE)</f>
        <v>0</v>
      </c>
      <c r="AB134" s="178">
        <f ca="1">IF(AND($O134&gt;0,AC134&lt;&gt;TRUE),SUM(OFFSET($AG134,1,0,$O134)),0)</f>
        <v>0</v>
      </c>
      <c r="AC134" s="94" t="b">
        <v>0</v>
      </c>
      <c r="AD134" s="127"/>
      <c r="AE134" s="185"/>
      <c r="AF134" s="175" t="str">
        <f ca="1">IF(AND(Y134,AC134&lt;&gt;TRUE),"]","")</f>
        <v/>
      </c>
      <c r="AG134" s="183">
        <f t="shared" ca="1" si="38"/>
        <v>0</v>
      </c>
      <c r="AH134" s="174"/>
      <c r="AI134" s="95" t="str">
        <f ca="1">IF(AND($O134&gt;0,AC134&lt;&gt;TRUE),IF($X134&gt;=1,INDEX(StatusDescriptions,$X134+1,0),StatusBlank),"")</f>
        <v>Rework Complete</v>
      </c>
      <c r="AJ134" s="110"/>
      <c r="AK134" s="111"/>
      <c r="AL134" s="110"/>
      <c r="AM134" s="110"/>
      <c r="AN134" s="90"/>
    </row>
    <row r="135" spans="1:40" s="74" customFormat="1" ht="19.5" hidden="1">
      <c r="A135" s="76"/>
      <c r="B135" s="77"/>
      <c r="C135" s="86" t="s">
        <v>733</v>
      </c>
      <c r="D135" s="87">
        <f ca="1">IF(IFERROR(ROW(TrialBalanceExact)+MATCH(C135,OFFSET(TrialBalanceExact,0,0,ROWS(TrialBalanceExact),1),0)-1=ROW(),TRUE),0, IF(ISERROR(VLOOKUP(C135,TrialBalanceExact,2,0)),0,VLOOKUP(C135,TrialBalanceExact,2,0)))</f>
        <v>90</v>
      </c>
      <c r="E135" s="87">
        <v>100</v>
      </c>
      <c r="F135" s="87"/>
      <c r="G135" s="101" t="s">
        <v>661</v>
      </c>
      <c r="H135" s="172" t="s">
        <v>599</v>
      </c>
      <c r="I135" s="734"/>
      <c r="J135" s="735"/>
      <c r="K135" s="735"/>
      <c r="L135" s="736"/>
      <c r="M135" s="737"/>
      <c r="N135" s="213" t="s">
        <v>136</v>
      </c>
      <c r="O135" s="738"/>
      <c r="P135" s="739" t="str">
        <f>$C135&amp;"-"&amp;$E135</f>
        <v>property_expenses_expense.PropertyExpenses.RepairsMaintenance.Property.98da9e35-149c-408d-81d9-e7c6bce587f6-100</v>
      </c>
      <c r="Q135" s="739" t="s">
        <v>877</v>
      </c>
      <c r="R135" s="739" t="s">
        <v>862</v>
      </c>
      <c r="S135" s="739"/>
      <c r="T135" s="740">
        <f ca="1">ABS(IF(ISERROR(VLOOKUP(C135,TrialBalanceExact,8,0)),0,VLOOKUP(C135,TrialBalanceExact,8,0)))</f>
        <v>594.4</v>
      </c>
      <c r="U135" s="740">
        <f ca="1">ABS(IF(ISNUMBER(AH135),AH135,IF(ISBLANK(AH135),NA(),INDIRECT("'" &amp; _xll.SheetFromID(R135) &amp; "'!Reconcile_" &amp; SUBSTITUTE(AH135," ","")))))</f>
        <v>594.4</v>
      </c>
      <c r="V135" s="740">
        <f ca="1">IFERROR(IF(ABS(ROUND($T135-$U135,2))&lt;=Options_Tolerance,1,-1),0)</f>
        <v>1</v>
      </c>
      <c r="W135" s="740" t="str">
        <f ca="1">$C135&amp;"-"&amp;V135</f>
        <v>property_expenses_expense.PropertyExpenses.RepairsMaintenance.Property.98da9e35-149c-408d-81d9-e7c6bce587f6-1</v>
      </c>
      <c r="X135" s="741">
        <f>IFERROR(VLOOKUP(AI135,StatusDescriptionsOrder,2,0),0)</f>
        <v>5</v>
      </c>
      <c r="Y135" s="739" t="b">
        <v>0</v>
      </c>
      <c r="Z135" s="742" t="b">
        <v>0</v>
      </c>
      <c r="AA135" s="743" t="b">
        <f>IFERROR(VLOOKUP(R135,HNSW_ItemsCount!A:D,2,0)&gt;0,FALSE)</f>
        <v>0</v>
      </c>
      <c r="AB135" s="743">
        <f>IFERROR(VLOOKUP(R135,HNSW_ItemsCount!A:D,4,0),0)</f>
        <v>0</v>
      </c>
      <c r="AC135" s="744" t="b">
        <v>0</v>
      </c>
      <c r="AD135" s="127" t="s">
        <v>864</v>
      </c>
      <c r="AE135" s="745" t="s">
        <v>58</v>
      </c>
      <c r="AF135" s="746" t="s">
        <v>74</v>
      </c>
      <c r="AG135" s="747">
        <f t="shared" si="38"/>
        <v>0</v>
      </c>
      <c r="AH135" s="748">
        <v>594.4</v>
      </c>
      <c r="AI135" s="749" t="s">
        <v>36</v>
      </c>
      <c r="AJ135" s="750" t="s">
        <v>552</v>
      </c>
      <c r="AK135" s="751">
        <v>43546</v>
      </c>
      <c r="AL135" s="752" t="s">
        <v>58</v>
      </c>
      <c r="AM135" s="753" t="s">
        <v>25</v>
      </c>
      <c r="AN135" s="90"/>
    </row>
    <row r="136" spans="1:40" s="74" customFormat="1" ht="19.5">
      <c r="A136" s="76"/>
      <c r="B136" s="77"/>
      <c r="C136" s="671" t="s">
        <v>686</v>
      </c>
      <c r="D136" s="87">
        <v>91</v>
      </c>
      <c r="E136" s="87">
        <v>6</v>
      </c>
      <c r="F136" s="87" t="s">
        <v>671</v>
      </c>
      <c r="G136" s="101" t="s">
        <v>661</v>
      </c>
      <c r="H136" s="172" t="s">
        <v>599</v>
      </c>
      <c r="I136" s="676" t="s">
        <v>1010</v>
      </c>
      <c r="J136" s="677">
        <v>1673.6</v>
      </c>
      <c r="K136" s="677">
        <v>0</v>
      </c>
      <c r="L136" s="99">
        <v>1673.6</v>
      </c>
      <c r="M136" s="81">
        <f ca="1">IF(AND($AC136,$O136&gt;0),"–",$O136)</f>
        <v>1</v>
      </c>
      <c r="N136" s="80" t="s">
        <v>83</v>
      </c>
      <c r="O136" s="93">
        <f ca="1">IF(OR(ISBLANK($C136),$C136="",$C136=0),0,COUNTIF(TB_WPTags,$C136&amp;"-100"))</f>
        <v>1</v>
      </c>
      <c r="P136" s="82"/>
      <c r="Q136" s="82"/>
      <c r="R136" s="82"/>
      <c r="S136" s="82"/>
      <c r="T136" s="82"/>
      <c r="U136" s="82"/>
      <c r="V136" s="83" t="str">
        <f ca="1">IF(OR(ISBLANK($C136),$AC136),"NA",IF(COUNTIF(W:W,$C136&amp;"--1")&gt;0,"-1",IF(COUNTIF(W:W,$C136&amp;"-1")&gt;0,"1","0")))</f>
        <v>1</v>
      </c>
      <c r="W136" s="82"/>
      <c r="X136" s="83">
        <f ca="1">IF($O136&gt;0,MIN(OFFSET($X136,1,0,$O136)),0)</f>
        <v>5</v>
      </c>
      <c r="Y136" s="82" t="b">
        <f ca="1">IF(AND($O136&gt;0,AC136&lt;&gt;TRUE),COUNTIF(OFFSET($Y136,1,0,$O136),TRUE)&gt;=1,FALSE)</f>
        <v>0</v>
      </c>
      <c r="Z136" s="94" t="b">
        <f ca="1">IF(AND($O136&gt;0,AC136&lt;&gt;TRUE),COUNTIF(OFFSET($Z136,1,0,$O136),TRUE)&gt;=1,FALSE)</f>
        <v>0</v>
      </c>
      <c r="AA136" s="94" t="b">
        <f ca="1">IF(AND($O136&gt;0,AC136&lt;&gt;TRUE),COUNTIF(OFFSET($AA136,1,0,$O136),TRUE)&gt;=1,FALSE)</f>
        <v>0</v>
      </c>
      <c r="AB136" s="178">
        <f ca="1">IF(AND($O136&gt;0,AC136&lt;&gt;TRUE),SUM(OFFSET($AG136,1,0,$O136)),0)</f>
        <v>0</v>
      </c>
      <c r="AC136" s="94" t="b">
        <v>0</v>
      </c>
      <c r="AD136" s="127"/>
      <c r="AE136" s="185"/>
      <c r="AF136" s="175" t="str">
        <f ca="1">IF(AND(Y136,AC136&lt;&gt;TRUE),"]","")</f>
        <v/>
      </c>
      <c r="AG136" s="183">
        <f t="shared" ca="1" si="38"/>
        <v>0</v>
      </c>
      <c r="AH136" s="174"/>
      <c r="AI136" s="95" t="str">
        <f ca="1">IF(AND($O136&gt;0,AC136&lt;&gt;TRUE),IF($X136&gt;=1,INDEX(StatusDescriptions,$X136+1,0),StatusBlank),"")</f>
        <v>Rework Complete</v>
      </c>
      <c r="AJ136" s="110"/>
      <c r="AK136" s="111"/>
      <c r="AL136" s="110"/>
      <c r="AM136" s="110"/>
      <c r="AN136" s="90"/>
    </row>
    <row r="137" spans="1:40" s="74" customFormat="1" ht="19.5" hidden="1">
      <c r="A137" s="76"/>
      <c r="B137" s="77"/>
      <c r="C137" s="86" t="s">
        <v>686</v>
      </c>
      <c r="D137" s="87">
        <f ca="1">IF(IFERROR(ROW(TrialBalanceExact)+MATCH(C137,OFFSET(TrialBalanceExact,0,0,ROWS(TrialBalanceExact),1),0)-1=ROW(),TRUE),0, IF(ISERROR(VLOOKUP(C137,TrialBalanceExact,2,0)),0,VLOOKUP(C137,TrialBalanceExact,2,0)))</f>
        <v>91</v>
      </c>
      <c r="E137" s="87">
        <v>100</v>
      </c>
      <c r="F137" s="87"/>
      <c r="G137" s="101" t="s">
        <v>661</v>
      </c>
      <c r="H137" s="172" t="s">
        <v>599</v>
      </c>
      <c r="I137" s="734"/>
      <c r="J137" s="735"/>
      <c r="K137" s="735"/>
      <c r="L137" s="736"/>
      <c r="M137" s="737"/>
      <c r="N137" s="213" t="s">
        <v>136</v>
      </c>
      <c r="O137" s="738"/>
      <c r="P137" s="739" t="str">
        <f>$C137&amp;"-"&amp;$E137</f>
        <v>property_expenses_expense.PropertyExpenses.RepairsMaintenance.Property.49362750-9aeb-4984-a896-1dd8b81c2e48-100</v>
      </c>
      <c r="Q137" s="739" t="s">
        <v>877</v>
      </c>
      <c r="R137" s="739" t="s">
        <v>862</v>
      </c>
      <c r="S137" s="739"/>
      <c r="T137" s="740">
        <f ca="1">ABS(IF(ISERROR(VLOOKUP(C137,TrialBalanceExact,8,0)),0,VLOOKUP(C137,TrialBalanceExact,8,0)))</f>
        <v>1673.6</v>
      </c>
      <c r="U137" s="740">
        <f ca="1">ABS(IF(ISNUMBER(AH137),AH137,IF(ISBLANK(AH137),NA(),INDIRECT("'" &amp; _xll.SheetFromID(R137) &amp; "'!Reconcile_" &amp; SUBSTITUTE(AH137," ","")))))</f>
        <v>1673.6</v>
      </c>
      <c r="V137" s="740">
        <f ca="1">IFERROR(IF(ABS(ROUND($T137-$U137,2))&lt;=Options_Tolerance,1,-1),0)</f>
        <v>1</v>
      </c>
      <c r="W137" s="740" t="str">
        <f ca="1">$C137&amp;"-"&amp;V137</f>
        <v>property_expenses_expense.PropertyExpenses.RepairsMaintenance.Property.49362750-9aeb-4984-a896-1dd8b81c2e48-1</v>
      </c>
      <c r="X137" s="741">
        <f>IFERROR(VLOOKUP(AI137,StatusDescriptionsOrder,2,0),0)</f>
        <v>5</v>
      </c>
      <c r="Y137" s="739" t="b">
        <v>0</v>
      </c>
      <c r="Z137" s="742" t="b">
        <v>0</v>
      </c>
      <c r="AA137" s="743" t="b">
        <f>IFERROR(VLOOKUP(R137,HNSW_ItemsCount!A:D,2,0)&gt;0,FALSE)</f>
        <v>0</v>
      </c>
      <c r="AB137" s="743">
        <f>IFERROR(VLOOKUP(R137,HNSW_ItemsCount!A:D,4,0),0)</f>
        <v>0</v>
      </c>
      <c r="AC137" s="744" t="b">
        <v>0</v>
      </c>
      <c r="AD137" s="127" t="s">
        <v>864</v>
      </c>
      <c r="AE137" s="745" t="s">
        <v>58</v>
      </c>
      <c r="AF137" s="746" t="s">
        <v>74</v>
      </c>
      <c r="AG137" s="747">
        <f t="shared" si="38"/>
        <v>0</v>
      </c>
      <c r="AH137" s="748">
        <v>1673.6</v>
      </c>
      <c r="AI137" s="749" t="s">
        <v>36</v>
      </c>
      <c r="AJ137" s="750" t="s">
        <v>552</v>
      </c>
      <c r="AK137" s="751">
        <v>43546</v>
      </c>
      <c r="AL137" s="752" t="s">
        <v>58</v>
      </c>
      <c r="AM137" s="753" t="s">
        <v>25</v>
      </c>
      <c r="AN137" s="90"/>
    </row>
    <row r="138" spans="1:40" s="74" customFormat="1" ht="19.5">
      <c r="A138" s="76"/>
      <c r="B138" s="77"/>
      <c r="C138" s="671" t="s">
        <v>687</v>
      </c>
      <c r="D138" s="87">
        <v>92</v>
      </c>
      <c r="E138" s="87">
        <v>5</v>
      </c>
      <c r="F138" s="87" t="s">
        <v>673</v>
      </c>
      <c r="G138" s="101" t="s">
        <v>661</v>
      </c>
      <c r="H138" s="172"/>
      <c r="I138" s="682" t="s">
        <v>603</v>
      </c>
      <c r="J138" s="678">
        <v>2268</v>
      </c>
      <c r="K138" s="678">
        <v>0</v>
      </c>
      <c r="L138" s="99">
        <v>2268</v>
      </c>
      <c r="M138" s="81">
        <f ca="1">IF(AND($AC138,$O138&gt;0),"–",$O138)</f>
        <v>0</v>
      </c>
      <c r="N138" s="80" t="s">
        <v>83</v>
      </c>
      <c r="O138" s="93">
        <f ca="1">IF(OR(ISBLANK($C138),$C138="",$C138=0),0,COUNTIF(TB_WPTags,$C138&amp;"-100"))</f>
        <v>0</v>
      </c>
      <c r="P138" s="82"/>
      <c r="Q138" s="82"/>
      <c r="R138" s="82"/>
      <c r="S138" s="82"/>
      <c r="T138" s="82"/>
      <c r="U138" s="82"/>
      <c r="V138" s="83" t="str">
        <f ca="1">IF(OR(ISBLANK($C138),$AC138),"NA",IF(COUNTIF(W:W,$C138&amp;"--1")&gt;0,"-1",IF(COUNTIF(W:W,$C138&amp;"-1")&gt;0,"1","0")))</f>
        <v>0</v>
      </c>
      <c r="W138" s="82"/>
      <c r="X138" s="83">
        <f ca="1">IF($O138&gt;0,MIN(OFFSET($X138,1,0,$O138)),0)</f>
        <v>0</v>
      </c>
      <c r="Y138" s="82" t="b">
        <f ca="1">IF(AND($O138&gt;0,AC138&lt;&gt;TRUE),COUNTIF(OFFSET($Y138,1,0,$O138),TRUE)&gt;=1,FALSE)</f>
        <v>0</v>
      </c>
      <c r="Z138" s="94" t="b">
        <f ca="1">IF(AND($O138&gt;0,AC138&lt;&gt;TRUE),COUNTIF(OFFSET($Z138,1,0,$O138),TRUE)&gt;=1,FALSE)</f>
        <v>0</v>
      </c>
      <c r="AA138" s="94" t="b">
        <f ca="1">IF(AND($O138&gt;0,AC138&lt;&gt;TRUE),COUNTIF(OFFSET($AA138,1,0,$O138),TRUE)&gt;=1,FALSE)</f>
        <v>0</v>
      </c>
      <c r="AB138" s="178">
        <f ca="1">IF(AND($O138&gt;0,AC138&lt;&gt;TRUE),SUM(OFFSET($AG138,1,0,$O138)),0)</f>
        <v>0</v>
      </c>
      <c r="AC138" s="94" t="b">
        <v>0</v>
      </c>
      <c r="AD138" s="127"/>
      <c r="AE138" s="185"/>
      <c r="AF138" s="175" t="str">
        <f ca="1">IF(AND(Y138,AC138&lt;&gt;TRUE),"]","")</f>
        <v/>
      </c>
      <c r="AG138" s="183">
        <f t="shared" ca="1" si="38"/>
        <v>0</v>
      </c>
      <c r="AH138" s="174"/>
      <c r="AI138" s="95" t="str">
        <f ca="1">IF(AND($O138&gt;0,AC138&lt;&gt;TRUE),IF($X138&gt;=1,INDEX(StatusDescriptions,$X138+1,0),StatusBlank),"")</f>
        <v/>
      </c>
      <c r="AJ138" s="110"/>
      <c r="AK138" s="111"/>
      <c r="AL138" s="110"/>
      <c r="AM138" s="110"/>
      <c r="AN138" s="90"/>
    </row>
    <row r="139" spans="1:40" s="74" customFormat="1" ht="19.5">
      <c r="A139" s="76"/>
      <c r="B139" s="77"/>
      <c r="C139" s="671" t="s">
        <v>688</v>
      </c>
      <c r="D139" s="87">
        <v>93</v>
      </c>
      <c r="E139" s="87">
        <v>4</v>
      </c>
      <c r="F139" s="87" t="s">
        <v>576</v>
      </c>
      <c r="G139" s="101" t="s">
        <v>661</v>
      </c>
      <c r="H139" s="172"/>
      <c r="I139" s="675" t="s">
        <v>689</v>
      </c>
      <c r="J139" s="678">
        <v>2268</v>
      </c>
      <c r="K139" s="678">
        <v>0</v>
      </c>
      <c r="L139" s="99">
        <v>2268</v>
      </c>
      <c r="M139" s="81">
        <f ca="1">IF(AND($AC139,$O139&gt;0),"–",$O139)</f>
        <v>0</v>
      </c>
      <c r="N139" s="80" t="s">
        <v>83</v>
      </c>
      <c r="O139" s="93">
        <f ca="1">IF(OR(ISBLANK($C139),$C139="",$C139=0),0,COUNTIF(TB_WPTags,$C139&amp;"-100"))</f>
        <v>0</v>
      </c>
      <c r="P139" s="82"/>
      <c r="Q139" s="82"/>
      <c r="R139" s="82"/>
      <c r="S139" s="82"/>
      <c r="T139" s="82"/>
      <c r="U139" s="82"/>
      <c r="V139" s="83" t="str">
        <f ca="1">IF(OR(ISBLANK($C139),$AC139),"NA",IF(COUNTIF(W:W,$C139&amp;"--1")&gt;0,"-1",IF(COUNTIF(W:W,$C139&amp;"-1")&gt;0,"1","0")))</f>
        <v>0</v>
      </c>
      <c r="W139" s="82"/>
      <c r="X139" s="83">
        <f ca="1">IF($O139&gt;0,MIN(OFFSET($X139,1,0,$O139)),0)</f>
        <v>0</v>
      </c>
      <c r="Y139" s="82" t="b">
        <f ca="1">IF(AND($O139&gt;0,AC139&lt;&gt;TRUE),COUNTIF(OFFSET($Y139,1,0,$O139),TRUE)&gt;=1,FALSE)</f>
        <v>0</v>
      </c>
      <c r="Z139" s="94" t="b">
        <f ca="1">IF(AND($O139&gt;0,AC139&lt;&gt;TRUE),COUNTIF(OFFSET($Z139,1,0,$O139),TRUE)&gt;=1,FALSE)</f>
        <v>0</v>
      </c>
      <c r="AA139" s="94" t="b">
        <f ca="1">IF(AND($O139&gt;0,AC139&lt;&gt;TRUE),COUNTIF(OFFSET($AA139,1,0,$O139),TRUE)&gt;=1,FALSE)</f>
        <v>0</v>
      </c>
      <c r="AB139" s="178">
        <f ca="1">IF(AND($O139&gt;0,AC139&lt;&gt;TRUE),SUM(OFFSET($AG139,1,0,$O139)),0)</f>
        <v>0</v>
      </c>
      <c r="AC139" s="94" t="b">
        <v>0</v>
      </c>
      <c r="AD139" s="127"/>
      <c r="AE139" s="185"/>
      <c r="AF139" s="175" t="str">
        <f ca="1">IF(AND(Y139,AC139&lt;&gt;TRUE),"]","")</f>
        <v/>
      </c>
      <c r="AG139" s="183">
        <f t="shared" ca="1" si="38"/>
        <v>0</v>
      </c>
      <c r="AH139" s="174"/>
      <c r="AI139" s="95" t="str">
        <f ca="1">IF(AND($O139&gt;0,AC139&lt;&gt;TRUE),IF($X139&gt;=1,INDEX(StatusDescriptions,$X139+1,0),StatusBlank),"")</f>
        <v/>
      </c>
      <c r="AJ139" s="110"/>
      <c r="AK139" s="111"/>
      <c r="AL139" s="110"/>
      <c r="AM139" s="110"/>
      <c r="AN139" s="90"/>
    </row>
    <row r="140" spans="1:40" s="74" customFormat="1" ht="19.5">
      <c r="A140" s="76"/>
      <c r="B140" s="77"/>
      <c r="C140" s="671" t="s">
        <v>690</v>
      </c>
      <c r="D140" s="87">
        <v>94</v>
      </c>
      <c r="E140" s="87">
        <v>4</v>
      </c>
      <c r="F140" s="87" t="s">
        <v>570</v>
      </c>
      <c r="G140" s="101" t="s">
        <v>661</v>
      </c>
      <c r="H140" s="172"/>
      <c r="I140" s="675" t="s">
        <v>691</v>
      </c>
      <c r="J140" s="97">
        <v>0</v>
      </c>
      <c r="K140" s="97">
        <v>0</v>
      </c>
      <c r="L140" s="99">
        <v>0</v>
      </c>
      <c r="M140" s="81">
        <f ca="1">IF(AND($AC140,$O140&gt;0),"–",$O140)</f>
        <v>0</v>
      </c>
      <c r="N140" s="80"/>
      <c r="O140" s="93">
        <f ca="1">IF(OR(ISBLANK($C140),$C140="",$C140=0),0,COUNTIF(TB_WPTags,$C140&amp;"-100"))</f>
        <v>0</v>
      </c>
      <c r="P140" s="82"/>
      <c r="Q140" s="82"/>
      <c r="R140" s="82"/>
      <c r="S140" s="82"/>
      <c r="T140" s="82"/>
      <c r="U140" s="82"/>
      <c r="V140" s="83" t="str">
        <f ca="1">IF(OR(ISBLANK($C140),$AC140),"NA",IF(COUNTIF(W:W,$C140&amp;"--1")&gt;0,"-1",IF(COUNTIF(W:W,$C140&amp;"-1")&gt;0,"1","0")))</f>
        <v>0</v>
      </c>
      <c r="W140" s="82"/>
      <c r="X140" s="83">
        <f ca="1">IF($O140&gt;0,MIN(OFFSET($X140,1,0,$O140)),0)</f>
        <v>0</v>
      </c>
      <c r="Y140" s="82" t="b">
        <f ca="1">IF(AND($O140&gt;0,AC140&lt;&gt;TRUE),COUNTIF(OFFSET($Y140,1,0,$O140),TRUE)&gt;=1,FALSE)</f>
        <v>0</v>
      </c>
      <c r="Z140" s="94" t="b">
        <f ca="1">IF(AND($O140&gt;0,AC140&lt;&gt;TRUE),COUNTIF(OFFSET($Z140,1,0,$O140),TRUE)&gt;=1,FALSE)</f>
        <v>0</v>
      </c>
      <c r="AA140" s="94" t="b">
        <f ca="1">IF(AND($O140&gt;0,AC140&lt;&gt;TRUE),COUNTIF(OFFSET($AA140,1,0,$O140),TRUE)&gt;=1,FALSE)</f>
        <v>0</v>
      </c>
      <c r="AB140" s="178">
        <f ca="1">IF(AND($O140&gt;0,AC140&lt;&gt;TRUE),SUM(OFFSET($AG140,1,0,$O140)),0)</f>
        <v>0</v>
      </c>
      <c r="AC140" s="94" t="b">
        <v>0</v>
      </c>
      <c r="AD140" s="127"/>
      <c r="AE140" s="185"/>
      <c r="AF140" s="175" t="str">
        <f ca="1">IF(AND(Y140,AC140&lt;&gt;TRUE),"]","")</f>
        <v/>
      </c>
      <c r="AG140" s="183">
        <f t="shared" ca="1" si="38"/>
        <v>0</v>
      </c>
      <c r="AH140" s="174"/>
      <c r="AI140" s="95" t="str">
        <f ca="1">IF(AND($O140&gt;0,AC140&lt;&gt;TRUE),IF($X140&gt;=1,INDEX(StatusDescriptions,$X140+1,0),StatusBlank),"")</f>
        <v/>
      </c>
      <c r="AJ140" s="110"/>
      <c r="AK140" s="111"/>
      <c r="AL140" s="110"/>
      <c r="AM140" s="110"/>
      <c r="AN140" s="90"/>
    </row>
    <row r="141" spans="1:40" s="74" customFormat="1" ht="19.5">
      <c r="A141" s="76"/>
      <c r="B141" s="77"/>
      <c r="C141" s="671" t="s">
        <v>692</v>
      </c>
      <c r="D141" s="87">
        <v>95</v>
      </c>
      <c r="E141" s="87">
        <v>5</v>
      </c>
      <c r="F141" s="87" t="s">
        <v>669</v>
      </c>
      <c r="G141" s="101" t="s">
        <v>661</v>
      </c>
      <c r="H141" s="172"/>
      <c r="I141" s="682" t="s">
        <v>596</v>
      </c>
      <c r="J141" s="97">
        <v>0</v>
      </c>
      <c r="K141" s="97">
        <v>0</v>
      </c>
      <c r="L141" s="99">
        <v>0</v>
      </c>
      <c r="M141" s="81">
        <f ca="1">IF(AND($AC141,$O141&gt;0),"–",$O141)</f>
        <v>0</v>
      </c>
      <c r="N141" s="80"/>
      <c r="O141" s="93">
        <f ca="1">IF(OR(ISBLANK($C141),$C141="",$C141=0),0,COUNTIF(TB_WPTags,$C141&amp;"-100"))</f>
        <v>0</v>
      </c>
      <c r="P141" s="82"/>
      <c r="Q141" s="82"/>
      <c r="R141" s="82"/>
      <c r="S141" s="82"/>
      <c r="T141" s="82"/>
      <c r="U141" s="82"/>
      <c r="V141" s="83" t="str">
        <f ca="1">IF(OR(ISBLANK($C141),$AC141),"NA",IF(COUNTIF(W:W,$C141&amp;"--1")&gt;0,"-1",IF(COUNTIF(W:W,$C141&amp;"-1")&gt;0,"1","0")))</f>
        <v>0</v>
      </c>
      <c r="W141" s="82"/>
      <c r="X141" s="83">
        <f ca="1">IF($O141&gt;0,MIN(OFFSET($X141,1,0,$O141)),0)</f>
        <v>0</v>
      </c>
      <c r="Y141" s="82" t="b">
        <f ca="1">IF(AND($O141&gt;0,AC141&lt;&gt;TRUE),COUNTIF(OFFSET($Y141,1,0,$O141),TRUE)&gt;=1,FALSE)</f>
        <v>0</v>
      </c>
      <c r="Z141" s="94" t="b">
        <f ca="1">IF(AND($O141&gt;0,AC141&lt;&gt;TRUE),COUNTIF(OFFSET($Z141,1,0,$O141),TRUE)&gt;=1,FALSE)</f>
        <v>0</v>
      </c>
      <c r="AA141" s="94" t="b">
        <f ca="1">IF(AND($O141&gt;0,AC141&lt;&gt;TRUE),COUNTIF(OFFSET($AA141,1,0,$O141),TRUE)&gt;=1,FALSE)</f>
        <v>0</v>
      </c>
      <c r="AB141" s="178">
        <f ca="1">IF(AND($O141&gt;0,AC141&lt;&gt;TRUE),SUM(OFFSET($AG141,1,0,$O141)),0)</f>
        <v>0</v>
      </c>
      <c r="AC141" s="94" t="b">
        <v>0</v>
      </c>
      <c r="AD141" s="127"/>
      <c r="AE141" s="185"/>
      <c r="AF141" s="175" t="str">
        <f ca="1">IF(AND(Y141,AC141&lt;&gt;TRUE),"]","")</f>
        <v/>
      </c>
      <c r="AG141" s="183">
        <f t="shared" ca="1" si="38"/>
        <v>0</v>
      </c>
      <c r="AH141" s="174"/>
      <c r="AI141" s="95" t="str">
        <f ca="1">IF(AND($O141&gt;0,AC141&lt;&gt;TRUE),IF($X141&gt;=1,INDEX(StatusDescriptions,$X141+1,0),StatusBlank),"")</f>
        <v/>
      </c>
      <c r="AJ141" s="110"/>
      <c r="AK141" s="111"/>
      <c r="AL141" s="110"/>
      <c r="AM141" s="110"/>
      <c r="AN141" s="90"/>
    </row>
    <row r="142" spans="1:40" s="74" customFormat="1" ht="19.5">
      <c r="A142" s="76"/>
      <c r="B142" s="77"/>
      <c r="C142" s="671" t="s">
        <v>734</v>
      </c>
      <c r="D142" s="87">
        <v>96</v>
      </c>
      <c r="E142" s="87">
        <v>6</v>
      </c>
      <c r="F142" s="87" t="s">
        <v>671</v>
      </c>
      <c r="G142" s="101" t="s">
        <v>661</v>
      </c>
      <c r="H142" s="172" t="s">
        <v>599</v>
      </c>
      <c r="I142" s="676" t="s">
        <v>1009</v>
      </c>
      <c r="J142" s="677">
        <v>135</v>
      </c>
      <c r="K142" s="677">
        <v>0</v>
      </c>
      <c r="L142" s="99">
        <v>135</v>
      </c>
      <c r="M142" s="81">
        <f ca="1">IF(AND($AC142,$O142&gt;0),"–",$O142)</f>
        <v>1</v>
      </c>
      <c r="N142" s="80" t="s">
        <v>83</v>
      </c>
      <c r="O142" s="93">
        <f ca="1">IF(OR(ISBLANK($C142),$C142="",$C142=0),0,COUNTIF(TB_WPTags,$C142&amp;"-100"))</f>
        <v>1</v>
      </c>
      <c r="P142" s="82"/>
      <c r="Q142" s="82"/>
      <c r="R142" s="82"/>
      <c r="S142" s="82"/>
      <c r="T142" s="82"/>
      <c r="U142" s="82"/>
      <c r="V142" s="83" t="str">
        <f ca="1">IF(OR(ISBLANK($C142),$AC142),"NA",IF(COUNTIF(W:W,$C142&amp;"--1")&gt;0,"-1",IF(COUNTIF(W:W,$C142&amp;"-1")&gt;0,"1","0")))</f>
        <v>1</v>
      </c>
      <c r="W142" s="82"/>
      <c r="X142" s="83">
        <f ca="1">IF($O142&gt;0,MIN(OFFSET($X142,1,0,$O142)),0)</f>
        <v>5</v>
      </c>
      <c r="Y142" s="82" t="b">
        <f ca="1">IF(AND($O142&gt;0,AC142&lt;&gt;TRUE),COUNTIF(OFFSET($Y142,1,0,$O142),TRUE)&gt;=1,FALSE)</f>
        <v>0</v>
      </c>
      <c r="Z142" s="94" t="b">
        <f ca="1">IF(AND($O142&gt;0,AC142&lt;&gt;TRUE),COUNTIF(OFFSET($Z142,1,0,$O142),TRUE)&gt;=1,FALSE)</f>
        <v>0</v>
      </c>
      <c r="AA142" s="94" t="b">
        <f ca="1">IF(AND($O142&gt;0,AC142&lt;&gt;TRUE),COUNTIF(OFFSET($AA142,1,0,$O142),TRUE)&gt;=1,FALSE)</f>
        <v>0</v>
      </c>
      <c r="AB142" s="178">
        <f ca="1">IF(AND($O142&gt;0,AC142&lt;&gt;TRUE),SUM(OFFSET($AG142,1,0,$O142)),0)</f>
        <v>0</v>
      </c>
      <c r="AC142" s="94" t="b">
        <v>0</v>
      </c>
      <c r="AD142" s="127"/>
      <c r="AE142" s="185"/>
      <c r="AF142" s="175" t="str">
        <f ca="1">IF(AND(Y142,AC142&lt;&gt;TRUE),"]","")</f>
        <v/>
      </c>
      <c r="AG142" s="183">
        <f t="shared" ca="1" si="38"/>
        <v>0</v>
      </c>
      <c r="AH142" s="174"/>
      <c r="AI142" s="95" t="str">
        <f ca="1">IF(AND($O142&gt;0,AC142&lt;&gt;TRUE),IF($X142&gt;=1,INDEX(StatusDescriptions,$X142+1,0),StatusBlank),"")</f>
        <v>Rework Complete</v>
      </c>
      <c r="AJ142" s="110"/>
      <c r="AK142" s="111"/>
      <c r="AL142" s="110"/>
      <c r="AM142" s="110"/>
      <c r="AN142" s="90"/>
    </row>
    <row r="143" spans="1:40" s="74" customFormat="1" ht="19.5" hidden="1">
      <c r="A143" s="76"/>
      <c r="B143" s="77"/>
      <c r="C143" s="86" t="s">
        <v>734</v>
      </c>
      <c r="D143" s="87">
        <f ca="1">IF(IFERROR(ROW(TrialBalanceExact)+MATCH(C143,OFFSET(TrialBalanceExact,0,0,ROWS(TrialBalanceExact),1),0)-1=ROW(),TRUE),0, IF(ISERROR(VLOOKUP(C143,TrialBalanceExact,2,0)),0,VLOOKUP(C143,TrialBalanceExact,2,0)))</f>
        <v>96</v>
      </c>
      <c r="E143" s="87">
        <v>100</v>
      </c>
      <c r="F143" s="87"/>
      <c r="G143" s="101" t="s">
        <v>661</v>
      </c>
      <c r="H143" s="172" t="s">
        <v>599</v>
      </c>
      <c r="I143" s="734"/>
      <c r="J143" s="735"/>
      <c r="K143" s="735"/>
      <c r="L143" s="736"/>
      <c r="M143" s="737"/>
      <c r="N143" s="213" t="s">
        <v>136</v>
      </c>
      <c r="O143" s="738"/>
      <c r="P143" s="739" t="str">
        <f>$C143&amp;"-"&amp;$E143</f>
        <v>property_expenses_expense.PropertyExpenses.SundryExpenses.Property.98da9e35-149c-408d-81d9-e7c6bce587f6-100</v>
      </c>
      <c r="Q143" s="739" t="s">
        <v>877</v>
      </c>
      <c r="R143" s="739" t="s">
        <v>862</v>
      </c>
      <c r="S143" s="739"/>
      <c r="T143" s="740">
        <f ca="1">ABS(IF(ISERROR(VLOOKUP(C143,TrialBalanceExact,8,0)),0,VLOOKUP(C143,TrialBalanceExact,8,0)))</f>
        <v>135</v>
      </c>
      <c r="U143" s="740">
        <f ca="1">ABS(IF(ISNUMBER(AH143),AH143,IF(ISBLANK(AH143),NA(),INDIRECT("'" &amp; _xll.SheetFromID(R143) &amp; "'!Reconcile_" &amp; SUBSTITUTE(AH143," ","")))))</f>
        <v>135</v>
      </c>
      <c r="V143" s="740">
        <f ca="1">IFERROR(IF(ABS(ROUND($T143-$U143,2))&lt;=Options_Tolerance,1,-1),0)</f>
        <v>1</v>
      </c>
      <c r="W143" s="740" t="str">
        <f ca="1">$C143&amp;"-"&amp;V143</f>
        <v>property_expenses_expense.PropertyExpenses.SundryExpenses.Property.98da9e35-149c-408d-81d9-e7c6bce587f6-1</v>
      </c>
      <c r="X143" s="741">
        <f>IFERROR(VLOOKUP(AI143,StatusDescriptionsOrder,2,0),0)</f>
        <v>5</v>
      </c>
      <c r="Y143" s="739" t="b">
        <v>0</v>
      </c>
      <c r="Z143" s="742" t="b">
        <v>0</v>
      </c>
      <c r="AA143" s="743" t="b">
        <f>IFERROR(VLOOKUP(R143,HNSW_ItemsCount!A:D,2,0)&gt;0,FALSE)</f>
        <v>0</v>
      </c>
      <c r="AB143" s="743">
        <f>IFERROR(VLOOKUP(R143,HNSW_ItemsCount!A:D,4,0),0)</f>
        <v>0</v>
      </c>
      <c r="AC143" s="744" t="b">
        <v>0</v>
      </c>
      <c r="AD143" s="127" t="s">
        <v>864</v>
      </c>
      <c r="AE143" s="745" t="s">
        <v>58</v>
      </c>
      <c r="AF143" s="746" t="s">
        <v>74</v>
      </c>
      <c r="AG143" s="747">
        <f t="shared" si="38"/>
        <v>0</v>
      </c>
      <c r="AH143" s="748">
        <v>135</v>
      </c>
      <c r="AI143" s="749" t="s">
        <v>36</v>
      </c>
      <c r="AJ143" s="750" t="s">
        <v>552</v>
      </c>
      <c r="AK143" s="751">
        <v>43546</v>
      </c>
      <c r="AL143" s="752" t="s">
        <v>58</v>
      </c>
      <c r="AM143" s="753" t="s">
        <v>25</v>
      </c>
      <c r="AN143" s="90"/>
    </row>
    <row r="144" spans="1:40" s="74" customFormat="1" ht="19.5">
      <c r="A144" s="76"/>
      <c r="B144" s="77"/>
      <c r="C144" s="671" t="s">
        <v>693</v>
      </c>
      <c r="D144" s="87">
        <v>97</v>
      </c>
      <c r="E144" s="87">
        <v>6</v>
      </c>
      <c r="F144" s="87" t="s">
        <v>671</v>
      </c>
      <c r="G144" s="101" t="s">
        <v>661</v>
      </c>
      <c r="H144" s="172" t="s">
        <v>599</v>
      </c>
      <c r="I144" s="676" t="s">
        <v>1010</v>
      </c>
      <c r="J144" s="677">
        <v>80</v>
      </c>
      <c r="K144" s="677">
        <v>0</v>
      </c>
      <c r="L144" s="99">
        <v>80</v>
      </c>
      <c r="M144" s="81">
        <f ca="1">IF(AND($AC144,$O144&gt;0),"–",$O144)</f>
        <v>1</v>
      </c>
      <c r="N144" s="80" t="s">
        <v>83</v>
      </c>
      <c r="O144" s="93">
        <f ca="1">IF(OR(ISBLANK($C144),$C144="",$C144=0),0,COUNTIF(TB_WPTags,$C144&amp;"-100"))</f>
        <v>1</v>
      </c>
      <c r="P144" s="82"/>
      <c r="Q144" s="82"/>
      <c r="R144" s="82"/>
      <c r="S144" s="82"/>
      <c r="T144" s="82"/>
      <c r="U144" s="82"/>
      <c r="V144" s="83" t="str">
        <f ca="1">IF(OR(ISBLANK($C144),$AC144),"NA",IF(COUNTIF(W:W,$C144&amp;"--1")&gt;0,"-1",IF(COUNTIF(W:W,$C144&amp;"-1")&gt;0,"1","0")))</f>
        <v>1</v>
      </c>
      <c r="W144" s="82"/>
      <c r="X144" s="83">
        <f ca="1">IF($O144&gt;0,MIN(OFFSET($X144,1,0,$O144)),0)</f>
        <v>5</v>
      </c>
      <c r="Y144" s="82" t="b">
        <f ca="1">IF(AND($O144&gt;0,AC144&lt;&gt;TRUE),COUNTIF(OFFSET($Y144,1,0,$O144),TRUE)&gt;=1,FALSE)</f>
        <v>0</v>
      </c>
      <c r="Z144" s="94" t="b">
        <f ca="1">IF(AND($O144&gt;0,AC144&lt;&gt;TRUE),COUNTIF(OFFSET($Z144,1,0,$O144),TRUE)&gt;=1,FALSE)</f>
        <v>0</v>
      </c>
      <c r="AA144" s="94" t="b">
        <f ca="1">IF(AND($O144&gt;0,AC144&lt;&gt;TRUE),COUNTIF(OFFSET($AA144,1,0,$O144),TRUE)&gt;=1,FALSE)</f>
        <v>0</v>
      </c>
      <c r="AB144" s="178">
        <f ca="1">IF(AND($O144&gt;0,AC144&lt;&gt;TRUE),SUM(OFFSET($AG144,1,0,$O144)),0)</f>
        <v>0</v>
      </c>
      <c r="AC144" s="94" t="b">
        <v>0</v>
      </c>
      <c r="AD144" s="127"/>
      <c r="AE144" s="185"/>
      <c r="AF144" s="175" t="str">
        <f ca="1">IF(AND(Y144,AC144&lt;&gt;TRUE),"]","")</f>
        <v/>
      </c>
      <c r="AG144" s="183">
        <f t="shared" ca="1" si="38"/>
        <v>0</v>
      </c>
      <c r="AH144" s="174"/>
      <c r="AI144" s="95" t="str">
        <f ca="1">IF(AND($O144&gt;0,AC144&lt;&gt;TRUE),IF($X144&gt;=1,INDEX(StatusDescriptions,$X144+1,0),StatusBlank),"")</f>
        <v>Rework Complete</v>
      </c>
      <c r="AJ144" s="110"/>
      <c r="AK144" s="111"/>
      <c r="AL144" s="110"/>
      <c r="AM144" s="110"/>
      <c r="AN144" s="90"/>
    </row>
    <row r="145" spans="1:40" s="74" customFormat="1" ht="19.5" hidden="1">
      <c r="A145" s="76"/>
      <c r="B145" s="77"/>
      <c r="C145" s="86" t="s">
        <v>693</v>
      </c>
      <c r="D145" s="87">
        <f ca="1">IF(IFERROR(ROW(TrialBalanceExact)+MATCH(C145,OFFSET(TrialBalanceExact,0,0,ROWS(TrialBalanceExact),1),0)-1=ROW(),TRUE),0, IF(ISERROR(VLOOKUP(C145,TrialBalanceExact,2,0)),0,VLOOKUP(C145,TrialBalanceExact,2,0)))</f>
        <v>97</v>
      </c>
      <c r="E145" s="87">
        <v>100</v>
      </c>
      <c r="F145" s="87"/>
      <c r="G145" s="101" t="s">
        <v>661</v>
      </c>
      <c r="H145" s="172" t="s">
        <v>599</v>
      </c>
      <c r="I145" s="734"/>
      <c r="J145" s="735"/>
      <c r="K145" s="735"/>
      <c r="L145" s="736"/>
      <c r="M145" s="737"/>
      <c r="N145" s="213" t="s">
        <v>136</v>
      </c>
      <c r="O145" s="738"/>
      <c r="P145" s="739" t="str">
        <f>$C145&amp;"-"&amp;$E145</f>
        <v>property_expenses_expense.PropertyExpenses.SundryExpenses.Property.49362750-9aeb-4984-a896-1dd8b81c2e48-100</v>
      </c>
      <c r="Q145" s="739" t="s">
        <v>877</v>
      </c>
      <c r="R145" s="739" t="s">
        <v>862</v>
      </c>
      <c r="S145" s="739"/>
      <c r="T145" s="740">
        <f ca="1">ABS(IF(ISERROR(VLOOKUP(C145,TrialBalanceExact,8,0)),0,VLOOKUP(C145,TrialBalanceExact,8,0)))</f>
        <v>80</v>
      </c>
      <c r="U145" s="740">
        <f ca="1">ABS(IF(ISNUMBER(AH145),AH145,IF(ISBLANK(AH145),NA(),INDIRECT("'" &amp; _xll.SheetFromID(R145) &amp; "'!Reconcile_" &amp; SUBSTITUTE(AH145," ","")))))</f>
        <v>80</v>
      </c>
      <c r="V145" s="740">
        <f ca="1">IFERROR(IF(ABS(ROUND($T145-$U145,2))&lt;=Options_Tolerance,1,-1),0)</f>
        <v>1</v>
      </c>
      <c r="W145" s="740" t="str">
        <f ca="1">$C145&amp;"-"&amp;V145</f>
        <v>property_expenses_expense.PropertyExpenses.SundryExpenses.Property.49362750-9aeb-4984-a896-1dd8b81c2e48-1</v>
      </c>
      <c r="X145" s="741">
        <f>IFERROR(VLOOKUP(AI145,StatusDescriptionsOrder,2,0),0)</f>
        <v>5</v>
      </c>
      <c r="Y145" s="739" t="b">
        <v>0</v>
      </c>
      <c r="Z145" s="742" t="b">
        <v>0</v>
      </c>
      <c r="AA145" s="743" t="b">
        <f>IFERROR(VLOOKUP(R145,HNSW_ItemsCount!A:D,2,0)&gt;0,FALSE)</f>
        <v>0</v>
      </c>
      <c r="AB145" s="743">
        <f>IFERROR(VLOOKUP(R145,HNSW_ItemsCount!A:D,4,0),0)</f>
        <v>0</v>
      </c>
      <c r="AC145" s="744" t="b">
        <v>0</v>
      </c>
      <c r="AD145" s="127" t="s">
        <v>864</v>
      </c>
      <c r="AE145" s="745" t="s">
        <v>58</v>
      </c>
      <c r="AF145" s="746" t="s">
        <v>74</v>
      </c>
      <c r="AG145" s="747">
        <f t="shared" si="38"/>
        <v>0</v>
      </c>
      <c r="AH145" s="748">
        <v>80</v>
      </c>
      <c r="AI145" s="749" t="s">
        <v>36</v>
      </c>
      <c r="AJ145" s="750" t="s">
        <v>552</v>
      </c>
      <c r="AK145" s="751">
        <v>43546</v>
      </c>
      <c r="AL145" s="752" t="s">
        <v>58</v>
      </c>
      <c r="AM145" s="753" t="s">
        <v>25</v>
      </c>
      <c r="AN145" s="90"/>
    </row>
    <row r="146" spans="1:40" s="74" customFormat="1" ht="19.5">
      <c r="A146" s="76"/>
      <c r="B146" s="77"/>
      <c r="C146" s="671" t="s">
        <v>694</v>
      </c>
      <c r="D146" s="87">
        <v>98</v>
      </c>
      <c r="E146" s="87">
        <v>5</v>
      </c>
      <c r="F146" s="87" t="s">
        <v>673</v>
      </c>
      <c r="G146" s="101" t="s">
        <v>661</v>
      </c>
      <c r="H146" s="172"/>
      <c r="I146" s="682" t="s">
        <v>603</v>
      </c>
      <c r="J146" s="678">
        <v>215</v>
      </c>
      <c r="K146" s="678">
        <v>0</v>
      </c>
      <c r="L146" s="99">
        <v>215</v>
      </c>
      <c r="M146" s="81">
        <f ca="1">IF(AND($AC146,$O146&gt;0),"–",$O146)</f>
        <v>0</v>
      </c>
      <c r="N146" s="80" t="s">
        <v>83</v>
      </c>
      <c r="O146" s="93">
        <f ca="1">IF(OR(ISBLANK($C146),$C146="",$C146=0),0,COUNTIF(TB_WPTags,$C146&amp;"-100"))</f>
        <v>0</v>
      </c>
      <c r="P146" s="82"/>
      <c r="Q146" s="82"/>
      <c r="R146" s="82"/>
      <c r="S146" s="82"/>
      <c r="T146" s="82"/>
      <c r="U146" s="82"/>
      <c r="V146" s="83" t="str">
        <f ca="1">IF(OR(ISBLANK($C146),$AC146),"NA",IF(COUNTIF(W:W,$C146&amp;"--1")&gt;0,"-1",IF(COUNTIF(W:W,$C146&amp;"-1")&gt;0,"1","0")))</f>
        <v>0</v>
      </c>
      <c r="W146" s="82"/>
      <c r="X146" s="83">
        <f ca="1">IF($O146&gt;0,MIN(OFFSET($X146,1,0,$O146)),0)</f>
        <v>0</v>
      </c>
      <c r="Y146" s="82" t="b">
        <f ca="1">IF(AND($O146&gt;0,AC146&lt;&gt;TRUE),COUNTIF(OFFSET($Y146,1,0,$O146),TRUE)&gt;=1,FALSE)</f>
        <v>0</v>
      </c>
      <c r="Z146" s="94" t="b">
        <f ca="1">IF(AND($O146&gt;0,AC146&lt;&gt;TRUE),COUNTIF(OFFSET($Z146,1,0,$O146),TRUE)&gt;=1,FALSE)</f>
        <v>0</v>
      </c>
      <c r="AA146" s="94" t="b">
        <f ca="1">IF(AND($O146&gt;0,AC146&lt;&gt;TRUE),COUNTIF(OFFSET($AA146,1,0,$O146),TRUE)&gt;=1,FALSE)</f>
        <v>0</v>
      </c>
      <c r="AB146" s="178">
        <f ca="1">IF(AND($O146&gt;0,AC146&lt;&gt;TRUE),SUM(OFFSET($AG146,1,0,$O146)),0)</f>
        <v>0</v>
      </c>
      <c r="AC146" s="94" t="b">
        <v>0</v>
      </c>
      <c r="AD146" s="127"/>
      <c r="AE146" s="185"/>
      <c r="AF146" s="175" t="str">
        <f ca="1">IF(AND(Y146,AC146&lt;&gt;TRUE),"]","")</f>
        <v/>
      </c>
      <c r="AG146" s="183">
        <f t="shared" ca="1" si="38"/>
        <v>0</v>
      </c>
      <c r="AH146" s="174"/>
      <c r="AI146" s="95" t="str">
        <f ca="1">IF(AND($O146&gt;0,AC146&lt;&gt;TRUE),IF($X146&gt;=1,INDEX(StatusDescriptions,$X146+1,0),StatusBlank),"")</f>
        <v/>
      </c>
      <c r="AJ146" s="110"/>
      <c r="AK146" s="111"/>
      <c r="AL146" s="110"/>
      <c r="AM146" s="110"/>
      <c r="AN146" s="90"/>
    </row>
    <row r="147" spans="1:40" s="74" customFormat="1" ht="19.5">
      <c r="A147" s="76"/>
      <c r="B147" s="77"/>
      <c r="C147" s="671" t="s">
        <v>695</v>
      </c>
      <c r="D147" s="87">
        <v>99</v>
      </c>
      <c r="E147" s="87">
        <v>4</v>
      </c>
      <c r="F147" s="87" t="s">
        <v>576</v>
      </c>
      <c r="G147" s="101" t="s">
        <v>661</v>
      </c>
      <c r="H147" s="172"/>
      <c r="I147" s="675" t="s">
        <v>696</v>
      </c>
      <c r="J147" s="678">
        <v>215</v>
      </c>
      <c r="K147" s="678">
        <v>0</v>
      </c>
      <c r="L147" s="99">
        <v>215</v>
      </c>
      <c r="M147" s="81">
        <f ca="1">IF(AND($AC147,$O147&gt;0),"–",$O147)</f>
        <v>0</v>
      </c>
      <c r="N147" s="80" t="s">
        <v>83</v>
      </c>
      <c r="O147" s="93">
        <f ca="1">IF(OR(ISBLANK($C147),$C147="",$C147=0),0,COUNTIF(TB_WPTags,$C147&amp;"-100"))</f>
        <v>0</v>
      </c>
      <c r="P147" s="82"/>
      <c r="Q147" s="82"/>
      <c r="R147" s="82"/>
      <c r="S147" s="82"/>
      <c r="T147" s="82"/>
      <c r="U147" s="82"/>
      <c r="V147" s="83" t="str">
        <f ca="1">IF(OR(ISBLANK($C147),$AC147),"NA",IF(COUNTIF(W:W,$C147&amp;"--1")&gt;0,"-1",IF(COUNTIF(W:W,$C147&amp;"-1")&gt;0,"1","0")))</f>
        <v>0</v>
      </c>
      <c r="W147" s="82"/>
      <c r="X147" s="83">
        <f ca="1">IF($O147&gt;0,MIN(OFFSET($X147,1,0,$O147)),0)</f>
        <v>0</v>
      </c>
      <c r="Y147" s="82" t="b">
        <f ca="1">IF(AND($O147&gt;0,AC147&lt;&gt;TRUE),COUNTIF(OFFSET($Y147,1,0,$O147),TRUE)&gt;=1,FALSE)</f>
        <v>0</v>
      </c>
      <c r="Z147" s="94" t="b">
        <f ca="1">IF(AND($O147&gt;0,AC147&lt;&gt;TRUE),COUNTIF(OFFSET($Z147,1,0,$O147),TRUE)&gt;=1,FALSE)</f>
        <v>0</v>
      </c>
      <c r="AA147" s="94" t="b">
        <f ca="1">IF(AND($O147&gt;0,AC147&lt;&gt;TRUE),COUNTIF(OFFSET($AA147,1,0,$O147),TRUE)&gt;=1,FALSE)</f>
        <v>0</v>
      </c>
      <c r="AB147" s="178">
        <f ca="1">IF(AND($O147&gt;0,AC147&lt;&gt;TRUE),SUM(OFFSET($AG147,1,0,$O147)),0)</f>
        <v>0</v>
      </c>
      <c r="AC147" s="94" t="b">
        <v>0</v>
      </c>
      <c r="AD147" s="127"/>
      <c r="AE147" s="185"/>
      <c r="AF147" s="175" t="str">
        <f ca="1">IF(AND(Y147,AC147&lt;&gt;TRUE),"]","")</f>
        <v/>
      </c>
      <c r="AG147" s="183">
        <f t="shared" ca="1" si="38"/>
        <v>0</v>
      </c>
      <c r="AH147" s="174"/>
      <c r="AI147" s="95" t="str">
        <f ca="1">IF(AND($O147&gt;0,AC147&lt;&gt;TRUE),IF($X147&gt;=1,INDEX(StatusDescriptions,$X147+1,0),StatusBlank),"")</f>
        <v/>
      </c>
      <c r="AJ147" s="110"/>
      <c r="AK147" s="111"/>
      <c r="AL147" s="110"/>
      <c r="AM147" s="110"/>
      <c r="AN147" s="90"/>
    </row>
    <row r="148" spans="1:40" s="74" customFormat="1" ht="19.5">
      <c r="A148" s="76"/>
      <c r="B148" s="77"/>
      <c r="C148" s="671" t="s">
        <v>697</v>
      </c>
      <c r="D148" s="87">
        <v>100</v>
      </c>
      <c r="E148" s="87">
        <v>4</v>
      </c>
      <c r="F148" s="87" t="s">
        <v>570</v>
      </c>
      <c r="G148" s="101" t="s">
        <v>661</v>
      </c>
      <c r="H148" s="172"/>
      <c r="I148" s="675" t="s">
        <v>698</v>
      </c>
      <c r="J148" s="97">
        <v>0</v>
      </c>
      <c r="K148" s="97">
        <v>0</v>
      </c>
      <c r="L148" s="99">
        <v>0</v>
      </c>
      <c r="M148" s="81">
        <f ca="1">IF(AND($AC148,$O148&gt;0),"–",$O148)</f>
        <v>0</v>
      </c>
      <c r="N148" s="80"/>
      <c r="O148" s="93">
        <f ca="1">IF(OR(ISBLANK($C148),$C148="",$C148=0),0,COUNTIF(TB_WPTags,$C148&amp;"-100"))</f>
        <v>0</v>
      </c>
      <c r="P148" s="82"/>
      <c r="Q148" s="82"/>
      <c r="R148" s="82"/>
      <c r="S148" s="82"/>
      <c r="T148" s="82"/>
      <c r="U148" s="82"/>
      <c r="V148" s="83" t="str">
        <f ca="1">IF(OR(ISBLANK($C148),$AC148),"NA",IF(COUNTIF(W:W,$C148&amp;"--1")&gt;0,"-1",IF(COUNTIF(W:W,$C148&amp;"-1")&gt;0,"1","0")))</f>
        <v>0</v>
      </c>
      <c r="W148" s="82"/>
      <c r="X148" s="83">
        <f ca="1">IF($O148&gt;0,MIN(OFFSET($X148,1,0,$O148)),0)</f>
        <v>0</v>
      </c>
      <c r="Y148" s="82" t="b">
        <f ca="1">IF(AND($O148&gt;0,AC148&lt;&gt;TRUE),COUNTIF(OFFSET($Y148,1,0,$O148),TRUE)&gt;=1,FALSE)</f>
        <v>0</v>
      </c>
      <c r="Z148" s="94" t="b">
        <f ca="1">IF(AND($O148&gt;0,AC148&lt;&gt;TRUE),COUNTIF(OFFSET($Z148,1,0,$O148),TRUE)&gt;=1,FALSE)</f>
        <v>0</v>
      </c>
      <c r="AA148" s="94" t="b">
        <f ca="1">IF(AND($O148&gt;0,AC148&lt;&gt;TRUE),COUNTIF(OFFSET($AA148,1,0,$O148),TRUE)&gt;=1,FALSE)</f>
        <v>0</v>
      </c>
      <c r="AB148" s="178">
        <f ca="1">IF(AND($O148&gt;0,AC148&lt;&gt;TRUE),SUM(OFFSET($AG148,1,0,$O148)),0)</f>
        <v>0</v>
      </c>
      <c r="AC148" s="94" t="b">
        <v>0</v>
      </c>
      <c r="AD148" s="127"/>
      <c r="AE148" s="185"/>
      <c r="AF148" s="175" t="str">
        <f ca="1">IF(AND(Y148,AC148&lt;&gt;TRUE),"]","")</f>
        <v/>
      </c>
      <c r="AG148" s="183">
        <f t="shared" ca="1" si="38"/>
        <v>0</v>
      </c>
      <c r="AH148" s="174"/>
      <c r="AI148" s="95" t="str">
        <f ca="1">IF(AND($O148&gt;0,AC148&lt;&gt;TRUE),IF($X148&gt;=1,INDEX(StatusDescriptions,$X148+1,0),StatusBlank),"")</f>
        <v/>
      </c>
      <c r="AJ148" s="110"/>
      <c r="AK148" s="111"/>
      <c r="AL148" s="110"/>
      <c r="AM148" s="110"/>
      <c r="AN148" s="90"/>
    </row>
    <row r="149" spans="1:40" s="74" customFormat="1" ht="19.5">
      <c r="A149" s="76"/>
      <c r="B149" s="77"/>
      <c r="C149" s="671" t="s">
        <v>699</v>
      </c>
      <c r="D149" s="87">
        <v>101</v>
      </c>
      <c r="E149" s="87">
        <v>5</v>
      </c>
      <c r="F149" s="87" t="s">
        <v>669</v>
      </c>
      <c r="G149" s="101" t="s">
        <v>661</v>
      </c>
      <c r="H149" s="172"/>
      <c r="I149" s="682" t="s">
        <v>596</v>
      </c>
      <c r="J149" s="97">
        <v>0</v>
      </c>
      <c r="K149" s="97">
        <v>0</v>
      </c>
      <c r="L149" s="99">
        <v>0</v>
      </c>
      <c r="M149" s="81">
        <f ca="1">IF(AND($AC149,$O149&gt;0),"–",$O149)</f>
        <v>0</v>
      </c>
      <c r="N149" s="80"/>
      <c r="O149" s="93">
        <f ca="1">IF(OR(ISBLANK($C149),$C149="",$C149=0),0,COUNTIF(TB_WPTags,$C149&amp;"-100"))</f>
        <v>0</v>
      </c>
      <c r="P149" s="82"/>
      <c r="Q149" s="82"/>
      <c r="R149" s="82"/>
      <c r="S149" s="82"/>
      <c r="T149" s="82"/>
      <c r="U149" s="82"/>
      <c r="V149" s="83" t="str">
        <f ca="1">IF(OR(ISBLANK($C149),$AC149),"NA",IF(COUNTIF(W:W,$C149&amp;"--1")&gt;0,"-1",IF(COUNTIF(W:W,$C149&amp;"-1")&gt;0,"1","0")))</f>
        <v>0</v>
      </c>
      <c r="W149" s="82"/>
      <c r="X149" s="83">
        <f ca="1">IF($O149&gt;0,MIN(OFFSET($X149,1,0,$O149)),0)</f>
        <v>0</v>
      </c>
      <c r="Y149" s="82" t="b">
        <f ca="1">IF(AND($O149&gt;0,AC149&lt;&gt;TRUE),COUNTIF(OFFSET($Y149,1,0,$O149),TRUE)&gt;=1,FALSE)</f>
        <v>0</v>
      </c>
      <c r="Z149" s="94" t="b">
        <f ca="1">IF(AND($O149&gt;0,AC149&lt;&gt;TRUE),COUNTIF(OFFSET($Z149,1,0,$O149),TRUE)&gt;=1,FALSE)</f>
        <v>0</v>
      </c>
      <c r="AA149" s="94" t="b">
        <f ca="1">IF(AND($O149&gt;0,AC149&lt;&gt;TRUE),COUNTIF(OFFSET($AA149,1,0,$O149),TRUE)&gt;=1,FALSE)</f>
        <v>0</v>
      </c>
      <c r="AB149" s="178">
        <f ca="1">IF(AND($O149&gt;0,AC149&lt;&gt;TRUE),SUM(OFFSET($AG149,1,0,$O149)),0)</f>
        <v>0</v>
      </c>
      <c r="AC149" s="94" t="b">
        <v>0</v>
      </c>
      <c r="AD149" s="127"/>
      <c r="AE149" s="185"/>
      <c r="AF149" s="175" t="str">
        <f ca="1">IF(AND(Y149,AC149&lt;&gt;TRUE),"]","")</f>
        <v/>
      </c>
      <c r="AG149" s="183">
        <f t="shared" ca="1" si="38"/>
        <v>0</v>
      </c>
      <c r="AH149" s="174"/>
      <c r="AI149" s="95" t="str">
        <f ca="1">IF(AND($O149&gt;0,AC149&lt;&gt;TRUE),IF($X149&gt;=1,INDEX(StatusDescriptions,$X149+1,0),StatusBlank),"")</f>
        <v/>
      </c>
      <c r="AJ149" s="110"/>
      <c r="AK149" s="111"/>
      <c r="AL149" s="110"/>
      <c r="AM149" s="110"/>
      <c r="AN149" s="90"/>
    </row>
    <row r="150" spans="1:40" s="74" customFormat="1" ht="19.5">
      <c r="A150" s="76"/>
      <c r="B150" s="77"/>
      <c r="C150" s="671" t="s">
        <v>735</v>
      </c>
      <c r="D150" s="87">
        <v>102</v>
      </c>
      <c r="E150" s="87">
        <v>6</v>
      </c>
      <c r="F150" s="87" t="s">
        <v>671</v>
      </c>
      <c r="G150" s="101" t="s">
        <v>661</v>
      </c>
      <c r="H150" s="172" t="s">
        <v>599</v>
      </c>
      <c r="I150" s="676" t="s">
        <v>1009</v>
      </c>
      <c r="J150" s="677">
        <v>3694.33</v>
      </c>
      <c r="K150" s="677">
        <v>0</v>
      </c>
      <c r="L150" s="99">
        <v>3694.33</v>
      </c>
      <c r="M150" s="81">
        <f ca="1">IF(AND($AC150,$O150&gt;0),"–",$O150)</f>
        <v>1</v>
      </c>
      <c r="N150" s="80" t="s">
        <v>83</v>
      </c>
      <c r="O150" s="93">
        <f ca="1">IF(OR(ISBLANK($C150),$C150="",$C150=0),0,COUNTIF(TB_WPTags,$C150&amp;"-100"))</f>
        <v>1</v>
      </c>
      <c r="P150" s="82"/>
      <c r="Q150" s="82"/>
      <c r="R150" s="82"/>
      <c r="S150" s="82"/>
      <c r="T150" s="82"/>
      <c r="U150" s="82"/>
      <c r="V150" s="83" t="str">
        <f ca="1">IF(OR(ISBLANK($C150),$AC150),"NA",IF(COUNTIF(W:W,$C150&amp;"--1")&gt;0,"-1",IF(COUNTIF(W:W,$C150&amp;"-1")&gt;0,"1","0")))</f>
        <v>1</v>
      </c>
      <c r="W150" s="82"/>
      <c r="X150" s="83">
        <f ca="1">IF($O150&gt;0,MIN(OFFSET($X150,1,0,$O150)),0)</f>
        <v>5</v>
      </c>
      <c r="Y150" s="82" t="b">
        <f ca="1">IF(AND($O150&gt;0,AC150&lt;&gt;TRUE),COUNTIF(OFFSET($Y150,1,0,$O150),TRUE)&gt;=1,FALSE)</f>
        <v>0</v>
      </c>
      <c r="Z150" s="94" t="b">
        <f ca="1">IF(AND($O150&gt;0,AC150&lt;&gt;TRUE),COUNTIF(OFFSET($Z150,1,0,$O150),TRUE)&gt;=1,FALSE)</f>
        <v>0</v>
      </c>
      <c r="AA150" s="94" t="b">
        <f ca="1">IF(AND($O150&gt;0,AC150&lt;&gt;TRUE),COUNTIF(OFFSET($AA150,1,0,$O150),TRUE)&gt;=1,FALSE)</f>
        <v>0</v>
      </c>
      <c r="AB150" s="178">
        <f ca="1">IF(AND($O150&gt;0,AC150&lt;&gt;TRUE),SUM(OFFSET($AG150,1,0,$O150)),0)</f>
        <v>0</v>
      </c>
      <c r="AC150" s="94" t="b">
        <v>0</v>
      </c>
      <c r="AD150" s="127"/>
      <c r="AE150" s="185"/>
      <c r="AF150" s="175" t="str">
        <f ca="1">IF(AND(Y150,AC150&lt;&gt;TRUE),"]","")</f>
        <v/>
      </c>
      <c r="AG150" s="183">
        <f t="shared" ca="1" si="38"/>
        <v>0</v>
      </c>
      <c r="AH150" s="174"/>
      <c r="AI150" s="95" t="str">
        <f ca="1">IF(AND($O150&gt;0,AC150&lt;&gt;TRUE),IF($X150&gt;=1,INDEX(StatusDescriptions,$X150+1,0),StatusBlank),"")</f>
        <v>Rework Complete</v>
      </c>
      <c r="AJ150" s="110"/>
      <c r="AK150" s="111"/>
      <c r="AL150" s="110"/>
      <c r="AM150" s="110"/>
      <c r="AN150" s="90"/>
    </row>
    <row r="151" spans="1:40" s="74" customFormat="1" ht="19.5" hidden="1">
      <c r="A151" s="76"/>
      <c r="B151" s="77"/>
      <c r="C151" s="86" t="s">
        <v>735</v>
      </c>
      <c r="D151" s="87">
        <f ca="1">IF(IFERROR(ROW(TrialBalanceExact)+MATCH(C151,OFFSET(TrialBalanceExact,0,0,ROWS(TrialBalanceExact),1),0)-1=ROW(),TRUE),0, IF(ISERROR(VLOOKUP(C151,TrialBalanceExact,2,0)),0,VLOOKUP(C151,TrialBalanceExact,2,0)))</f>
        <v>102</v>
      </c>
      <c r="E151" s="87">
        <v>100</v>
      </c>
      <c r="F151" s="87"/>
      <c r="G151" s="101" t="s">
        <v>661</v>
      </c>
      <c r="H151" s="172" t="s">
        <v>599</v>
      </c>
      <c r="I151" s="734"/>
      <c r="J151" s="735"/>
      <c r="K151" s="735"/>
      <c r="L151" s="736"/>
      <c r="M151" s="737"/>
      <c r="N151" s="213" t="s">
        <v>136</v>
      </c>
      <c r="O151" s="738"/>
      <c r="P151" s="739" t="str">
        <f>$C151&amp;"-"&amp;$E151</f>
        <v>property_expenses_expense.PropertyExpenses.WaterLevyFee.Property.98da9e35-149c-408d-81d9-e7c6bce587f6-100</v>
      </c>
      <c r="Q151" s="739" t="s">
        <v>877</v>
      </c>
      <c r="R151" s="739" t="s">
        <v>862</v>
      </c>
      <c r="S151" s="739"/>
      <c r="T151" s="740">
        <f ca="1">ABS(IF(ISERROR(VLOOKUP(C151,TrialBalanceExact,8,0)),0,VLOOKUP(C151,TrialBalanceExact,8,0)))</f>
        <v>3694.33</v>
      </c>
      <c r="U151" s="740">
        <f ca="1">ABS(IF(ISNUMBER(AH151),AH151,IF(ISBLANK(AH151),NA(),INDIRECT("'" &amp; _xll.SheetFromID(R151) &amp; "'!Reconcile_" &amp; SUBSTITUTE(AH151," ","")))))</f>
        <v>3694.33</v>
      </c>
      <c r="V151" s="740">
        <f ca="1">IFERROR(IF(ABS(ROUND($T151-$U151,2))&lt;=Options_Tolerance,1,-1),0)</f>
        <v>1</v>
      </c>
      <c r="W151" s="740" t="str">
        <f ca="1">$C151&amp;"-"&amp;V151</f>
        <v>property_expenses_expense.PropertyExpenses.WaterLevyFee.Property.98da9e35-149c-408d-81d9-e7c6bce587f6-1</v>
      </c>
      <c r="X151" s="741">
        <f>IFERROR(VLOOKUP(AI151,StatusDescriptionsOrder,2,0),0)</f>
        <v>5</v>
      </c>
      <c r="Y151" s="739" t="b">
        <v>0</v>
      </c>
      <c r="Z151" s="742" t="b">
        <v>0</v>
      </c>
      <c r="AA151" s="743" t="b">
        <f>IFERROR(VLOOKUP(R151,HNSW_ItemsCount!A:D,2,0)&gt;0,FALSE)</f>
        <v>0</v>
      </c>
      <c r="AB151" s="743">
        <f>IFERROR(VLOOKUP(R151,HNSW_ItemsCount!A:D,4,0),0)</f>
        <v>0</v>
      </c>
      <c r="AC151" s="744" t="b">
        <v>0</v>
      </c>
      <c r="AD151" s="127" t="s">
        <v>864</v>
      </c>
      <c r="AE151" s="745" t="s">
        <v>58</v>
      </c>
      <c r="AF151" s="746" t="s">
        <v>74</v>
      </c>
      <c r="AG151" s="747">
        <f t="shared" si="38"/>
        <v>0</v>
      </c>
      <c r="AH151" s="748">
        <v>3694.33</v>
      </c>
      <c r="AI151" s="749" t="s">
        <v>36</v>
      </c>
      <c r="AJ151" s="750" t="s">
        <v>552</v>
      </c>
      <c r="AK151" s="751">
        <v>43546</v>
      </c>
      <c r="AL151" s="752" t="s">
        <v>58</v>
      </c>
      <c r="AM151" s="753" t="s">
        <v>25</v>
      </c>
      <c r="AN151" s="90"/>
    </row>
    <row r="152" spans="1:40" s="74" customFormat="1" ht="19.5">
      <c r="A152" s="76"/>
      <c r="B152" s="77"/>
      <c r="C152" s="671" t="s">
        <v>700</v>
      </c>
      <c r="D152" s="87">
        <v>103</v>
      </c>
      <c r="E152" s="87">
        <v>6</v>
      </c>
      <c r="F152" s="87" t="s">
        <v>671</v>
      </c>
      <c r="G152" s="101" t="s">
        <v>661</v>
      </c>
      <c r="H152" s="172" t="s">
        <v>599</v>
      </c>
      <c r="I152" s="676" t="s">
        <v>1010</v>
      </c>
      <c r="J152" s="677">
        <v>3451.48</v>
      </c>
      <c r="K152" s="677">
        <v>0</v>
      </c>
      <c r="L152" s="99">
        <v>3451.48</v>
      </c>
      <c r="M152" s="81">
        <f ca="1">IF(AND($AC152,$O152&gt;0),"–",$O152)</f>
        <v>1</v>
      </c>
      <c r="N152" s="80" t="s">
        <v>83</v>
      </c>
      <c r="O152" s="93">
        <f ca="1">IF(OR(ISBLANK($C152),$C152="",$C152=0),0,COUNTIF(TB_WPTags,$C152&amp;"-100"))</f>
        <v>1</v>
      </c>
      <c r="P152" s="82"/>
      <c r="Q152" s="82"/>
      <c r="R152" s="82"/>
      <c r="S152" s="82"/>
      <c r="T152" s="82"/>
      <c r="U152" s="82"/>
      <c r="V152" s="83" t="str">
        <f ca="1">IF(OR(ISBLANK($C152),$AC152),"NA",IF(COUNTIF(W:W,$C152&amp;"--1")&gt;0,"-1",IF(COUNTIF(W:W,$C152&amp;"-1")&gt;0,"1","0")))</f>
        <v>1</v>
      </c>
      <c r="W152" s="82"/>
      <c r="X152" s="83">
        <f ca="1">IF($O152&gt;0,MIN(OFFSET($X152,1,0,$O152)),0)</f>
        <v>5</v>
      </c>
      <c r="Y152" s="82" t="b">
        <f ca="1">IF(AND($O152&gt;0,AC152&lt;&gt;TRUE),COUNTIF(OFFSET($Y152,1,0,$O152),TRUE)&gt;=1,FALSE)</f>
        <v>0</v>
      </c>
      <c r="Z152" s="94" t="b">
        <f ca="1">IF(AND($O152&gt;0,AC152&lt;&gt;TRUE),COUNTIF(OFFSET($Z152,1,0,$O152),TRUE)&gt;=1,FALSE)</f>
        <v>0</v>
      </c>
      <c r="AA152" s="94" t="b">
        <f ca="1">IF(AND($O152&gt;0,AC152&lt;&gt;TRUE),COUNTIF(OFFSET($AA152,1,0,$O152),TRUE)&gt;=1,FALSE)</f>
        <v>0</v>
      </c>
      <c r="AB152" s="178">
        <f ca="1">IF(AND($O152&gt;0,AC152&lt;&gt;TRUE),SUM(OFFSET($AG152,1,0,$O152)),0)</f>
        <v>0</v>
      </c>
      <c r="AC152" s="94" t="b">
        <v>0</v>
      </c>
      <c r="AD152" s="127"/>
      <c r="AE152" s="185"/>
      <c r="AF152" s="175" t="str">
        <f ca="1">IF(AND(Y152,AC152&lt;&gt;TRUE),"]","")</f>
        <v/>
      </c>
      <c r="AG152" s="183">
        <f t="shared" ca="1" si="38"/>
        <v>0</v>
      </c>
      <c r="AH152" s="174"/>
      <c r="AI152" s="95" t="str">
        <f ca="1">IF(AND($O152&gt;0,AC152&lt;&gt;TRUE),IF($X152&gt;=1,INDEX(StatusDescriptions,$X152+1,0),StatusBlank),"")</f>
        <v>Rework Complete</v>
      </c>
      <c r="AJ152" s="110"/>
      <c r="AK152" s="111"/>
      <c r="AL152" s="110"/>
      <c r="AM152" s="110"/>
      <c r="AN152" s="90"/>
    </row>
    <row r="153" spans="1:40" s="74" customFormat="1" ht="19.5" hidden="1">
      <c r="A153" s="76"/>
      <c r="B153" s="77"/>
      <c r="C153" s="86" t="s">
        <v>700</v>
      </c>
      <c r="D153" s="87">
        <f ca="1">IF(IFERROR(ROW(TrialBalanceExact)+MATCH(C153,OFFSET(TrialBalanceExact,0,0,ROWS(TrialBalanceExact),1),0)-1=ROW(),TRUE),0, IF(ISERROR(VLOOKUP(C153,TrialBalanceExact,2,0)),0,VLOOKUP(C153,TrialBalanceExact,2,0)))</f>
        <v>103</v>
      </c>
      <c r="E153" s="87">
        <v>100</v>
      </c>
      <c r="F153" s="87"/>
      <c r="G153" s="101" t="s">
        <v>661</v>
      </c>
      <c r="H153" s="172" t="s">
        <v>599</v>
      </c>
      <c r="I153" s="734"/>
      <c r="J153" s="735"/>
      <c r="K153" s="735"/>
      <c r="L153" s="736"/>
      <c r="M153" s="737"/>
      <c r="N153" s="213" t="s">
        <v>136</v>
      </c>
      <c r="O153" s="738"/>
      <c r="P153" s="739" t="str">
        <f>$C153&amp;"-"&amp;$E153</f>
        <v>property_expenses_expense.PropertyExpenses.WaterLevyFee.Property.49362750-9aeb-4984-a896-1dd8b81c2e48-100</v>
      </c>
      <c r="Q153" s="739" t="s">
        <v>877</v>
      </c>
      <c r="R153" s="739" t="s">
        <v>862</v>
      </c>
      <c r="S153" s="739"/>
      <c r="T153" s="740">
        <f ca="1">ABS(IF(ISERROR(VLOOKUP(C153,TrialBalanceExact,8,0)),0,VLOOKUP(C153,TrialBalanceExact,8,0)))</f>
        <v>3451.48</v>
      </c>
      <c r="U153" s="740">
        <f ca="1">ABS(IF(ISNUMBER(AH153),AH153,IF(ISBLANK(AH153),NA(),INDIRECT("'" &amp; _xll.SheetFromID(R153) &amp; "'!Reconcile_" &amp; SUBSTITUTE(AH153," ","")))))</f>
        <v>3451.48</v>
      </c>
      <c r="V153" s="740">
        <f ca="1">IFERROR(IF(ABS(ROUND($T153-$U153,2))&lt;=Options_Tolerance,1,-1),0)</f>
        <v>1</v>
      </c>
      <c r="W153" s="740" t="str">
        <f ca="1">$C153&amp;"-"&amp;V153</f>
        <v>property_expenses_expense.PropertyExpenses.WaterLevyFee.Property.49362750-9aeb-4984-a896-1dd8b81c2e48-1</v>
      </c>
      <c r="X153" s="741">
        <f>IFERROR(VLOOKUP(AI153,StatusDescriptionsOrder,2,0),0)</f>
        <v>5</v>
      </c>
      <c r="Y153" s="739" t="b">
        <v>0</v>
      </c>
      <c r="Z153" s="742" t="b">
        <v>0</v>
      </c>
      <c r="AA153" s="743" t="b">
        <f>IFERROR(VLOOKUP(R153,HNSW_ItemsCount!A:D,2,0)&gt;0,FALSE)</f>
        <v>0</v>
      </c>
      <c r="AB153" s="743">
        <f>IFERROR(VLOOKUP(R153,HNSW_ItemsCount!A:D,4,0),0)</f>
        <v>0</v>
      </c>
      <c r="AC153" s="744" t="b">
        <v>0</v>
      </c>
      <c r="AD153" s="127" t="s">
        <v>864</v>
      </c>
      <c r="AE153" s="745" t="s">
        <v>58</v>
      </c>
      <c r="AF153" s="746" t="s">
        <v>74</v>
      </c>
      <c r="AG153" s="747">
        <f t="shared" si="38"/>
        <v>0</v>
      </c>
      <c r="AH153" s="748">
        <v>3451.48</v>
      </c>
      <c r="AI153" s="749" t="s">
        <v>36</v>
      </c>
      <c r="AJ153" s="750" t="s">
        <v>552</v>
      </c>
      <c r="AK153" s="751">
        <v>43546</v>
      </c>
      <c r="AL153" s="752" t="s">
        <v>58</v>
      </c>
      <c r="AM153" s="753" t="s">
        <v>25</v>
      </c>
      <c r="AN153" s="90"/>
    </row>
    <row r="154" spans="1:40" s="74" customFormat="1" ht="19.5">
      <c r="A154" s="76"/>
      <c r="B154" s="77"/>
      <c r="C154" s="671" t="s">
        <v>701</v>
      </c>
      <c r="D154" s="87">
        <v>104</v>
      </c>
      <c r="E154" s="87">
        <v>5</v>
      </c>
      <c r="F154" s="87" t="s">
        <v>673</v>
      </c>
      <c r="G154" s="101" t="s">
        <v>661</v>
      </c>
      <c r="H154" s="172"/>
      <c r="I154" s="682" t="s">
        <v>603</v>
      </c>
      <c r="J154" s="678">
        <v>7145.81</v>
      </c>
      <c r="K154" s="678">
        <v>0</v>
      </c>
      <c r="L154" s="99">
        <v>7145.81</v>
      </c>
      <c r="M154" s="81">
        <f t="shared" ref="M154:M179" ca="1" si="57">IF(AND($AC154,$O154&gt;0),"–",$O154)</f>
        <v>0</v>
      </c>
      <c r="N154" s="80" t="s">
        <v>83</v>
      </c>
      <c r="O154" s="93">
        <f ca="1">IF(OR(ISBLANK($C154),$C154="",$C154=0),0,COUNTIF(TB_WPTags,$C154&amp;"-100"))</f>
        <v>0</v>
      </c>
      <c r="P154" s="82"/>
      <c r="Q154" s="82"/>
      <c r="R154" s="82"/>
      <c r="S154" s="82"/>
      <c r="T154" s="82"/>
      <c r="U154" s="82"/>
      <c r="V154" s="83" t="str">
        <f t="shared" ref="V154:V179" ca="1" si="58">IF(OR(ISBLANK($C154),$AC154),"NA",IF(COUNTIF(W:W,$C154&amp;"--1")&gt;0,"-1",IF(COUNTIF(W:W,$C154&amp;"-1")&gt;0,"1","0")))</f>
        <v>0</v>
      </c>
      <c r="W154" s="82"/>
      <c r="X154" s="83">
        <f t="shared" ref="X154:X179" ca="1" si="59">IF($O154&gt;0,MIN(OFFSET($X154,1,0,$O154)),0)</f>
        <v>0</v>
      </c>
      <c r="Y154" s="82" t="b">
        <f t="shared" ref="Y154:Y179" ca="1" si="60">IF(AND($O154&gt;0,AC154&lt;&gt;TRUE),COUNTIF(OFFSET($Y154,1,0,$O154),TRUE)&gt;=1,FALSE)</f>
        <v>0</v>
      </c>
      <c r="Z154" s="94" t="b">
        <f t="shared" ref="Z154:Z179" ca="1" si="61">IF(AND($O154&gt;0,AC154&lt;&gt;TRUE),COUNTIF(OFFSET($Z154,1,0,$O154),TRUE)&gt;=1,FALSE)</f>
        <v>0</v>
      </c>
      <c r="AA154" s="94" t="b">
        <f t="shared" ref="AA154:AA179" ca="1" si="62">IF(AND($O154&gt;0,AC154&lt;&gt;TRUE),COUNTIF(OFFSET($AA154,1,0,$O154),TRUE)&gt;=1,FALSE)</f>
        <v>0</v>
      </c>
      <c r="AB154" s="178">
        <f t="shared" ref="AB154:AB179" ca="1" si="63">IF(AND($O154&gt;0,AC154&lt;&gt;TRUE),SUM(OFFSET($AG154,1,0,$O154)),0)</f>
        <v>0</v>
      </c>
      <c r="AC154" s="94" t="b">
        <v>0</v>
      </c>
      <c r="AD154" s="127"/>
      <c r="AE154" s="185"/>
      <c r="AF154" s="175" t="str">
        <f t="shared" ref="AF154:AF179" ca="1" si="64">IF(AND(Y154,AC154&lt;&gt;TRUE),"]","")</f>
        <v/>
      </c>
      <c r="AG154" s="183">
        <f t="shared" ca="1" si="38"/>
        <v>0</v>
      </c>
      <c r="AH154" s="174"/>
      <c r="AI154" s="95" t="str">
        <f t="shared" ref="AI154:AI179" ca="1" si="65">IF(AND($O154&gt;0,AC154&lt;&gt;TRUE),IF($X154&gt;=1,INDEX(StatusDescriptions,$X154+1,0),StatusBlank),"")</f>
        <v/>
      </c>
      <c r="AJ154" s="110"/>
      <c r="AK154" s="111"/>
      <c r="AL154" s="110"/>
      <c r="AM154" s="110"/>
      <c r="AN154" s="90"/>
    </row>
    <row r="155" spans="1:40" s="74" customFormat="1" ht="19.5">
      <c r="A155" s="76"/>
      <c r="B155" s="77"/>
      <c r="C155" s="671" t="s">
        <v>702</v>
      </c>
      <c r="D155" s="87">
        <v>105</v>
      </c>
      <c r="E155" s="87">
        <v>4</v>
      </c>
      <c r="F155" s="87" t="s">
        <v>576</v>
      </c>
      <c r="G155" s="101" t="s">
        <v>661</v>
      </c>
      <c r="H155" s="172"/>
      <c r="I155" s="675" t="s">
        <v>703</v>
      </c>
      <c r="J155" s="678">
        <v>7145.81</v>
      </c>
      <c r="K155" s="678">
        <v>0</v>
      </c>
      <c r="L155" s="99">
        <v>7145.81</v>
      </c>
      <c r="M155" s="81">
        <f t="shared" ca="1" si="57"/>
        <v>0</v>
      </c>
      <c r="N155" s="80" t="s">
        <v>83</v>
      </c>
      <c r="O155" s="93">
        <f ca="1">IF(OR(ISBLANK($C155),$C155="",$C155=0),0,COUNTIF(TB_WPTags,$C155&amp;"-100"))</f>
        <v>0</v>
      </c>
      <c r="P155" s="82"/>
      <c r="Q155" s="82"/>
      <c r="R155" s="82"/>
      <c r="S155" s="82"/>
      <c r="T155" s="82"/>
      <c r="U155" s="82"/>
      <c r="V155" s="83" t="str">
        <f t="shared" ca="1" si="58"/>
        <v>0</v>
      </c>
      <c r="W155" s="82"/>
      <c r="X155" s="83">
        <f t="shared" ca="1" si="59"/>
        <v>0</v>
      </c>
      <c r="Y155" s="82" t="b">
        <f t="shared" ca="1" si="60"/>
        <v>0</v>
      </c>
      <c r="Z155" s="94" t="b">
        <f t="shared" ca="1" si="61"/>
        <v>0</v>
      </c>
      <c r="AA155" s="94" t="b">
        <f t="shared" ca="1" si="62"/>
        <v>0</v>
      </c>
      <c r="AB155" s="178">
        <f t="shared" ca="1" si="63"/>
        <v>0</v>
      </c>
      <c r="AC155" s="94" t="b">
        <v>0</v>
      </c>
      <c r="AD155" s="127"/>
      <c r="AE155" s="185"/>
      <c r="AF155" s="175" t="str">
        <f t="shared" ca="1" si="64"/>
        <v/>
      </c>
      <c r="AG155" s="183">
        <f t="shared" ca="1" si="38"/>
        <v>0</v>
      </c>
      <c r="AH155" s="174"/>
      <c r="AI155" s="95" t="str">
        <f t="shared" ca="1" si="65"/>
        <v/>
      </c>
      <c r="AJ155" s="110"/>
      <c r="AK155" s="111"/>
      <c r="AL155" s="110"/>
      <c r="AM155" s="110"/>
      <c r="AN155" s="90"/>
    </row>
    <row r="156" spans="1:40" s="74" customFormat="1" ht="19.5">
      <c r="A156" s="76"/>
      <c r="B156" s="77"/>
      <c r="C156" s="671" t="s">
        <v>704</v>
      </c>
      <c r="D156" s="87">
        <v>106</v>
      </c>
      <c r="E156" s="87">
        <v>3</v>
      </c>
      <c r="F156" s="87" t="s">
        <v>579</v>
      </c>
      <c r="G156" s="101" t="s">
        <v>661</v>
      </c>
      <c r="H156" s="172"/>
      <c r="I156" s="674" t="s">
        <v>705</v>
      </c>
      <c r="J156" s="678">
        <v>18200.009999999998</v>
      </c>
      <c r="K156" s="678">
        <v>0</v>
      </c>
      <c r="L156" s="99">
        <v>18200.009999999998</v>
      </c>
      <c r="M156" s="81">
        <f t="shared" ca="1" si="57"/>
        <v>0</v>
      </c>
      <c r="N156" s="80" t="s">
        <v>83</v>
      </c>
      <c r="O156" s="93">
        <f ca="1">IF(OR(ISBLANK($C156),$C156="",$C156=0),0,COUNTIF(TB_WPTags,$C156&amp;"-100"))</f>
        <v>0</v>
      </c>
      <c r="P156" s="82"/>
      <c r="Q156" s="82"/>
      <c r="R156" s="82"/>
      <c r="S156" s="82"/>
      <c r="T156" s="82"/>
      <c r="U156" s="82"/>
      <c r="V156" s="83" t="str">
        <f t="shared" ca="1" si="58"/>
        <v>0</v>
      </c>
      <c r="W156" s="82"/>
      <c r="X156" s="83">
        <f t="shared" ca="1" si="59"/>
        <v>0</v>
      </c>
      <c r="Y156" s="82" t="b">
        <f t="shared" ca="1" si="60"/>
        <v>0</v>
      </c>
      <c r="Z156" s="94" t="b">
        <f t="shared" ca="1" si="61"/>
        <v>0</v>
      </c>
      <c r="AA156" s="94" t="b">
        <f t="shared" ca="1" si="62"/>
        <v>0</v>
      </c>
      <c r="AB156" s="178">
        <f t="shared" ca="1" si="63"/>
        <v>0</v>
      </c>
      <c r="AC156" s="94" t="b">
        <v>0</v>
      </c>
      <c r="AD156" s="127"/>
      <c r="AE156" s="185"/>
      <c r="AF156" s="175" t="str">
        <f t="shared" ca="1" si="64"/>
        <v/>
      </c>
      <c r="AG156" s="183">
        <f t="shared" ca="1" si="38"/>
        <v>0</v>
      </c>
      <c r="AH156" s="174"/>
      <c r="AI156" s="95" t="str">
        <f t="shared" ca="1" si="65"/>
        <v/>
      </c>
      <c r="AJ156" s="110"/>
      <c r="AK156" s="111"/>
      <c r="AL156" s="110"/>
      <c r="AM156" s="110"/>
      <c r="AN156" s="90"/>
    </row>
    <row r="157" spans="1:40" s="74" customFormat="1" ht="19.5">
      <c r="A157" s="76"/>
      <c r="B157" s="77"/>
      <c r="C157" s="671" t="s">
        <v>736</v>
      </c>
      <c r="D157" s="87">
        <v>107</v>
      </c>
      <c r="E157" s="87">
        <v>3</v>
      </c>
      <c r="F157" s="87" t="s">
        <v>623</v>
      </c>
      <c r="G157" s="101" t="s">
        <v>661</v>
      </c>
      <c r="H157" s="172"/>
      <c r="I157" s="681" t="s">
        <v>737</v>
      </c>
      <c r="J157" s="677">
        <v>259</v>
      </c>
      <c r="K157" s="677">
        <v>0</v>
      </c>
      <c r="L157" s="99">
        <v>259</v>
      </c>
      <c r="M157" s="81">
        <f t="shared" ca="1" si="57"/>
        <v>0</v>
      </c>
      <c r="N157" s="80" t="s">
        <v>83</v>
      </c>
      <c r="O157" s="93">
        <f ca="1">IF(OR(ISBLANK($C157),$C157="",$C157=0),0,COUNTIF(TB_WPTags,$C157&amp;"-100"))</f>
        <v>0</v>
      </c>
      <c r="P157" s="82"/>
      <c r="Q157" s="82"/>
      <c r="R157" s="82"/>
      <c r="S157" s="82"/>
      <c r="T157" s="82"/>
      <c r="U157" s="82"/>
      <c r="V157" s="83" t="str">
        <f t="shared" ca="1" si="58"/>
        <v>0</v>
      </c>
      <c r="W157" s="82"/>
      <c r="X157" s="83">
        <f t="shared" ca="1" si="59"/>
        <v>0</v>
      </c>
      <c r="Y157" s="82" t="b">
        <f t="shared" ca="1" si="60"/>
        <v>0</v>
      </c>
      <c r="Z157" s="94" t="b">
        <f t="shared" ca="1" si="61"/>
        <v>0</v>
      </c>
      <c r="AA157" s="94" t="b">
        <f t="shared" ca="1" si="62"/>
        <v>0</v>
      </c>
      <c r="AB157" s="178">
        <f t="shared" ca="1" si="63"/>
        <v>0</v>
      </c>
      <c r="AC157" s="94" t="b">
        <v>0</v>
      </c>
      <c r="AD157" s="127"/>
      <c r="AE157" s="185"/>
      <c r="AF157" s="175" t="str">
        <f t="shared" ca="1" si="64"/>
        <v/>
      </c>
      <c r="AG157" s="183">
        <f t="shared" ref="AG157:AG220" ca="1" si="66">AB157</f>
        <v>0</v>
      </c>
      <c r="AH157" s="174"/>
      <c r="AI157" s="95" t="str">
        <f t="shared" ca="1" si="65"/>
        <v/>
      </c>
      <c r="AJ157" s="110"/>
      <c r="AK157" s="111"/>
      <c r="AL157" s="110"/>
      <c r="AM157" s="110"/>
      <c r="AN157" s="90"/>
    </row>
    <row r="158" spans="1:40" s="74" customFormat="1" ht="19.5">
      <c r="A158" s="76"/>
      <c r="B158" s="77"/>
      <c r="C158" s="671" t="s">
        <v>1128</v>
      </c>
      <c r="D158" s="87">
        <v>108</v>
      </c>
      <c r="E158" s="87">
        <v>3</v>
      </c>
      <c r="F158" s="87" t="s">
        <v>568</v>
      </c>
      <c r="G158" s="101" t="s">
        <v>661</v>
      </c>
      <c r="H158" s="172"/>
      <c r="I158" s="674" t="s">
        <v>1129</v>
      </c>
      <c r="J158" s="97">
        <v>0</v>
      </c>
      <c r="K158" s="97">
        <v>0</v>
      </c>
      <c r="L158" s="99">
        <v>0</v>
      </c>
      <c r="M158" s="81">
        <f t="shared" ca="1" si="57"/>
        <v>0</v>
      </c>
      <c r="N158" s="80"/>
      <c r="O158" s="93">
        <f ca="1">IF(OR(ISBLANK($C158),$C158="",$C158=0),0,COUNTIF(TB_WPTags,$C158&amp;"-100"))</f>
        <v>0</v>
      </c>
      <c r="P158" s="82"/>
      <c r="Q158" s="82"/>
      <c r="R158" s="82"/>
      <c r="S158" s="82"/>
      <c r="T158" s="82"/>
      <c r="U158" s="82"/>
      <c r="V158" s="83" t="str">
        <f t="shared" ca="1" si="58"/>
        <v>0</v>
      </c>
      <c r="W158" s="82"/>
      <c r="X158" s="83">
        <f t="shared" ca="1" si="59"/>
        <v>0</v>
      </c>
      <c r="Y158" s="82" t="b">
        <f t="shared" ca="1" si="60"/>
        <v>0</v>
      </c>
      <c r="Z158" s="94" t="b">
        <f t="shared" ca="1" si="61"/>
        <v>0</v>
      </c>
      <c r="AA158" s="94" t="b">
        <f t="shared" ca="1" si="62"/>
        <v>0</v>
      </c>
      <c r="AB158" s="178">
        <f t="shared" ca="1" si="63"/>
        <v>0</v>
      </c>
      <c r="AC158" s="94" t="b">
        <v>0</v>
      </c>
      <c r="AD158" s="127"/>
      <c r="AE158" s="185"/>
      <c r="AF158" s="175" t="str">
        <f t="shared" ca="1" si="64"/>
        <v/>
      </c>
      <c r="AG158" s="183">
        <f t="shared" ca="1" si="66"/>
        <v>0</v>
      </c>
      <c r="AH158" s="174"/>
      <c r="AI158" s="95" t="str">
        <f t="shared" ca="1" si="65"/>
        <v/>
      </c>
      <c r="AJ158" s="110"/>
      <c r="AK158" s="111"/>
      <c r="AL158" s="110"/>
      <c r="AM158" s="110"/>
      <c r="AN158" s="90"/>
    </row>
    <row r="159" spans="1:40" s="74" customFormat="1" ht="19.5">
      <c r="A159" s="76"/>
      <c r="B159" s="77"/>
      <c r="C159" s="671" t="s">
        <v>1130</v>
      </c>
      <c r="D159" s="87">
        <v>109</v>
      </c>
      <c r="E159" s="87">
        <v>4</v>
      </c>
      <c r="F159" s="87" t="s">
        <v>570</v>
      </c>
      <c r="G159" s="101" t="s">
        <v>661</v>
      </c>
      <c r="H159" s="172"/>
      <c r="I159" s="675" t="s">
        <v>596</v>
      </c>
      <c r="J159" s="97">
        <v>0</v>
      </c>
      <c r="K159" s="97">
        <v>0</v>
      </c>
      <c r="L159" s="99">
        <v>0</v>
      </c>
      <c r="M159" s="81">
        <f t="shared" ca="1" si="57"/>
        <v>0</v>
      </c>
      <c r="N159" s="80"/>
      <c r="O159" s="93">
        <f ca="1">IF(OR(ISBLANK($C159),$C159="",$C159=0),0,COUNTIF(TB_WPTags,$C159&amp;"-100"))</f>
        <v>0</v>
      </c>
      <c r="P159" s="82"/>
      <c r="Q159" s="82"/>
      <c r="R159" s="82"/>
      <c r="S159" s="82"/>
      <c r="T159" s="82"/>
      <c r="U159" s="82"/>
      <c r="V159" s="83" t="str">
        <f t="shared" ca="1" si="58"/>
        <v>0</v>
      </c>
      <c r="W159" s="82"/>
      <c r="X159" s="83">
        <f t="shared" ca="1" si="59"/>
        <v>0</v>
      </c>
      <c r="Y159" s="82" t="b">
        <f t="shared" ca="1" si="60"/>
        <v>0</v>
      </c>
      <c r="Z159" s="94" t="b">
        <f t="shared" ca="1" si="61"/>
        <v>0</v>
      </c>
      <c r="AA159" s="94" t="b">
        <f t="shared" ca="1" si="62"/>
        <v>0</v>
      </c>
      <c r="AB159" s="178">
        <f t="shared" ca="1" si="63"/>
        <v>0</v>
      </c>
      <c r="AC159" s="94" t="b">
        <v>0</v>
      </c>
      <c r="AD159" s="127"/>
      <c r="AE159" s="185"/>
      <c r="AF159" s="175" t="str">
        <f t="shared" ca="1" si="64"/>
        <v/>
      </c>
      <c r="AG159" s="183">
        <f t="shared" ca="1" si="66"/>
        <v>0</v>
      </c>
      <c r="AH159" s="174"/>
      <c r="AI159" s="95" t="str">
        <f t="shared" ca="1" si="65"/>
        <v/>
      </c>
      <c r="AJ159" s="110"/>
      <c r="AK159" s="111"/>
      <c r="AL159" s="110"/>
      <c r="AM159" s="110"/>
      <c r="AN159" s="90"/>
    </row>
    <row r="160" spans="1:40" s="74" customFormat="1" ht="19.5">
      <c r="A160" s="76"/>
      <c r="B160" s="77"/>
      <c r="C160" s="671" t="s">
        <v>1131</v>
      </c>
      <c r="D160" s="87">
        <v>110</v>
      </c>
      <c r="E160" s="87">
        <v>5</v>
      </c>
      <c r="F160" s="87" t="s">
        <v>573</v>
      </c>
      <c r="G160" s="101" t="s">
        <v>661</v>
      </c>
      <c r="H160" s="172" t="s">
        <v>599</v>
      </c>
      <c r="I160" s="676" t="s">
        <v>1009</v>
      </c>
      <c r="J160" s="677">
        <v>715</v>
      </c>
      <c r="K160" s="677">
        <v>0</v>
      </c>
      <c r="L160" s="99">
        <v>715</v>
      </c>
      <c r="M160" s="81">
        <f t="shared" ca="1" si="57"/>
        <v>0</v>
      </c>
      <c r="N160" s="80" t="s">
        <v>83</v>
      </c>
      <c r="O160" s="93">
        <f ca="1">IF(OR(ISBLANK($C160),$C160="",$C160=0),0,COUNTIF(TB_WPTags,$C160&amp;"-100"))</f>
        <v>0</v>
      </c>
      <c r="P160" s="82"/>
      <c r="Q160" s="82"/>
      <c r="R160" s="82"/>
      <c r="S160" s="82"/>
      <c r="T160" s="82"/>
      <c r="U160" s="82"/>
      <c r="V160" s="83" t="str">
        <f t="shared" ca="1" si="58"/>
        <v>0</v>
      </c>
      <c r="W160" s="82"/>
      <c r="X160" s="83">
        <f t="shared" ca="1" si="59"/>
        <v>0</v>
      </c>
      <c r="Y160" s="82" t="b">
        <f t="shared" ca="1" si="60"/>
        <v>0</v>
      </c>
      <c r="Z160" s="94" t="b">
        <f t="shared" ca="1" si="61"/>
        <v>0</v>
      </c>
      <c r="AA160" s="94" t="b">
        <f t="shared" ca="1" si="62"/>
        <v>0</v>
      </c>
      <c r="AB160" s="178">
        <f t="shared" ca="1" si="63"/>
        <v>0</v>
      </c>
      <c r="AC160" s="94" t="b">
        <v>0</v>
      </c>
      <c r="AD160" s="127"/>
      <c r="AE160" s="185"/>
      <c r="AF160" s="175" t="str">
        <f t="shared" ca="1" si="64"/>
        <v/>
      </c>
      <c r="AG160" s="183">
        <f t="shared" ca="1" si="66"/>
        <v>0</v>
      </c>
      <c r="AH160" s="174"/>
      <c r="AI160" s="95" t="str">
        <f t="shared" ca="1" si="65"/>
        <v/>
      </c>
      <c r="AJ160" s="110"/>
      <c r="AK160" s="111"/>
      <c r="AL160" s="110"/>
      <c r="AM160" s="110"/>
      <c r="AN160" s="90"/>
    </row>
    <row r="161" spans="1:40" s="74" customFormat="1" ht="19.5">
      <c r="A161" s="76"/>
      <c r="B161" s="77"/>
      <c r="C161" s="671" t="s">
        <v>1132</v>
      </c>
      <c r="D161" s="87">
        <v>111</v>
      </c>
      <c r="E161" s="87">
        <v>5</v>
      </c>
      <c r="F161" s="87" t="s">
        <v>573</v>
      </c>
      <c r="G161" s="101" t="s">
        <v>661</v>
      </c>
      <c r="H161" s="172" t="s">
        <v>599</v>
      </c>
      <c r="I161" s="676" t="s">
        <v>1010</v>
      </c>
      <c r="J161" s="677">
        <v>715</v>
      </c>
      <c r="K161" s="677">
        <v>0</v>
      </c>
      <c r="L161" s="99">
        <v>715</v>
      </c>
      <c r="M161" s="81">
        <f t="shared" ca="1" si="57"/>
        <v>0</v>
      </c>
      <c r="N161" s="80" t="s">
        <v>83</v>
      </c>
      <c r="O161" s="93">
        <f ca="1">IF(OR(ISBLANK($C161),$C161="",$C161=0),0,COUNTIF(TB_WPTags,$C161&amp;"-100"))</f>
        <v>0</v>
      </c>
      <c r="P161" s="82"/>
      <c r="Q161" s="82"/>
      <c r="R161" s="82"/>
      <c r="S161" s="82"/>
      <c r="T161" s="82"/>
      <c r="U161" s="82"/>
      <c r="V161" s="83" t="str">
        <f t="shared" ca="1" si="58"/>
        <v>0</v>
      </c>
      <c r="W161" s="82"/>
      <c r="X161" s="83">
        <f t="shared" ca="1" si="59"/>
        <v>0</v>
      </c>
      <c r="Y161" s="82" t="b">
        <f t="shared" ca="1" si="60"/>
        <v>0</v>
      </c>
      <c r="Z161" s="94" t="b">
        <f t="shared" ca="1" si="61"/>
        <v>0</v>
      </c>
      <c r="AA161" s="94" t="b">
        <f t="shared" ca="1" si="62"/>
        <v>0</v>
      </c>
      <c r="AB161" s="178">
        <f t="shared" ca="1" si="63"/>
        <v>0</v>
      </c>
      <c r="AC161" s="94" t="b">
        <v>0</v>
      </c>
      <c r="AD161" s="127"/>
      <c r="AE161" s="185"/>
      <c r="AF161" s="175" t="str">
        <f t="shared" ca="1" si="64"/>
        <v/>
      </c>
      <c r="AG161" s="183">
        <f t="shared" ca="1" si="66"/>
        <v>0</v>
      </c>
      <c r="AH161" s="174"/>
      <c r="AI161" s="95" t="str">
        <f t="shared" ca="1" si="65"/>
        <v/>
      </c>
      <c r="AJ161" s="110"/>
      <c r="AK161" s="111"/>
      <c r="AL161" s="110"/>
      <c r="AM161" s="110"/>
      <c r="AN161" s="90"/>
    </row>
    <row r="162" spans="1:40" s="74" customFormat="1" ht="19.5">
      <c r="A162" s="76"/>
      <c r="B162" s="77"/>
      <c r="C162" s="671" t="s">
        <v>1133</v>
      </c>
      <c r="D162" s="87">
        <v>112</v>
      </c>
      <c r="E162" s="87">
        <v>4</v>
      </c>
      <c r="F162" s="87" t="s">
        <v>576</v>
      </c>
      <c r="G162" s="101" t="s">
        <v>661</v>
      </c>
      <c r="H162" s="172"/>
      <c r="I162" s="675" t="s">
        <v>603</v>
      </c>
      <c r="J162" s="678">
        <v>1430</v>
      </c>
      <c r="K162" s="678">
        <v>0</v>
      </c>
      <c r="L162" s="99">
        <v>1430</v>
      </c>
      <c r="M162" s="81">
        <f t="shared" ca="1" si="57"/>
        <v>0</v>
      </c>
      <c r="N162" s="80" t="s">
        <v>83</v>
      </c>
      <c r="O162" s="93">
        <f ca="1">IF(OR(ISBLANK($C162),$C162="",$C162=0),0,COUNTIF(TB_WPTags,$C162&amp;"-100"))</f>
        <v>0</v>
      </c>
      <c r="P162" s="82"/>
      <c r="Q162" s="82"/>
      <c r="R162" s="82"/>
      <c r="S162" s="82"/>
      <c r="T162" s="82"/>
      <c r="U162" s="82"/>
      <c r="V162" s="83" t="str">
        <f t="shared" ca="1" si="58"/>
        <v>0</v>
      </c>
      <c r="W162" s="82"/>
      <c r="X162" s="83">
        <f t="shared" ca="1" si="59"/>
        <v>0</v>
      </c>
      <c r="Y162" s="82" t="b">
        <f t="shared" ca="1" si="60"/>
        <v>0</v>
      </c>
      <c r="Z162" s="94" t="b">
        <f t="shared" ca="1" si="61"/>
        <v>0</v>
      </c>
      <c r="AA162" s="94" t="b">
        <f t="shared" ca="1" si="62"/>
        <v>0</v>
      </c>
      <c r="AB162" s="178">
        <f t="shared" ca="1" si="63"/>
        <v>0</v>
      </c>
      <c r="AC162" s="94" t="b">
        <v>0</v>
      </c>
      <c r="AD162" s="127"/>
      <c r="AE162" s="185"/>
      <c r="AF162" s="175" t="str">
        <f t="shared" ca="1" si="64"/>
        <v/>
      </c>
      <c r="AG162" s="183">
        <f t="shared" ca="1" si="66"/>
        <v>0</v>
      </c>
      <c r="AH162" s="174"/>
      <c r="AI162" s="95" t="str">
        <f t="shared" ca="1" si="65"/>
        <v/>
      </c>
      <c r="AJ162" s="110"/>
      <c r="AK162" s="111"/>
      <c r="AL162" s="110"/>
      <c r="AM162" s="110"/>
      <c r="AN162" s="90"/>
    </row>
    <row r="163" spans="1:40" s="74" customFormat="1" ht="19.5">
      <c r="A163" s="76"/>
      <c r="B163" s="77"/>
      <c r="C163" s="671" t="s">
        <v>1134</v>
      </c>
      <c r="D163" s="87">
        <v>113</v>
      </c>
      <c r="E163" s="87">
        <v>3</v>
      </c>
      <c r="F163" s="87" t="s">
        <v>579</v>
      </c>
      <c r="G163" s="101" t="s">
        <v>661</v>
      </c>
      <c r="H163" s="172"/>
      <c r="I163" s="674" t="s">
        <v>1135</v>
      </c>
      <c r="J163" s="678">
        <v>1430</v>
      </c>
      <c r="K163" s="678">
        <v>0</v>
      </c>
      <c r="L163" s="99">
        <v>1430</v>
      </c>
      <c r="M163" s="81">
        <f t="shared" ca="1" si="57"/>
        <v>0</v>
      </c>
      <c r="N163" s="80" t="s">
        <v>83</v>
      </c>
      <c r="O163" s="93">
        <f ca="1">IF(OR(ISBLANK($C163),$C163="",$C163=0),0,COUNTIF(TB_WPTags,$C163&amp;"-100"))</f>
        <v>0</v>
      </c>
      <c r="P163" s="82"/>
      <c r="Q163" s="82"/>
      <c r="R163" s="82"/>
      <c r="S163" s="82"/>
      <c r="T163" s="82"/>
      <c r="U163" s="82"/>
      <c r="V163" s="83" t="str">
        <f t="shared" ca="1" si="58"/>
        <v>0</v>
      </c>
      <c r="W163" s="82"/>
      <c r="X163" s="83">
        <f t="shared" ca="1" si="59"/>
        <v>0</v>
      </c>
      <c r="Y163" s="82" t="b">
        <f t="shared" ca="1" si="60"/>
        <v>0</v>
      </c>
      <c r="Z163" s="94" t="b">
        <f t="shared" ca="1" si="61"/>
        <v>0</v>
      </c>
      <c r="AA163" s="94" t="b">
        <f t="shared" ca="1" si="62"/>
        <v>0</v>
      </c>
      <c r="AB163" s="178">
        <f t="shared" ca="1" si="63"/>
        <v>0</v>
      </c>
      <c r="AC163" s="94" t="b">
        <v>0</v>
      </c>
      <c r="AD163" s="127"/>
      <c r="AE163" s="185"/>
      <c r="AF163" s="175" t="str">
        <f t="shared" ca="1" si="64"/>
        <v/>
      </c>
      <c r="AG163" s="183">
        <f t="shared" ca="1" si="66"/>
        <v>0</v>
      </c>
      <c r="AH163" s="174"/>
      <c r="AI163" s="95" t="str">
        <f t="shared" ca="1" si="65"/>
        <v/>
      </c>
      <c r="AJ163" s="110"/>
      <c r="AK163" s="111"/>
      <c r="AL163" s="110"/>
      <c r="AM163" s="110"/>
      <c r="AN163" s="90"/>
    </row>
    <row r="164" spans="1:40" s="74" customFormat="1" ht="19.5">
      <c r="A164" s="76"/>
      <c r="B164" s="77"/>
      <c r="C164" s="671" t="s">
        <v>706</v>
      </c>
      <c r="D164" s="87">
        <v>114</v>
      </c>
      <c r="E164" s="87">
        <v>2</v>
      </c>
      <c r="F164" s="87" t="s">
        <v>582</v>
      </c>
      <c r="G164" s="101" t="s">
        <v>661</v>
      </c>
      <c r="H164" s="172"/>
      <c r="I164" s="673" t="s">
        <v>707</v>
      </c>
      <c r="J164" s="678">
        <v>29256.01</v>
      </c>
      <c r="K164" s="678">
        <v>0</v>
      </c>
      <c r="L164" s="99">
        <v>29256.01</v>
      </c>
      <c r="M164" s="81">
        <f t="shared" ca="1" si="57"/>
        <v>0</v>
      </c>
      <c r="N164" s="80" t="s">
        <v>83</v>
      </c>
      <c r="O164" s="93">
        <f ca="1">IF(OR(ISBLANK($C164),$C164="",$C164=0),0,COUNTIF(TB_WPTags,$C164&amp;"-100"))</f>
        <v>0</v>
      </c>
      <c r="P164" s="82"/>
      <c r="Q164" s="82"/>
      <c r="R164" s="82"/>
      <c r="S164" s="82"/>
      <c r="T164" s="82"/>
      <c r="U164" s="82"/>
      <c r="V164" s="83" t="str">
        <f t="shared" ca="1" si="58"/>
        <v>0</v>
      </c>
      <c r="W164" s="82"/>
      <c r="X164" s="83">
        <f t="shared" ca="1" si="59"/>
        <v>0</v>
      </c>
      <c r="Y164" s="82" t="b">
        <f t="shared" ca="1" si="60"/>
        <v>0</v>
      </c>
      <c r="Z164" s="94" t="b">
        <f t="shared" ca="1" si="61"/>
        <v>0</v>
      </c>
      <c r="AA164" s="94" t="b">
        <f t="shared" ca="1" si="62"/>
        <v>0</v>
      </c>
      <c r="AB164" s="178">
        <f t="shared" ca="1" si="63"/>
        <v>0</v>
      </c>
      <c r="AC164" s="94" t="b">
        <v>0</v>
      </c>
      <c r="AD164" s="127"/>
      <c r="AE164" s="185"/>
      <c r="AF164" s="175" t="str">
        <f t="shared" ca="1" si="64"/>
        <v/>
      </c>
      <c r="AG164" s="183">
        <f t="shared" ca="1" si="66"/>
        <v>0</v>
      </c>
      <c r="AH164" s="174"/>
      <c r="AI164" s="95" t="str">
        <f t="shared" ca="1" si="65"/>
        <v/>
      </c>
      <c r="AJ164" s="110"/>
      <c r="AK164" s="111"/>
      <c r="AL164" s="110"/>
      <c r="AM164" s="110"/>
      <c r="AN164" s="90"/>
    </row>
    <row r="165" spans="1:40" s="74" customFormat="1" ht="19.5">
      <c r="A165" s="76"/>
      <c r="B165" s="77"/>
      <c r="C165" s="671" t="s">
        <v>708</v>
      </c>
      <c r="D165" s="87">
        <v>115</v>
      </c>
      <c r="E165" s="87">
        <v>1</v>
      </c>
      <c r="F165" s="87" t="s">
        <v>585</v>
      </c>
      <c r="G165" s="101" t="s">
        <v>661</v>
      </c>
      <c r="H165" s="172"/>
      <c r="I165" s="673" t="s">
        <v>709</v>
      </c>
      <c r="J165" s="678">
        <v>59256.01</v>
      </c>
      <c r="K165" s="678">
        <v>0</v>
      </c>
      <c r="L165" s="99">
        <v>59256.01</v>
      </c>
      <c r="M165" s="81">
        <f t="shared" ca="1" si="57"/>
        <v>0</v>
      </c>
      <c r="N165" s="80" t="s">
        <v>83</v>
      </c>
      <c r="O165" s="93">
        <f ca="1">IF(OR(ISBLANK($C165),$C165="",$C165=0),0,COUNTIF(TB_WPTags,$C165&amp;"-100"))</f>
        <v>0</v>
      </c>
      <c r="P165" s="82"/>
      <c r="Q165" s="82"/>
      <c r="R165" s="82"/>
      <c r="S165" s="82"/>
      <c r="T165" s="82"/>
      <c r="U165" s="82"/>
      <c r="V165" s="83" t="str">
        <f t="shared" ca="1" si="58"/>
        <v>0</v>
      </c>
      <c r="W165" s="82"/>
      <c r="X165" s="83">
        <f t="shared" ca="1" si="59"/>
        <v>0</v>
      </c>
      <c r="Y165" s="82" t="b">
        <f t="shared" ca="1" si="60"/>
        <v>0</v>
      </c>
      <c r="Z165" s="94" t="b">
        <f t="shared" ca="1" si="61"/>
        <v>0</v>
      </c>
      <c r="AA165" s="94" t="b">
        <f t="shared" ca="1" si="62"/>
        <v>0</v>
      </c>
      <c r="AB165" s="178">
        <f t="shared" ca="1" si="63"/>
        <v>0</v>
      </c>
      <c r="AC165" s="94" t="b">
        <v>0</v>
      </c>
      <c r="AD165" s="127"/>
      <c r="AE165" s="185"/>
      <c r="AF165" s="175" t="str">
        <f t="shared" ca="1" si="64"/>
        <v/>
      </c>
      <c r="AG165" s="183">
        <f t="shared" ca="1" si="66"/>
        <v>0</v>
      </c>
      <c r="AH165" s="174"/>
      <c r="AI165" s="95" t="str">
        <f t="shared" ca="1" si="65"/>
        <v/>
      </c>
      <c r="AJ165" s="110"/>
      <c r="AK165" s="111"/>
      <c r="AL165" s="110"/>
      <c r="AM165" s="110"/>
      <c r="AN165" s="90"/>
    </row>
    <row r="166" spans="1:40" s="74" customFormat="1" ht="19.5">
      <c r="A166" s="76"/>
      <c r="B166" s="77"/>
      <c r="C166" s="671" t="s">
        <v>1055</v>
      </c>
      <c r="D166" s="87">
        <v>116</v>
      </c>
      <c r="E166" s="87">
        <v>1</v>
      </c>
      <c r="F166" s="87" t="s">
        <v>562</v>
      </c>
      <c r="G166" s="101" t="s">
        <v>1056</v>
      </c>
      <c r="H166" s="172"/>
      <c r="I166" s="672" t="s">
        <v>1055</v>
      </c>
      <c r="J166" s="97">
        <v>0</v>
      </c>
      <c r="K166" s="97">
        <v>0</v>
      </c>
      <c r="L166" s="99">
        <v>0</v>
      </c>
      <c r="M166" s="81">
        <f t="shared" ca="1" si="57"/>
        <v>0</v>
      </c>
      <c r="N166" s="80"/>
      <c r="O166" s="93">
        <f ca="1">IF(OR(ISBLANK($C166),$C166="",$C166=0),0,COUNTIF(TB_WPTags,$C166&amp;"-100"))</f>
        <v>0</v>
      </c>
      <c r="P166" s="82"/>
      <c r="Q166" s="82"/>
      <c r="R166" s="82"/>
      <c r="S166" s="82"/>
      <c r="T166" s="82"/>
      <c r="U166" s="82"/>
      <c r="V166" s="83" t="str">
        <f t="shared" ca="1" si="58"/>
        <v>0</v>
      </c>
      <c r="W166" s="82"/>
      <c r="X166" s="83">
        <f t="shared" ca="1" si="59"/>
        <v>0</v>
      </c>
      <c r="Y166" s="82" t="b">
        <f t="shared" ca="1" si="60"/>
        <v>0</v>
      </c>
      <c r="Z166" s="94" t="b">
        <f t="shared" ca="1" si="61"/>
        <v>0</v>
      </c>
      <c r="AA166" s="94" t="b">
        <f t="shared" ca="1" si="62"/>
        <v>0</v>
      </c>
      <c r="AB166" s="178">
        <f t="shared" ca="1" si="63"/>
        <v>0</v>
      </c>
      <c r="AC166" s="94" t="b">
        <v>0</v>
      </c>
      <c r="AD166" s="127"/>
      <c r="AE166" s="185"/>
      <c r="AF166" s="175" t="str">
        <f t="shared" ca="1" si="64"/>
        <v/>
      </c>
      <c r="AG166" s="183">
        <f t="shared" ca="1" si="66"/>
        <v>0</v>
      </c>
      <c r="AH166" s="174"/>
      <c r="AI166" s="95" t="str">
        <f t="shared" ca="1" si="65"/>
        <v/>
      </c>
      <c r="AJ166" s="110"/>
      <c r="AK166" s="111"/>
      <c r="AL166" s="110"/>
      <c r="AM166" s="110"/>
      <c r="AN166" s="90"/>
    </row>
    <row r="167" spans="1:40" s="74" customFormat="1" ht="19.5">
      <c r="A167" s="76"/>
      <c r="B167" s="77"/>
      <c r="C167" s="671" t="s">
        <v>1057</v>
      </c>
      <c r="D167" s="87">
        <v>117</v>
      </c>
      <c r="E167" s="87">
        <v>2</v>
      </c>
      <c r="F167" s="87" t="s">
        <v>565</v>
      </c>
      <c r="G167" s="101" t="s">
        <v>1056</v>
      </c>
      <c r="H167" s="172"/>
      <c r="I167" s="673" t="s">
        <v>1058</v>
      </c>
      <c r="J167" s="97">
        <v>0</v>
      </c>
      <c r="K167" s="97">
        <v>0</v>
      </c>
      <c r="L167" s="99">
        <v>0</v>
      </c>
      <c r="M167" s="81">
        <f t="shared" ca="1" si="57"/>
        <v>0</v>
      </c>
      <c r="N167" s="80"/>
      <c r="O167" s="93">
        <f ca="1">IF(OR(ISBLANK($C167),$C167="",$C167=0),0,COUNTIF(TB_WPTags,$C167&amp;"-100"))</f>
        <v>0</v>
      </c>
      <c r="P167" s="82"/>
      <c r="Q167" s="82"/>
      <c r="R167" s="82"/>
      <c r="S167" s="82"/>
      <c r="T167" s="82"/>
      <c r="U167" s="82"/>
      <c r="V167" s="83" t="str">
        <f t="shared" ca="1" si="58"/>
        <v>0</v>
      </c>
      <c r="W167" s="82"/>
      <c r="X167" s="83">
        <f t="shared" ca="1" si="59"/>
        <v>0</v>
      </c>
      <c r="Y167" s="82" t="b">
        <f t="shared" ca="1" si="60"/>
        <v>0</v>
      </c>
      <c r="Z167" s="94" t="b">
        <f t="shared" ca="1" si="61"/>
        <v>0</v>
      </c>
      <c r="AA167" s="94" t="b">
        <f t="shared" ca="1" si="62"/>
        <v>0</v>
      </c>
      <c r="AB167" s="178">
        <f t="shared" ca="1" si="63"/>
        <v>0</v>
      </c>
      <c r="AC167" s="94" t="b">
        <v>0</v>
      </c>
      <c r="AD167" s="127"/>
      <c r="AE167" s="185"/>
      <c r="AF167" s="175" t="str">
        <f t="shared" ca="1" si="64"/>
        <v/>
      </c>
      <c r="AG167" s="183">
        <f t="shared" ca="1" si="66"/>
        <v>0</v>
      </c>
      <c r="AH167" s="174"/>
      <c r="AI167" s="95" t="str">
        <f t="shared" ca="1" si="65"/>
        <v/>
      </c>
      <c r="AJ167" s="110"/>
      <c r="AK167" s="111"/>
      <c r="AL167" s="110"/>
      <c r="AM167" s="110"/>
      <c r="AN167" s="90"/>
    </row>
    <row r="168" spans="1:40" s="74" customFormat="1" ht="19.5">
      <c r="A168" s="76"/>
      <c r="B168" s="77"/>
      <c r="C168" s="671" t="s">
        <v>1059</v>
      </c>
      <c r="D168" s="87">
        <v>118</v>
      </c>
      <c r="E168" s="87">
        <v>3</v>
      </c>
      <c r="F168" s="87" t="s">
        <v>623</v>
      </c>
      <c r="G168" s="101" t="s">
        <v>1056</v>
      </c>
      <c r="H168" s="172"/>
      <c r="I168" s="681" t="s">
        <v>1058</v>
      </c>
      <c r="J168" s="677">
        <v>18039.53</v>
      </c>
      <c r="K168" s="677">
        <v>0</v>
      </c>
      <c r="L168" s="99">
        <v>18039.53</v>
      </c>
      <c r="M168" s="81">
        <f t="shared" ca="1" si="57"/>
        <v>0</v>
      </c>
      <c r="N168" s="80" t="s">
        <v>83</v>
      </c>
      <c r="O168" s="93">
        <f ca="1">IF(OR(ISBLANK($C168),$C168="",$C168=0),0,COUNTIF(TB_WPTags,$C168&amp;"-100"))</f>
        <v>0</v>
      </c>
      <c r="P168" s="82"/>
      <c r="Q168" s="82"/>
      <c r="R168" s="82"/>
      <c r="S168" s="82"/>
      <c r="T168" s="82"/>
      <c r="U168" s="82"/>
      <c r="V168" s="83" t="str">
        <f t="shared" ca="1" si="58"/>
        <v>0</v>
      </c>
      <c r="W168" s="82"/>
      <c r="X168" s="83">
        <f t="shared" ca="1" si="59"/>
        <v>0</v>
      </c>
      <c r="Y168" s="82" t="b">
        <f t="shared" ca="1" si="60"/>
        <v>0</v>
      </c>
      <c r="Z168" s="94" t="b">
        <f t="shared" ca="1" si="61"/>
        <v>0</v>
      </c>
      <c r="AA168" s="94" t="b">
        <f t="shared" ca="1" si="62"/>
        <v>0</v>
      </c>
      <c r="AB168" s="178">
        <f t="shared" ca="1" si="63"/>
        <v>0</v>
      </c>
      <c r="AC168" s="94" t="b">
        <v>0</v>
      </c>
      <c r="AD168" s="127"/>
      <c r="AE168" s="185"/>
      <c r="AF168" s="175" t="str">
        <f t="shared" ca="1" si="64"/>
        <v/>
      </c>
      <c r="AG168" s="183">
        <f t="shared" ca="1" si="66"/>
        <v>0</v>
      </c>
      <c r="AH168" s="174"/>
      <c r="AI168" s="95" t="str">
        <f t="shared" ca="1" si="65"/>
        <v/>
      </c>
      <c r="AJ168" s="110"/>
      <c r="AK168" s="111"/>
      <c r="AL168" s="110"/>
      <c r="AM168" s="110"/>
      <c r="AN168" s="90"/>
    </row>
    <row r="169" spans="1:40" s="74" customFormat="1" ht="19.5">
      <c r="A169" s="76"/>
      <c r="B169" s="77"/>
      <c r="C169" s="671" t="s">
        <v>1060</v>
      </c>
      <c r="D169" s="87">
        <v>119</v>
      </c>
      <c r="E169" s="87">
        <v>2</v>
      </c>
      <c r="F169" s="87" t="s">
        <v>582</v>
      </c>
      <c r="G169" s="101" t="s">
        <v>1056</v>
      </c>
      <c r="H169" s="172"/>
      <c r="I169" s="673" t="s">
        <v>1061</v>
      </c>
      <c r="J169" s="678">
        <v>18039.53</v>
      </c>
      <c r="K169" s="678">
        <v>0</v>
      </c>
      <c r="L169" s="99">
        <v>18039.53</v>
      </c>
      <c r="M169" s="81">
        <f t="shared" ca="1" si="57"/>
        <v>0</v>
      </c>
      <c r="N169" s="80" t="s">
        <v>83</v>
      </c>
      <c r="O169" s="93">
        <f ca="1">IF(OR(ISBLANK($C169),$C169="",$C169=0),0,COUNTIF(TB_WPTags,$C169&amp;"-100"))</f>
        <v>0</v>
      </c>
      <c r="P169" s="82"/>
      <c r="Q169" s="82"/>
      <c r="R169" s="82"/>
      <c r="S169" s="82"/>
      <c r="T169" s="82"/>
      <c r="U169" s="82"/>
      <c r="V169" s="83" t="str">
        <f t="shared" ca="1" si="58"/>
        <v>0</v>
      </c>
      <c r="W169" s="82"/>
      <c r="X169" s="83">
        <f t="shared" ca="1" si="59"/>
        <v>0</v>
      </c>
      <c r="Y169" s="82" t="b">
        <f t="shared" ca="1" si="60"/>
        <v>0</v>
      </c>
      <c r="Z169" s="94" t="b">
        <f t="shared" ca="1" si="61"/>
        <v>0</v>
      </c>
      <c r="AA169" s="94" t="b">
        <f t="shared" ca="1" si="62"/>
        <v>0</v>
      </c>
      <c r="AB169" s="178">
        <f t="shared" ca="1" si="63"/>
        <v>0</v>
      </c>
      <c r="AC169" s="94" t="b">
        <v>0</v>
      </c>
      <c r="AD169" s="127"/>
      <c r="AE169" s="185"/>
      <c r="AF169" s="175" t="str">
        <f t="shared" ca="1" si="64"/>
        <v/>
      </c>
      <c r="AG169" s="183">
        <f t="shared" ca="1" si="66"/>
        <v>0</v>
      </c>
      <c r="AH169" s="174"/>
      <c r="AI169" s="95" t="str">
        <f t="shared" ca="1" si="65"/>
        <v/>
      </c>
      <c r="AJ169" s="110"/>
      <c r="AK169" s="111"/>
      <c r="AL169" s="110"/>
      <c r="AM169" s="110"/>
      <c r="AN169" s="90"/>
    </row>
    <row r="170" spans="1:40" s="74" customFormat="1" ht="19.5">
      <c r="A170" s="76"/>
      <c r="B170" s="77"/>
      <c r="C170" s="671" t="s">
        <v>1062</v>
      </c>
      <c r="D170" s="87">
        <v>120</v>
      </c>
      <c r="E170" s="87">
        <v>1</v>
      </c>
      <c r="F170" s="87" t="s">
        <v>585</v>
      </c>
      <c r="G170" s="101" t="s">
        <v>1056</v>
      </c>
      <c r="H170" s="172"/>
      <c r="I170" s="673" t="s">
        <v>1063</v>
      </c>
      <c r="J170" s="678">
        <v>18039.53</v>
      </c>
      <c r="K170" s="678">
        <v>0</v>
      </c>
      <c r="L170" s="99">
        <v>18039.53</v>
      </c>
      <c r="M170" s="81">
        <f t="shared" ca="1" si="57"/>
        <v>0</v>
      </c>
      <c r="N170" s="80" t="s">
        <v>83</v>
      </c>
      <c r="O170" s="93">
        <f ca="1">IF(OR(ISBLANK($C170),$C170="",$C170=0),0,COUNTIF(TB_WPTags,$C170&amp;"-100"))</f>
        <v>0</v>
      </c>
      <c r="P170" s="82"/>
      <c r="Q170" s="82"/>
      <c r="R170" s="82"/>
      <c r="S170" s="82"/>
      <c r="T170" s="82"/>
      <c r="U170" s="82"/>
      <c r="V170" s="83" t="str">
        <f t="shared" ca="1" si="58"/>
        <v>0</v>
      </c>
      <c r="W170" s="82"/>
      <c r="X170" s="83">
        <f t="shared" ca="1" si="59"/>
        <v>0</v>
      </c>
      <c r="Y170" s="82" t="b">
        <f t="shared" ca="1" si="60"/>
        <v>0</v>
      </c>
      <c r="Z170" s="94" t="b">
        <f t="shared" ca="1" si="61"/>
        <v>0</v>
      </c>
      <c r="AA170" s="94" t="b">
        <f t="shared" ca="1" si="62"/>
        <v>0</v>
      </c>
      <c r="AB170" s="178">
        <f t="shared" ca="1" si="63"/>
        <v>0</v>
      </c>
      <c r="AC170" s="94" t="b">
        <v>0</v>
      </c>
      <c r="AD170" s="127"/>
      <c r="AE170" s="185"/>
      <c r="AF170" s="175" t="str">
        <f t="shared" ca="1" si="64"/>
        <v/>
      </c>
      <c r="AG170" s="183">
        <f t="shared" ca="1" si="66"/>
        <v>0</v>
      </c>
      <c r="AH170" s="174"/>
      <c r="AI170" s="95" t="str">
        <f t="shared" ca="1" si="65"/>
        <v/>
      </c>
      <c r="AJ170" s="110"/>
      <c r="AK170" s="111"/>
      <c r="AL170" s="110"/>
      <c r="AM170" s="110"/>
      <c r="AN170" s="90"/>
    </row>
    <row r="171" spans="1:40" s="74" customFormat="1" ht="19.5">
      <c r="A171" s="76"/>
      <c r="B171" s="77"/>
      <c r="C171" s="671" t="s">
        <v>587</v>
      </c>
      <c r="D171" s="87">
        <v>121</v>
      </c>
      <c r="E171" s="87">
        <v>1</v>
      </c>
      <c r="F171" s="87" t="s">
        <v>562</v>
      </c>
      <c r="G171" s="101" t="s">
        <v>588</v>
      </c>
      <c r="H171" s="172"/>
      <c r="I171" s="672" t="s">
        <v>587</v>
      </c>
      <c r="J171" s="97">
        <v>0</v>
      </c>
      <c r="K171" s="97">
        <v>0</v>
      </c>
      <c r="L171" s="99">
        <v>0</v>
      </c>
      <c r="M171" s="81">
        <f t="shared" ca="1" si="57"/>
        <v>0</v>
      </c>
      <c r="N171" s="80"/>
      <c r="O171" s="93">
        <f ca="1">IF(OR(ISBLANK($C171),$C171="",$C171=0),0,COUNTIF(TB_WPTags,$C171&amp;"-100"))</f>
        <v>0</v>
      </c>
      <c r="P171" s="82"/>
      <c r="Q171" s="82"/>
      <c r="R171" s="82"/>
      <c r="S171" s="82"/>
      <c r="T171" s="82"/>
      <c r="U171" s="82"/>
      <c r="V171" s="83" t="str">
        <f t="shared" ca="1" si="58"/>
        <v>0</v>
      </c>
      <c r="W171" s="82"/>
      <c r="X171" s="83">
        <f t="shared" ca="1" si="59"/>
        <v>0</v>
      </c>
      <c r="Y171" s="82" t="b">
        <f t="shared" ca="1" si="60"/>
        <v>0</v>
      </c>
      <c r="Z171" s="94" t="b">
        <f t="shared" ca="1" si="61"/>
        <v>0</v>
      </c>
      <c r="AA171" s="94" t="b">
        <f t="shared" ca="1" si="62"/>
        <v>0</v>
      </c>
      <c r="AB171" s="178">
        <f t="shared" ca="1" si="63"/>
        <v>0</v>
      </c>
      <c r="AC171" s="94" t="b">
        <v>0</v>
      </c>
      <c r="AD171" s="127"/>
      <c r="AE171" s="185"/>
      <c r="AF171" s="175" t="str">
        <f t="shared" ca="1" si="64"/>
        <v/>
      </c>
      <c r="AG171" s="183">
        <f t="shared" ca="1" si="66"/>
        <v>0</v>
      </c>
      <c r="AH171" s="174"/>
      <c r="AI171" s="95" t="str">
        <f t="shared" ca="1" si="65"/>
        <v/>
      </c>
      <c r="AJ171" s="110"/>
      <c r="AK171" s="111"/>
      <c r="AL171" s="110"/>
      <c r="AM171" s="110"/>
      <c r="AN171" s="90"/>
    </row>
    <row r="172" spans="1:40" s="74" customFormat="1" ht="19.5">
      <c r="A172" s="76"/>
      <c r="B172" s="77"/>
      <c r="C172" s="671" t="s">
        <v>589</v>
      </c>
      <c r="D172" s="87">
        <v>122</v>
      </c>
      <c r="E172" s="87">
        <v>2</v>
      </c>
      <c r="F172" s="87" t="s">
        <v>590</v>
      </c>
      <c r="G172" s="101" t="s">
        <v>588</v>
      </c>
      <c r="H172" s="172"/>
      <c r="I172" s="679" t="s">
        <v>587</v>
      </c>
      <c r="J172" s="677">
        <v>33779.769999999997</v>
      </c>
      <c r="K172" s="677">
        <v>0</v>
      </c>
      <c r="L172" s="99">
        <v>33779.769999999997</v>
      </c>
      <c r="M172" s="81">
        <f t="shared" ca="1" si="57"/>
        <v>0</v>
      </c>
      <c r="N172" s="80" t="s">
        <v>83</v>
      </c>
      <c r="O172" s="93">
        <f ca="1">IF(OR(ISBLANK($C172),$C172="",$C172=0),0,COUNTIF(TB_WPTags,$C172&amp;"-100"))</f>
        <v>0</v>
      </c>
      <c r="P172" s="82"/>
      <c r="Q172" s="82"/>
      <c r="R172" s="82"/>
      <c r="S172" s="82"/>
      <c r="T172" s="82"/>
      <c r="U172" s="82"/>
      <c r="V172" s="83" t="str">
        <f t="shared" ca="1" si="58"/>
        <v>0</v>
      </c>
      <c r="W172" s="82"/>
      <c r="X172" s="83">
        <f t="shared" ca="1" si="59"/>
        <v>0</v>
      </c>
      <c r="Y172" s="82" t="b">
        <f t="shared" ca="1" si="60"/>
        <v>0</v>
      </c>
      <c r="Z172" s="94" t="b">
        <f t="shared" ca="1" si="61"/>
        <v>0</v>
      </c>
      <c r="AA172" s="94" t="b">
        <f t="shared" ca="1" si="62"/>
        <v>0</v>
      </c>
      <c r="AB172" s="178">
        <f t="shared" ca="1" si="63"/>
        <v>0</v>
      </c>
      <c r="AC172" s="94" t="b">
        <v>0</v>
      </c>
      <c r="AD172" s="127"/>
      <c r="AE172" s="185" t="s">
        <v>58</v>
      </c>
      <c r="AF172" s="175" t="str">
        <f t="shared" ca="1" si="64"/>
        <v/>
      </c>
      <c r="AG172" s="183">
        <f t="shared" ca="1" si="66"/>
        <v>0</v>
      </c>
      <c r="AH172" s="174"/>
      <c r="AI172" s="95" t="str">
        <f t="shared" ca="1" si="65"/>
        <v/>
      </c>
      <c r="AJ172" s="110"/>
      <c r="AK172" s="111"/>
      <c r="AL172" s="110"/>
      <c r="AM172" s="110"/>
      <c r="AN172" s="90"/>
    </row>
    <row r="173" spans="1:40" s="74" customFormat="1" ht="19.5">
      <c r="A173" s="76"/>
      <c r="B173" s="77"/>
      <c r="C173" s="671" t="s">
        <v>591</v>
      </c>
      <c r="D173" s="87">
        <v>123</v>
      </c>
      <c r="E173" s="87">
        <v>1</v>
      </c>
      <c r="F173" s="87" t="s">
        <v>585</v>
      </c>
      <c r="G173" s="101" t="s">
        <v>588</v>
      </c>
      <c r="H173" s="172"/>
      <c r="I173" s="673" t="s">
        <v>592</v>
      </c>
      <c r="J173" s="678">
        <v>33779.769999999997</v>
      </c>
      <c r="K173" s="678">
        <v>0</v>
      </c>
      <c r="L173" s="99">
        <v>33779.769999999997</v>
      </c>
      <c r="M173" s="81">
        <f t="shared" ca="1" si="57"/>
        <v>0</v>
      </c>
      <c r="N173" s="80" t="s">
        <v>83</v>
      </c>
      <c r="O173" s="93">
        <f ca="1">IF(OR(ISBLANK($C173),$C173="",$C173=0),0,COUNTIF(TB_WPTags,$C173&amp;"-100"))</f>
        <v>0</v>
      </c>
      <c r="P173" s="82"/>
      <c r="Q173" s="82"/>
      <c r="R173" s="82"/>
      <c r="S173" s="82"/>
      <c r="T173" s="82"/>
      <c r="U173" s="82"/>
      <c r="V173" s="83" t="str">
        <f t="shared" ca="1" si="58"/>
        <v>0</v>
      </c>
      <c r="W173" s="82"/>
      <c r="X173" s="83">
        <f t="shared" ca="1" si="59"/>
        <v>0</v>
      </c>
      <c r="Y173" s="82" t="b">
        <f t="shared" ca="1" si="60"/>
        <v>0</v>
      </c>
      <c r="Z173" s="94" t="b">
        <f t="shared" ca="1" si="61"/>
        <v>0</v>
      </c>
      <c r="AA173" s="94" t="b">
        <f t="shared" ca="1" si="62"/>
        <v>0</v>
      </c>
      <c r="AB173" s="178">
        <f t="shared" ca="1" si="63"/>
        <v>0</v>
      </c>
      <c r="AC173" s="94" t="b">
        <v>0</v>
      </c>
      <c r="AD173" s="127"/>
      <c r="AE173" s="185" t="s">
        <v>58</v>
      </c>
      <c r="AF173" s="175" t="str">
        <f t="shared" ca="1" si="64"/>
        <v/>
      </c>
      <c r="AG173" s="183">
        <f t="shared" ca="1" si="66"/>
        <v>0</v>
      </c>
      <c r="AH173" s="174"/>
      <c r="AI173" s="95" t="str">
        <f t="shared" ca="1" si="65"/>
        <v/>
      </c>
      <c r="AJ173" s="110"/>
      <c r="AK173" s="111"/>
      <c r="AL173" s="110"/>
      <c r="AM173" s="110"/>
      <c r="AN173" s="90"/>
    </row>
    <row r="174" spans="1:40" s="74" customFormat="1" ht="19.5">
      <c r="A174" s="76"/>
      <c r="B174" s="77"/>
      <c r="C174" s="671" t="s">
        <v>593</v>
      </c>
      <c r="D174" s="87">
        <v>124</v>
      </c>
      <c r="E174" s="87">
        <v>1</v>
      </c>
      <c r="F174" s="87" t="s">
        <v>562</v>
      </c>
      <c r="G174" s="101" t="s">
        <v>588</v>
      </c>
      <c r="H174" s="172"/>
      <c r="I174" s="672" t="s">
        <v>593</v>
      </c>
      <c r="J174" s="97">
        <v>0</v>
      </c>
      <c r="K174" s="97">
        <v>0</v>
      </c>
      <c r="L174" s="99">
        <v>0</v>
      </c>
      <c r="M174" s="81">
        <f t="shared" ca="1" si="57"/>
        <v>0</v>
      </c>
      <c r="N174" s="80"/>
      <c r="O174" s="93">
        <f ca="1">IF(OR(ISBLANK($C174),$C174="",$C174=0),0,COUNTIF(TB_WPTags,$C174&amp;"-100"))</f>
        <v>0</v>
      </c>
      <c r="P174" s="82"/>
      <c r="Q174" s="82"/>
      <c r="R174" s="82"/>
      <c r="S174" s="82"/>
      <c r="T174" s="82"/>
      <c r="U174" s="82"/>
      <c r="V174" s="83" t="str">
        <f t="shared" ca="1" si="58"/>
        <v>0</v>
      </c>
      <c r="W174" s="82"/>
      <c r="X174" s="83">
        <f t="shared" ca="1" si="59"/>
        <v>0</v>
      </c>
      <c r="Y174" s="82" t="b">
        <f t="shared" ca="1" si="60"/>
        <v>0</v>
      </c>
      <c r="Z174" s="94" t="b">
        <f t="shared" ca="1" si="61"/>
        <v>0</v>
      </c>
      <c r="AA174" s="94" t="b">
        <f t="shared" ca="1" si="62"/>
        <v>0</v>
      </c>
      <c r="AB174" s="178">
        <f t="shared" ca="1" si="63"/>
        <v>0</v>
      </c>
      <c r="AC174" s="94" t="b">
        <v>0</v>
      </c>
      <c r="AD174" s="127"/>
      <c r="AE174" s="185"/>
      <c r="AF174" s="175" t="str">
        <f t="shared" ca="1" si="64"/>
        <v/>
      </c>
      <c r="AG174" s="183">
        <f t="shared" ca="1" si="66"/>
        <v>0</v>
      </c>
      <c r="AH174" s="174"/>
      <c r="AI174" s="95" t="str">
        <f t="shared" ca="1" si="65"/>
        <v/>
      </c>
      <c r="AJ174" s="110"/>
      <c r="AK174" s="111"/>
      <c r="AL174" s="110"/>
      <c r="AM174" s="110"/>
      <c r="AN174" s="90"/>
    </row>
    <row r="175" spans="1:40" s="74" customFormat="1" ht="19.5">
      <c r="A175" s="76"/>
      <c r="B175" s="77"/>
      <c r="C175" s="671" t="s">
        <v>594</v>
      </c>
      <c r="D175" s="87">
        <v>125</v>
      </c>
      <c r="E175" s="87">
        <v>2</v>
      </c>
      <c r="F175" s="87" t="s">
        <v>565</v>
      </c>
      <c r="G175" s="101" t="s">
        <v>588</v>
      </c>
      <c r="H175" s="172"/>
      <c r="I175" s="673" t="s">
        <v>330</v>
      </c>
      <c r="J175" s="97">
        <v>0</v>
      </c>
      <c r="K175" s="97">
        <v>0</v>
      </c>
      <c r="L175" s="99">
        <v>0</v>
      </c>
      <c r="M175" s="81">
        <f t="shared" ca="1" si="57"/>
        <v>0</v>
      </c>
      <c r="N175" s="80"/>
      <c r="O175" s="93">
        <f ca="1">IF(OR(ISBLANK($C175),$C175="",$C175=0),0,COUNTIF(TB_WPTags,$C175&amp;"-100"))</f>
        <v>0</v>
      </c>
      <c r="P175" s="82"/>
      <c r="Q175" s="82"/>
      <c r="R175" s="82"/>
      <c r="S175" s="82"/>
      <c r="T175" s="82"/>
      <c r="U175" s="82"/>
      <c r="V175" s="83" t="str">
        <f t="shared" ca="1" si="58"/>
        <v>0</v>
      </c>
      <c r="W175" s="82"/>
      <c r="X175" s="83">
        <f t="shared" ca="1" si="59"/>
        <v>0</v>
      </c>
      <c r="Y175" s="82" t="b">
        <f t="shared" ca="1" si="60"/>
        <v>0</v>
      </c>
      <c r="Z175" s="94" t="b">
        <f t="shared" ca="1" si="61"/>
        <v>0</v>
      </c>
      <c r="AA175" s="94" t="b">
        <f t="shared" ca="1" si="62"/>
        <v>0</v>
      </c>
      <c r="AB175" s="178">
        <f t="shared" ca="1" si="63"/>
        <v>0</v>
      </c>
      <c r="AC175" s="94" t="b">
        <v>0</v>
      </c>
      <c r="AD175" s="127"/>
      <c r="AE175" s="185"/>
      <c r="AF175" s="175" t="str">
        <f t="shared" ca="1" si="64"/>
        <v/>
      </c>
      <c r="AG175" s="183">
        <f t="shared" ca="1" si="66"/>
        <v>0</v>
      </c>
      <c r="AH175" s="174"/>
      <c r="AI175" s="95" t="str">
        <f t="shared" ca="1" si="65"/>
        <v/>
      </c>
      <c r="AJ175" s="110"/>
      <c r="AK175" s="111"/>
      <c r="AL175" s="110"/>
      <c r="AM175" s="110"/>
      <c r="AN175" s="90"/>
    </row>
    <row r="176" spans="1:40" s="74" customFormat="1" ht="19.5">
      <c r="A176" s="76"/>
      <c r="B176" s="77"/>
      <c r="C176" s="671" t="s">
        <v>595</v>
      </c>
      <c r="D176" s="87">
        <v>126</v>
      </c>
      <c r="E176" s="87">
        <v>3</v>
      </c>
      <c r="F176" s="87" t="s">
        <v>568</v>
      </c>
      <c r="G176" s="101" t="s">
        <v>588</v>
      </c>
      <c r="H176" s="172"/>
      <c r="I176" s="674" t="s">
        <v>596</v>
      </c>
      <c r="J176" s="97">
        <v>0</v>
      </c>
      <c r="K176" s="97">
        <v>0</v>
      </c>
      <c r="L176" s="99">
        <v>0</v>
      </c>
      <c r="M176" s="81">
        <f t="shared" ca="1" si="57"/>
        <v>0</v>
      </c>
      <c r="N176" s="80"/>
      <c r="O176" s="93">
        <f ca="1">IF(OR(ISBLANK($C176),$C176="",$C176=0),0,COUNTIF(TB_WPTags,$C176&amp;"-100"))</f>
        <v>0</v>
      </c>
      <c r="P176" s="82"/>
      <c r="Q176" s="82"/>
      <c r="R176" s="82"/>
      <c r="S176" s="82"/>
      <c r="T176" s="82"/>
      <c r="U176" s="82"/>
      <c r="V176" s="83" t="str">
        <f t="shared" ca="1" si="58"/>
        <v>0</v>
      </c>
      <c r="W176" s="82"/>
      <c r="X176" s="83">
        <f t="shared" ca="1" si="59"/>
        <v>0</v>
      </c>
      <c r="Y176" s="82" t="b">
        <f t="shared" ca="1" si="60"/>
        <v>0</v>
      </c>
      <c r="Z176" s="94" t="b">
        <f t="shared" ca="1" si="61"/>
        <v>0</v>
      </c>
      <c r="AA176" s="94" t="b">
        <f t="shared" ca="1" si="62"/>
        <v>0</v>
      </c>
      <c r="AB176" s="178">
        <f t="shared" ca="1" si="63"/>
        <v>0</v>
      </c>
      <c r="AC176" s="94" t="b">
        <v>0</v>
      </c>
      <c r="AD176" s="127"/>
      <c r="AE176" s="185"/>
      <c r="AF176" s="175" t="str">
        <f t="shared" ca="1" si="64"/>
        <v/>
      </c>
      <c r="AG176" s="183">
        <f t="shared" ca="1" si="66"/>
        <v>0</v>
      </c>
      <c r="AH176" s="174"/>
      <c r="AI176" s="95" t="str">
        <f t="shared" ca="1" si="65"/>
        <v/>
      </c>
      <c r="AJ176" s="110"/>
      <c r="AK176" s="111"/>
      <c r="AL176" s="110"/>
      <c r="AM176" s="110"/>
      <c r="AN176" s="90"/>
    </row>
    <row r="177" spans="1:40" s="74" customFormat="1" ht="19.5">
      <c r="A177" s="76"/>
      <c r="B177" s="77"/>
      <c r="C177" s="671" t="s">
        <v>597</v>
      </c>
      <c r="D177" s="87">
        <v>127</v>
      </c>
      <c r="E177" s="87">
        <v>4</v>
      </c>
      <c r="F177" s="87" t="s">
        <v>598</v>
      </c>
      <c r="G177" s="101" t="s">
        <v>588</v>
      </c>
      <c r="H177" s="172" t="s">
        <v>599</v>
      </c>
      <c r="I177" s="680" t="s">
        <v>1009</v>
      </c>
      <c r="J177" s="677">
        <v>715000</v>
      </c>
      <c r="K177" s="677">
        <v>0</v>
      </c>
      <c r="L177" s="99">
        <v>715000</v>
      </c>
      <c r="M177" s="81">
        <f t="shared" ca="1" si="57"/>
        <v>0</v>
      </c>
      <c r="N177" s="80" t="s">
        <v>83</v>
      </c>
      <c r="O177" s="93">
        <f ca="1">IF(OR(ISBLANK($C177),$C177="",$C177=0),0,COUNTIF(TB_WPTags,$C177&amp;"-100"))</f>
        <v>0</v>
      </c>
      <c r="P177" s="82"/>
      <c r="Q177" s="82"/>
      <c r="R177" s="82"/>
      <c r="S177" s="82"/>
      <c r="T177" s="82"/>
      <c r="U177" s="82"/>
      <c r="V177" s="83" t="str">
        <f t="shared" ca="1" si="58"/>
        <v>0</v>
      </c>
      <c r="W177" s="82"/>
      <c r="X177" s="83">
        <f t="shared" ca="1" si="59"/>
        <v>0</v>
      </c>
      <c r="Y177" s="82" t="b">
        <f t="shared" ca="1" si="60"/>
        <v>0</v>
      </c>
      <c r="Z177" s="94" t="b">
        <f t="shared" ca="1" si="61"/>
        <v>0</v>
      </c>
      <c r="AA177" s="94" t="b">
        <f t="shared" ca="1" si="62"/>
        <v>0</v>
      </c>
      <c r="AB177" s="178">
        <f t="shared" ca="1" si="63"/>
        <v>0</v>
      </c>
      <c r="AC177" s="94" t="b">
        <v>0</v>
      </c>
      <c r="AD177" s="127"/>
      <c r="AE177" s="185" t="s">
        <v>58</v>
      </c>
      <c r="AF177" s="175" t="str">
        <f t="shared" ca="1" si="64"/>
        <v/>
      </c>
      <c r="AG177" s="183">
        <f t="shared" ca="1" si="66"/>
        <v>0</v>
      </c>
      <c r="AH177" s="174"/>
      <c r="AI177" s="95" t="str">
        <f t="shared" ca="1" si="65"/>
        <v/>
      </c>
      <c r="AJ177" s="110"/>
      <c r="AK177" s="111"/>
      <c r="AL177" s="110"/>
      <c r="AM177" s="110"/>
      <c r="AN177" s="90"/>
    </row>
    <row r="178" spans="1:40" s="74" customFormat="1" ht="19.5">
      <c r="A178" s="76"/>
      <c r="B178" s="77"/>
      <c r="C178" s="671" t="s">
        <v>601</v>
      </c>
      <c r="D178" s="87">
        <v>128</v>
      </c>
      <c r="E178" s="87">
        <v>4</v>
      </c>
      <c r="F178" s="87" t="s">
        <v>598</v>
      </c>
      <c r="G178" s="101" t="s">
        <v>588</v>
      </c>
      <c r="H178" s="172" t="s">
        <v>599</v>
      </c>
      <c r="I178" s="680" t="s">
        <v>1010</v>
      </c>
      <c r="J178" s="677">
        <v>320000</v>
      </c>
      <c r="K178" s="677">
        <v>0</v>
      </c>
      <c r="L178" s="99">
        <v>320000</v>
      </c>
      <c r="M178" s="81">
        <f t="shared" ca="1" si="57"/>
        <v>0</v>
      </c>
      <c r="N178" s="80" t="s">
        <v>83</v>
      </c>
      <c r="O178" s="93">
        <f ca="1">IF(OR(ISBLANK($C178),$C178="",$C178=0),0,COUNTIF(TB_WPTags,$C178&amp;"-100"))</f>
        <v>0</v>
      </c>
      <c r="P178" s="82"/>
      <c r="Q178" s="82"/>
      <c r="R178" s="82"/>
      <c r="S178" s="82"/>
      <c r="T178" s="82"/>
      <c r="U178" s="82"/>
      <c r="V178" s="83" t="str">
        <f t="shared" ca="1" si="58"/>
        <v>0</v>
      </c>
      <c r="W178" s="82"/>
      <c r="X178" s="83">
        <f t="shared" ca="1" si="59"/>
        <v>0</v>
      </c>
      <c r="Y178" s="82" t="b">
        <f t="shared" ca="1" si="60"/>
        <v>0</v>
      </c>
      <c r="Z178" s="94" t="b">
        <f t="shared" ca="1" si="61"/>
        <v>0</v>
      </c>
      <c r="AA178" s="94" t="b">
        <f t="shared" ca="1" si="62"/>
        <v>0</v>
      </c>
      <c r="AB178" s="178">
        <f t="shared" ca="1" si="63"/>
        <v>0</v>
      </c>
      <c r="AC178" s="94" t="b">
        <v>0</v>
      </c>
      <c r="AD178" s="127"/>
      <c r="AE178" s="185" t="s">
        <v>58</v>
      </c>
      <c r="AF178" s="175" t="str">
        <f t="shared" ca="1" si="64"/>
        <v/>
      </c>
      <c r="AG178" s="183">
        <f t="shared" ca="1" si="66"/>
        <v>0</v>
      </c>
      <c r="AH178" s="174"/>
      <c r="AI178" s="95" t="str">
        <f t="shared" ca="1" si="65"/>
        <v/>
      </c>
      <c r="AJ178" s="110"/>
      <c r="AK178" s="111"/>
      <c r="AL178" s="110"/>
      <c r="AM178" s="110"/>
      <c r="AN178" s="90"/>
    </row>
    <row r="179" spans="1:40" s="74" customFormat="1" ht="19.5">
      <c r="A179" s="76"/>
      <c r="B179" s="77"/>
      <c r="C179" s="671" t="s">
        <v>602</v>
      </c>
      <c r="D179" s="87">
        <v>129</v>
      </c>
      <c r="E179" s="87">
        <v>3</v>
      </c>
      <c r="F179" s="87" t="s">
        <v>579</v>
      </c>
      <c r="G179" s="101" t="s">
        <v>588</v>
      </c>
      <c r="H179" s="172"/>
      <c r="I179" s="674" t="s">
        <v>603</v>
      </c>
      <c r="J179" s="678">
        <v>1035000</v>
      </c>
      <c r="K179" s="678">
        <v>0</v>
      </c>
      <c r="L179" s="99">
        <v>1035000</v>
      </c>
      <c r="M179" s="81">
        <f t="shared" ca="1" si="57"/>
        <v>1</v>
      </c>
      <c r="N179" s="80" t="s">
        <v>83</v>
      </c>
      <c r="O179" s="93">
        <f ca="1">IF(OR(ISBLANK($C179),$C179="",$C179=0),0,COUNTIF(TB_WPTags,$C179&amp;"-100"))</f>
        <v>1</v>
      </c>
      <c r="P179" s="82"/>
      <c r="Q179" s="82"/>
      <c r="R179" s="82"/>
      <c r="S179" s="82"/>
      <c r="T179" s="82"/>
      <c r="U179" s="82"/>
      <c r="V179" s="83" t="str">
        <f t="shared" ca="1" si="58"/>
        <v>1</v>
      </c>
      <c r="W179" s="82"/>
      <c r="X179" s="83">
        <f t="shared" ca="1" si="59"/>
        <v>5</v>
      </c>
      <c r="Y179" s="82" t="b">
        <f t="shared" ca="1" si="60"/>
        <v>0</v>
      </c>
      <c r="Z179" s="94" t="b">
        <f t="shared" ca="1" si="61"/>
        <v>0</v>
      </c>
      <c r="AA179" s="94" t="b">
        <f t="shared" ca="1" si="62"/>
        <v>0</v>
      </c>
      <c r="AB179" s="178">
        <f t="shared" ca="1" si="63"/>
        <v>0</v>
      </c>
      <c r="AC179" s="94" t="b">
        <v>0</v>
      </c>
      <c r="AD179" s="127"/>
      <c r="AE179" s="185" t="s">
        <v>58</v>
      </c>
      <c r="AF179" s="175" t="str">
        <f t="shared" ca="1" si="64"/>
        <v/>
      </c>
      <c r="AG179" s="183">
        <f t="shared" ca="1" si="66"/>
        <v>0</v>
      </c>
      <c r="AH179" s="174"/>
      <c r="AI179" s="95" t="str">
        <f t="shared" ca="1" si="65"/>
        <v>Rework Complete</v>
      </c>
      <c r="AJ179" s="110"/>
      <c r="AK179" s="111"/>
      <c r="AL179" s="110"/>
      <c r="AM179" s="110"/>
      <c r="AN179" s="90"/>
    </row>
    <row r="180" spans="1:40" s="74" customFormat="1" ht="19.5" hidden="1">
      <c r="A180" s="76"/>
      <c r="B180" s="77"/>
      <c r="C180" s="86" t="s">
        <v>602</v>
      </c>
      <c r="D180" s="87">
        <f ca="1">IF(IFERROR(ROW(TrialBalanceExact)+MATCH(C180,OFFSET(TrialBalanceExact,0,0,ROWS(TrialBalanceExact),1),0)-1=ROW(),TRUE),0, IF(ISERROR(VLOOKUP(C180,TrialBalanceExact,2,0)),0,VLOOKUP(C180,TrialBalanceExact,2,0)))</f>
        <v>129</v>
      </c>
      <c r="E180" s="87">
        <v>100</v>
      </c>
      <c r="F180" s="87"/>
      <c r="G180" s="101" t="s">
        <v>588</v>
      </c>
      <c r="H180" s="172"/>
      <c r="I180" s="734"/>
      <c r="J180" s="735"/>
      <c r="K180" s="735"/>
      <c r="L180" s="736"/>
      <c r="M180" s="737"/>
      <c r="N180" s="213" t="s">
        <v>136</v>
      </c>
      <c r="O180" s="738"/>
      <c r="P180" s="739" t="str">
        <f>$C180&amp;"-"&amp;$E180</f>
        <v>Totalinvestments.Property-100</v>
      </c>
      <c r="Q180" s="739" t="s">
        <v>877</v>
      </c>
      <c r="R180" s="739" t="s">
        <v>329</v>
      </c>
      <c r="S180" s="739"/>
      <c r="T180" s="740">
        <f ca="1">ABS(IF(ISERROR(VLOOKUP(C180,TrialBalanceExact,8,0)),0,VLOOKUP(C180,TrialBalanceExact,8,0)))</f>
        <v>1035000</v>
      </c>
      <c r="U180" s="740">
        <f ca="1">ABS(IF(ISNUMBER(AH180),AH180,IF(ISBLANK(AH180),NA(),INDIRECT("'" &amp; _xll.SheetFromID(R180) &amp; "'!Reconcile_" &amp; SUBSTITUTE(AH180," ","")))))</f>
        <v>1035000</v>
      </c>
      <c r="V180" s="740">
        <f ca="1">IFERROR(IF(ABS(ROUND($T180-$U180,2))&lt;=Options_Tolerance,1,-1),0)</f>
        <v>1</v>
      </c>
      <c r="W180" s="740" t="str">
        <f ca="1">$C180&amp;"-"&amp;V180</f>
        <v>Totalinvestments.Property-1</v>
      </c>
      <c r="X180" s="741">
        <f>IFERROR(VLOOKUP(AI180,StatusDescriptionsOrder,2,0),0)</f>
        <v>5</v>
      </c>
      <c r="Y180" s="739" t="b">
        <v>0</v>
      </c>
      <c r="Z180" s="742" t="b">
        <v>0</v>
      </c>
      <c r="AA180" s="743" t="b">
        <f>IFERROR(VLOOKUP(R180,HNSW_ItemsCount!A:D,2,0)&gt;0,FALSE)</f>
        <v>0</v>
      </c>
      <c r="AB180" s="743">
        <f>IFERROR(VLOOKUP(R180,HNSW_ItemsCount!A:D,4,0),0)</f>
        <v>0</v>
      </c>
      <c r="AC180" s="744" t="b">
        <v>0</v>
      </c>
      <c r="AD180" s="127" t="s">
        <v>330</v>
      </c>
      <c r="AE180" s="745" t="s">
        <v>58</v>
      </c>
      <c r="AF180" s="746" t="s">
        <v>74</v>
      </c>
      <c r="AG180" s="747">
        <f t="shared" si="66"/>
        <v>0</v>
      </c>
      <c r="AH180" s="748">
        <v>1035000</v>
      </c>
      <c r="AI180" s="749" t="s">
        <v>36</v>
      </c>
      <c r="AJ180" s="750" t="s">
        <v>552</v>
      </c>
      <c r="AK180" s="751">
        <v>43546</v>
      </c>
      <c r="AL180" s="752" t="s">
        <v>58</v>
      </c>
      <c r="AM180" s="753" t="s">
        <v>25</v>
      </c>
      <c r="AN180" s="90"/>
    </row>
    <row r="181" spans="1:40" s="74" customFormat="1" ht="19.5">
      <c r="A181" s="76"/>
      <c r="B181" s="77"/>
      <c r="C181" s="671" t="s">
        <v>604</v>
      </c>
      <c r="D181" s="87">
        <v>130</v>
      </c>
      <c r="E181" s="87">
        <v>2</v>
      </c>
      <c r="F181" s="87" t="s">
        <v>582</v>
      </c>
      <c r="G181" s="101" t="s">
        <v>588</v>
      </c>
      <c r="H181" s="172"/>
      <c r="I181" s="673" t="s">
        <v>605</v>
      </c>
      <c r="J181" s="678">
        <v>1035000</v>
      </c>
      <c r="K181" s="678">
        <v>0</v>
      </c>
      <c r="L181" s="99">
        <v>1035000</v>
      </c>
      <c r="M181" s="81">
        <f ca="1">IF(AND($AC181,$O181&gt;0),"–",$O181)</f>
        <v>0</v>
      </c>
      <c r="N181" s="80" t="s">
        <v>83</v>
      </c>
      <c r="O181" s="93">
        <f ca="1">IF(OR(ISBLANK($C181),$C181="",$C181=0),0,COUNTIF(TB_WPTags,$C181&amp;"-100"))</f>
        <v>0</v>
      </c>
      <c r="P181" s="82"/>
      <c r="Q181" s="82"/>
      <c r="R181" s="82"/>
      <c r="S181" s="82"/>
      <c r="T181" s="82"/>
      <c r="U181" s="82"/>
      <c r="V181" s="83" t="str">
        <f ca="1">IF(OR(ISBLANK($C181),$AC181),"NA",IF(COUNTIF(W:W,$C181&amp;"--1")&gt;0,"-1",IF(COUNTIF(W:W,$C181&amp;"-1")&gt;0,"1","0")))</f>
        <v>0</v>
      </c>
      <c r="W181" s="82"/>
      <c r="X181" s="83">
        <f ca="1">IF($O181&gt;0,MIN(OFFSET($X181,1,0,$O181)),0)</f>
        <v>0</v>
      </c>
      <c r="Y181" s="82" t="b">
        <f ca="1">IF(AND($O181&gt;0,AC181&lt;&gt;TRUE),COUNTIF(OFFSET($Y181,1,0,$O181),TRUE)&gt;=1,FALSE)</f>
        <v>0</v>
      </c>
      <c r="Z181" s="94" t="b">
        <f ca="1">IF(AND($O181&gt;0,AC181&lt;&gt;TRUE),COUNTIF(OFFSET($Z181,1,0,$O181),TRUE)&gt;=1,FALSE)</f>
        <v>0</v>
      </c>
      <c r="AA181" s="94" t="b">
        <f ca="1">IF(AND($O181&gt;0,AC181&lt;&gt;TRUE),COUNTIF(OFFSET($AA181,1,0,$O181),TRUE)&gt;=1,FALSE)</f>
        <v>0</v>
      </c>
      <c r="AB181" s="178">
        <f ca="1">IF(AND($O181&gt;0,AC181&lt;&gt;TRUE),SUM(OFFSET($AG181,1,0,$O181)),0)</f>
        <v>0</v>
      </c>
      <c r="AC181" s="94" t="b">
        <v>0</v>
      </c>
      <c r="AD181" s="127"/>
      <c r="AE181" s="185" t="s">
        <v>58</v>
      </c>
      <c r="AF181" s="175" t="str">
        <f ca="1">IF(AND(Y181,AC181&lt;&gt;TRUE),"]","")</f>
        <v/>
      </c>
      <c r="AG181" s="183">
        <f t="shared" ca="1" si="66"/>
        <v>0</v>
      </c>
      <c r="AH181" s="174"/>
      <c r="AI181" s="95" t="str">
        <f ca="1">IF(AND($O181&gt;0,AC181&lt;&gt;TRUE),IF($X181&gt;=1,INDEX(StatusDescriptions,$X181+1,0),StatusBlank),"")</f>
        <v/>
      </c>
      <c r="AJ181" s="110"/>
      <c r="AK181" s="111"/>
      <c r="AL181" s="110"/>
      <c r="AM181" s="110"/>
      <c r="AN181" s="90"/>
    </row>
    <row r="182" spans="1:40" s="74" customFormat="1" ht="19.5">
      <c r="A182" s="76"/>
      <c r="B182" s="77"/>
      <c r="C182" s="671" t="s">
        <v>606</v>
      </c>
      <c r="D182" s="87">
        <v>131</v>
      </c>
      <c r="E182" s="87">
        <v>2</v>
      </c>
      <c r="F182" s="87" t="s">
        <v>565</v>
      </c>
      <c r="G182" s="101" t="s">
        <v>588</v>
      </c>
      <c r="H182" s="172"/>
      <c r="I182" s="673" t="s">
        <v>607</v>
      </c>
      <c r="J182" s="97">
        <v>0</v>
      </c>
      <c r="K182" s="97">
        <v>0</v>
      </c>
      <c r="L182" s="99">
        <v>0</v>
      </c>
      <c r="M182" s="81">
        <f ca="1">IF(AND($AC182,$O182&gt;0),"–",$O182)</f>
        <v>0</v>
      </c>
      <c r="N182" s="80"/>
      <c r="O182" s="93">
        <f ca="1">IF(OR(ISBLANK($C182),$C182="",$C182=0),0,COUNTIF(TB_WPTags,$C182&amp;"-100"))</f>
        <v>0</v>
      </c>
      <c r="P182" s="82"/>
      <c r="Q182" s="82"/>
      <c r="R182" s="82"/>
      <c r="S182" s="82"/>
      <c r="T182" s="82"/>
      <c r="U182" s="82"/>
      <c r="V182" s="83" t="str">
        <f ca="1">IF(OR(ISBLANK($C182),$AC182),"NA",IF(COUNTIF(W:W,$C182&amp;"--1")&gt;0,"-1",IF(COUNTIF(W:W,$C182&amp;"-1")&gt;0,"1","0")))</f>
        <v>0</v>
      </c>
      <c r="W182" s="82"/>
      <c r="X182" s="83">
        <f ca="1">IF($O182&gt;0,MIN(OFFSET($X182,1,0,$O182)),0)</f>
        <v>0</v>
      </c>
      <c r="Y182" s="82" t="b">
        <f ca="1">IF(AND($O182&gt;0,AC182&lt;&gt;TRUE),COUNTIF(OFFSET($Y182,1,0,$O182),TRUE)&gt;=1,FALSE)</f>
        <v>0</v>
      </c>
      <c r="Z182" s="94" t="b">
        <f ca="1">IF(AND($O182&gt;0,AC182&lt;&gt;TRUE),COUNTIF(OFFSET($Z182,1,0,$O182),TRUE)&gt;=1,FALSE)</f>
        <v>0</v>
      </c>
      <c r="AA182" s="94" t="b">
        <f ca="1">IF(AND($O182&gt;0,AC182&lt;&gt;TRUE),COUNTIF(OFFSET($AA182,1,0,$O182),TRUE)&gt;=1,FALSE)</f>
        <v>0</v>
      </c>
      <c r="AB182" s="178">
        <f ca="1">IF(AND($O182&gt;0,AC182&lt;&gt;TRUE),SUM(OFFSET($AG182,1,0,$O182)),0)</f>
        <v>0</v>
      </c>
      <c r="AC182" s="94" t="b">
        <v>0</v>
      </c>
      <c r="AD182" s="127"/>
      <c r="AE182" s="185"/>
      <c r="AF182" s="175" t="str">
        <f ca="1">IF(AND(Y182,AC182&lt;&gt;TRUE),"]","")</f>
        <v/>
      </c>
      <c r="AG182" s="183">
        <f t="shared" ca="1" si="66"/>
        <v>0</v>
      </c>
      <c r="AH182" s="174"/>
      <c r="AI182" s="95" t="str">
        <f ca="1">IF(AND($O182&gt;0,AC182&lt;&gt;TRUE),IF($X182&gt;=1,INDEX(StatusDescriptions,$X182+1,0),StatusBlank),"")</f>
        <v/>
      </c>
      <c r="AJ182" s="110"/>
      <c r="AK182" s="111"/>
      <c r="AL182" s="110"/>
      <c r="AM182" s="110"/>
      <c r="AN182" s="90"/>
    </row>
    <row r="183" spans="1:40" s="74" customFormat="1" ht="19.5">
      <c r="A183" s="76"/>
      <c r="B183" s="77"/>
      <c r="C183" s="671" t="s">
        <v>608</v>
      </c>
      <c r="D183" s="87">
        <v>132</v>
      </c>
      <c r="E183" s="87">
        <v>3</v>
      </c>
      <c r="F183" s="87" t="s">
        <v>568</v>
      </c>
      <c r="G183" s="101" t="s">
        <v>588</v>
      </c>
      <c r="H183" s="172"/>
      <c r="I183" s="674" t="s">
        <v>571</v>
      </c>
      <c r="J183" s="97">
        <v>0</v>
      </c>
      <c r="K183" s="97">
        <v>0</v>
      </c>
      <c r="L183" s="99">
        <v>0</v>
      </c>
      <c r="M183" s="81">
        <f ca="1">IF(AND($AC183,$O183&gt;0),"–",$O183)</f>
        <v>0</v>
      </c>
      <c r="N183" s="80"/>
      <c r="O183" s="93">
        <f ca="1">IF(OR(ISBLANK($C183),$C183="",$C183=0),0,COUNTIF(TB_WPTags,$C183&amp;"-100"))</f>
        <v>0</v>
      </c>
      <c r="P183" s="82"/>
      <c r="Q183" s="82"/>
      <c r="R183" s="82"/>
      <c r="S183" s="82"/>
      <c r="T183" s="82"/>
      <c r="U183" s="82"/>
      <c r="V183" s="83" t="str">
        <f ca="1">IF(OR(ISBLANK($C183),$AC183),"NA",IF(COUNTIF(W:W,$C183&amp;"--1")&gt;0,"-1",IF(COUNTIF(W:W,$C183&amp;"-1")&gt;0,"1","0")))</f>
        <v>0</v>
      </c>
      <c r="W183" s="82"/>
      <c r="X183" s="83">
        <f ca="1">IF($O183&gt;0,MIN(OFFSET($X183,1,0,$O183)),0)</f>
        <v>0</v>
      </c>
      <c r="Y183" s="82" t="b">
        <f ca="1">IF(AND($O183&gt;0,AC183&lt;&gt;TRUE),COUNTIF(OFFSET($Y183,1,0,$O183),TRUE)&gt;=1,FALSE)</f>
        <v>0</v>
      </c>
      <c r="Z183" s="94" t="b">
        <f ca="1">IF(AND($O183&gt;0,AC183&lt;&gt;TRUE),COUNTIF(OFFSET($Z183,1,0,$O183),TRUE)&gt;=1,FALSE)</f>
        <v>0</v>
      </c>
      <c r="AA183" s="94" t="b">
        <f ca="1">IF(AND($O183&gt;0,AC183&lt;&gt;TRUE),COUNTIF(OFFSET($AA183,1,0,$O183),TRUE)&gt;=1,FALSE)</f>
        <v>0</v>
      </c>
      <c r="AB183" s="178">
        <f ca="1">IF(AND($O183&gt;0,AC183&lt;&gt;TRUE),SUM(OFFSET($AG183,1,0,$O183)),0)</f>
        <v>0</v>
      </c>
      <c r="AC183" s="94" t="b">
        <v>0</v>
      </c>
      <c r="AD183" s="127"/>
      <c r="AE183" s="185"/>
      <c r="AF183" s="175" t="str">
        <f ca="1">IF(AND(Y183,AC183&lt;&gt;TRUE),"]","")</f>
        <v/>
      </c>
      <c r="AG183" s="183">
        <f t="shared" ca="1" si="66"/>
        <v>0</v>
      </c>
      <c r="AH183" s="174"/>
      <c r="AI183" s="95" t="str">
        <f ca="1">IF(AND($O183&gt;0,AC183&lt;&gt;TRUE),IF($X183&gt;=1,INDEX(StatusDescriptions,$X183+1,0),StatusBlank),"")</f>
        <v/>
      </c>
      <c r="AJ183" s="110"/>
      <c r="AK183" s="111"/>
      <c r="AL183" s="110"/>
      <c r="AM183" s="110"/>
      <c r="AN183" s="90"/>
    </row>
    <row r="184" spans="1:40" s="74" customFormat="1" ht="19.5">
      <c r="A184" s="76"/>
      <c r="B184" s="77"/>
      <c r="C184" s="671" t="s">
        <v>609</v>
      </c>
      <c r="D184" s="87">
        <v>133</v>
      </c>
      <c r="E184" s="87">
        <v>4</v>
      </c>
      <c r="F184" s="87" t="s">
        <v>598</v>
      </c>
      <c r="G184" s="101" t="s">
        <v>588</v>
      </c>
      <c r="H184" s="172"/>
      <c r="I184" s="680" t="s">
        <v>574</v>
      </c>
      <c r="J184" s="677">
        <v>108153.76</v>
      </c>
      <c r="K184" s="677">
        <v>0</v>
      </c>
      <c r="L184" s="99">
        <v>108153.76</v>
      </c>
      <c r="M184" s="81">
        <f ca="1">IF(AND($AC184,$O184&gt;0),"–",$O184)</f>
        <v>1</v>
      </c>
      <c r="N184" s="80" t="s">
        <v>83</v>
      </c>
      <c r="O184" s="93">
        <f ca="1">IF(OR(ISBLANK($C184),$C184="",$C184=0),0,COUNTIF(TB_WPTags,$C184&amp;"-100"))</f>
        <v>1</v>
      </c>
      <c r="P184" s="82"/>
      <c r="Q184" s="82"/>
      <c r="R184" s="82"/>
      <c r="S184" s="82"/>
      <c r="T184" s="82"/>
      <c r="U184" s="82"/>
      <c r="V184" s="83" t="str">
        <f ca="1">IF(OR(ISBLANK($C184),$AC184),"NA",IF(COUNTIF(W:W,$C184&amp;"--1")&gt;0,"-1",IF(COUNTIF(W:W,$C184&amp;"-1")&gt;0,"1","0")))</f>
        <v>1</v>
      </c>
      <c r="W184" s="82"/>
      <c r="X184" s="83">
        <f ca="1">IF($O184&gt;0,MIN(OFFSET($X184,1,0,$O184)),0)</f>
        <v>5</v>
      </c>
      <c r="Y184" s="82" t="b">
        <f ca="1">IF(AND($O184&gt;0,AC184&lt;&gt;TRUE),COUNTIF(OFFSET($Y184,1,0,$O184),TRUE)&gt;=1,FALSE)</f>
        <v>0</v>
      </c>
      <c r="Z184" s="94" t="b">
        <f ca="1">IF(AND($O184&gt;0,AC184&lt;&gt;TRUE),COUNTIF(OFFSET($Z184,1,0,$O184),TRUE)&gt;=1,FALSE)</f>
        <v>0</v>
      </c>
      <c r="AA184" s="94" t="b">
        <f ca="1">IF(AND($O184&gt;0,AC184&lt;&gt;TRUE),COUNTIF(OFFSET($AA184,1,0,$O184),TRUE)&gt;=1,FALSE)</f>
        <v>0</v>
      </c>
      <c r="AB184" s="178">
        <f ca="1">IF(AND($O184&gt;0,AC184&lt;&gt;TRUE),SUM(OFFSET($AG184,1,0,$O184)),0)</f>
        <v>0</v>
      </c>
      <c r="AC184" s="94" t="b">
        <v>0</v>
      </c>
      <c r="AD184" s="127"/>
      <c r="AE184" s="185" t="s">
        <v>58</v>
      </c>
      <c r="AF184" s="175" t="str">
        <f ca="1">IF(AND(Y184,AC184&lt;&gt;TRUE),"]","")</f>
        <v/>
      </c>
      <c r="AG184" s="183">
        <f t="shared" ca="1" si="66"/>
        <v>0</v>
      </c>
      <c r="AH184" s="174"/>
      <c r="AI184" s="95" t="str">
        <f ca="1">IF(AND($O184&gt;0,AC184&lt;&gt;TRUE),IF($X184&gt;=1,INDEX(StatusDescriptions,$X184+1,0),StatusBlank),"")</f>
        <v>Rework Complete</v>
      </c>
      <c r="AJ184" s="110"/>
      <c r="AK184" s="111"/>
      <c r="AL184" s="110"/>
      <c r="AM184" s="110"/>
      <c r="AN184" s="90"/>
    </row>
    <row r="185" spans="1:40" s="74" customFormat="1" ht="19.5" hidden="1">
      <c r="A185" s="76"/>
      <c r="B185" s="77"/>
      <c r="C185" s="86" t="s">
        <v>609</v>
      </c>
      <c r="D185" s="87">
        <f ca="1">IF(IFERROR(ROW(TrialBalanceExact)+MATCH(C185,OFFSET(TrialBalanceExact,0,0,ROWS(TrialBalanceExact),1),0)-1=ROW(),TRUE),0, IF(ISERROR(VLOOKUP(C185,TrialBalanceExact,2,0)),0,VLOOKUP(C185,TrialBalanceExact,2,0)))</f>
        <v>133</v>
      </c>
      <c r="E185" s="87">
        <v>100</v>
      </c>
      <c r="F185" s="87"/>
      <c r="G185" s="101" t="s">
        <v>588</v>
      </c>
      <c r="H185" s="172"/>
      <c r="I185" s="734"/>
      <c r="J185" s="735"/>
      <c r="K185" s="735"/>
      <c r="L185" s="736"/>
      <c r="M185" s="737"/>
      <c r="N185" s="213" t="s">
        <v>136</v>
      </c>
      <c r="O185" s="738"/>
      <c r="P185" s="739" t="str">
        <f>$C185&amp;"-"&amp;$E185</f>
        <v>cash_at_bank.9c33cc9f-099c-410b-a660-2225d53d8513-100</v>
      </c>
      <c r="Q185" s="739" t="s">
        <v>877</v>
      </c>
      <c r="R185" s="739" t="s">
        <v>329</v>
      </c>
      <c r="S185" s="739"/>
      <c r="T185" s="740">
        <f ca="1">ABS(IF(ISERROR(VLOOKUP(C185,TrialBalanceExact,8,0)),0,VLOOKUP(C185,TrialBalanceExact,8,0)))</f>
        <v>108153.76</v>
      </c>
      <c r="U185" s="740">
        <f ca="1">ABS(IF(ISNUMBER(AH185),AH185,IF(ISBLANK(AH185),NA(),INDIRECT("'" &amp; _xll.SheetFromID(R185) &amp; "'!Reconcile_" &amp; SUBSTITUTE(AH185," ","")))))</f>
        <v>108153.76</v>
      </c>
      <c r="V185" s="740">
        <f ca="1">IFERROR(IF(ABS(ROUND($T185-$U185,2))&lt;=Options_Tolerance,1,-1),0)</f>
        <v>1</v>
      </c>
      <c r="W185" s="740" t="str">
        <f ca="1">$C185&amp;"-"&amp;V185</f>
        <v>cash_at_bank.9c33cc9f-099c-410b-a660-2225d53d8513-1</v>
      </c>
      <c r="X185" s="741">
        <f>IFERROR(VLOOKUP(AI185,StatusDescriptionsOrder,2,0),0)</f>
        <v>5</v>
      </c>
      <c r="Y185" s="739" t="b">
        <v>0</v>
      </c>
      <c r="Z185" s="742" t="b">
        <v>0</v>
      </c>
      <c r="AA185" s="743" t="b">
        <f>IFERROR(VLOOKUP(R185,HNSW_ItemsCount!A:D,2,0)&gt;0,FALSE)</f>
        <v>0</v>
      </c>
      <c r="AB185" s="743">
        <f>IFERROR(VLOOKUP(R185,HNSW_ItemsCount!A:D,4,0),0)</f>
        <v>0</v>
      </c>
      <c r="AC185" s="744" t="b">
        <v>0</v>
      </c>
      <c r="AD185" s="127" t="s">
        <v>330</v>
      </c>
      <c r="AE185" s="745" t="s">
        <v>58</v>
      </c>
      <c r="AF185" s="746" t="s">
        <v>74</v>
      </c>
      <c r="AG185" s="747">
        <f t="shared" si="66"/>
        <v>0</v>
      </c>
      <c r="AH185" s="748">
        <v>108153.76</v>
      </c>
      <c r="AI185" s="749" t="s">
        <v>36</v>
      </c>
      <c r="AJ185" s="750" t="s">
        <v>552</v>
      </c>
      <c r="AK185" s="751">
        <v>43546</v>
      </c>
      <c r="AL185" s="752" t="s">
        <v>58</v>
      </c>
      <c r="AM185" s="753" t="s">
        <v>25</v>
      </c>
      <c r="AN185" s="90"/>
    </row>
    <row r="186" spans="1:40" s="74" customFormat="1" ht="19.5">
      <c r="A186" s="76"/>
      <c r="B186" s="77"/>
      <c r="C186" s="671" t="s">
        <v>907</v>
      </c>
      <c r="D186" s="87">
        <v>134</v>
      </c>
      <c r="E186" s="87">
        <v>4</v>
      </c>
      <c r="F186" s="87" t="s">
        <v>598</v>
      </c>
      <c r="G186" s="101" t="s">
        <v>588</v>
      </c>
      <c r="H186" s="172"/>
      <c r="I186" s="680" t="s">
        <v>908</v>
      </c>
      <c r="J186" s="677">
        <v>200.1</v>
      </c>
      <c r="K186" s="677">
        <v>0</v>
      </c>
      <c r="L186" s="99">
        <v>200.1</v>
      </c>
      <c r="M186" s="81" t="str">
        <f ca="1">IF(AND($AC186,$O186&gt;0),"–",$O186)</f>
        <v>–</v>
      </c>
      <c r="N186" s="80" t="s">
        <v>83</v>
      </c>
      <c r="O186" s="93">
        <f ca="1">IF(OR(ISBLANK($C186),$C186="",$C186=0),0,COUNTIF(TB_WPTags,$C186&amp;"-100"))</f>
        <v>2</v>
      </c>
      <c r="P186" s="82"/>
      <c r="Q186" s="82"/>
      <c r="R186" s="82"/>
      <c r="S186" s="82"/>
      <c r="T186" s="82"/>
      <c r="U186" s="82"/>
      <c r="V186" s="83" t="str">
        <f>IF(OR(ISBLANK($C186),$AC186),"NA",IF(COUNTIF(W:W,$C186&amp;"--1")&gt;0,"-1",IF(COUNTIF(W:W,$C186&amp;"-1")&gt;0,"1","0")))</f>
        <v>NA</v>
      </c>
      <c r="W186" s="82"/>
      <c r="X186" s="83">
        <f ca="1">IF($O186&gt;0,MIN(OFFSET($X186,1,0,$O186)),0)</f>
        <v>5</v>
      </c>
      <c r="Y186" s="82" t="b">
        <f ca="1">IF(AND($O186&gt;0,AC186&lt;&gt;TRUE),COUNTIF(OFFSET($Y186,1,0,$O186),TRUE)&gt;=1,FALSE)</f>
        <v>0</v>
      </c>
      <c r="Z186" s="94" t="b">
        <f ca="1">IF(AND($O186&gt;0,AC186&lt;&gt;TRUE),COUNTIF(OFFSET($Z186,1,0,$O186),TRUE)&gt;=1,FALSE)</f>
        <v>0</v>
      </c>
      <c r="AA186" s="94" t="b">
        <f ca="1">IF(AND($O186&gt;0,AC186&lt;&gt;TRUE),COUNTIF(OFFSET($AA186,1,0,$O186),TRUE)&gt;=1,FALSE)</f>
        <v>0</v>
      </c>
      <c r="AB186" s="178">
        <f ca="1">IF(AND($O186&gt;0,AC186&lt;&gt;TRUE),SUM(OFFSET($AG186,1,0,$O186)),0)</f>
        <v>0</v>
      </c>
      <c r="AC186" s="94" t="b">
        <v>1</v>
      </c>
      <c r="AD186" s="127"/>
      <c r="AE186" s="185"/>
      <c r="AF186" s="175" t="str">
        <f ca="1">IF(AND(Y186,AC186&lt;&gt;TRUE),"]","")</f>
        <v/>
      </c>
      <c r="AG186" s="183">
        <f t="shared" ca="1" si="66"/>
        <v>0</v>
      </c>
      <c r="AH186" s="174"/>
      <c r="AI186" s="95" t="str">
        <f ca="1">IF(AND($O186&gt;0,AC186&lt;&gt;TRUE),IF($X186&gt;=1,INDEX(StatusDescriptions,$X186+1,0),StatusBlank),"")</f>
        <v/>
      </c>
      <c r="AJ186" s="110"/>
      <c r="AK186" s="111"/>
      <c r="AL186" s="110"/>
      <c r="AM186" s="110"/>
      <c r="AN186" s="90"/>
    </row>
    <row r="187" spans="1:40" s="74" customFormat="1" ht="19.5">
      <c r="A187" s="76"/>
      <c r="B187" s="77"/>
      <c r="C187" s="86" t="s">
        <v>907</v>
      </c>
      <c r="D187" s="87">
        <f ca="1">IF(IFERROR(ROW(TrialBalanceExact)+MATCH(C187,OFFSET(TrialBalanceExact,0,0,ROWS(TrialBalanceExact),1),0)-1=ROW(),TRUE),0, IF(ISERROR(VLOOKUP(C187,TrialBalanceExact,2,0)),0,VLOOKUP(C187,TrialBalanceExact,2,0)))</f>
        <v>134</v>
      </c>
      <c r="E187" s="87">
        <v>100</v>
      </c>
      <c r="F187" s="87"/>
      <c r="G187" s="101" t="s">
        <v>588</v>
      </c>
      <c r="H187" s="172"/>
      <c r="I187" s="734"/>
      <c r="J187" s="735"/>
      <c r="K187" s="735"/>
      <c r="L187" s="736"/>
      <c r="M187" s="737"/>
      <c r="N187" s="213" t="s">
        <v>136</v>
      </c>
      <c r="O187" s="738"/>
      <c r="P187" s="739" t="str">
        <f>$C187&amp;"-"&amp;$E187</f>
        <v>cash_at_bank.df5d7670-995e-48be-93f9-bfb1ffad9427-100</v>
      </c>
      <c r="Q187" s="739" t="s">
        <v>877</v>
      </c>
      <c r="R187" s="739" t="s">
        <v>329</v>
      </c>
      <c r="S187" s="739"/>
      <c r="T187" s="740">
        <f ca="1">ABS(IF(ISERROR(VLOOKUP(C187,TrialBalanceExact,8,0)),0,VLOOKUP(C187,TrialBalanceExact,8,0)))</f>
        <v>200.1</v>
      </c>
      <c r="U187" s="740">
        <f ca="1">ABS(IF(ISNUMBER(AH187),AH187,IF(ISBLANK(AH187),NA(),INDIRECT("'" &amp; _xll.SheetFromID(R187) &amp; "'!Reconcile_" &amp; SUBSTITUTE(AH187," ","")))))</f>
        <v>200.1</v>
      </c>
      <c r="V187" s="740">
        <f ca="1">IFERROR(IF(ABS(ROUND($T187-$U187,2))&lt;=Options_Tolerance,1,-1),0)</f>
        <v>1</v>
      </c>
      <c r="W187" s="740" t="str">
        <f ca="1">$C187&amp;"-"&amp;V187</f>
        <v>cash_at_bank.df5d7670-995e-48be-93f9-bfb1ffad9427-1</v>
      </c>
      <c r="X187" s="741">
        <f>IFERROR(VLOOKUP(AI187,StatusDescriptionsOrder,2,0),0)</f>
        <v>5</v>
      </c>
      <c r="Y187" s="739" t="b">
        <v>0</v>
      </c>
      <c r="Z187" s="742" t="b">
        <v>0</v>
      </c>
      <c r="AA187" s="743" t="b">
        <f>IFERROR(VLOOKUP(R187,HNSW_ItemsCount!A:D,2,0)&gt;0,FALSE)</f>
        <v>0</v>
      </c>
      <c r="AB187" s="743">
        <f>IFERROR(VLOOKUP(R187,HNSW_ItemsCount!A:D,4,0),0)</f>
        <v>0</v>
      </c>
      <c r="AC187" s="744" t="b">
        <v>0</v>
      </c>
      <c r="AD187" s="127" t="s">
        <v>330</v>
      </c>
      <c r="AE187" s="745" t="s">
        <v>58</v>
      </c>
      <c r="AF187" s="746" t="s">
        <v>74</v>
      </c>
      <c r="AG187" s="747">
        <f t="shared" si="66"/>
        <v>0</v>
      </c>
      <c r="AH187" s="748">
        <v>200.1</v>
      </c>
      <c r="AI187" s="749" t="s">
        <v>36</v>
      </c>
      <c r="AJ187" s="750" t="s">
        <v>552</v>
      </c>
      <c r="AK187" s="751">
        <v>43546</v>
      </c>
      <c r="AL187" s="752" t="s">
        <v>58</v>
      </c>
      <c r="AM187" s="753" t="s">
        <v>25</v>
      </c>
      <c r="AN187" s="90"/>
    </row>
    <row r="188" spans="1:40" s="74" customFormat="1" ht="19.5">
      <c r="A188" s="76"/>
      <c r="B188" s="77"/>
      <c r="C188" s="86" t="s">
        <v>907</v>
      </c>
      <c r="D188" s="87">
        <f ca="1">IF(IFERROR(ROW(TrialBalanceExact)+MATCH(C188,OFFSET(TrialBalanceExact,0,0,ROWS(TrialBalanceExact),1),0)-1=ROW(),TRUE),0, IF(ISERROR(VLOOKUP(C188,TrialBalanceExact,2,0)),0,VLOOKUP(C188,TrialBalanceExact,2,0)))</f>
        <v>134</v>
      </c>
      <c r="E188" s="87">
        <v>100</v>
      </c>
      <c r="F188" s="87"/>
      <c r="G188" s="101" t="s">
        <v>588</v>
      </c>
      <c r="H188" s="172"/>
      <c r="I188" s="734"/>
      <c r="J188" s="735"/>
      <c r="K188" s="735"/>
      <c r="L188" s="736"/>
      <c r="M188" s="737"/>
      <c r="N188" s="213" t="s">
        <v>136</v>
      </c>
      <c r="O188" s="738"/>
      <c r="P188" s="739" t="str">
        <f>$C188&amp;"-"&amp;$E188</f>
        <v>cash_at_bank.df5d7670-995e-48be-93f9-bfb1ffad9427-100</v>
      </c>
      <c r="Q188" s="739" t="s">
        <v>861</v>
      </c>
      <c r="R188" s="739" t="s">
        <v>949</v>
      </c>
      <c r="S188" s="739" t="s">
        <v>950</v>
      </c>
      <c r="T188" s="740">
        <f ca="1">ABS(IF(ISERROR(VLOOKUP(C188,TrialBalanceExact,8,0)),0,VLOOKUP(C188,TrialBalanceExact,8,0)))</f>
        <v>200.1</v>
      </c>
      <c r="U188" s="740">
        <f ca="1">ABS(IF(ISNUMBER(AH188),AH188,IF(ISBLANK(AH188),NA(),INDIRECT("'" &amp; _xll.SheetFromID(R188) &amp; "'!Reconcile_" &amp; SUBSTITUTE(AH188," ","")))))</f>
        <v>200.1</v>
      </c>
      <c r="V188" s="740">
        <f ca="1">IFERROR(IF(ABS(ROUND($T188-$U188,2))&lt;=Options_Tolerance,1,-1),0)</f>
        <v>1</v>
      </c>
      <c r="W188" s="740" t="str">
        <f ca="1">$C188&amp;"-"&amp;V188</f>
        <v>cash_at_bank.df5d7670-995e-48be-93f9-bfb1ffad9427-1</v>
      </c>
      <c r="X188" s="741">
        <f>IFERROR(VLOOKUP(AI188,StatusDescriptionsOrder,2,0),0)</f>
        <v>8</v>
      </c>
      <c r="Y188" s="739" t="b">
        <v>0</v>
      </c>
      <c r="Z188" s="742" t="b">
        <v>0</v>
      </c>
      <c r="AA188" s="743" t="b">
        <f>IFERROR(VLOOKUP(R188,HNSW_ItemsCount!A:D,2,0)&gt;0,FALSE)</f>
        <v>0</v>
      </c>
      <c r="AB188" s="743">
        <f>IFERROR(VLOOKUP(R188,HNSW_ItemsCount!A:D,4,0),0)</f>
        <v>0</v>
      </c>
      <c r="AC188" s="744" t="b">
        <v>0</v>
      </c>
      <c r="AD188" s="127" t="s">
        <v>951</v>
      </c>
      <c r="AE188" s="745" t="s">
        <v>58</v>
      </c>
      <c r="AF188" s="746" t="s">
        <v>74</v>
      </c>
      <c r="AG188" s="747">
        <f t="shared" si="66"/>
        <v>0</v>
      </c>
      <c r="AH188" s="748">
        <v>200.1</v>
      </c>
      <c r="AI188" s="749" t="s">
        <v>37</v>
      </c>
      <c r="AJ188" s="750" t="s">
        <v>1041</v>
      </c>
      <c r="AK188" s="751">
        <v>43545</v>
      </c>
      <c r="AL188" s="752" t="s">
        <v>58</v>
      </c>
      <c r="AM188" s="753" t="s">
        <v>25</v>
      </c>
      <c r="AN188" s="90"/>
    </row>
    <row r="189" spans="1:40" s="74" customFormat="1" ht="19.5">
      <c r="A189" s="76"/>
      <c r="B189" s="77"/>
      <c r="C189" s="671" t="s">
        <v>610</v>
      </c>
      <c r="D189" s="87">
        <v>135</v>
      </c>
      <c r="E189" s="87">
        <v>3</v>
      </c>
      <c r="F189" s="87" t="s">
        <v>579</v>
      </c>
      <c r="G189" s="101" t="s">
        <v>588</v>
      </c>
      <c r="H189" s="172"/>
      <c r="I189" s="674" t="s">
        <v>577</v>
      </c>
      <c r="J189" s="678">
        <v>108353.86</v>
      </c>
      <c r="K189" s="678">
        <v>0</v>
      </c>
      <c r="L189" s="99">
        <v>108353.86</v>
      </c>
      <c r="M189" s="81">
        <f t="shared" ref="M189:M194" ca="1" si="67">IF(AND($AC189,$O189&gt;0),"–",$O189)</f>
        <v>0</v>
      </c>
      <c r="N189" s="80" t="s">
        <v>83</v>
      </c>
      <c r="O189" s="93">
        <f ca="1">IF(OR(ISBLANK($C189),$C189="",$C189=0),0,COUNTIF(TB_WPTags,$C189&amp;"-100"))</f>
        <v>0</v>
      </c>
      <c r="P189" s="82"/>
      <c r="Q189" s="82"/>
      <c r="R189" s="82"/>
      <c r="S189" s="82"/>
      <c r="T189" s="82"/>
      <c r="U189" s="82"/>
      <c r="V189" s="83" t="str">
        <f t="shared" ref="V189:V194" ca="1" si="68">IF(OR(ISBLANK($C189),$AC189),"NA",IF(COUNTIF(W:W,$C189&amp;"--1")&gt;0,"-1",IF(COUNTIF(W:W,$C189&amp;"-1")&gt;0,"1","0")))</f>
        <v>0</v>
      </c>
      <c r="W189" s="82"/>
      <c r="X189" s="83">
        <f t="shared" ref="X189:X194" ca="1" si="69">IF($O189&gt;0,MIN(OFFSET($X189,1,0,$O189)),0)</f>
        <v>0</v>
      </c>
      <c r="Y189" s="82" t="b">
        <f t="shared" ref="Y189:Y194" ca="1" si="70">IF(AND($O189&gt;0,AC189&lt;&gt;TRUE),COUNTIF(OFFSET($Y189,1,0,$O189),TRUE)&gt;=1,FALSE)</f>
        <v>0</v>
      </c>
      <c r="Z189" s="94" t="b">
        <f t="shared" ref="Z189:Z194" ca="1" si="71">IF(AND($O189&gt;0,AC189&lt;&gt;TRUE),COUNTIF(OFFSET($Z189,1,0,$O189),TRUE)&gt;=1,FALSE)</f>
        <v>0</v>
      </c>
      <c r="AA189" s="94" t="b">
        <f t="shared" ref="AA189:AA194" ca="1" si="72">IF(AND($O189&gt;0,AC189&lt;&gt;TRUE),COUNTIF(OFFSET($AA189,1,0,$O189),TRUE)&gt;=1,FALSE)</f>
        <v>0</v>
      </c>
      <c r="AB189" s="178">
        <f t="shared" ref="AB189:AB194" ca="1" si="73">IF(AND($O189&gt;0,AC189&lt;&gt;TRUE),SUM(OFFSET($AG189,1,0,$O189)),0)</f>
        <v>0</v>
      </c>
      <c r="AC189" s="94" t="b">
        <v>0</v>
      </c>
      <c r="AD189" s="127"/>
      <c r="AE189" s="185" t="s">
        <v>58</v>
      </c>
      <c r="AF189" s="175" t="str">
        <f t="shared" ref="AF189:AF194" ca="1" si="74">IF(AND(Y189,AC189&lt;&gt;TRUE),"]","")</f>
        <v/>
      </c>
      <c r="AG189" s="183">
        <f t="shared" ca="1" si="66"/>
        <v>0</v>
      </c>
      <c r="AH189" s="174"/>
      <c r="AI189" s="95" t="str">
        <f t="shared" ref="AI189:AI194" ca="1" si="75">IF(AND($O189&gt;0,AC189&lt;&gt;TRUE),IF($X189&gt;=1,INDEX(StatusDescriptions,$X189+1,0),StatusBlank),"")</f>
        <v/>
      </c>
      <c r="AJ189" s="110"/>
      <c r="AK189" s="111"/>
      <c r="AL189" s="110"/>
      <c r="AM189" s="110"/>
      <c r="AN189" s="90"/>
    </row>
    <row r="190" spans="1:40" s="74" customFormat="1" ht="19.5">
      <c r="A190" s="76"/>
      <c r="B190" s="77"/>
      <c r="C190" s="671" t="s">
        <v>710</v>
      </c>
      <c r="D190" s="87">
        <v>136</v>
      </c>
      <c r="E190" s="87">
        <v>3</v>
      </c>
      <c r="F190" s="87" t="s">
        <v>568</v>
      </c>
      <c r="G190" s="101" t="s">
        <v>588</v>
      </c>
      <c r="H190" s="172"/>
      <c r="I190" s="674" t="s">
        <v>711</v>
      </c>
      <c r="J190" s="97">
        <v>0</v>
      </c>
      <c r="K190" s="97">
        <v>0</v>
      </c>
      <c r="L190" s="99">
        <v>0</v>
      </c>
      <c r="M190" s="81">
        <f t="shared" ca="1" si="67"/>
        <v>0</v>
      </c>
      <c r="N190" s="80"/>
      <c r="O190" s="93">
        <f ca="1">IF(OR(ISBLANK($C190),$C190="",$C190=0),0,COUNTIF(TB_WPTags,$C190&amp;"-100"))</f>
        <v>0</v>
      </c>
      <c r="P190" s="82"/>
      <c r="Q190" s="82"/>
      <c r="R190" s="82"/>
      <c r="S190" s="82"/>
      <c r="T190" s="82"/>
      <c r="U190" s="82"/>
      <c r="V190" s="83" t="str">
        <f t="shared" ca="1" si="68"/>
        <v>0</v>
      </c>
      <c r="W190" s="82"/>
      <c r="X190" s="83">
        <f t="shared" ca="1" si="69"/>
        <v>0</v>
      </c>
      <c r="Y190" s="82" t="b">
        <f t="shared" ca="1" si="70"/>
        <v>0</v>
      </c>
      <c r="Z190" s="94" t="b">
        <f t="shared" ca="1" si="71"/>
        <v>0</v>
      </c>
      <c r="AA190" s="94" t="b">
        <f t="shared" ca="1" si="72"/>
        <v>0</v>
      </c>
      <c r="AB190" s="178">
        <f t="shared" ca="1" si="73"/>
        <v>0</v>
      </c>
      <c r="AC190" s="94" t="b">
        <v>0</v>
      </c>
      <c r="AD190" s="127"/>
      <c r="AE190" s="185"/>
      <c r="AF190" s="175" t="str">
        <f t="shared" ca="1" si="74"/>
        <v/>
      </c>
      <c r="AG190" s="183">
        <f t="shared" ca="1" si="66"/>
        <v>0</v>
      </c>
      <c r="AH190" s="174"/>
      <c r="AI190" s="95" t="str">
        <f t="shared" ca="1" si="75"/>
        <v/>
      </c>
      <c r="AJ190" s="110"/>
      <c r="AK190" s="111"/>
      <c r="AL190" s="110"/>
      <c r="AM190" s="110"/>
      <c r="AN190" s="90"/>
    </row>
    <row r="191" spans="1:40" s="74" customFormat="1" ht="19.5">
      <c r="A191" s="76"/>
      <c r="B191" s="77"/>
      <c r="C191" s="671" t="s">
        <v>712</v>
      </c>
      <c r="D191" s="87">
        <v>137</v>
      </c>
      <c r="E191" s="87">
        <v>4</v>
      </c>
      <c r="F191" s="87" t="s">
        <v>570</v>
      </c>
      <c r="G191" s="101" t="s">
        <v>588</v>
      </c>
      <c r="H191" s="172"/>
      <c r="I191" s="675" t="s">
        <v>713</v>
      </c>
      <c r="J191" s="97">
        <v>0</v>
      </c>
      <c r="K191" s="97">
        <v>0</v>
      </c>
      <c r="L191" s="99">
        <v>0</v>
      </c>
      <c r="M191" s="81">
        <f t="shared" ca="1" si="67"/>
        <v>0</v>
      </c>
      <c r="N191" s="80"/>
      <c r="O191" s="93">
        <f ca="1">IF(OR(ISBLANK($C191),$C191="",$C191=0),0,COUNTIF(TB_WPTags,$C191&amp;"-100"))</f>
        <v>0</v>
      </c>
      <c r="P191" s="82"/>
      <c r="Q191" s="82"/>
      <c r="R191" s="82"/>
      <c r="S191" s="82"/>
      <c r="T191" s="82"/>
      <c r="U191" s="82"/>
      <c r="V191" s="83" t="str">
        <f t="shared" ca="1" si="68"/>
        <v>0</v>
      </c>
      <c r="W191" s="82"/>
      <c r="X191" s="83">
        <f t="shared" ca="1" si="69"/>
        <v>0</v>
      </c>
      <c r="Y191" s="82" t="b">
        <f t="shared" ca="1" si="70"/>
        <v>0</v>
      </c>
      <c r="Z191" s="94" t="b">
        <f t="shared" ca="1" si="71"/>
        <v>0</v>
      </c>
      <c r="AA191" s="94" t="b">
        <f t="shared" ca="1" si="72"/>
        <v>0</v>
      </c>
      <c r="AB191" s="178">
        <f t="shared" ca="1" si="73"/>
        <v>0</v>
      </c>
      <c r="AC191" s="94" t="b">
        <v>0</v>
      </c>
      <c r="AD191" s="127"/>
      <c r="AE191" s="185"/>
      <c r="AF191" s="175" t="str">
        <f t="shared" ca="1" si="74"/>
        <v/>
      </c>
      <c r="AG191" s="183">
        <f t="shared" ca="1" si="66"/>
        <v>0</v>
      </c>
      <c r="AH191" s="174"/>
      <c r="AI191" s="95" t="str">
        <f t="shared" ca="1" si="75"/>
        <v/>
      </c>
      <c r="AJ191" s="110"/>
      <c r="AK191" s="111"/>
      <c r="AL191" s="110"/>
      <c r="AM191" s="110"/>
      <c r="AN191" s="90"/>
    </row>
    <row r="192" spans="1:40" s="74" customFormat="1" ht="19.5">
      <c r="A192" s="76"/>
      <c r="B192" s="77"/>
      <c r="C192" s="671" t="s">
        <v>714</v>
      </c>
      <c r="D192" s="87">
        <v>138</v>
      </c>
      <c r="E192" s="87">
        <v>5</v>
      </c>
      <c r="F192" s="87" t="s">
        <v>669</v>
      </c>
      <c r="G192" s="101" t="s">
        <v>588</v>
      </c>
      <c r="H192" s="172"/>
      <c r="I192" s="682" t="s">
        <v>654</v>
      </c>
      <c r="J192" s="97">
        <v>0</v>
      </c>
      <c r="K192" s="97">
        <v>0</v>
      </c>
      <c r="L192" s="99">
        <v>0</v>
      </c>
      <c r="M192" s="81">
        <f t="shared" ca="1" si="67"/>
        <v>0</v>
      </c>
      <c r="N192" s="80"/>
      <c r="O192" s="93">
        <f ca="1">IF(OR(ISBLANK($C192),$C192="",$C192=0),0,COUNTIF(TB_WPTags,$C192&amp;"-100"))</f>
        <v>0</v>
      </c>
      <c r="P192" s="82"/>
      <c r="Q192" s="82"/>
      <c r="R192" s="82"/>
      <c r="S192" s="82"/>
      <c r="T192" s="82"/>
      <c r="U192" s="82"/>
      <c r="V192" s="83" t="str">
        <f t="shared" ca="1" si="68"/>
        <v>0</v>
      </c>
      <c r="W192" s="82"/>
      <c r="X192" s="83">
        <f t="shared" ca="1" si="69"/>
        <v>0</v>
      </c>
      <c r="Y192" s="82" t="b">
        <f t="shared" ca="1" si="70"/>
        <v>0</v>
      </c>
      <c r="Z192" s="94" t="b">
        <f t="shared" ca="1" si="71"/>
        <v>0</v>
      </c>
      <c r="AA192" s="94" t="b">
        <f t="shared" ca="1" si="72"/>
        <v>0</v>
      </c>
      <c r="AB192" s="178">
        <f t="shared" ca="1" si="73"/>
        <v>0</v>
      </c>
      <c r="AC192" s="94" t="b">
        <v>0</v>
      </c>
      <c r="AD192" s="127"/>
      <c r="AE192" s="185"/>
      <c r="AF192" s="175" t="str">
        <f t="shared" ca="1" si="74"/>
        <v/>
      </c>
      <c r="AG192" s="183">
        <f t="shared" ca="1" si="66"/>
        <v>0</v>
      </c>
      <c r="AH192" s="174"/>
      <c r="AI192" s="95" t="str">
        <f t="shared" ca="1" si="75"/>
        <v/>
      </c>
      <c r="AJ192" s="110"/>
      <c r="AK192" s="111"/>
      <c r="AL192" s="110"/>
      <c r="AM192" s="110"/>
      <c r="AN192" s="90"/>
    </row>
    <row r="193" spans="1:40" s="74" customFormat="1" ht="19.5">
      <c r="A193" s="76"/>
      <c r="B193" s="77"/>
      <c r="C193" s="671" t="s">
        <v>715</v>
      </c>
      <c r="D193" s="87">
        <v>139</v>
      </c>
      <c r="E193" s="87">
        <v>6</v>
      </c>
      <c r="F193" s="87" t="s">
        <v>716</v>
      </c>
      <c r="G193" s="101" t="s">
        <v>588</v>
      </c>
      <c r="H193" s="172"/>
      <c r="I193" s="682" t="s">
        <v>596</v>
      </c>
      <c r="J193" s="97">
        <v>0</v>
      </c>
      <c r="K193" s="97">
        <v>0</v>
      </c>
      <c r="L193" s="99">
        <v>0</v>
      </c>
      <c r="M193" s="81">
        <f t="shared" ca="1" si="67"/>
        <v>0</v>
      </c>
      <c r="N193" s="80"/>
      <c r="O193" s="93">
        <f ca="1">IF(OR(ISBLANK($C193),$C193="",$C193=0),0,COUNTIF(TB_WPTags,$C193&amp;"-100"))</f>
        <v>0</v>
      </c>
      <c r="P193" s="82"/>
      <c r="Q193" s="82"/>
      <c r="R193" s="82"/>
      <c r="S193" s="82"/>
      <c r="T193" s="82"/>
      <c r="U193" s="82"/>
      <c r="V193" s="83" t="str">
        <f t="shared" ca="1" si="68"/>
        <v>0</v>
      </c>
      <c r="W193" s="82"/>
      <c r="X193" s="83">
        <f t="shared" ca="1" si="69"/>
        <v>0</v>
      </c>
      <c r="Y193" s="82" t="b">
        <f t="shared" ca="1" si="70"/>
        <v>0</v>
      </c>
      <c r="Z193" s="94" t="b">
        <f t="shared" ca="1" si="71"/>
        <v>0</v>
      </c>
      <c r="AA193" s="94" t="b">
        <f t="shared" ca="1" si="72"/>
        <v>0</v>
      </c>
      <c r="AB193" s="178">
        <f t="shared" ca="1" si="73"/>
        <v>0</v>
      </c>
      <c r="AC193" s="94" t="b">
        <v>0</v>
      </c>
      <c r="AD193" s="127"/>
      <c r="AE193" s="185"/>
      <c r="AF193" s="175" t="str">
        <f t="shared" ca="1" si="74"/>
        <v/>
      </c>
      <c r="AG193" s="183">
        <f t="shared" ca="1" si="66"/>
        <v>0</v>
      </c>
      <c r="AH193" s="174"/>
      <c r="AI193" s="95" t="str">
        <f t="shared" ca="1" si="75"/>
        <v/>
      </c>
      <c r="AJ193" s="110"/>
      <c r="AK193" s="111"/>
      <c r="AL193" s="110"/>
      <c r="AM193" s="110"/>
      <c r="AN193" s="90"/>
    </row>
    <row r="194" spans="1:40" s="74" customFormat="1" ht="19.5">
      <c r="A194" s="76"/>
      <c r="B194" s="77"/>
      <c r="C194" s="671" t="s">
        <v>738</v>
      </c>
      <c r="D194" s="87">
        <v>140</v>
      </c>
      <c r="E194" s="87">
        <v>7</v>
      </c>
      <c r="F194" s="87" t="s">
        <v>718</v>
      </c>
      <c r="G194" s="101" t="s">
        <v>588</v>
      </c>
      <c r="H194" s="172" t="s">
        <v>599</v>
      </c>
      <c r="I194" s="676" t="s">
        <v>1009</v>
      </c>
      <c r="J194" s="677">
        <v>719.82</v>
      </c>
      <c r="K194" s="677">
        <v>0</v>
      </c>
      <c r="L194" s="99">
        <v>719.82</v>
      </c>
      <c r="M194" s="81">
        <f t="shared" ca="1" si="67"/>
        <v>1</v>
      </c>
      <c r="N194" s="80" t="s">
        <v>83</v>
      </c>
      <c r="O194" s="93">
        <f ca="1">IF(OR(ISBLANK($C194),$C194="",$C194=0),0,COUNTIF(TB_WPTags,$C194&amp;"-100"))</f>
        <v>1</v>
      </c>
      <c r="P194" s="82"/>
      <c r="Q194" s="82"/>
      <c r="R194" s="82"/>
      <c r="S194" s="82"/>
      <c r="T194" s="82"/>
      <c r="U194" s="82"/>
      <c r="V194" s="83" t="str">
        <f t="shared" ca="1" si="68"/>
        <v>1</v>
      </c>
      <c r="W194" s="82"/>
      <c r="X194" s="83">
        <f t="shared" ca="1" si="69"/>
        <v>8</v>
      </c>
      <c r="Y194" s="82" t="b">
        <f t="shared" ca="1" si="70"/>
        <v>1</v>
      </c>
      <c r="Z194" s="94" t="b">
        <f t="shared" ca="1" si="71"/>
        <v>0</v>
      </c>
      <c r="AA194" s="94" t="b">
        <f t="shared" ca="1" si="72"/>
        <v>0</v>
      </c>
      <c r="AB194" s="178">
        <f t="shared" ca="1" si="73"/>
        <v>0</v>
      </c>
      <c r="AC194" s="94" t="b">
        <v>0</v>
      </c>
      <c r="AD194" s="127"/>
      <c r="AE194" s="185"/>
      <c r="AF194" s="175" t="str">
        <f t="shared" ca="1" si="74"/>
        <v>]</v>
      </c>
      <c r="AG194" s="183">
        <f t="shared" ca="1" si="66"/>
        <v>0</v>
      </c>
      <c r="AH194" s="174"/>
      <c r="AI194" s="95" t="str">
        <f t="shared" ca="1" si="75"/>
        <v>Complete</v>
      </c>
      <c r="AJ194" s="110"/>
      <c r="AK194" s="111"/>
      <c r="AL194" s="110"/>
      <c r="AM194" s="110"/>
      <c r="AN194" s="90"/>
    </row>
    <row r="195" spans="1:40" s="74" customFormat="1" ht="19.5" hidden="1">
      <c r="A195" s="76"/>
      <c r="B195" s="77"/>
      <c r="C195" s="86" t="s">
        <v>738</v>
      </c>
      <c r="D195" s="87">
        <f ca="1">IF(IFERROR(ROW(TrialBalanceExact)+MATCH(C195,OFFSET(TrialBalanceExact,0,0,ROWS(TrialBalanceExact),1),0)-1=ROW(),TRUE),0, IF(ISERROR(VLOOKUP(C195,TrialBalanceExact,2,0)),0,VLOOKUP(C195,TrialBalanceExact,2,0)))</f>
        <v>140</v>
      </c>
      <c r="E195" s="87">
        <v>100</v>
      </c>
      <c r="F195" s="87"/>
      <c r="G195" s="101" t="s">
        <v>588</v>
      </c>
      <c r="H195" s="172" t="s">
        <v>599</v>
      </c>
      <c r="I195" s="734"/>
      <c r="J195" s="735"/>
      <c r="K195" s="735"/>
      <c r="L195" s="736"/>
      <c r="M195" s="737"/>
      <c r="N195" s="213" t="s">
        <v>136</v>
      </c>
      <c r="O195" s="738"/>
      <c r="P195" s="739" t="str">
        <f>$C195&amp;"-"&amp;$E195</f>
        <v>rent_receivable.Property.98da9e35-149c-408d-81d9-e7c6bce587f6-100</v>
      </c>
      <c r="Q195" s="739" t="s">
        <v>897</v>
      </c>
      <c r="R195" s="739" t="s">
        <v>898</v>
      </c>
      <c r="S195" s="739"/>
      <c r="T195" s="740">
        <f ca="1">ABS(IF(ISERROR(VLOOKUP(C195,TrialBalanceExact,8,0)),0,VLOOKUP(C195,TrialBalanceExact,8,0)))</f>
        <v>719.82</v>
      </c>
      <c r="U195" s="740">
        <f ca="1">ABS(IF(ISNUMBER(AH195),AH195,IF(ISBLANK(AH195),NA(),INDIRECT("'" &amp; _xll.SheetFromID(R195) &amp; "'!Reconcile_" &amp; SUBSTITUTE(AH195," ","")))))</f>
        <v>719.82</v>
      </c>
      <c r="V195" s="740">
        <f ca="1">IFERROR(IF(ABS(ROUND($T195-$U195,2))&lt;=Options_Tolerance,1,-1),0)</f>
        <v>1</v>
      </c>
      <c r="W195" s="740" t="str">
        <f ca="1">$C195&amp;"-"&amp;V195</f>
        <v>rent_receivable.Property.98da9e35-149c-408d-81d9-e7c6bce587f6-1</v>
      </c>
      <c r="X195" s="741">
        <f>IFERROR(VLOOKUP(AI195,StatusDescriptionsOrder,2,0),0)</f>
        <v>8</v>
      </c>
      <c r="Y195" s="739" t="b">
        <v>1</v>
      </c>
      <c r="Z195" s="742" t="b">
        <v>0</v>
      </c>
      <c r="AA195" s="743" t="b">
        <f>IFERROR(VLOOKUP(R195,HNSW_ItemsCount!A:D,2,0)&gt;0,FALSE)</f>
        <v>0</v>
      </c>
      <c r="AB195" s="743">
        <f>IFERROR(VLOOKUP(R195,HNSW_ItemsCount!A:D,4,0),0)</f>
        <v>0</v>
      </c>
      <c r="AC195" s="744" t="b">
        <v>0</v>
      </c>
      <c r="AD195" s="127" t="s">
        <v>900</v>
      </c>
      <c r="AE195" s="745" t="s">
        <v>58</v>
      </c>
      <c r="AF195" s="746" t="s">
        <v>74</v>
      </c>
      <c r="AG195" s="747">
        <f t="shared" si="66"/>
        <v>0</v>
      </c>
      <c r="AH195" s="748">
        <v>719.82</v>
      </c>
      <c r="AI195" s="749" t="s">
        <v>37</v>
      </c>
      <c r="AJ195" s="750" t="s">
        <v>1041</v>
      </c>
      <c r="AK195" s="751">
        <v>43545</v>
      </c>
      <c r="AL195" s="752" t="s">
        <v>58</v>
      </c>
      <c r="AM195" s="753" t="s">
        <v>25</v>
      </c>
      <c r="AN195" s="90"/>
    </row>
    <row r="196" spans="1:40" s="74" customFormat="1" ht="19.5">
      <c r="A196" s="76"/>
      <c r="B196" s="77"/>
      <c r="C196" s="671" t="s">
        <v>717</v>
      </c>
      <c r="D196" s="87">
        <v>141</v>
      </c>
      <c r="E196" s="87">
        <v>7</v>
      </c>
      <c r="F196" s="87" t="s">
        <v>718</v>
      </c>
      <c r="G196" s="101" t="s">
        <v>588</v>
      </c>
      <c r="H196" s="172" t="s">
        <v>599</v>
      </c>
      <c r="I196" s="676" t="s">
        <v>1010</v>
      </c>
      <c r="J196" s="677">
        <v>1792.26</v>
      </c>
      <c r="K196" s="677">
        <v>0</v>
      </c>
      <c r="L196" s="99">
        <v>1792.26</v>
      </c>
      <c r="M196" s="81">
        <f ca="1">IF(AND($AC196,$O196&gt;0),"–",$O196)</f>
        <v>1</v>
      </c>
      <c r="N196" s="80" t="s">
        <v>83</v>
      </c>
      <c r="O196" s="93">
        <f ca="1">IF(OR(ISBLANK($C196),$C196="",$C196=0),0,COUNTIF(TB_WPTags,$C196&amp;"-100"))</f>
        <v>1</v>
      </c>
      <c r="P196" s="82"/>
      <c r="Q196" s="82"/>
      <c r="R196" s="82"/>
      <c r="S196" s="82"/>
      <c r="T196" s="82"/>
      <c r="U196" s="82"/>
      <c r="V196" s="83" t="str">
        <f ca="1">IF(OR(ISBLANK($C196),$AC196),"NA",IF(COUNTIF(W:W,$C196&amp;"--1")&gt;0,"-1",IF(COUNTIF(W:W,$C196&amp;"-1")&gt;0,"1","0")))</f>
        <v>1</v>
      </c>
      <c r="W196" s="82"/>
      <c r="X196" s="83">
        <f ca="1">IF($O196&gt;0,MIN(OFFSET($X196,1,0,$O196)),0)</f>
        <v>8</v>
      </c>
      <c r="Y196" s="82" t="b">
        <f ca="1">IF(AND($O196&gt;0,AC196&lt;&gt;TRUE),COUNTIF(OFFSET($Y196,1,0,$O196),TRUE)&gt;=1,FALSE)</f>
        <v>1</v>
      </c>
      <c r="Z196" s="94" t="b">
        <f ca="1">IF(AND($O196&gt;0,AC196&lt;&gt;TRUE),COUNTIF(OFFSET($Z196,1,0,$O196),TRUE)&gt;=1,FALSE)</f>
        <v>0</v>
      </c>
      <c r="AA196" s="94" t="b">
        <f ca="1">IF(AND($O196&gt;0,AC196&lt;&gt;TRUE),COUNTIF(OFFSET($AA196,1,0,$O196),TRUE)&gt;=1,FALSE)</f>
        <v>0</v>
      </c>
      <c r="AB196" s="178">
        <f ca="1">IF(AND($O196&gt;0,AC196&lt;&gt;TRUE),SUM(OFFSET($AG196,1,0,$O196)),0)</f>
        <v>0</v>
      </c>
      <c r="AC196" s="94" t="b">
        <v>0</v>
      </c>
      <c r="AD196" s="127"/>
      <c r="AE196" s="185"/>
      <c r="AF196" s="175" t="str">
        <f ca="1">IF(AND(Y196,AC196&lt;&gt;TRUE),"]","")</f>
        <v>]</v>
      </c>
      <c r="AG196" s="183">
        <f t="shared" ca="1" si="66"/>
        <v>0</v>
      </c>
      <c r="AH196" s="174"/>
      <c r="AI196" s="95" t="str">
        <f ca="1">IF(AND($O196&gt;0,AC196&lt;&gt;TRUE),IF($X196&gt;=1,INDEX(StatusDescriptions,$X196+1,0),StatusBlank),"")</f>
        <v>Complete</v>
      </c>
      <c r="AJ196" s="110"/>
      <c r="AK196" s="111"/>
      <c r="AL196" s="110"/>
      <c r="AM196" s="110"/>
      <c r="AN196" s="90"/>
    </row>
    <row r="197" spans="1:40" s="74" customFormat="1" ht="19.5" hidden="1">
      <c r="A197" s="76"/>
      <c r="B197" s="77"/>
      <c r="C197" s="86" t="s">
        <v>717</v>
      </c>
      <c r="D197" s="87">
        <f ca="1">IF(IFERROR(ROW(TrialBalanceExact)+MATCH(C197,OFFSET(TrialBalanceExact,0,0,ROWS(TrialBalanceExact),1),0)-1=ROW(),TRUE),0, IF(ISERROR(VLOOKUP(C197,TrialBalanceExact,2,0)),0,VLOOKUP(C197,TrialBalanceExact,2,0)))</f>
        <v>141</v>
      </c>
      <c r="E197" s="87">
        <v>100</v>
      </c>
      <c r="F197" s="87"/>
      <c r="G197" s="101" t="s">
        <v>588</v>
      </c>
      <c r="H197" s="172" t="s">
        <v>599</v>
      </c>
      <c r="I197" s="734"/>
      <c r="J197" s="735"/>
      <c r="K197" s="735"/>
      <c r="L197" s="736"/>
      <c r="M197" s="737"/>
      <c r="N197" s="213" t="s">
        <v>136</v>
      </c>
      <c r="O197" s="738"/>
      <c r="P197" s="739" t="str">
        <f>$C197&amp;"-"&amp;$E197</f>
        <v>rent_receivable.Property.49362750-9aeb-4984-a896-1dd8b81c2e48-100</v>
      </c>
      <c r="Q197" s="739" t="s">
        <v>897</v>
      </c>
      <c r="R197" s="739" t="s">
        <v>901</v>
      </c>
      <c r="S197" s="739"/>
      <c r="T197" s="740">
        <f ca="1">ABS(IF(ISERROR(VLOOKUP(C197,TrialBalanceExact,8,0)),0,VLOOKUP(C197,TrialBalanceExact,8,0)))</f>
        <v>1792.26</v>
      </c>
      <c r="U197" s="740">
        <f ca="1">ABS(IF(ISNUMBER(AH197),AH197,IF(ISBLANK(AH197),NA(),INDIRECT("'" &amp; _xll.SheetFromID(R197) &amp; "'!Reconcile_" &amp; SUBSTITUTE(AH197," ","")))))</f>
        <v>1792.26</v>
      </c>
      <c r="V197" s="740">
        <f ca="1">IFERROR(IF(ABS(ROUND($T197-$U197,2))&lt;=Options_Tolerance,1,-1),0)</f>
        <v>1</v>
      </c>
      <c r="W197" s="740" t="str">
        <f ca="1">$C197&amp;"-"&amp;V197</f>
        <v>rent_receivable.Property.49362750-9aeb-4984-a896-1dd8b81c2e48-1</v>
      </c>
      <c r="X197" s="741">
        <f>IFERROR(VLOOKUP(AI197,StatusDescriptionsOrder,2,0),0)</f>
        <v>8</v>
      </c>
      <c r="Y197" s="739" t="b">
        <v>1</v>
      </c>
      <c r="Z197" s="742" t="b">
        <v>0</v>
      </c>
      <c r="AA197" s="743" t="b">
        <f>IFERROR(VLOOKUP(R197,HNSW_ItemsCount!A:D,2,0)&gt;0,FALSE)</f>
        <v>0</v>
      </c>
      <c r="AB197" s="743">
        <f>IFERROR(VLOOKUP(R197,HNSW_ItemsCount!A:D,4,0),0)</f>
        <v>0</v>
      </c>
      <c r="AC197" s="744" t="b">
        <v>0</v>
      </c>
      <c r="AD197" s="127" t="s">
        <v>900</v>
      </c>
      <c r="AE197" s="745" t="s">
        <v>58</v>
      </c>
      <c r="AF197" s="746" t="s">
        <v>74</v>
      </c>
      <c r="AG197" s="747">
        <f t="shared" si="66"/>
        <v>0</v>
      </c>
      <c r="AH197" s="748">
        <v>1792.26</v>
      </c>
      <c r="AI197" s="749" t="s">
        <v>37</v>
      </c>
      <c r="AJ197" s="750" t="s">
        <v>1041</v>
      </c>
      <c r="AK197" s="751">
        <v>43545</v>
      </c>
      <c r="AL197" s="752" t="s">
        <v>58</v>
      </c>
      <c r="AM197" s="753" t="s">
        <v>25</v>
      </c>
      <c r="AN197" s="90"/>
    </row>
    <row r="198" spans="1:40" s="74" customFormat="1" ht="19.5">
      <c r="A198" s="76"/>
      <c r="B198" s="77"/>
      <c r="C198" s="671" t="s">
        <v>719</v>
      </c>
      <c r="D198" s="87">
        <v>142</v>
      </c>
      <c r="E198" s="87">
        <v>6</v>
      </c>
      <c r="F198" s="87" t="s">
        <v>720</v>
      </c>
      <c r="G198" s="101" t="s">
        <v>588</v>
      </c>
      <c r="H198" s="172"/>
      <c r="I198" s="682" t="s">
        <v>603</v>
      </c>
      <c r="J198" s="678">
        <v>2512.08</v>
      </c>
      <c r="K198" s="678">
        <v>0</v>
      </c>
      <c r="L198" s="99">
        <v>2512.08</v>
      </c>
      <c r="M198" s="81">
        <f t="shared" ref="M198:M210" ca="1" si="76">IF(AND($AC198,$O198&gt;0),"–",$O198)</f>
        <v>0</v>
      </c>
      <c r="N198" s="80" t="s">
        <v>83</v>
      </c>
      <c r="O198" s="93">
        <f ca="1">IF(OR(ISBLANK($C198),$C198="",$C198=0),0,COUNTIF(TB_WPTags,$C198&amp;"-100"))</f>
        <v>0</v>
      </c>
      <c r="P198" s="82"/>
      <c r="Q198" s="82"/>
      <c r="R198" s="82"/>
      <c r="S198" s="82"/>
      <c r="T198" s="82"/>
      <c r="U198" s="82"/>
      <c r="V198" s="83" t="str">
        <f t="shared" ref="V198:V210" ca="1" si="77">IF(OR(ISBLANK($C198),$AC198),"NA",IF(COUNTIF(W:W,$C198&amp;"--1")&gt;0,"-1",IF(COUNTIF(W:W,$C198&amp;"-1")&gt;0,"1","0")))</f>
        <v>0</v>
      </c>
      <c r="W198" s="82"/>
      <c r="X198" s="83">
        <f t="shared" ref="X198:X210" ca="1" si="78">IF($O198&gt;0,MIN(OFFSET($X198,1,0,$O198)),0)</f>
        <v>0</v>
      </c>
      <c r="Y198" s="82" t="b">
        <f t="shared" ref="Y198:Y210" ca="1" si="79">IF(AND($O198&gt;0,AC198&lt;&gt;TRUE),COUNTIF(OFFSET($Y198,1,0,$O198),TRUE)&gt;=1,FALSE)</f>
        <v>0</v>
      </c>
      <c r="Z198" s="94" t="b">
        <f t="shared" ref="Z198:Z210" ca="1" si="80">IF(AND($O198&gt;0,AC198&lt;&gt;TRUE),COUNTIF(OFFSET($Z198,1,0,$O198),TRUE)&gt;=1,FALSE)</f>
        <v>0</v>
      </c>
      <c r="AA198" s="94" t="b">
        <f t="shared" ref="AA198:AA210" ca="1" si="81">IF(AND($O198&gt;0,AC198&lt;&gt;TRUE),COUNTIF(OFFSET($AA198,1,0,$O198),TRUE)&gt;=1,FALSE)</f>
        <v>0</v>
      </c>
      <c r="AB198" s="178">
        <f t="shared" ref="AB198:AB210" ca="1" si="82">IF(AND($O198&gt;0,AC198&lt;&gt;TRUE),SUM(OFFSET($AG198,1,0,$O198)),0)</f>
        <v>0</v>
      </c>
      <c r="AC198" s="94" t="b">
        <v>0</v>
      </c>
      <c r="AD198" s="127"/>
      <c r="AE198" s="185"/>
      <c r="AF198" s="175" t="str">
        <f t="shared" ref="AF198:AF210" ca="1" si="83">IF(AND(Y198,AC198&lt;&gt;TRUE),"]","")</f>
        <v/>
      </c>
      <c r="AG198" s="183">
        <f t="shared" ca="1" si="66"/>
        <v>0</v>
      </c>
      <c r="AH198" s="174"/>
      <c r="AI198" s="95" t="str">
        <f t="shared" ref="AI198:AI210" ca="1" si="84">IF(AND($O198&gt;0,AC198&lt;&gt;TRUE),IF($X198&gt;=1,INDEX(StatusDescriptions,$X198+1,0),StatusBlank),"")</f>
        <v/>
      </c>
      <c r="AJ198" s="110"/>
      <c r="AK198" s="111"/>
      <c r="AL198" s="110"/>
      <c r="AM198" s="110"/>
      <c r="AN198" s="90"/>
    </row>
    <row r="199" spans="1:40" s="74" customFormat="1" ht="19.5">
      <c r="A199" s="76"/>
      <c r="B199" s="77"/>
      <c r="C199" s="671" t="s">
        <v>721</v>
      </c>
      <c r="D199" s="87">
        <v>143</v>
      </c>
      <c r="E199" s="87">
        <v>5</v>
      </c>
      <c r="F199" s="87" t="s">
        <v>673</v>
      </c>
      <c r="G199" s="101" t="s">
        <v>588</v>
      </c>
      <c r="H199" s="172"/>
      <c r="I199" s="682" t="s">
        <v>659</v>
      </c>
      <c r="J199" s="678">
        <v>2512.08</v>
      </c>
      <c r="K199" s="678">
        <v>0</v>
      </c>
      <c r="L199" s="99">
        <v>2512.08</v>
      </c>
      <c r="M199" s="81">
        <f t="shared" ca="1" si="76"/>
        <v>0</v>
      </c>
      <c r="N199" s="80" t="s">
        <v>83</v>
      </c>
      <c r="O199" s="93">
        <f ca="1">IF(OR(ISBLANK($C199),$C199="",$C199=0),0,COUNTIF(TB_WPTags,$C199&amp;"-100"))</f>
        <v>0</v>
      </c>
      <c r="P199" s="82"/>
      <c r="Q199" s="82"/>
      <c r="R199" s="82"/>
      <c r="S199" s="82"/>
      <c r="T199" s="82"/>
      <c r="U199" s="82"/>
      <c r="V199" s="83" t="str">
        <f t="shared" ca="1" si="77"/>
        <v>0</v>
      </c>
      <c r="W199" s="82"/>
      <c r="X199" s="83">
        <f t="shared" ca="1" si="78"/>
        <v>0</v>
      </c>
      <c r="Y199" s="82" t="b">
        <f t="shared" ca="1" si="79"/>
        <v>0</v>
      </c>
      <c r="Z199" s="94" t="b">
        <f t="shared" ca="1" si="80"/>
        <v>0</v>
      </c>
      <c r="AA199" s="94" t="b">
        <f t="shared" ca="1" si="81"/>
        <v>0</v>
      </c>
      <c r="AB199" s="178">
        <f t="shared" ca="1" si="82"/>
        <v>0</v>
      </c>
      <c r="AC199" s="94" t="b">
        <v>0</v>
      </c>
      <c r="AD199" s="127"/>
      <c r="AE199" s="185"/>
      <c r="AF199" s="175" t="str">
        <f t="shared" ca="1" si="83"/>
        <v/>
      </c>
      <c r="AG199" s="183">
        <f t="shared" ca="1" si="66"/>
        <v>0</v>
      </c>
      <c r="AH199" s="174"/>
      <c r="AI199" s="95" t="str">
        <f t="shared" ca="1" si="84"/>
        <v/>
      </c>
      <c r="AJ199" s="110"/>
      <c r="AK199" s="111"/>
      <c r="AL199" s="110"/>
      <c r="AM199" s="110"/>
      <c r="AN199" s="90"/>
    </row>
    <row r="200" spans="1:40" s="74" customFormat="1" ht="19.5">
      <c r="A200" s="76"/>
      <c r="B200" s="77"/>
      <c r="C200" s="671" t="s">
        <v>722</v>
      </c>
      <c r="D200" s="87">
        <v>144</v>
      </c>
      <c r="E200" s="87">
        <v>4</v>
      </c>
      <c r="F200" s="87" t="s">
        <v>576</v>
      </c>
      <c r="G200" s="101" t="s">
        <v>588</v>
      </c>
      <c r="H200" s="172"/>
      <c r="I200" s="675" t="s">
        <v>723</v>
      </c>
      <c r="J200" s="678">
        <v>2512.08</v>
      </c>
      <c r="K200" s="678">
        <v>0</v>
      </c>
      <c r="L200" s="99">
        <v>2512.08</v>
      </c>
      <c r="M200" s="81">
        <f t="shared" ca="1" si="76"/>
        <v>0</v>
      </c>
      <c r="N200" s="80" t="s">
        <v>83</v>
      </c>
      <c r="O200" s="93">
        <f ca="1">IF(OR(ISBLANK($C200),$C200="",$C200=0),0,COUNTIF(TB_WPTags,$C200&amp;"-100"))</f>
        <v>0</v>
      </c>
      <c r="P200" s="82"/>
      <c r="Q200" s="82"/>
      <c r="R200" s="82"/>
      <c r="S200" s="82"/>
      <c r="T200" s="82"/>
      <c r="U200" s="82"/>
      <c r="V200" s="83" t="str">
        <f t="shared" ca="1" si="77"/>
        <v>0</v>
      </c>
      <c r="W200" s="82"/>
      <c r="X200" s="83">
        <f t="shared" ca="1" si="78"/>
        <v>0</v>
      </c>
      <c r="Y200" s="82" t="b">
        <f t="shared" ca="1" si="79"/>
        <v>0</v>
      </c>
      <c r="Z200" s="94" t="b">
        <f t="shared" ca="1" si="80"/>
        <v>0</v>
      </c>
      <c r="AA200" s="94" t="b">
        <f t="shared" ca="1" si="81"/>
        <v>0</v>
      </c>
      <c r="AB200" s="178">
        <f t="shared" ca="1" si="82"/>
        <v>0</v>
      </c>
      <c r="AC200" s="94" t="b">
        <v>0</v>
      </c>
      <c r="AD200" s="127"/>
      <c r="AE200" s="185"/>
      <c r="AF200" s="175" t="str">
        <f t="shared" ca="1" si="83"/>
        <v/>
      </c>
      <c r="AG200" s="183">
        <f t="shared" ca="1" si="66"/>
        <v>0</v>
      </c>
      <c r="AH200" s="174"/>
      <c r="AI200" s="95" t="str">
        <f t="shared" ca="1" si="84"/>
        <v/>
      </c>
      <c r="AJ200" s="110"/>
      <c r="AK200" s="111"/>
      <c r="AL200" s="110"/>
      <c r="AM200" s="110"/>
      <c r="AN200" s="90"/>
    </row>
    <row r="201" spans="1:40" s="74" customFormat="1" ht="19.5">
      <c r="A201" s="76"/>
      <c r="B201" s="77"/>
      <c r="C201" s="671" t="s">
        <v>724</v>
      </c>
      <c r="D201" s="87">
        <v>145</v>
      </c>
      <c r="E201" s="87">
        <v>3</v>
      </c>
      <c r="F201" s="87" t="s">
        <v>579</v>
      </c>
      <c r="G201" s="101" t="s">
        <v>588</v>
      </c>
      <c r="H201" s="172"/>
      <c r="I201" s="674" t="s">
        <v>725</v>
      </c>
      <c r="J201" s="678">
        <v>2512.08</v>
      </c>
      <c r="K201" s="678">
        <v>0</v>
      </c>
      <c r="L201" s="99">
        <v>2512.08</v>
      </c>
      <c r="M201" s="81">
        <f t="shared" ca="1" si="76"/>
        <v>0</v>
      </c>
      <c r="N201" s="80" t="s">
        <v>83</v>
      </c>
      <c r="O201" s="93">
        <f ca="1">IF(OR(ISBLANK($C201),$C201="",$C201=0),0,COUNTIF(TB_WPTags,$C201&amp;"-100"))</f>
        <v>0</v>
      </c>
      <c r="P201" s="82"/>
      <c r="Q201" s="82"/>
      <c r="R201" s="82"/>
      <c r="S201" s="82"/>
      <c r="T201" s="82"/>
      <c r="U201" s="82"/>
      <c r="V201" s="83" t="str">
        <f t="shared" ca="1" si="77"/>
        <v>0</v>
      </c>
      <c r="W201" s="82"/>
      <c r="X201" s="83">
        <f t="shared" ca="1" si="78"/>
        <v>0</v>
      </c>
      <c r="Y201" s="82" t="b">
        <f t="shared" ca="1" si="79"/>
        <v>0</v>
      </c>
      <c r="Z201" s="94" t="b">
        <f t="shared" ca="1" si="80"/>
        <v>0</v>
      </c>
      <c r="AA201" s="94" t="b">
        <f t="shared" ca="1" si="81"/>
        <v>0</v>
      </c>
      <c r="AB201" s="178">
        <f t="shared" ca="1" si="82"/>
        <v>0</v>
      </c>
      <c r="AC201" s="94" t="b">
        <v>0</v>
      </c>
      <c r="AD201" s="127"/>
      <c r="AE201" s="185"/>
      <c r="AF201" s="175" t="str">
        <f t="shared" ca="1" si="83"/>
        <v/>
      </c>
      <c r="AG201" s="183">
        <f t="shared" ca="1" si="66"/>
        <v>0</v>
      </c>
      <c r="AH201" s="174"/>
      <c r="AI201" s="95" t="str">
        <f t="shared" ca="1" si="84"/>
        <v/>
      </c>
      <c r="AJ201" s="110"/>
      <c r="AK201" s="111"/>
      <c r="AL201" s="110"/>
      <c r="AM201" s="110"/>
      <c r="AN201" s="90"/>
    </row>
    <row r="202" spans="1:40" s="74" customFormat="1" ht="19.5">
      <c r="A202" s="76"/>
      <c r="B202" s="77"/>
      <c r="C202" s="671" t="s">
        <v>611</v>
      </c>
      <c r="D202" s="87">
        <v>146</v>
      </c>
      <c r="E202" s="87">
        <v>3</v>
      </c>
      <c r="F202" s="87" t="s">
        <v>568</v>
      </c>
      <c r="G202" s="101" t="s">
        <v>588</v>
      </c>
      <c r="H202" s="172"/>
      <c r="I202" s="674" t="s">
        <v>612</v>
      </c>
      <c r="J202" s="97">
        <v>0</v>
      </c>
      <c r="K202" s="97">
        <v>0</v>
      </c>
      <c r="L202" s="99">
        <v>0</v>
      </c>
      <c r="M202" s="81">
        <f t="shared" ca="1" si="76"/>
        <v>0</v>
      </c>
      <c r="N202" s="80"/>
      <c r="O202" s="93">
        <f ca="1">IF(OR(ISBLANK($C202),$C202="",$C202=0),0,COUNTIF(TB_WPTags,$C202&amp;"-100"))</f>
        <v>0</v>
      </c>
      <c r="P202" s="82"/>
      <c r="Q202" s="82"/>
      <c r="R202" s="82"/>
      <c r="S202" s="82"/>
      <c r="T202" s="82"/>
      <c r="U202" s="82"/>
      <c r="V202" s="83" t="str">
        <f t="shared" ca="1" si="77"/>
        <v>0</v>
      </c>
      <c r="W202" s="82"/>
      <c r="X202" s="83">
        <f t="shared" ca="1" si="78"/>
        <v>0</v>
      </c>
      <c r="Y202" s="82" t="b">
        <f t="shared" ca="1" si="79"/>
        <v>0</v>
      </c>
      <c r="Z202" s="94" t="b">
        <f t="shared" ca="1" si="80"/>
        <v>0</v>
      </c>
      <c r="AA202" s="94" t="b">
        <f t="shared" ca="1" si="81"/>
        <v>0</v>
      </c>
      <c r="AB202" s="178">
        <f t="shared" ca="1" si="82"/>
        <v>0</v>
      </c>
      <c r="AC202" s="94" t="b">
        <v>0</v>
      </c>
      <c r="AD202" s="127"/>
      <c r="AE202" s="185"/>
      <c r="AF202" s="175" t="str">
        <f t="shared" ca="1" si="83"/>
        <v/>
      </c>
      <c r="AG202" s="183">
        <f t="shared" ca="1" si="66"/>
        <v>0</v>
      </c>
      <c r="AH202" s="174"/>
      <c r="AI202" s="95" t="str">
        <f t="shared" ca="1" si="84"/>
        <v/>
      </c>
      <c r="AJ202" s="110"/>
      <c r="AK202" s="111"/>
      <c r="AL202" s="110"/>
      <c r="AM202" s="110"/>
      <c r="AN202" s="90"/>
    </row>
    <row r="203" spans="1:40" s="74" customFormat="1" ht="19.5">
      <c r="A203" s="76"/>
      <c r="B203" s="77"/>
      <c r="C203" s="671" t="s">
        <v>613</v>
      </c>
      <c r="D203" s="87">
        <v>147</v>
      </c>
      <c r="E203" s="87">
        <v>4</v>
      </c>
      <c r="F203" s="87" t="s">
        <v>598</v>
      </c>
      <c r="G203" s="101" t="s">
        <v>588</v>
      </c>
      <c r="H203" s="172"/>
      <c r="I203" s="680" t="s">
        <v>614</v>
      </c>
      <c r="J203" s="677">
        <v>5353.9</v>
      </c>
      <c r="K203" s="677">
        <v>0</v>
      </c>
      <c r="L203" s="99">
        <v>5353.9</v>
      </c>
      <c r="M203" s="81">
        <f t="shared" ca="1" si="76"/>
        <v>0</v>
      </c>
      <c r="N203" s="80" t="s">
        <v>83</v>
      </c>
      <c r="O203" s="93">
        <f ca="1">IF(OR(ISBLANK($C203),$C203="",$C203=0),0,COUNTIF(TB_WPTags,$C203&amp;"-100"))</f>
        <v>0</v>
      </c>
      <c r="P203" s="82"/>
      <c r="Q203" s="82"/>
      <c r="R203" s="82"/>
      <c r="S203" s="82"/>
      <c r="T203" s="82"/>
      <c r="U203" s="82"/>
      <c r="V203" s="83" t="str">
        <f t="shared" ca="1" si="77"/>
        <v>0</v>
      </c>
      <c r="W203" s="82"/>
      <c r="X203" s="83">
        <f t="shared" ca="1" si="78"/>
        <v>0</v>
      </c>
      <c r="Y203" s="82" t="b">
        <f t="shared" ca="1" si="79"/>
        <v>0</v>
      </c>
      <c r="Z203" s="94" t="b">
        <f t="shared" ca="1" si="80"/>
        <v>0</v>
      </c>
      <c r="AA203" s="94" t="b">
        <f t="shared" ca="1" si="81"/>
        <v>0</v>
      </c>
      <c r="AB203" s="178">
        <f t="shared" ca="1" si="82"/>
        <v>0</v>
      </c>
      <c r="AC203" s="94" t="b">
        <v>0</v>
      </c>
      <c r="AD203" s="127"/>
      <c r="AE203" s="185" t="s">
        <v>58</v>
      </c>
      <c r="AF203" s="175" t="str">
        <f t="shared" ca="1" si="83"/>
        <v/>
      </c>
      <c r="AG203" s="183">
        <f t="shared" ca="1" si="66"/>
        <v>0</v>
      </c>
      <c r="AH203" s="174"/>
      <c r="AI203" s="95" t="str">
        <f t="shared" ca="1" si="84"/>
        <v/>
      </c>
      <c r="AJ203" s="110"/>
      <c r="AK203" s="111"/>
      <c r="AL203" s="110"/>
      <c r="AM203" s="110"/>
      <c r="AN203" s="90"/>
    </row>
    <row r="204" spans="1:40" s="74" customFormat="1" ht="19.5">
      <c r="A204" s="76"/>
      <c r="B204" s="77"/>
      <c r="C204" s="671" t="s">
        <v>615</v>
      </c>
      <c r="D204" s="87">
        <v>148</v>
      </c>
      <c r="E204" s="87">
        <v>3</v>
      </c>
      <c r="F204" s="87" t="s">
        <v>579</v>
      </c>
      <c r="G204" s="101" t="s">
        <v>588</v>
      </c>
      <c r="H204" s="172"/>
      <c r="I204" s="674" t="s">
        <v>616</v>
      </c>
      <c r="J204" s="678">
        <v>5353.9</v>
      </c>
      <c r="K204" s="678">
        <v>0</v>
      </c>
      <c r="L204" s="99">
        <v>5353.9</v>
      </c>
      <c r="M204" s="81">
        <f t="shared" ca="1" si="76"/>
        <v>0</v>
      </c>
      <c r="N204" s="80" t="s">
        <v>83</v>
      </c>
      <c r="O204" s="93">
        <f ca="1">IF(OR(ISBLANK($C204),$C204="",$C204=0),0,COUNTIF(TB_WPTags,$C204&amp;"-100"))</f>
        <v>0</v>
      </c>
      <c r="P204" s="82"/>
      <c r="Q204" s="82"/>
      <c r="R204" s="82"/>
      <c r="S204" s="82"/>
      <c r="T204" s="82"/>
      <c r="U204" s="82"/>
      <c r="V204" s="83" t="str">
        <f t="shared" ca="1" si="77"/>
        <v>0</v>
      </c>
      <c r="W204" s="82"/>
      <c r="X204" s="83">
        <f t="shared" ca="1" si="78"/>
        <v>0</v>
      </c>
      <c r="Y204" s="82" t="b">
        <f t="shared" ca="1" si="79"/>
        <v>0</v>
      </c>
      <c r="Z204" s="94" t="b">
        <f t="shared" ca="1" si="80"/>
        <v>0</v>
      </c>
      <c r="AA204" s="94" t="b">
        <f t="shared" ca="1" si="81"/>
        <v>0</v>
      </c>
      <c r="AB204" s="178">
        <f t="shared" ca="1" si="82"/>
        <v>0</v>
      </c>
      <c r="AC204" s="94" t="b">
        <v>0</v>
      </c>
      <c r="AD204" s="127"/>
      <c r="AE204" s="185" t="s">
        <v>58</v>
      </c>
      <c r="AF204" s="175" t="str">
        <f t="shared" ca="1" si="83"/>
        <v/>
      </c>
      <c r="AG204" s="183">
        <f t="shared" ca="1" si="66"/>
        <v>0</v>
      </c>
      <c r="AH204" s="174"/>
      <c r="AI204" s="95" t="str">
        <f t="shared" ca="1" si="84"/>
        <v/>
      </c>
      <c r="AJ204" s="110"/>
      <c r="AK204" s="111"/>
      <c r="AL204" s="110"/>
      <c r="AM204" s="110"/>
      <c r="AN204" s="90"/>
    </row>
    <row r="205" spans="1:40" s="74" customFormat="1" ht="19.5">
      <c r="A205" s="76"/>
      <c r="B205" s="77"/>
      <c r="C205" s="671" t="s">
        <v>617</v>
      </c>
      <c r="D205" s="87">
        <v>149</v>
      </c>
      <c r="E205" s="87">
        <v>2</v>
      </c>
      <c r="F205" s="87" t="s">
        <v>582</v>
      </c>
      <c r="G205" s="101" t="s">
        <v>588</v>
      </c>
      <c r="H205" s="172"/>
      <c r="I205" s="673" t="s">
        <v>618</v>
      </c>
      <c r="J205" s="678">
        <v>116219.84</v>
      </c>
      <c r="K205" s="678">
        <v>0</v>
      </c>
      <c r="L205" s="99">
        <v>116219.84</v>
      </c>
      <c r="M205" s="81">
        <f t="shared" ca="1" si="76"/>
        <v>0</v>
      </c>
      <c r="N205" s="80" t="s">
        <v>83</v>
      </c>
      <c r="O205" s="93">
        <f ca="1">IF(OR(ISBLANK($C205),$C205="",$C205=0),0,COUNTIF(TB_WPTags,$C205&amp;"-100"))</f>
        <v>0</v>
      </c>
      <c r="P205" s="82"/>
      <c r="Q205" s="82"/>
      <c r="R205" s="82"/>
      <c r="S205" s="82"/>
      <c r="T205" s="82"/>
      <c r="U205" s="82"/>
      <c r="V205" s="83" t="str">
        <f t="shared" ca="1" si="77"/>
        <v>0</v>
      </c>
      <c r="W205" s="82"/>
      <c r="X205" s="83">
        <f t="shared" ca="1" si="78"/>
        <v>0</v>
      </c>
      <c r="Y205" s="82" t="b">
        <f t="shared" ca="1" si="79"/>
        <v>0</v>
      </c>
      <c r="Z205" s="94" t="b">
        <f t="shared" ca="1" si="80"/>
        <v>0</v>
      </c>
      <c r="AA205" s="94" t="b">
        <f t="shared" ca="1" si="81"/>
        <v>0</v>
      </c>
      <c r="AB205" s="178">
        <f t="shared" ca="1" si="82"/>
        <v>0</v>
      </c>
      <c r="AC205" s="94" t="b">
        <v>0</v>
      </c>
      <c r="AD205" s="127"/>
      <c r="AE205" s="185" t="s">
        <v>58</v>
      </c>
      <c r="AF205" s="175" t="str">
        <f t="shared" ca="1" si="83"/>
        <v/>
      </c>
      <c r="AG205" s="183">
        <f t="shared" ca="1" si="66"/>
        <v>0</v>
      </c>
      <c r="AH205" s="174"/>
      <c r="AI205" s="95" t="str">
        <f t="shared" ca="1" si="84"/>
        <v/>
      </c>
      <c r="AJ205" s="110"/>
      <c r="AK205" s="111"/>
      <c r="AL205" s="110"/>
      <c r="AM205" s="110"/>
      <c r="AN205" s="90"/>
    </row>
    <row r="206" spans="1:40" s="74" customFormat="1" ht="19.5">
      <c r="A206" s="76"/>
      <c r="B206" s="77"/>
      <c r="C206" s="671" t="s">
        <v>619</v>
      </c>
      <c r="D206" s="87">
        <v>150</v>
      </c>
      <c r="E206" s="87">
        <v>1</v>
      </c>
      <c r="F206" s="87" t="s">
        <v>585</v>
      </c>
      <c r="G206" s="101" t="s">
        <v>588</v>
      </c>
      <c r="H206" s="172"/>
      <c r="I206" s="673" t="s">
        <v>343</v>
      </c>
      <c r="J206" s="678">
        <v>1151219.8400000001</v>
      </c>
      <c r="K206" s="678">
        <v>0</v>
      </c>
      <c r="L206" s="99">
        <v>1151219.8400000001</v>
      </c>
      <c r="M206" s="81">
        <f t="shared" ca="1" si="76"/>
        <v>0</v>
      </c>
      <c r="N206" s="80" t="s">
        <v>83</v>
      </c>
      <c r="O206" s="93">
        <f ca="1">IF(OR(ISBLANK($C206),$C206="",$C206=0),0,COUNTIF(TB_WPTags,$C206&amp;"-100"))</f>
        <v>0</v>
      </c>
      <c r="P206" s="82"/>
      <c r="Q206" s="82"/>
      <c r="R206" s="82"/>
      <c r="S206" s="82"/>
      <c r="T206" s="82"/>
      <c r="U206" s="82"/>
      <c r="V206" s="83" t="str">
        <f t="shared" ca="1" si="77"/>
        <v>0</v>
      </c>
      <c r="W206" s="82"/>
      <c r="X206" s="83">
        <f t="shared" ca="1" si="78"/>
        <v>0</v>
      </c>
      <c r="Y206" s="82" t="b">
        <f t="shared" ca="1" si="79"/>
        <v>0</v>
      </c>
      <c r="Z206" s="94" t="b">
        <f t="shared" ca="1" si="80"/>
        <v>0</v>
      </c>
      <c r="AA206" s="94" t="b">
        <f t="shared" ca="1" si="81"/>
        <v>0</v>
      </c>
      <c r="AB206" s="178">
        <f t="shared" ca="1" si="82"/>
        <v>0</v>
      </c>
      <c r="AC206" s="94" t="b">
        <v>0</v>
      </c>
      <c r="AD206" s="127"/>
      <c r="AE206" s="185" t="s">
        <v>58</v>
      </c>
      <c r="AF206" s="175" t="str">
        <f t="shared" ca="1" si="83"/>
        <v/>
      </c>
      <c r="AG206" s="183">
        <f t="shared" ca="1" si="66"/>
        <v>0</v>
      </c>
      <c r="AH206" s="174"/>
      <c r="AI206" s="95" t="str">
        <f t="shared" ca="1" si="84"/>
        <v/>
      </c>
      <c r="AJ206" s="110"/>
      <c r="AK206" s="111"/>
      <c r="AL206" s="110"/>
      <c r="AM206" s="110"/>
      <c r="AN206" s="90"/>
    </row>
    <row r="207" spans="1:40" s="74" customFormat="1" ht="19.5">
      <c r="A207" s="76"/>
      <c r="B207" s="77"/>
      <c r="C207" s="671" t="s">
        <v>620</v>
      </c>
      <c r="D207" s="87">
        <v>151</v>
      </c>
      <c r="E207" s="87">
        <v>1</v>
      </c>
      <c r="F207" s="87" t="s">
        <v>562</v>
      </c>
      <c r="G207" s="101" t="s">
        <v>621</v>
      </c>
      <c r="H207" s="172"/>
      <c r="I207" s="672" t="s">
        <v>620</v>
      </c>
      <c r="J207" s="97">
        <v>0</v>
      </c>
      <c r="K207" s="97">
        <v>0</v>
      </c>
      <c r="L207" s="99">
        <v>0</v>
      </c>
      <c r="M207" s="81">
        <f t="shared" ca="1" si="76"/>
        <v>0</v>
      </c>
      <c r="N207" s="80"/>
      <c r="O207" s="93">
        <f ca="1">IF(OR(ISBLANK($C207),$C207="",$C207=0),0,COUNTIF(TB_WPTags,$C207&amp;"-100"))</f>
        <v>0</v>
      </c>
      <c r="P207" s="82"/>
      <c r="Q207" s="82"/>
      <c r="R207" s="82"/>
      <c r="S207" s="82"/>
      <c r="T207" s="82"/>
      <c r="U207" s="82"/>
      <c r="V207" s="83" t="str">
        <f t="shared" ca="1" si="77"/>
        <v>0</v>
      </c>
      <c r="W207" s="82"/>
      <c r="X207" s="83">
        <f t="shared" ca="1" si="78"/>
        <v>0</v>
      </c>
      <c r="Y207" s="82" t="b">
        <f t="shared" ca="1" si="79"/>
        <v>0</v>
      </c>
      <c r="Z207" s="94" t="b">
        <f t="shared" ca="1" si="80"/>
        <v>0</v>
      </c>
      <c r="AA207" s="94" t="b">
        <f t="shared" ca="1" si="81"/>
        <v>0</v>
      </c>
      <c r="AB207" s="178">
        <f t="shared" ca="1" si="82"/>
        <v>0</v>
      </c>
      <c r="AC207" s="94" t="b">
        <v>0</v>
      </c>
      <c r="AD207" s="127"/>
      <c r="AE207" s="185"/>
      <c r="AF207" s="175" t="str">
        <f t="shared" ca="1" si="83"/>
        <v/>
      </c>
      <c r="AG207" s="183">
        <f t="shared" ca="1" si="66"/>
        <v>0</v>
      </c>
      <c r="AH207" s="174"/>
      <c r="AI207" s="95" t="str">
        <f t="shared" ca="1" si="84"/>
        <v/>
      </c>
      <c r="AJ207" s="110"/>
      <c r="AK207" s="111"/>
      <c r="AL207" s="110"/>
      <c r="AM207" s="110"/>
      <c r="AN207" s="90"/>
    </row>
    <row r="208" spans="1:40" s="74" customFormat="1" ht="19.5">
      <c r="A208" s="76"/>
      <c r="B208" s="77"/>
      <c r="C208" s="671" t="s">
        <v>622</v>
      </c>
      <c r="D208" s="87">
        <v>152</v>
      </c>
      <c r="E208" s="87">
        <v>2</v>
      </c>
      <c r="F208" s="87" t="s">
        <v>565</v>
      </c>
      <c r="G208" s="101" t="s">
        <v>621</v>
      </c>
      <c r="H208" s="172"/>
      <c r="I208" s="673" t="s">
        <v>268</v>
      </c>
      <c r="J208" s="97">
        <v>0</v>
      </c>
      <c r="K208" s="97">
        <v>0</v>
      </c>
      <c r="L208" s="99">
        <v>0</v>
      </c>
      <c r="M208" s="81">
        <f t="shared" ca="1" si="76"/>
        <v>0</v>
      </c>
      <c r="N208" s="80"/>
      <c r="O208" s="93">
        <f ca="1">IF(OR(ISBLANK($C208),$C208="",$C208=0),0,COUNTIF(TB_WPTags,$C208&amp;"-100"))</f>
        <v>0</v>
      </c>
      <c r="P208" s="82"/>
      <c r="Q208" s="82"/>
      <c r="R208" s="82"/>
      <c r="S208" s="82"/>
      <c r="T208" s="82"/>
      <c r="U208" s="82"/>
      <c r="V208" s="83" t="str">
        <f t="shared" ca="1" si="77"/>
        <v>0</v>
      </c>
      <c r="W208" s="82"/>
      <c r="X208" s="83">
        <f t="shared" ca="1" si="78"/>
        <v>0</v>
      </c>
      <c r="Y208" s="82" t="b">
        <f t="shared" ca="1" si="79"/>
        <v>0</v>
      </c>
      <c r="Z208" s="94" t="b">
        <f t="shared" ca="1" si="80"/>
        <v>0</v>
      </c>
      <c r="AA208" s="94" t="b">
        <f t="shared" ca="1" si="81"/>
        <v>0</v>
      </c>
      <c r="AB208" s="178">
        <f t="shared" ca="1" si="82"/>
        <v>0</v>
      </c>
      <c r="AC208" s="94" t="b">
        <v>0</v>
      </c>
      <c r="AD208" s="127"/>
      <c r="AE208" s="185"/>
      <c r="AF208" s="175" t="str">
        <f t="shared" ca="1" si="83"/>
        <v/>
      </c>
      <c r="AG208" s="183">
        <f t="shared" ca="1" si="66"/>
        <v>0</v>
      </c>
      <c r="AH208" s="174"/>
      <c r="AI208" s="95" t="str">
        <f t="shared" ca="1" si="84"/>
        <v/>
      </c>
      <c r="AJ208" s="110"/>
      <c r="AK208" s="111"/>
      <c r="AL208" s="110"/>
      <c r="AM208" s="110"/>
      <c r="AN208" s="90"/>
    </row>
    <row r="209" spans="1:40" s="74" customFormat="1" ht="19.5">
      <c r="A209" s="76"/>
      <c r="B209" s="77"/>
      <c r="C209" s="671" t="s">
        <v>1064</v>
      </c>
      <c r="D209" s="87">
        <v>153</v>
      </c>
      <c r="E209" s="87">
        <v>3</v>
      </c>
      <c r="F209" s="87" t="s">
        <v>623</v>
      </c>
      <c r="G209" s="101" t="s">
        <v>621</v>
      </c>
      <c r="H209" s="172"/>
      <c r="I209" s="681" t="s">
        <v>1065</v>
      </c>
      <c r="J209" s="677">
        <v>12088.5</v>
      </c>
      <c r="K209" s="677">
        <v>0</v>
      </c>
      <c r="L209" s="99">
        <v>12088.5</v>
      </c>
      <c r="M209" s="81">
        <f t="shared" ca="1" si="76"/>
        <v>0</v>
      </c>
      <c r="N209" s="80" t="s">
        <v>83</v>
      </c>
      <c r="O209" s="93">
        <f ca="1">IF(OR(ISBLANK($C209),$C209="",$C209=0),0,COUNTIF(TB_WPTags,$C209&amp;"-100"))</f>
        <v>0</v>
      </c>
      <c r="P209" s="82"/>
      <c r="Q209" s="82"/>
      <c r="R209" s="82"/>
      <c r="S209" s="82"/>
      <c r="T209" s="82"/>
      <c r="U209" s="82"/>
      <c r="V209" s="83" t="str">
        <f t="shared" ca="1" si="77"/>
        <v>0</v>
      </c>
      <c r="W209" s="82"/>
      <c r="X209" s="83">
        <f t="shared" ca="1" si="78"/>
        <v>0</v>
      </c>
      <c r="Y209" s="82" t="b">
        <f t="shared" ca="1" si="79"/>
        <v>0</v>
      </c>
      <c r="Z209" s="94" t="b">
        <f t="shared" ca="1" si="80"/>
        <v>0</v>
      </c>
      <c r="AA209" s="94" t="b">
        <f t="shared" ca="1" si="81"/>
        <v>0</v>
      </c>
      <c r="AB209" s="178">
        <f t="shared" ca="1" si="82"/>
        <v>0</v>
      </c>
      <c r="AC209" s="94" t="b">
        <v>0</v>
      </c>
      <c r="AD209" s="127"/>
      <c r="AE209" s="185"/>
      <c r="AF209" s="175" t="str">
        <f t="shared" ca="1" si="83"/>
        <v/>
      </c>
      <c r="AG209" s="183">
        <f t="shared" ca="1" si="66"/>
        <v>0</v>
      </c>
      <c r="AH209" s="174"/>
      <c r="AI209" s="95" t="str">
        <f t="shared" ca="1" si="84"/>
        <v/>
      </c>
      <c r="AJ209" s="110"/>
      <c r="AK209" s="111"/>
      <c r="AL209" s="110"/>
      <c r="AM209" s="110"/>
      <c r="AN209" s="90"/>
    </row>
    <row r="210" spans="1:40" s="74" customFormat="1" ht="19.5">
      <c r="A210" s="76"/>
      <c r="B210" s="77"/>
      <c r="C210" s="671" t="s">
        <v>739</v>
      </c>
      <c r="D210" s="87">
        <v>154</v>
      </c>
      <c r="E210" s="87">
        <v>3</v>
      </c>
      <c r="F210" s="87" t="s">
        <v>623</v>
      </c>
      <c r="G210" s="101" t="s">
        <v>621</v>
      </c>
      <c r="H210" s="172"/>
      <c r="I210" s="681" t="s">
        <v>740</v>
      </c>
      <c r="J210" s="677">
        <v>-4560</v>
      </c>
      <c r="K210" s="677">
        <v>0</v>
      </c>
      <c r="L210" s="99">
        <v>-4560</v>
      </c>
      <c r="M210" s="81">
        <f t="shared" ca="1" si="76"/>
        <v>2</v>
      </c>
      <c r="N210" s="80" t="s">
        <v>83</v>
      </c>
      <c r="O210" s="93">
        <f ca="1">IF(OR(ISBLANK($C210),$C210="",$C210=0),0,COUNTIF(TB_WPTags,$C210&amp;"-100"))</f>
        <v>2</v>
      </c>
      <c r="P210" s="82"/>
      <c r="Q210" s="82"/>
      <c r="R210" s="82"/>
      <c r="S210" s="82"/>
      <c r="T210" s="82"/>
      <c r="U210" s="82"/>
      <c r="V210" s="83" t="str">
        <f t="shared" ca="1" si="77"/>
        <v>1</v>
      </c>
      <c r="W210" s="82"/>
      <c r="X210" s="83">
        <f t="shared" ca="1" si="78"/>
        <v>3</v>
      </c>
      <c r="Y210" s="82" t="b">
        <f t="shared" ca="1" si="79"/>
        <v>0</v>
      </c>
      <c r="Z210" s="94" t="b">
        <f t="shared" ca="1" si="80"/>
        <v>0</v>
      </c>
      <c r="AA210" s="94" t="b">
        <f t="shared" ca="1" si="81"/>
        <v>0</v>
      </c>
      <c r="AB210" s="178">
        <f t="shared" ca="1" si="82"/>
        <v>0</v>
      </c>
      <c r="AC210" s="94" t="b">
        <v>0</v>
      </c>
      <c r="AD210" s="127"/>
      <c r="AE210" s="185" t="s">
        <v>58</v>
      </c>
      <c r="AF210" s="175" t="str">
        <f t="shared" ca="1" si="83"/>
        <v/>
      </c>
      <c r="AG210" s="183">
        <f t="shared" ca="1" si="66"/>
        <v>0</v>
      </c>
      <c r="AH210" s="174"/>
      <c r="AI210" s="95" t="str">
        <f t="shared" ca="1" si="84"/>
        <v>Ready for Review</v>
      </c>
      <c r="AJ210" s="110"/>
      <c r="AK210" s="111"/>
      <c r="AL210" s="110"/>
      <c r="AM210" s="110"/>
      <c r="AN210" s="90"/>
    </row>
    <row r="211" spans="1:40" s="74" customFormat="1" ht="24" hidden="1">
      <c r="A211" s="76"/>
      <c r="B211" s="85"/>
      <c r="C211" s="86" t="s">
        <v>739</v>
      </c>
      <c r="D211" s="87">
        <f ca="1">IF(IFERROR(ROW(TrialBalanceExact)+MATCH(C211,OFFSET(TrialBalanceExact,0,0,ROWS(TrialBalanceExact),1),0)-1=ROW(),TRUE),0, IF(ISERROR(VLOOKUP(C211,TrialBalanceExact,2,0)),0,VLOOKUP(C211,TrialBalanceExact,2,0)))</f>
        <v>154</v>
      </c>
      <c r="E211" s="87">
        <v>100</v>
      </c>
      <c r="F211" s="87"/>
      <c r="G211" s="101" t="s">
        <v>621</v>
      </c>
      <c r="H211" s="101"/>
      <c r="I211" s="89"/>
      <c r="J211" s="96"/>
      <c r="K211" s="96"/>
      <c r="L211" s="98"/>
      <c r="M211" s="71"/>
      <c r="N211" s="213" t="s">
        <v>136</v>
      </c>
      <c r="O211" s="207"/>
      <c r="P211" s="208" t="str">
        <f>$C211&amp;"-"&amp;$E211</f>
        <v>income_tax_instalments_paid-100</v>
      </c>
      <c r="Q211" s="208" t="s">
        <v>897</v>
      </c>
      <c r="R211" s="208" t="s">
        <v>1002</v>
      </c>
      <c r="S211" s="208"/>
      <c r="T211" s="209">
        <f ca="1">ABS(IF(ISERROR(VLOOKUP(C211,TrialBalanceExact,8,0)),0,VLOOKUP(C211,TrialBalanceExact,8,0)))</f>
        <v>4560</v>
      </c>
      <c r="U211" s="209">
        <f ca="1">ABS(IF(ISNUMBER(AH211),AH211,IF(ISBLANK(AH211),NA(),INDIRECT("'" &amp; _xll.SheetFromID(R211) &amp; "'!Reconcile_" &amp; SUBSTITUTE(AH211," ","")))))</f>
        <v>4560</v>
      </c>
      <c r="V211" s="209">
        <f ca="1">IFERROR(IF(ABS(ROUND($T211-$U211,2))&lt;=Options_Tolerance,1,-1),0)</f>
        <v>1</v>
      </c>
      <c r="W211" s="209" t="str">
        <f ca="1">$C211&amp;"-"&amp;V211</f>
        <v>income_tax_instalments_paid-1</v>
      </c>
      <c r="X211" s="210">
        <f>IFERROR(VLOOKUP(AI211,StatusDescriptionsOrder,2,0),0)</f>
        <v>5</v>
      </c>
      <c r="Y211" s="208" t="b">
        <v>0</v>
      </c>
      <c r="Z211" s="211" t="b">
        <v>0</v>
      </c>
      <c r="AA211" s="177" t="b">
        <f>IFERROR(VLOOKUP(R211,HNSW_ItemsCount!A:D,2,0)&gt;0,FALSE)</f>
        <v>0</v>
      </c>
      <c r="AB211" s="177">
        <f>IFERROR(VLOOKUP(R211,HNSW_ItemsCount!A:D,4,0),0)</f>
        <v>0</v>
      </c>
      <c r="AC211" s="212" t="b">
        <v>0</v>
      </c>
      <c r="AD211" s="119" t="s">
        <v>1001</v>
      </c>
      <c r="AE211" s="184" t="s">
        <v>58</v>
      </c>
      <c r="AF211" s="179" t="s">
        <v>74</v>
      </c>
      <c r="AG211" s="182">
        <f t="shared" si="66"/>
        <v>0</v>
      </c>
      <c r="AH211" s="124">
        <v>4560</v>
      </c>
      <c r="AI211" s="125" t="s">
        <v>36</v>
      </c>
      <c r="AJ211" s="122" t="s">
        <v>552</v>
      </c>
      <c r="AK211" s="126">
        <v>43546</v>
      </c>
      <c r="AL211" s="180" t="s">
        <v>58</v>
      </c>
      <c r="AM211" s="181" t="s">
        <v>25</v>
      </c>
      <c r="AN211" s="88"/>
    </row>
    <row r="212" spans="1:40" s="74" customFormat="1" ht="24" hidden="1">
      <c r="A212" s="76"/>
      <c r="B212" s="85"/>
      <c r="C212" s="86" t="s">
        <v>739</v>
      </c>
      <c r="D212" s="87">
        <f ca="1">IF(IFERROR(ROW(TrialBalanceExact)+MATCH(C212,OFFSET(TrialBalanceExact,0,0,ROWS(TrialBalanceExact),1),0)-1=ROW(),TRUE),0, IF(ISERROR(VLOOKUP(C212,TrialBalanceExact,2,0)),0,VLOOKUP(C212,TrialBalanceExact,2,0)))</f>
        <v>154</v>
      </c>
      <c r="E212" s="87">
        <v>100</v>
      </c>
      <c r="F212" s="87"/>
      <c r="G212" s="101" t="s">
        <v>621</v>
      </c>
      <c r="H212" s="101"/>
      <c r="I212" s="89"/>
      <c r="J212" s="96"/>
      <c r="K212" s="96"/>
      <c r="L212" s="98"/>
      <c r="M212" s="71"/>
      <c r="N212" s="213" t="s">
        <v>136</v>
      </c>
      <c r="O212" s="207"/>
      <c r="P212" s="208" t="str">
        <f>$C212&amp;"-"&amp;$E212</f>
        <v>income_tax_instalments_paid-100</v>
      </c>
      <c r="Q212" s="208" t="s">
        <v>897</v>
      </c>
      <c r="R212" s="208" t="s">
        <v>997</v>
      </c>
      <c r="S212" s="208"/>
      <c r="T212" s="209">
        <f ca="1">ABS(IF(ISERROR(VLOOKUP(C212,TrialBalanceExact,8,0)),0,VLOOKUP(C212,TrialBalanceExact,8,0)))</f>
        <v>4560</v>
      </c>
      <c r="U212" s="209">
        <f ca="1">ABS(IF(ISNUMBER(AH212),AH212,IF(ISBLANK(AH212),NA(),INDIRECT("'" &amp; _xll.SheetFromID(R212) &amp; "'!Reconcile_" &amp; SUBSTITUTE(AH212," ","")))))</f>
        <v>4560</v>
      </c>
      <c r="V212" s="209">
        <f ca="1">IFERROR(IF(ABS(ROUND($T212-$U212,2))&lt;=Options_Tolerance,1,-1),0)</f>
        <v>1</v>
      </c>
      <c r="W212" s="209" t="str">
        <f ca="1">$C212&amp;"-"&amp;V212</f>
        <v>income_tax_instalments_paid-1</v>
      </c>
      <c r="X212" s="210">
        <f>IFERROR(VLOOKUP(AI212,StatusDescriptionsOrder,2,0),0)</f>
        <v>3</v>
      </c>
      <c r="Y212" s="208" t="b">
        <v>0</v>
      </c>
      <c r="Z212" s="211" t="b">
        <v>0</v>
      </c>
      <c r="AA212" s="177" t="b">
        <f>IFERROR(VLOOKUP(R212,HNSW_ItemsCount!A:D,2,0)&gt;0,FALSE)</f>
        <v>0</v>
      </c>
      <c r="AB212" s="177">
        <f>IFERROR(VLOOKUP(R212,HNSW_ItemsCount!A:D,4,0),0)</f>
        <v>0</v>
      </c>
      <c r="AC212" s="212" t="b">
        <v>0</v>
      </c>
      <c r="AD212" s="119" t="s">
        <v>999</v>
      </c>
      <c r="AE212" s="184" t="s">
        <v>58</v>
      </c>
      <c r="AF212" s="179" t="s">
        <v>74</v>
      </c>
      <c r="AG212" s="182">
        <f t="shared" si="66"/>
        <v>0</v>
      </c>
      <c r="AH212" s="124">
        <v>4560</v>
      </c>
      <c r="AI212" s="125" t="s">
        <v>31</v>
      </c>
      <c r="AJ212" s="122" t="s">
        <v>552</v>
      </c>
      <c r="AK212" s="126">
        <v>43544</v>
      </c>
      <c r="AL212" s="180" t="s">
        <v>58</v>
      </c>
      <c r="AM212" s="181" t="s">
        <v>25</v>
      </c>
      <c r="AN212" s="88"/>
    </row>
    <row r="213" spans="1:40" s="74" customFormat="1" ht="19.5">
      <c r="A213" s="76"/>
      <c r="B213" s="77"/>
      <c r="C213" s="671" t="s">
        <v>624</v>
      </c>
      <c r="D213" s="87">
        <v>155</v>
      </c>
      <c r="E213" s="87">
        <v>2</v>
      </c>
      <c r="F213" s="87" t="s">
        <v>582</v>
      </c>
      <c r="G213" s="101" t="s">
        <v>621</v>
      </c>
      <c r="H213" s="172"/>
      <c r="I213" s="673" t="s">
        <v>1066</v>
      </c>
      <c r="J213" s="678">
        <v>7528.5</v>
      </c>
      <c r="K213" s="678">
        <v>0</v>
      </c>
      <c r="L213" s="99">
        <v>7528.5</v>
      </c>
      <c r="M213" s="81">
        <f t="shared" ref="M213:M218" ca="1" si="85">IF(AND($AC213,$O213&gt;0),"–",$O213)</f>
        <v>0</v>
      </c>
      <c r="N213" s="80" t="s">
        <v>83</v>
      </c>
      <c r="O213" s="93">
        <f ca="1">IF(OR(ISBLANK($C213),$C213="",$C213=0),0,COUNTIF(TB_WPTags,$C213&amp;"-100"))</f>
        <v>0</v>
      </c>
      <c r="P213" s="82"/>
      <c r="Q213" s="82"/>
      <c r="R213" s="82"/>
      <c r="S213" s="82"/>
      <c r="T213" s="82"/>
      <c r="U213" s="82"/>
      <c r="V213" s="83" t="str">
        <f t="shared" ref="V213:V218" ca="1" si="86">IF(OR(ISBLANK($C213),$AC213),"NA",IF(COUNTIF(W:W,$C213&amp;"--1")&gt;0,"-1",IF(COUNTIF(W:W,$C213&amp;"-1")&gt;0,"1","0")))</f>
        <v>0</v>
      </c>
      <c r="W213" s="82"/>
      <c r="X213" s="83">
        <f t="shared" ref="X213:X218" ca="1" si="87">IF($O213&gt;0,MIN(OFFSET($X213,1,0,$O213)),0)</f>
        <v>0</v>
      </c>
      <c r="Y213" s="82" t="b">
        <f t="shared" ref="Y213:Y218" ca="1" si="88">IF(AND($O213&gt;0,AC213&lt;&gt;TRUE),COUNTIF(OFFSET($Y213,1,0,$O213),TRUE)&gt;=1,FALSE)</f>
        <v>0</v>
      </c>
      <c r="Z213" s="94" t="b">
        <f t="shared" ref="Z213:Z218" ca="1" si="89">IF(AND($O213&gt;0,AC213&lt;&gt;TRUE),COUNTIF(OFFSET($Z213,1,0,$O213),TRUE)&gt;=1,FALSE)</f>
        <v>0</v>
      </c>
      <c r="AA213" s="94" t="b">
        <f t="shared" ref="AA213:AA218" ca="1" si="90">IF(AND($O213&gt;0,AC213&lt;&gt;TRUE),COUNTIF(OFFSET($AA213,1,0,$O213),TRUE)&gt;=1,FALSE)</f>
        <v>0</v>
      </c>
      <c r="AB213" s="178">
        <f t="shared" ref="AB213:AB218" ca="1" si="91">IF(AND($O213&gt;0,AC213&lt;&gt;TRUE),SUM(OFFSET($AG213,1,0,$O213)),0)</f>
        <v>0</v>
      </c>
      <c r="AC213" s="94" t="b">
        <v>0</v>
      </c>
      <c r="AD213" s="127"/>
      <c r="AE213" s="185" t="s">
        <v>58</v>
      </c>
      <c r="AF213" s="175" t="str">
        <f t="shared" ref="AF213:AF218" ca="1" si="92">IF(AND(Y213,AC213&lt;&gt;TRUE),"]","")</f>
        <v/>
      </c>
      <c r="AG213" s="183">
        <f t="shared" ca="1" si="66"/>
        <v>0</v>
      </c>
      <c r="AH213" s="174"/>
      <c r="AI213" s="95" t="str">
        <f t="shared" ref="AI213:AI218" ca="1" si="93">IF(AND($O213&gt;0,AC213&lt;&gt;TRUE),IF($X213&gt;=1,INDEX(StatusDescriptions,$X213+1,0),StatusBlank),"")</f>
        <v/>
      </c>
      <c r="AJ213" s="110"/>
      <c r="AK213" s="111"/>
      <c r="AL213" s="110"/>
      <c r="AM213" s="110"/>
      <c r="AN213" s="90"/>
    </row>
    <row r="214" spans="1:40" s="74" customFormat="1" ht="19.5">
      <c r="A214" s="76"/>
      <c r="B214" s="77"/>
      <c r="C214" s="671" t="s">
        <v>625</v>
      </c>
      <c r="D214" s="87">
        <v>156</v>
      </c>
      <c r="E214" s="87">
        <v>2</v>
      </c>
      <c r="F214" s="87" t="s">
        <v>565</v>
      </c>
      <c r="G214" s="101" t="s">
        <v>621</v>
      </c>
      <c r="H214" s="172"/>
      <c r="I214" s="673" t="s">
        <v>626</v>
      </c>
      <c r="J214" s="97">
        <v>0</v>
      </c>
      <c r="K214" s="97">
        <v>0</v>
      </c>
      <c r="L214" s="99">
        <v>0</v>
      </c>
      <c r="M214" s="81">
        <f t="shared" ca="1" si="85"/>
        <v>0</v>
      </c>
      <c r="N214" s="80"/>
      <c r="O214" s="93">
        <f ca="1">IF(OR(ISBLANK($C214),$C214="",$C214=0),0,COUNTIF(TB_WPTags,$C214&amp;"-100"))</f>
        <v>0</v>
      </c>
      <c r="P214" s="82"/>
      <c r="Q214" s="82"/>
      <c r="R214" s="82"/>
      <c r="S214" s="82"/>
      <c r="T214" s="82"/>
      <c r="U214" s="82"/>
      <c r="V214" s="83" t="str">
        <f t="shared" ca="1" si="86"/>
        <v>0</v>
      </c>
      <c r="W214" s="82"/>
      <c r="X214" s="83">
        <f t="shared" ca="1" si="87"/>
        <v>0</v>
      </c>
      <c r="Y214" s="82" t="b">
        <f t="shared" ca="1" si="88"/>
        <v>0</v>
      </c>
      <c r="Z214" s="94" t="b">
        <f t="shared" ca="1" si="89"/>
        <v>0</v>
      </c>
      <c r="AA214" s="94" t="b">
        <f t="shared" ca="1" si="90"/>
        <v>0</v>
      </c>
      <c r="AB214" s="178">
        <f t="shared" ca="1" si="91"/>
        <v>0</v>
      </c>
      <c r="AC214" s="94" t="b">
        <v>0</v>
      </c>
      <c r="AD214" s="127"/>
      <c r="AE214" s="185"/>
      <c r="AF214" s="175" t="str">
        <f t="shared" ca="1" si="92"/>
        <v/>
      </c>
      <c r="AG214" s="183">
        <f t="shared" ca="1" si="66"/>
        <v>0</v>
      </c>
      <c r="AH214" s="174"/>
      <c r="AI214" s="95" t="str">
        <f t="shared" ca="1" si="93"/>
        <v/>
      </c>
      <c r="AJ214" s="110"/>
      <c r="AK214" s="111"/>
      <c r="AL214" s="110"/>
      <c r="AM214" s="110"/>
      <c r="AN214" s="90"/>
    </row>
    <row r="215" spans="1:40" s="74" customFormat="1" ht="19.5">
      <c r="A215" s="76"/>
      <c r="B215" s="77"/>
      <c r="C215" s="671" t="s">
        <v>627</v>
      </c>
      <c r="D215" s="87">
        <v>157</v>
      </c>
      <c r="E215" s="87">
        <v>3</v>
      </c>
      <c r="F215" s="87" t="s">
        <v>623</v>
      </c>
      <c r="G215" s="101" t="s">
        <v>621</v>
      </c>
      <c r="H215" s="172"/>
      <c r="I215" s="681" t="s">
        <v>628</v>
      </c>
      <c r="J215" s="677">
        <v>18435.099999999999</v>
      </c>
      <c r="K215" s="677">
        <v>0</v>
      </c>
      <c r="L215" s="99">
        <v>18435.099999999999</v>
      </c>
      <c r="M215" s="81">
        <f t="shared" ca="1" si="85"/>
        <v>0</v>
      </c>
      <c r="N215" s="80" t="s">
        <v>83</v>
      </c>
      <c r="O215" s="93">
        <f ca="1">IF(OR(ISBLANK($C215),$C215="",$C215=0),0,COUNTIF(TB_WPTags,$C215&amp;"-100"))</f>
        <v>0</v>
      </c>
      <c r="P215" s="82"/>
      <c r="Q215" s="82"/>
      <c r="R215" s="82"/>
      <c r="S215" s="82"/>
      <c r="T215" s="82"/>
      <c r="U215" s="82"/>
      <c r="V215" s="83" t="str">
        <f t="shared" ca="1" si="86"/>
        <v>0</v>
      </c>
      <c r="W215" s="82"/>
      <c r="X215" s="83">
        <f t="shared" ca="1" si="87"/>
        <v>0</v>
      </c>
      <c r="Y215" s="82" t="b">
        <f t="shared" ca="1" si="88"/>
        <v>0</v>
      </c>
      <c r="Z215" s="94" t="b">
        <f t="shared" ca="1" si="89"/>
        <v>0</v>
      </c>
      <c r="AA215" s="94" t="b">
        <f t="shared" ca="1" si="90"/>
        <v>0</v>
      </c>
      <c r="AB215" s="178">
        <f t="shared" ca="1" si="91"/>
        <v>0</v>
      </c>
      <c r="AC215" s="94" t="b">
        <v>0</v>
      </c>
      <c r="AD215" s="127"/>
      <c r="AE215" s="185" t="s">
        <v>58</v>
      </c>
      <c r="AF215" s="175" t="str">
        <f t="shared" ca="1" si="92"/>
        <v/>
      </c>
      <c r="AG215" s="183">
        <f t="shared" ca="1" si="66"/>
        <v>0</v>
      </c>
      <c r="AH215" s="174"/>
      <c r="AI215" s="95" t="str">
        <f t="shared" ca="1" si="93"/>
        <v/>
      </c>
      <c r="AJ215" s="110"/>
      <c r="AK215" s="111"/>
      <c r="AL215" s="110"/>
      <c r="AM215" s="110"/>
      <c r="AN215" s="90"/>
    </row>
    <row r="216" spans="1:40" s="74" customFormat="1" ht="19.5">
      <c r="A216" s="76"/>
      <c r="B216" s="77"/>
      <c r="C216" s="671" t="s">
        <v>629</v>
      </c>
      <c r="D216" s="87">
        <v>158</v>
      </c>
      <c r="E216" s="87">
        <v>2</v>
      </c>
      <c r="F216" s="87" t="s">
        <v>582</v>
      </c>
      <c r="G216" s="101" t="s">
        <v>621</v>
      </c>
      <c r="H216" s="172"/>
      <c r="I216" s="673" t="s">
        <v>630</v>
      </c>
      <c r="J216" s="678">
        <v>18435.099999999999</v>
      </c>
      <c r="K216" s="678">
        <v>0</v>
      </c>
      <c r="L216" s="99">
        <v>18435.099999999999</v>
      </c>
      <c r="M216" s="81">
        <f t="shared" ca="1" si="85"/>
        <v>0</v>
      </c>
      <c r="N216" s="80" t="s">
        <v>83</v>
      </c>
      <c r="O216" s="93">
        <f ca="1">IF(OR(ISBLANK($C216),$C216="",$C216=0),0,COUNTIF(TB_WPTags,$C216&amp;"-100"))</f>
        <v>0</v>
      </c>
      <c r="P216" s="82"/>
      <c r="Q216" s="82"/>
      <c r="R216" s="82"/>
      <c r="S216" s="82"/>
      <c r="T216" s="82"/>
      <c r="U216" s="82"/>
      <c r="V216" s="83" t="str">
        <f t="shared" ca="1" si="86"/>
        <v>0</v>
      </c>
      <c r="W216" s="82"/>
      <c r="X216" s="83">
        <f t="shared" ca="1" si="87"/>
        <v>0</v>
      </c>
      <c r="Y216" s="82" t="b">
        <f t="shared" ca="1" si="88"/>
        <v>0</v>
      </c>
      <c r="Z216" s="94" t="b">
        <f t="shared" ca="1" si="89"/>
        <v>0</v>
      </c>
      <c r="AA216" s="94" t="b">
        <f t="shared" ca="1" si="90"/>
        <v>0</v>
      </c>
      <c r="AB216" s="178">
        <f t="shared" ca="1" si="91"/>
        <v>0</v>
      </c>
      <c r="AC216" s="94" t="b">
        <v>0</v>
      </c>
      <c r="AD216" s="127"/>
      <c r="AE216" s="185" t="s">
        <v>58</v>
      </c>
      <c r="AF216" s="175" t="str">
        <f t="shared" ca="1" si="92"/>
        <v/>
      </c>
      <c r="AG216" s="183">
        <f t="shared" ca="1" si="66"/>
        <v>0</v>
      </c>
      <c r="AH216" s="174"/>
      <c r="AI216" s="95" t="str">
        <f t="shared" ca="1" si="93"/>
        <v/>
      </c>
      <c r="AJ216" s="110"/>
      <c r="AK216" s="111"/>
      <c r="AL216" s="110"/>
      <c r="AM216" s="110"/>
      <c r="AN216" s="90"/>
    </row>
    <row r="217" spans="1:40" s="74" customFormat="1" ht="19.5">
      <c r="A217" s="76"/>
      <c r="B217" s="77"/>
      <c r="C217" s="671" t="s">
        <v>983</v>
      </c>
      <c r="D217" s="87">
        <v>159</v>
      </c>
      <c r="E217" s="87">
        <v>2</v>
      </c>
      <c r="F217" s="87" t="s">
        <v>565</v>
      </c>
      <c r="G217" s="101" t="s">
        <v>621</v>
      </c>
      <c r="H217" s="172"/>
      <c r="I217" s="673" t="s">
        <v>984</v>
      </c>
      <c r="J217" s="97">
        <v>0</v>
      </c>
      <c r="K217" s="97">
        <v>0</v>
      </c>
      <c r="L217" s="99">
        <v>0</v>
      </c>
      <c r="M217" s="81">
        <f t="shared" ca="1" si="85"/>
        <v>0</v>
      </c>
      <c r="N217" s="80"/>
      <c r="O217" s="93">
        <f ca="1">IF(OR(ISBLANK($C217),$C217="",$C217=0),0,COUNTIF(TB_WPTags,$C217&amp;"-100"))</f>
        <v>0</v>
      </c>
      <c r="P217" s="82"/>
      <c r="Q217" s="82"/>
      <c r="R217" s="82"/>
      <c r="S217" s="82"/>
      <c r="T217" s="82"/>
      <c r="U217" s="82"/>
      <c r="V217" s="83" t="str">
        <f t="shared" ca="1" si="86"/>
        <v>0</v>
      </c>
      <c r="W217" s="82"/>
      <c r="X217" s="83">
        <f t="shared" ca="1" si="87"/>
        <v>0</v>
      </c>
      <c r="Y217" s="82" t="b">
        <f t="shared" ca="1" si="88"/>
        <v>0</v>
      </c>
      <c r="Z217" s="94" t="b">
        <f t="shared" ca="1" si="89"/>
        <v>0</v>
      </c>
      <c r="AA217" s="94" t="b">
        <f t="shared" ca="1" si="90"/>
        <v>0</v>
      </c>
      <c r="AB217" s="178">
        <f t="shared" ca="1" si="91"/>
        <v>0</v>
      </c>
      <c r="AC217" s="94" t="b">
        <v>0</v>
      </c>
      <c r="AD217" s="127"/>
      <c r="AE217" s="185"/>
      <c r="AF217" s="175" t="str">
        <f t="shared" ca="1" si="92"/>
        <v/>
      </c>
      <c r="AG217" s="183">
        <f t="shared" ca="1" si="66"/>
        <v>0</v>
      </c>
      <c r="AH217" s="174"/>
      <c r="AI217" s="95" t="str">
        <f t="shared" ca="1" si="93"/>
        <v/>
      </c>
      <c r="AJ217" s="110"/>
      <c r="AK217" s="111"/>
      <c r="AL217" s="110"/>
      <c r="AM217" s="110"/>
      <c r="AN217" s="90"/>
    </row>
    <row r="218" spans="1:40" s="74" customFormat="1" ht="19.5">
      <c r="A218" s="76"/>
      <c r="B218" s="77"/>
      <c r="C218" s="671" t="s">
        <v>985</v>
      </c>
      <c r="D218" s="87">
        <v>160</v>
      </c>
      <c r="E218" s="87">
        <v>3</v>
      </c>
      <c r="F218" s="87" t="s">
        <v>623</v>
      </c>
      <c r="G218" s="101" t="s">
        <v>621</v>
      </c>
      <c r="H218" s="172"/>
      <c r="I218" s="681" t="s">
        <v>986</v>
      </c>
      <c r="J218" s="677">
        <v>1140</v>
      </c>
      <c r="K218" s="677">
        <v>0</v>
      </c>
      <c r="L218" s="99">
        <v>1140</v>
      </c>
      <c r="M218" s="81">
        <f t="shared" ca="1" si="85"/>
        <v>2</v>
      </c>
      <c r="N218" s="80" t="s">
        <v>83</v>
      </c>
      <c r="O218" s="93">
        <f ca="1">IF(OR(ISBLANK($C218),$C218="",$C218=0),0,COUNTIF(TB_WPTags,$C218&amp;"-100"))</f>
        <v>2</v>
      </c>
      <c r="P218" s="82"/>
      <c r="Q218" s="82"/>
      <c r="R218" s="82"/>
      <c r="S218" s="82"/>
      <c r="T218" s="82"/>
      <c r="U218" s="82"/>
      <c r="V218" s="83" t="str">
        <f t="shared" ca="1" si="86"/>
        <v>1</v>
      </c>
      <c r="W218" s="82"/>
      <c r="X218" s="83">
        <f t="shared" ca="1" si="87"/>
        <v>8</v>
      </c>
      <c r="Y218" s="82" t="b">
        <f t="shared" ca="1" si="88"/>
        <v>0</v>
      </c>
      <c r="Z218" s="94" t="b">
        <f t="shared" ca="1" si="89"/>
        <v>0</v>
      </c>
      <c r="AA218" s="94" t="b">
        <f t="shared" ca="1" si="90"/>
        <v>0</v>
      </c>
      <c r="AB218" s="178">
        <f t="shared" ca="1" si="91"/>
        <v>0</v>
      </c>
      <c r="AC218" s="94" t="b">
        <v>0</v>
      </c>
      <c r="AD218" s="127"/>
      <c r="AE218" s="185"/>
      <c r="AF218" s="175" t="str">
        <f t="shared" ca="1" si="92"/>
        <v/>
      </c>
      <c r="AG218" s="183">
        <f t="shared" ca="1" si="66"/>
        <v>0</v>
      </c>
      <c r="AH218" s="174"/>
      <c r="AI218" s="95" t="str">
        <f t="shared" ca="1" si="93"/>
        <v>Complete</v>
      </c>
      <c r="AJ218" s="110"/>
      <c r="AK218" s="111"/>
      <c r="AL218" s="110"/>
      <c r="AM218" s="110"/>
      <c r="AN218" s="90"/>
    </row>
    <row r="219" spans="1:40" s="74" customFormat="1" ht="24" hidden="1">
      <c r="A219" s="76"/>
      <c r="B219" s="85"/>
      <c r="C219" s="86" t="s">
        <v>985</v>
      </c>
      <c r="D219" s="87">
        <f ca="1">IF(IFERROR(ROW(TrialBalanceExact)+MATCH(C219,OFFSET(TrialBalanceExact,0,0,ROWS(TrialBalanceExact),1),0)-1=ROW(),TRUE),0, IF(ISERROR(VLOOKUP(C219,TrialBalanceExact,2,0)),0,VLOOKUP(C219,TrialBalanceExact,2,0)))</f>
        <v>160</v>
      </c>
      <c r="E219" s="87">
        <v>100</v>
      </c>
      <c r="F219" s="87"/>
      <c r="G219" s="101" t="s">
        <v>621</v>
      </c>
      <c r="H219" s="101"/>
      <c r="I219" s="89"/>
      <c r="J219" s="96"/>
      <c r="K219" s="96"/>
      <c r="L219" s="98"/>
      <c r="M219" s="71"/>
      <c r="N219" s="213" t="s">
        <v>136</v>
      </c>
      <c r="O219" s="207"/>
      <c r="P219" s="208" t="str">
        <f>$C219&amp;"-"&amp;$E219</f>
        <v>activity_statement_payable_refundable-100</v>
      </c>
      <c r="Q219" s="208" t="s">
        <v>897</v>
      </c>
      <c r="R219" s="208" t="s">
        <v>1006</v>
      </c>
      <c r="S219" s="208"/>
      <c r="T219" s="209">
        <f ca="1">ABS(IF(ISERROR(VLOOKUP(C219,TrialBalanceExact,8,0)),0,VLOOKUP(C219,TrialBalanceExact,8,0)))</f>
        <v>1140</v>
      </c>
      <c r="U219" s="209">
        <f ca="1">ABS(IF(ISNUMBER(AH219),AH219,IF(ISBLANK(AH219),NA(),INDIRECT("'" &amp; _xll.SheetFromID(R219) &amp; "'!Reconcile_" &amp; SUBSTITUTE(AH219," ","")))))</f>
        <v>1140</v>
      </c>
      <c r="V219" s="209">
        <f ca="1">IFERROR(IF(ABS(ROUND($T219-$U219,2))&lt;=Options_Tolerance,1,-1),0)</f>
        <v>1</v>
      </c>
      <c r="W219" s="209" t="str">
        <f ca="1">$C219&amp;"-"&amp;V219</f>
        <v>activity_statement_payable_refundable-1</v>
      </c>
      <c r="X219" s="210">
        <f>IFERROR(VLOOKUP(AI219,StatusDescriptionsOrder,2,0),0)</f>
        <v>8</v>
      </c>
      <c r="Y219" s="208" t="b">
        <v>0</v>
      </c>
      <c r="Z219" s="211" t="b">
        <v>0</v>
      </c>
      <c r="AA219" s="177" t="b">
        <f>IFERROR(VLOOKUP(R219,HNSW_ItemsCount!A:D,2,0)&gt;0,FALSE)</f>
        <v>0</v>
      </c>
      <c r="AB219" s="177">
        <f>IFERROR(VLOOKUP(R219,HNSW_ItemsCount!A:D,4,0),0)</f>
        <v>0</v>
      </c>
      <c r="AC219" s="212" t="b">
        <v>0</v>
      </c>
      <c r="AD219" s="119" t="s">
        <v>999</v>
      </c>
      <c r="AE219" s="184" t="s">
        <v>58</v>
      </c>
      <c r="AF219" s="179" t="s">
        <v>74</v>
      </c>
      <c r="AG219" s="182">
        <f t="shared" si="66"/>
        <v>0</v>
      </c>
      <c r="AH219" s="124">
        <v>1140</v>
      </c>
      <c r="AI219" s="125" t="s">
        <v>37</v>
      </c>
      <c r="AJ219" s="122" t="s">
        <v>1041</v>
      </c>
      <c r="AK219" s="126">
        <v>43545</v>
      </c>
      <c r="AL219" s="180" t="s">
        <v>58</v>
      </c>
      <c r="AM219" s="181" t="s">
        <v>25</v>
      </c>
      <c r="AN219" s="88"/>
    </row>
    <row r="220" spans="1:40" s="74" customFormat="1" ht="24" hidden="1">
      <c r="A220" s="76"/>
      <c r="B220" s="85"/>
      <c r="C220" s="86" t="s">
        <v>985</v>
      </c>
      <c r="D220" s="87">
        <f ca="1">IF(IFERROR(ROW(TrialBalanceExact)+MATCH(C220,OFFSET(TrialBalanceExact,0,0,ROWS(TrialBalanceExact),1),0)-1=ROW(),TRUE),0, IF(ISERROR(VLOOKUP(C220,TrialBalanceExact,2,0)),0,VLOOKUP(C220,TrialBalanceExact,2,0)))</f>
        <v>160</v>
      </c>
      <c r="E220" s="87">
        <v>100</v>
      </c>
      <c r="F220" s="87"/>
      <c r="G220" s="101" t="s">
        <v>621</v>
      </c>
      <c r="H220" s="101"/>
      <c r="I220" s="89"/>
      <c r="J220" s="96"/>
      <c r="K220" s="96"/>
      <c r="L220" s="98"/>
      <c r="M220" s="71"/>
      <c r="N220" s="213" t="s">
        <v>136</v>
      </c>
      <c r="O220" s="207"/>
      <c r="P220" s="208" t="str">
        <f>$C220&amp;"-"&amp;$E220</f>
        <v>activity_statement_payable_refundable-100</v>
      </c>
      <c r="Q220" s="208" t="s">
        <v>897</v>
      </c>
      <c r="R220" s="208" t="s">
        <v>1004</v>
      </c>
      <c r="S220" s="208"/>
      <c r="T220" s="209">
        <f ca="1">ABS(IF(ISERROR(VLOOKUP(C220,TrialBalanceExact,8,0)),0,VLOOKUP(C220,TrialBalanceExact,8,0)))</f>
        <v>1140</v>
      </c>
      <c r="U220" s="209">
        <f ca="1">ABS(IF(ISNUMBER(AH220),AH220,IF(ISBLANK(AH220),NA(),INDIRECT("'" &amp; _xll.SheetFromID(R220) &amp; "'!Reconcile_" &amp; SUBSTITUTE(AH220," ","")))))</f>
        <v>1140</v>
      </c>
      <c r="V220" s="209">
        <f ca="1">IFERROR(IF(ABS(ROUND($T220-$U220,2))&lt;=Options_Tolerance,1,-1),0)</f>
        <v>1</v>
      </c>
      <c r="W220" s="209" t="str">
        <f ca="1">$C220&amp;"-"&amp;V220</f>
        <v>activity_statement_payable_refundable-1</v>
      </c>
      <c r="X220" s="210">
        <f>IFERROR(VLOOKUP(AI220,StatusDescriptionsOrder,2,0),0)</f>
        <v>8</v>
      </c>
      <c r="Y220" s="208" t="b">
        <v>0</v>
      </c>
      <c r="Z220" s="211" t="b">
        <v>0</v>
      </c>
      <c r="AA220" s="177" t="b">
        <f>IFERROR(VLOOKUP(R220,HNSW_ItemsCount!A:D,2,0)&gt;0,FALSE)</f>
        <v>0</v>
      </c>
      <c r="AB220" s="177">
        <f>IFERROR(VLOOKUP(R220,HNSW_ItemsCount!A:D,4,0),0)</f>
        <v>0</v>
      </c>
      <c r="AC220" s="212" t="b">
        <v>0</v>
      </c>
      <c r="AD220" s="119" t="s">
        <v>1001</v>
      </c>
      <c r="AE220" s="184" t="s">
        <v>58</v>
      </c>
      <c r="AF220" s="179" t="s">
        <v>74</v>
      </c>
      <c r="AG220" s="182">
        <f t="shared" si="66"/>
        <v>0</v>
      </c>
      <c r="AH220" s="124">
        <v>1140</v>
      </c>
      <c r="AI220" s="125" t="s">
        <v>37</v>
      </c>
      <c r="AJ220" s="122" t="s">
        <v>1041</v>
      </c>
      <c r="AK220" s="126">
        <v>43545</v>
      </c>
      <c r="AL220" s="180" t="s">
        <v>58</v>
      </c>
      <c r="AM220" s="181" t="s">
        <v>25</v>
      </c>
      <c r="AN220" s="88"/>
    </row>
    <row r="221" spans="1:40" s="74" customFormat="1" ht="19.5">
      <c r="A221" s="76"/>
      <c r="B221" s="77"/>
      <c r="C221" s="671" t="s">
        <v>987</v>
      </c>
      <c r="D221" s="87">
        <v>161</v>
      </c>
      <c r="E221" s="87">
        <v>2</v>
      </c>
      <c r="F221" s="87" t="s">
        <v>582</v>
      </c>
      <c r="G221" s="101" t="s">
        <v>621</v>
      </c>
      <c r="H221" s="172"/>
      <c r="I221" s="673" t="s">
        <v>988</v>
      </c>
      <c r="J221" s="678">
        <v>1140</v>
      </c>
      <c r="K221" s="678">
        <v>0</v>
      </c>
      <c r="L221" s="99">
        <v>1140</v>
      </c>
      <c r="M221" s="81">
        <f t="shared" ref="M221:M233" ca="1" si="94">IF(AND($AC221,$O221&gt;0),"–",$O221)</f>
        <v>0</v>
      </c>
      <c r="N221" s="80" t="s">
        <v>83</v>
      </c>
      <c r="O221" s="93">
        <f ca="1">IF(OR(ISBLANK($C221),$C221="",$C221=0),0,COUNTIF(TB_WPTags,$C221&amp;"-100"))</f>
        <v>0</v>
      </c>
      <c r="P221" s="82"/>
      <c r="Q221" s="82"/>
      <c r="R221" s="82"/>
      <c r="S221" s="82"/>
      <c r="T221" s="82"/>
      <c r="U221" s="82"/>
      <c r="V221" s="83" t="str">
        <f t="shared" ref="V221:V233" ca="1" si="95">IF(OR(ISBLANK($C221),$AC221),"NA",IF(COUNTIF(W:W,$C221&amp;"--1")&gt;0,"-1",IF(COUNTIF(W:W,$C221&amp;"-1")&gt;0,"1","0")))</f>
        <v>0</v>
      </c>
      <c r="W221" s="82"/>
      <c r="X221" s="83">
        <f t="shared" ref="X221:X233" ca="1" si="96">IF($O221&gt;0,MIN(OFFSET($X221,1,0,$O221)),0)</f>
        <v>0</v>
      </c>
      <c r="Y221" s="82" t="b">
        <f t="shared" ref="Y221:Y233" ca="1" si="97">IF(AND($O221&gt;0,AC221&lt;&gt;TRUE),COUNTIF(OFFSET($Y221,1,0,$O221),TRUE)&gt;=1,FALSE)</f>
        <v>0</v>
      </c>
      <c r="Z221" s="94" t="b">
        <f t="shared" ref="Z221:Z233" ca="1" si="98">IF(AND($O221&gt;0,AC221&lt;&gt;TRUE),COUNTIF(OFFSET($Z221,1,0,$O221),TRUE)&gt;=1,FALSE)</f>
        <v>0</v>
      </c>
      <c r="AA221" s="94" t="b">
        <f t="shared" ref="AA221:AA233" ca="1" si="99">IF(AND($O221&gt;0,AC221&lt;&gt;TRUE),COUNTIF(OFFSET($AA221,1,0,$O221),TRUE)&gt;=1,FALSE)</f>
        <v>0</v>
      </c>
      <c r="AB221" s="178">
        <f t="shared" ref="AB221:AB233" ca="1" si="100">IF(AND($O221&gt;0,AC221&lt;&gt;TRUE),SUM(OFFSET($AG221,1,0,$O221)),0)</f>
        <v>0</v>
      </c>
      <c r="AC221" s="94" t="b">
        <v>0</v>
      </c>
      <c r="AD221" s="127"/>
      <c r="AE221" s="185"/>
      <c r="AF221" s="175" t="str">
        <f t="shared" ref="AF221:AF233" ca="1" si="101">IF(AND(Y221,AC221&lt;&gt;TRUE),"]","")</f>
        <v/>
      </c>
      <c r="AG221" s="183">
        <f t="shared" ref="AG221:AG233" ca="1" si="102">AB221</f>
        <v>0</v>
      </c>
      <c r="AH221" s="174"/>
      <c r="AI221" s="95" t="str">
        <f t="shared" ref="AI221:AI233" ca="1" si="103">IF(AND($O221&gt;0,AC221&lt;&gt;TRUE),IF($X221&gt;=1,INDEX(StatusDescriptions,$X221+1,0),StatusBlank),"")</f>
        <v/>
      </c>
      <c r="AJ221" s="110"/>
      <c r="AK221" s="111"/>
      <c r="AL221" s="110"/>
      <c r="AM221" s="110"/>
      <c r="AN221" s="90"/>
    </row>
    <row r="222" spans="1:40" s="74" customFormat="1" ht="19.5">
      <c r="A222" s="76"/>
      <c r="B222" s="77"/>
      <c r="C222" s="671" t="s">
        <v>631</v>
      </c>
      <c r="D222" s="87">
        <v>162</v>
      </c>
      <c r="E222" s="87">
        <v>1</v>
      </c>
      <c r="F222" s="87" t="s">
        <v>585</v>
      </c>
      <c r="G222" s="101" t="s">
        <v>621</v>
      </c>
      <c r="H222" s="172"/>
      <c r="I222" s="673" t="s">
        <v>632</v>
      </c>
      <c r="J222" s="678">
        <v>27103.599999999999</v>
      </c>
      <c r="K222" s="678">
        <v>0</v>
      </c>
      <c r="L222" s="99">
        <v>27103.599999999999</v>
      </c>
      <c r="M222" s="81">
        <f t="shared" ca="1" si="94"/>
        <v>0</v>
      </c>
      <c r="N222" s="80" t="s">
        <v>83</v>
      </c>
      <c r="O222" s="93">
        <f ca="1">IF(OR(ISBLANK($C222),$C222="",$C222=0),0,COUNTIF(TB_WPTags,$C222&amp;"-100"))</f>
        <v>0</v>
      </c>
      <c r="P222" s="82"/>
      <c r="Q222" s="82"/>
      <c r="R222" s="82"/>
      <c r="S222" s="82"/>
      <c r="T222" s="82"/>
      <c r="U222" s="82"/>
      <c r="V222" s="83" t="str">
        <f t="shared" ca="1" si="95"/>
        <v>0</v>
      </c>
      <c r="W222" s="82"/>
      <c r="X222" s="83">
        <f t="shared" ca="1" si="96"/>
        <v>0</v>
      </c>
      <c r="Y222" s="82" t="b">
        <f t="shared" ca="1" si="97"/>
        <v>0</v>
      </c>
      <c r="Z222" s="94" t="b">
        <f t="shared" ca="1" si="98"/>
        <v>0</v>
      </c>
      <c r="AA222" s="94" t="b">
        <f t="shared" ca="1" si="99"/>
        <v>0</v>
      </c>
      <c r="AB222" s="178">
        <f t="shared" ca="1" si="100"/>
        <v>0</v>
      </c>
      <c r="AC222" s="94" t="b">
        <v>0</v>
      </c>
      <c r="AD222" s="127"/>
      <c r="AE222" s="185" t="s">
        <v>58</v>
      </c>
      <c r="AF222" s="175" t="str">
        <f t="shared" ca="1" si="101"/>
        <v/>
      </c>
      <c r="AG222" s="183">
        <f t="shared" ca="1" si="102"/>
        <v>0</v>
      </c>
      <c r="AH222" s="174"/>
      <c r="AI222" s="95" t="str">
        <f t="shared" ca="1" si="103"/>
        <v/>
      </c>
      <c r="AJ222" s="110"/>
      <c r="AK222" s="111"/>
      <c r="AL222" s="110"/>
      <c r="AM222" s="110"/>
      <c r="AN222" s="90"/>
    </row>
    <row r="223" spans="1:40" s="74" customFormat="1" ht="19.5">
      <c r="A223" s="76"/>
      <c r="B223" s="77"/>
      <c r="C223" s="671" t="s">
        <v>633</v>
      </c>
      <c r="D223" s="87">
        <v>163</v>
      </c>
      <c r="E223" s="87">
        <v>1</v>
      </c>
      <c r="F223" s="87" t="s">
        <v>562</v>
      </c>
      <c r="G223" s="101" t="s">
        <v>634</v>
      </c>
      <c r="H223" s="172"/>
      <c r="I223" s="672" t="s">
        <v>633</v>
      </c>
      <c r="J223" s="97">
        <v>0</v>
      </c>
      <c r="K223" s="97">
        <v>0</v>
      </c>
      <c r="L223" s="99">
        <v>0</v>
      </c>
      <c r="M223" s="81">
        <f t="shared" ca="1" si="94"/>
        <v>0</v>
      </c>
      <c r="N223" s="80"/>
      <c r="O223" s="93">
        <f ca="1">IF(OR(ISBLANK($C223),$C223="",$C223=0),0,COUNTIF(TB_WPTags,$C223&amp;"-100"))</f>
        <v>0</v>
      </c>
      <c r="P223" s="82"/>
      <c r="Q223" s="82"/>
      <c r="R223" s="82"/>
      <c r="S223" s="82"/>
      <c r="T223" s="82"/>
      <c r="U223" s="82"/>
      <c r="V223" s="83" t="str">
        <f t="shared" ca="1" si="95"/>
        <v>0</v>
      </c>
      <c r="W223" s="82"/>
      <c r="X223" s="83">
        <f t="shared" ca="1" si="96"/>
        <v>0</v>
      </c>
      <c r="Y223" s="82" t="b">
        <f t="shared" ca="1" si="97"/>
        <v>0</v>
      </c>
      <c r="Z223" s="94" t="b">
        <f t="shared" ca="1" si="98"/>
        <v>0</v>
      </c>
      <c r="AA223" s="94" t="b">
        <f t="shared" ca="1" si="99"/>
        <v>0</v>
      </c>
      <c r="AB223" s="178">
        <f t="shared" ca="1" si="100"/>
        <v>0</v>
      </c>
      <c r="AC223" s="94" t="b">
        <v>0</v>
      </c>
      <c r="AD223" s="127"/>
      <c r="AE223" s="185"/>
      <c r="AF223" s="175" t="str">
        <f t="shared" ca="1" si="101"/>
        <v/>
      </c>
      <c r="AG223" s="183">
        <f t="shared" ca="1" si="102"/>
        <v>0</v>
      </c>
      <c r="AH223" s="174"/>
      <c r="AI223" s="95" t="str">
        <f t="shared" ca="1" si="103"/>
        <v/>
      </c>
      <c r="AJ223" s="110"/>
      <c r="AK223" s="111"/>
      <c r="AL223" s="110"/>
      <c r="AM223" s="110"/>
      <c r="AN223" s="90"/>
    </row>
    <row r="224" spans="1:40" s="74" customFormat="1" ht="19.5">
      <c r="A224" s="76"/>
      <c r="B224" s="77"/>
      <c r="C224" s="671" t="s">
        <v>635</v>
      </c>
      <c r="D224" s="87">
        <v>164</v>
      </c>
      <c r="E224" s="87">
        <v>2</v>
      </c>
      <c r="F224" s="87" t="s">
        <v>565</v>
      </c>
      <c r="G224" s="101" t="s">
        <v>634</v>
      </c>
      <c r="H224" s="172"/>
      <c r="I224" s="673" t="s">
        <v>636</v>
      </c>
      <c r="J224" s="97">
        <v>0</v>
      </c>
      <c r="K224" s="97">
        <v>0</v>
      </c>
      <c r="L224" s="99">
        <v>0</v>
      </c>
      <c r="M224" s="81">
        <f t="shared" ca="1" si="94"/>
        <v>0</v>
      </c>
      <c r="N224" s="80"/>
      <c r="O224" s="93">
        <f ca="1">IF(OR(ISBLANK($C224),$C224="",$C224=0),0,COUNTIF(TB_WPTags,$C224&amp;"-100"))</f>
        <v>0</v>
      </c>
      <c r="P224" s="82"/>
      <c r="Q224" s="82"/>
      <c r="R224" s="82"/>
      <c r="S224" s="82"/>
      <c r="T224" s="82"/>
      <c r="U224" s="82"/>
      <c r="V224" s="83" t="str">
        <f t="shared" ca="1" si="95"/>
        <v>0</v>
      </c>
      <c r="W224" s="82"/>
      <c r="X224" s="83">
        <f t="shared" ca="1" si="96"/>
        <v>0</v>
      </c>
      <c r="Y224" s="82" t="b">
        <f t="shared" ca="1" si="97"/>
        <v>0</v>
      </c>
      <c r="Z224" s="94" t="b">
        <f t="shared" ca="1" si="98"/>
        <v>0</v>
      </c>
      <c r="AA224" s="94" t="b">
        <f t="shared" ca="1" si="99"/>
        <v>0</v>
      </c>
      <c r="AB224" s="178">
        <f t="shared" ca="1" si="100"/>
        <v>0</v>
      </c>
      <c r="AC224" s="94" t="b">
        <v>0</v>
      </c>
      <c r="AD224" s="127"/>
      <c r="AE224" s="185"/>
      <c r="AF224" s="175" t="str">
        <f t="shared" ca="1" si="101"/>
        <v/>
      </c>
      <c r="AG224" s="183">
        <f t="shared" ca="1" si="102"/>
        <v>0</v>
      </c>
      <c r="AH224" s="174"/>
      <c r="AI224" s="95" t="str">
        <f t="shared" ca="1" si="103"/>
        <v/>
      </c>
      <c r="AJ224" s="110"/>
      <c r="AK224" s="111"/>
      <c r="AL224" s="110"/>
      <c r="AM224" s="110"/>
      <c r="AN224" s="90"/>
    </row>
    <row r="225" spans="1:42" s="74" customFormat="1" ht="19.5">
      <c r="A225" s="76"/>
      <c r="B225" s="77"/>
      <c r="C225" s="671" t="s">
        <v>637</v>
      </c>
      <c r="D225" s="87">
        <v>165</v>
      </c>
      <c r="E225" s="87">
        <v>3</v>
      </c>
      <c r="F225" s="87" t="s">
        <v>568</v>
      </c>
      <c r="G225" s="101" t="s">
        <v>634</v>
      </c>
      <c r="H225" s="172"/>
      <c r="I225" s="674" t="s">
        <v>638</v>
      </c>
      <c r="J225" s="97">
        <v>0</v>
      </c>
      <c r="K225" s="97">
        <v>0</v>
      </c>
      <c r="L225" s="99">
        <v>0</v>
      </c>
      <c r="M225" s="81">
        <f t="shared" ca="1" si="94"/>
        <v>0</v>
      </c>
      <c r="N225" s="80"/>
      <c r="O225" s="93">
        <f ca="1">IF(OR(ISBLANK($C225),$C225="",$C225=0),0,COUNTIF(TB_WPTags,$C225&amp;"-100"))</f>
        <v>0</v>
      </c>
      <c r="P225" s="82"/>
      <c r="Q225" s="82"/>
      <c r="R225" s="82"/>
      <c r="S225" s="82"/>
      <c r="T225" s="82"/>
      <c r="U225" s="82"/>
      <c r="V225" s="83" t="str">
        <f t="shared" ca="1" si="95"/>
        <v>0</v>
      </c>
      <c r="W225" s="82"/>
      <c r="X225" s="83">
        <f t="shared" ca="1" si="96"/>
        <v>0</v>
      </c>
      <c r="Y225" s="82" t="b">
        <f t="shared" ca="1" si="97"/>
        <v>0</v>
      </c>
      <c r="Z225" s="94" t="b">
        <f t="shared" ca="1" si="98"/>
        <v>0</v>
      </c>
      <c r="AA225" s="94" t="b">
        <f t="shared" ca="1" si="99"/>
        <v>0</v>
      </c>
      <c r="AB225" s="178">
        <f t="shared" ca="1" si="100"/>
        <v>0</v>
      </c>
      <c r="AC225" s="94" t="b">
        <v>0</v>
      </c>
      <c r="AD225" s="127"/>
      <c r="AE225" s="185"/>
      <c r="AF225" s="175" t="str">
        <f t="shared" ca="1" si="101"/>
        <v/>
      </c>
      <c r="AG225" s="183">
        <f t="shared" ca="1" si="102"/>
        <v>0</v>
      </c>
      <c r="AH225" s="174"/>
      <c r="AI225" s="95" t="str">
        <f t="shared" ca="1" si="103"/>
        <v/>
      </c>
      <c r="AJ225" s="110"/>
      <c r="AK225" s="111"/>
      <c r="AL225" s="110"/>
      <c r="AM225" s="110"/>
      <c r="AN225" s="90"/>
    </row>
    <row r="226" spans="1:42" s="74" customFormat="1" ht="19.5">
      <c r="A226" s="76"/>
      <c r="B226" s="77"/>
      <c r="C226" s="671" t="s">
        <v>639</v>
      </c>
      <c r="D226" s="87">
        <v>166</v>
      </c>
      <c r="E226" s="87">
        <v>4</v>
      </c>
      <c r="F226" s="87" t="s">
        <v>598</v>
      </c>
      <c r="G226" s="101" t="s">
        <v>634</v>
      </c>
      <c r="H226" s="172"/>
      <c r="I226" s="680" t="s">
        <v>640</v>
      </c>
      <c r="J226" s="677">
        <v>605059.59</v>
      </c>
      <c r="K226" s="677">
        <v>0</v>
      </c>
      <c r="L226" s="99">
        <v>605059.59</v>
      </c>
      <c r="M226" s="81">
        <f t="shared" ca="1" si="94"/>
        <v>0</v>
      </c>
      <c r="N226" s="80" t="s">
        <v>83</v>
      </c>
      <c r="O226" s="93">
        <f ca="1">IF(OR(ISBLANK($C226),$C226="",$C226=0),0,COUNTIF(TB_WPTags,$C226&amp;"-100"))</f>
        <v>0</v>
      </c>
      <c r="P226" s="82"/>
      <c r="Q226" s="82"/>
      <c r="R226" s="82"/>
      <c r="S226" s="82"/>
      <c r="T226" s="82"/>
      <c r="U226" s="82"/>
      <c r="V226" s="83" t="str">
        <f t="shared" ca="1" si="95"/>
        <v>0</v>
      </c>
      <c r="W226" s="82"/>
      <c r="X226" s="83">
        <f t="shared" ca="1" si="96"/>
        <v>0</v>
      </c>
      <c r="Y226" s="82" t="b">
        <f t="shared" ca="1" si="97"/>
        <v>0</v>
      </c>
      <c r="Z226" s="94" t="b">
        <f t="shared" ca="1" si="98"/>
        <v>0</v>
      </c>
      <c r="AA226" s="94" t="b">
        <f t="shared" ca="1" si="99"/>
        <v>0</v>
      </c>
      <c r="AB226" s="178">
        <f t="shared" ca="1" si="100"/>
        <v>0</v>
      </c>
      <c r="AC226" s="94" t="b">
        <v>0</v>
      </c>
      <c r="AD226" s="127"/>
      <c r="AE226" s="185" t="s">
        <v>58</v>
      </c>
      <c r="AF226" s="175" t="str">
        <f t="shared" ca="1" si="101"/>
        <v/>
      </c>
      <c r="AG226" s="183">
        <f t="shared" ca="1" si="102"/>
        <v>0</v>
      </c>
      <c r="AH226" s="174"/>
      <c r="AI226" s="95" t="str">
        <f t="shared" ca="1" si="103"/>
        <v/>
      </c>
      <c r="AJ226" s="110"/>
      <c r="AK226" s="111"/>
      <c r="AL226" s="110"/>
      <c r="AM226" s="110"/>
      <c r="AN226" s="90"/>
    </row>
    <row r="227" spans="1:42" s="74" customFormat="1" ht="19.5">
      <c r="A227" s="76"/>
      <c r="B227" s="77"/>
      <c r="C227" s="671" t="s">
        <v>641</v>
      </c>
      <c r="D227" s="87">
        <v>167</v>
      </c>
      <c r="E227" s="87">
        <v>3</v>
      </c>
      <c r="F227" s="87" t="s">
        <v>579</v>
      </c>
      <c r="G227" s="101" t="s">
        <v>634</v>
      </c>
      <c r="H227" s="172"/>
      <c r="I227" s="674" t="s">
        <v>642</v>
      </c>
      <c r="J227" s="678">
        <v>605059.59</v>
      </c>
      <c r="K227" s="678">
        <v>0</v>
      </c>
      <c r="L227" s="99">
        <v>605059.59</v>
      </c>
      <c r="M227" s="81">
        <f t="shared" ca="1" si="94"/>
        <v>0</v>
      </c>
      <c r="N227" s="80" t="s">
        <v>83</v>
      </c>
      <c r="O227" s="93">
        <f ca="1">IF(OR(ISBLANK($C227),$C227="",$C227=0),0,COUNTIF(TB_WPTags,$C227&amp;"-100"))</f>
        <v>0</v>
      </c>
      <c r="P227" s="82"/>
      <c r="Q227" s="82"/>
      <c r="R227" s="82"/>
      <c r="S227" s="82"/>
      <c r="T227" s="82"/>
      <c r="U227" s="82"/>
      <c r="V227" s="83" t="str">
        <f t="shared" ca="1" si="95"/>
        <v>0</v>
      </c>
      <c r="W227" s="82"/>
      <c r="X227" s="83">
        <f t="shared" ca="1" si="96"/>
        <v>0</v>
      </c>
      <c r="Y227" s="82" t="b">
        <f t="shared" ca="1" si="97"/>
        <v>0</v>
      </c>
      <c r="Z227" s="94" t="b">
        <f t="shared" ca="1" si="98"/>
        <v>0</v>
      </c>
      <c r="AA227" s="94" t="b">
        <f t="shared" ca="1" si="99"/>
        <v>0</v>
      </c>
      <c r="AB227" s="178">
        <f t="shared" ca="1" si="100"/>
        <v>0</v>
      </c>
      <c r="AC227" s="94" t="b">
        <v>0</v>
      </c>
      <c r="AD227" s="127"/>
      <c r="AE227" s="185" t="s">
        <v>58</v>
      </c>
      <c r="AF227" s="175" t="str">
        <f t="shared" ca="1" si="101"/>
        <v/>
      </c>
      <c r="AG227" s="183">
        <f t="shared" ca="1" si="102"/>
        <v>0</v>
      </c>
      <c r="AH227" s="174"/>
      <c r="AI227" s="95" t="str">
        <f t="shared" ca="1" si="103"/>
        <v/>
      </c>
      <c r="AJ227" s="110"/>
      <c r="AK227" s="111"/>
      <c r="AL227" s="110"/>
      <c r="AM227" s="110"/>
      <c r="AN227" s="90"/>
    </row>
    <row r="228" spans="1:42" s="74" customFormat="1" ht="19.5">
      <c r="A228" s="76"/>
      <c r="B228" s="77"/>
      <c r="C228" s="671" t="s">
        <v>643</v>
      </c>
      <c r="D228" s="87">
        <v>168</v>
      </c>
      <c r="E228" s="87">
        <v>3</v>
      </c>
      <c r="F228" s="87" t="s">
        <v>568</v>
      </c>
      <c r="G228" s="101" t="s">
        <v>634</v>
      </c>
      <c r="H228" s="172"/>
      <c r="I228" s="674" t="s">
        <v>644</v>
      </c>
      <c r="J228" s="97">
        <v>0</v>
      </c>
      <c r="K228" s="97">
        <v>0</v>
      </c>
      <c r="L228" s="99">
        <v>0</v>
      </c>
      <c r="M228" s="81">
        <f t="shared" ca="1" si="94"/>
        <v>0</v>
      </c>
      <c r="N228" s="80"/>
      <c r="O228" s="93">
        <f ca="1">IF(OR(ISBLANK($C228),$C228="",$C228=0),0,COUNTIF(TB_WPTags,$C228&amp;"-100"))</f>
        <v>0</v>
      </c>
      <c r="P228" s="82"/>
      <c r="Q228" s="82"/>
      <c r="R228" s="82"/>
      <c r="S228" s="82"/>
      <c r="T228" s="82"/>
      <c r="U228" s="82"/>
      <c r="V228" s="83" t="str">
        <f t="shared" ca="1" si="95"/>
        <v>0</v>
      </c>
      <c r="W228" s="82"/>
      <c r="X228" s="83">
        <f t="shared" ca="1" si="96"/>
        <v>0</v>
      </c>
      <c r="Y228" s="82" t="b">
        <f t="shared" ca="1" si="97"/>
        <v>0</v>
      </c>
      <c r="Z228" s="94" t="b">
        <f t="shared" ca="1" si="98"/>
        <v>0</v>
      </c>
      <c r="AA228" s="94" t="b">
        <f t="shared" ca="1" si="99"/>
        <v>0</v>
      </c>
      <c r="AB228" s="178">
        <f t="shared" ca="1" si="100"/>
        <v>0</v>
      </c>
      <c r="AC228" s="94" t="b">
        <v>0</v>
      </c>
      <c r="AD228" s="127"/>
      <c r="AE228" s="185"/>
      <c r="AF228" s="175" t="str">
        <f t="shared" ca="1" si="101"/>
        <v/>
      </c>
      <c r="AG228" s="183">
        <f t="shared" ca="1" si="102"/>
        <v>0</v>
      </c>
      <c r="AH228" s="174"/>
      <c r="AI228" s="95" t="str">
        <f t="shared" ca="1" si="103"/>
        <v/>
      </c>
      <c r="AJ228" s="110"/>
      <c r="AK228" s="111"/>
      <c r="AL228" s="110"/>
      <c r="AM228" s="110"/>
      <c r="AN228" s="90"/>
    </row>
    <row r="229" spans="1:42" s="74" customFormat="1" ht="19.5">
      <c r="A229" s="76"/>
      <c r="B229" s="77"/>
      <c r="C229" s="671" t="s">
        <v>646</v>
      </c>
      <c r="D229" s="87">
        <v>169</v>
      </c>
      <c r="E229" s="87">
        <v>4</v>
      </c>
      <c r="F229" s="87" t="s">
        <v>598</v>
      </c>
      <c r="G229" s="101" t="s">
        <v>634</v>
      </c>
      <c r="H229" s="172"/>
      <c r="I229" s="680" t="s">
        <v>640</v>
      </c>
      <c r="J229" s="677">
        <v>84807.72</v>
      </c>
      <c r="K229" s="677">
        <v>0</v>
      </c>
      <c r="L229" s="99">
        <v>84807.72</v>
      </c>
      <c r="M229" s="81">
        <f t="shared" ca="1" si="94"/>
        <v>0</v>
      </c>
      <c r="N229" s="80" t="s">
        <v>83</v>
      </c>
      <c r="O229" s="93">
        <f ca="1">IF(OR(ISBLANK($C229),$C229="",$C229=0),0,COUNTIF(TB_WPTags,$C229&amp;"-100"))</f>
        <v>0</v>
      </c>
      <c r="P229" s="82"/>
      <c r="Q229" s="82"/>
      <c r="R229" s="82"/>
      <c r="S229" s="82"/>
      <c r="T229" s="82"/>
      <c r="U229" s="82"/>
      <c r="V229" s="83" t="str">
        <f t="shared" ca="1" si="95"/>
        <v>0</v>
      </c>
      <c r="W229" s="82"/>
      <c r="X229" s="83">
        <f t="shared" ca="1" si="96"/>
        <v>0</v>
      </c>
      <c r="Y229" s="82" t="b">
        <f t="shared" ca="1" si="97"/>
        <v>0</v>
      </c>
      <c r="Z229" s="94" t="b">
        <f t="shared" ca="1" si="98"/>
        <v>0</v>
      </c>
      <c r="AA229" s="94" t="b">
        <f t="shared" ca="1" si="99"/>
        <v>0</v>
      </c>
      <c r="AB229" s="178">
        <f t="shared" ca="1" si="100"/>
        <v>0</v>
      </c>
      <c r="AC229" s="94" t="b">
        <v>0</v>
      </c>
      <c r="AD229" s="127"/>
      <c r="AE229" s="185" t="s">
        <v>58</v>
      </c>
      <c r="AF229" s="175" t="str">
        <f t="shared" ca="1" si="101"/>
        <v/>
      </c>
      <c r="AG229" s="183">
        <f t="shared" ca="1" si="102"/>
        <v>0</v>
      </c>
      <c r="AH229" s="174"/>
      <c r="AI229" s="95" t="str">
        <f t="shared" ca="1" si="103"/>
        <v/>
      </c>
      <c r="AJ229" s="110"/>
      <c r="AK229" s="111"/>
      <c r="AL229" s="110"/>
      <c r="AM229" s="110"/>
      <c r="AN229" s="90"/>
    </row>
    <row r="230" spans="1:42" s="74" customFormat="1" ht="19.5">
      <c r="A230" s="76"/>
      <c r="B230" s="77"/>
      <c r="C230" s="671" t="s">
        <v>645</v>
      </c>
      <c r="D230" s="87">
        <v>170</v>
      </c>
      <c r="E230" s="87">
        <v>4</v>
      </c>
      <c r="F230" s="87" t="s">
        <v>598</v>
      </c>
      <c r="G230" s="101" t="s">
        <v>634</v>
      </c>
      <c r="H230" s="172"/>
      <c r="I230" s="680" t="s">
        <v>1124</v>
      </c>
      <c r="J230" s="677">
        <v>434248.93</v>
      </c>
      <c r="K230" s="677">
        <v>0</v>
      </c>
      <c r="L230" s="99">
        <v>434248.93</v>
      </c>
      <c r="M230" s="81">
        <f t="shared" ca="1" si="94"/>
        <v>0</v>
      </c>
      <c r="N230" s="80" t="s">
        <v>83</v>
      </c>
      <c r="O230" s="93">
        <f ca="1">IF(OR(ISBLANK($C230),$C230="",$C230=0),0,COUNTIF(TB_WPTags,$C230&amp;"-100"))</f>
        <v>0</v>
      </c>
      <c r="P230" s="82"/>
      <c r="Q230" s="82"/>
      <c r="R230" s="82"/>
      <c r="S230" s="82"/>
      <c r="T230" s="82"/>
      <c r="U230" s="82"/>
      <c r="V230" s="83" t="str">
        <f t="shared" ca="1" si="95"/>
        <v>0</v>
      </c>
      <c r="W230" s="82"/>
      <c r="X230" s="83">
        <f t="shared" ca="1" si="96"/>
        <v>0</v>
      </c>
      <c r="Y230" s="82" t="b">
        <f t="shared" ca="1" si="97"/>
        <v>0</v>
      </c>
      <c r="Z230" s="94" t="b">
        <f t="shared" ca="1" si="98"/>
        <v>0</v>
      </c>
      <c r="AA230" s="94" t="b">
        <f t="shared" ca="1" si="99"/>
        <v>0</v>
      </c>
      <c r="AB230" s="178">
        <f t="shared" ca="1" si="100"/>
        <v>0</v>
      </c>
      <c r="AC230" s="94" t="b">
        <v>0</v>
      </c>
      <c r="AD230" s="127"/>
      <c r="AE230" s="185" t="s">
        <v>58</v>
      </c>
      <c r="AF230" s="175" t="str">
        <f t="shared" ca="1" si="101"/>
        <v/>
      </c>
      <c r="AG230" s="183">
        <f t="shared" ca="1" si="102"/>
        <v>0</v>
      </c>
      <c r="AH230" s="174"/>
      <c r="AI230" s="95" t="str">
        <f t="shared" ca="1" si="103"/>
        <v/>
      </c>
      <c r="AJ230" s="110"/>
      <c r="AK230" s="111"/>
      <c r="AL230" s="110"/>
      <c r="AM230" s="110"/>
      <c r="AN230" s="90"/>
      <c r="AP230" s="74">
        <f>J230*0.04</f>
        <v>17369.957200000001</v>
      </c>
    </row>
    <row r="231" spans="1:42" s="74" customFormat="1" ht="19.5">
      <c r="A231" s="76"/>
      <c r="B231" s="77"/>
      <c r="C231" s="671" t="s">
        <v>647</v>
      </c>
      <c r="D231" s="87">
        <v>171</v>
      </c>
      <c r="E231" s="87">
        <v>3</v>
      </c>
      <c r="F231" s="87" t="s">
        <v>579</v>
      </c>
      <c r="G231" s="101" t="s">
        <v>634</v>
      </c>
      <c r="H231" s="172"/>
      <c r="I231" s="674" t="s">
        <v>648</v>
      </c>
      <c r="J231" s="678">
        <v>519056.65</v>
      </c>
      <c r="K231" s="678">
        <v>0</v>
      </c>
      <c r="L231" s="99">
        <v>519056.65</v>
      </c>
      <c r="M231" s="81">
        <f t="shared" ca="1" si="94"/>
        <v>0</v>
      </c>
      <c r="N231" s="80" t="s">
        <v>83</v>
      </c>
      <c r="O231" s="93">
        <f ca="1">IF(OR(ISBLANK($C231),$C231="",$C231=0),0,COUNTIF(TB_WPTags,$C231&amp;"-100"))</f>
        <v>0</v>
      </c>
      <c r="P231" s="82"/>
      <c r="Q231" s="82"/>
      <c r="R231" s="82"/>
      <c r="S231" s="82"/>
      <c r="T231" s="82"/>
      <c r="U231" s="82"/>
      <c r="V231" s="83" t="str">
        <f t="shared" ca="1" si="95"/>
        <v>0</v>
      </c>
      <c r="W231" s="82"/>
      <c r="X231" s="83">
        <f t="shared" ca="1" si="96"/>
        <v>0</v>
      </c>
      <c r="Y231" s="82" t="b">
        <f t="shared" ca="1" si="97"/>
        <v>0</v>
      </c>
      <c r="Z231" s="94" t="b">
        <f t="shared" ca="1" si="98"/>
        <v>0</v>
      </c>
      <c r="AA231" s="94" t="b">
        <f t="shared" ca="1" si="99"/>
        <v>0</v>
      </c>
      <c r="AB231" s="178">
        <f t="shared" ca="1" si="100"/>
        <v>0</v>
      </c>
      <c r="AC231" s="94" t="b">
        <v>0</v>
      </c>
      <c r="AD231" s="127"/>
      <c r="AE231" s="185" t="s">
        <v>58</v>
      </c>
      <c r="AF231" s="175" t="str">
        <f t="shared" ca="1" si="101"/>
        <v/>
      </c>
      <c r="AG231" s="183">
        <f t="shared" ca="1" si="102"/>
        <v>0</v>
      </c>
      <c r="AH231" s="174"/>
      <c r="AI231" s="95" t="str">
        <f t="shared" ca="1" si="103"/>
        <v/>
      </c>
      <c r="AJ231" s="110"/>
      <c r="AK231" s="111"/>
      <c r="AL231" s="110"/>
      <c r="AM231" s="110"/>
      <c r="AN231" s="90"/>
    </row>
    <row r="232" spans="1:42" s="74" customFormat="1" ht="19.5">
      <c r="A232" s="76"/>
      <c r="B232" s="77"/>
      <c r="C232" s="671" t="s">
        <v>649</v>
      </c>
      <c r="D232" s="87">
        <v>172</v>
      </c>
      <c r="E232" s="87">
        <v>2</v>
      </c>
      <c r="F232" s="87" t="s">
        <v>582</v>
      </c>
      <c r="G232" s="101" t="s">
        <v>634</v>
      </c>
      <c r="H232" s="172"/>
      <c r="I232" s="673" t="s">
        <v>650</v>
      </c>
      <c r="J232" s="678">
        <v>1124116.24</v>
      </c>
      <c r="K232" s="678">
        <v>0</v>
      </c>
      <c r="L232" s="99">
        <v>1124116.24</v>
      </c>
      <c r="M232" s="81">
        <f t="shared" ca="1" si="94"/>
        <v>0</v>
      </c>
      <c r="N232" s="80" t="s">
        <v>83</v>
      </c>
      <c r="O232" s="93">
        <f ca="1">IF(OR(ISBLANK($C232),$C232="",$C232=0),0,COUNTIF(TB_WPTags,$C232&amp;"-100"))</f>
        <v>0</v>
      </c>
      <c r="P232" s="82"/>
      <c r="Q232" s="82"/>
      <c r="R232" s="82"/>
      <c r="S232" s="82"/>
      <c r="T232" s="82"/>
      <c r="U232" s="82"/>
      <c r="V232" s="83" t="str">
        <f t="shared" ca="1" si="95"/>
        <v>0</v>
      </c>
      <c r="W232" s="82"/>
      <c r="X232" s="83">
        <f t="shared" ca="1" si="96"/>
        <v>0</v>
      </c>
      <c r="Y232" s="82" t="b">
        <f t="shared" ca="1" si="97"/>
        <v>0</v>
      </c>
      <c r="Z232" s="94" t="b">
        <f t="shared" ca="1" si="98"/>
        <v>0</v>
      </c>
      <c r="AA232" s="94" t="b">
        <f t="shared" ca="1" si="99"/>
        <v>0</v>
      </c>
      <c r="AB232" s="178">
        <f t="shared" ca="1" si="100"/>
        <v>0</v>
      </c>
      <c r="AC232" s="94" t="b">
        <v>0</v>
      </c>
      <c r="AD232" s="127"/>
      <c r="AE232" s="185" t="s">
        <v>58</v>
      </c>
      <c r="AF232" s="175" t="str">
        <f t="shared" ca="1" si="101"/>
        <v/>
      </c>
      <c r="AG232" s="183">
        <f t="shared" ca="1" si="102"/>
        <v>0</v>
      </c>
      <c r="AH232" s="174"/>
      <c r="AI232" s="95" t="str">
        <f t="shared" ca="1" si="103"/>
        <v/>
      </c>
      <c r="AJ232" s="110"/>
      <c r="AK232" s="111"/>
      <c r="AL232" s="110"/>
      <c r="AM232" s="110"/>
      <c r="AN232" s="90"/>
    </row>
    <row r="233" spans="1:42" s="74" customFormat="1" ht="19.5">
      <c r="A233" s="76"/>
      <c r="B233" s="77"/>
      <c r="C233" s="671" t="s">
        <v>651</v>
      </c>
      <c r="D233" s="87">
        <v>173</v>
      </c>
      <c r="E233" s="87">
        <v>1</v>
      </c>
      <c r="F233" s="87" t="s">
        <v>585</v>
      </c>
      <c r="G233" s="101" t="s">
        <v>634</v>
      </c>
      <c r="H233" s="172"/>
      <c r="I233" s="673" t="s">
        <v>652</v>
      </c>
      <c r="J233" s="678">
        <v>1124116.24</v>
      </c>
      <c r="K233" s="678">
        <v>0</v>
      </c>
      <c r="L233" s="99">
        <v>1124116.24</v>
      </c>
      <c r="M233" s="81">
        <f t="shared" ca="1" si="94"/>
        <v>0</v>
      </c>
      <c r="N233" s="80" t="s">
        <v>83</v>
      </c>
      <c r="O233" s="93">
        <f ca="1">IF(OR(ISBLANK($C233),$C233="",$C233=0),0,COUNTIF(TB_WPTags,$C233&amp;"-100"))</f>
        <v>0</v>
      </c>
      <c r="P233" s="82"/>
      <c r="Q233" s="82"/>
      <c r="R233" s="82"/>
      <c r="S233" s="82"/>
      <c r="T233" s="82"/>
      <c r="U233" s="82"/>
      <c r="V233" s="83" t="str">
        <f t="shared" ca="1" si="95"/>
        <v>0</v>
      </c>
      <c r="W233" s="82"/>
      <c r="X233" s="83">
        <f t="shared" ca="1" si="96"/>
        <v>0</v>
      </c>
      <c r="Y233" s="82" t="b">
        <f t="shared" ca="1" si="97"/>
        <v>0</v>
      </c>
      <c r="Z233" s="94" t="b">
        <f t="shared" ca="1" si="98"/>
        <v>0</v>
      </c>
      <c r="AA233" s="94" t="b">
        <f t="shared" ca="1" si="99"/>
        <v>0</v>
      </c>
      <c r="AB233" s="178">
        <f t="shared" ca="1" si="100"/>
        <v>0</v>
      </c>
      <c r="AC233" s="94" t="b">
        <v>0</v>
      </c>
      <c r="AD233" s="127"/>
      <c r="AE233" s="185" t="s">
        <v>58</v>
      </c>
      <c r="AF233" s="175" t="str">
        <f t="shared" ca="1" si="101"/>
        <v/>
      </c>
      <c r="AG233" s="183">
        <f t="shared" ca="1" si="102"/>
        <v>0</v>
      </c>
      <c r="AH233" s="174"/>
      <c r="AI233" s="95" t="str">
        <f t="shared" ca="1" si="103"/>
        <v/>
      </c>
      <c r="AJ233" s="110"/>
      <c r="AK233" s="111"/>
      <c r="AL233" s="110"/>
      <c r="AM233" s="110"/>
      <c r="AN233" s="90"/>
    </row>
    <row r="234" spans="1:42" s="74" customFormat="1" ht="20.25" customHeight="1">
      <c r="B234" s="145"/>
      <c r="C234" s="146"/>
      <c r="D234" s="146"/>
      <c r="E234" s="146"/>
      <c r="F234" s="146"/>
      <c r="G234" s="146"/>
      <c r="H234" s="147"/>
      <c r="I234" s="148"/>
      <c r="J234" s="149"/>
      <c r="K234" s="149"/>
      <c r="L234" s="149"/>
      <c r="M234" s="149"/>
      <c r="N234" s="149"/>
      <c r="O234" s="149"/>
      <c r="P234" s="149"/>
      <c r="Q234" s="149"/>
      <c r="R234" s="149"/>
      <c r="S234" s="149"/>
      <c r="T234" s="149"/>
      <c r="U234" s="149"/>
      <c r="V234" s="149"/>
      <c r="W234" s="149"/>
      <c r="X234" s="149"/>
      <c r="Y234" s="149"/>
      <c r="Z234" s="149"/>
      <c r="AA234" s="149"/>
      <c r="AB234" s="149"/>
      <c r="AC234" s="149"/>
      <c r="AD234" s="149"/>
      <c r="AE234" s="149"/>
      <c r="AF234" s="150"/>
      <c r="AG234" s="150"/>
      <c r="AH234" s="151"/>
      <c r="AI234" s="152"/>
      <c r="AJ234" s="147"/>
      <c r="AK234" s="147"/>
      <c r="AL234" s="147"/>
      <c r="AM234" s="15"/>
    </row>
    <row r="235" spans="1:42" s="76" customFormat="1" ht="7.5" customHeight="1">
      <c r="B235" s="27"/>
      <c r="C235" s="28"/>
      <c r="D235" s="28"/>
      <c r="E235" s="28"/>
      <c r="F235" s="28"/>
      <c r="G235" s="70"/>
      <c r="H235" s="28"/>
      <c r="I235" s="28"/>
      <c r="J235" s="63"/>
      <c r="K235" s="63"/>
      <c r="L235" s="64"/>
      <c r="M235" s="18"/>
      <c r="N235" s="18"/>
      <c r="O235" s="18"/>
      <c r="P235" s="18"/>
      <c r="Q235" s="18"/>
      <c r="R235" s="18"/>
      <c r="S235" s="18"/>
      <c r="T235" s="18"/>
      <c r="U235" s="18"/>
      <c r="V235" s="18"/>
      <c r="W235" s="18"/>
      <c r="X235" s="18"/>
      <c r="Y235" s="18"/>
      <c r="Z235" s="18"/>
      <c r="AA235" s="18"/>
      <c r="AB235" s="18"/>
      <c r="AC235" s="18"/>
      <c r="AD235" s="18"/>
      <c r="AE235" s="18"/>
      <c r="AF235" s="17"/>
      <c r="AG235" s="17"/>
      <c r="AH235" s="18"/>
      <c r="AI235" s="18"/>
      <c r="AJ235" s="18"/>
      <c r="AK235" s="18"/>
      <c r="AL235" s="29"/>
      <c r="AM235" s="30"/>
    </row>
    <row r="236" spans="1:42" ht="18" customHeight="1">
      <c r="G236" s="68"/>
      <c r="H236" s="76"/>
      <c r="O236" s="68"/>
      <c r="P236" s="68"/>
      <c r="Q236" s="10"/>
      <c r="R236" s="10"/>
      <c r="S236" s="10"/>
      <c r="T236" s="32"/>
      <c r="U236" s="32"/>
      <c r="V236" s="68"/>
      <c r="W236" s="68"/>
      <c r="X236" s="68"/>
      <c r="Y236" s="68"/>
      <c r="Z236" s="68"/>
      <c r="AA236" s="76"/>
      <c r="AB236" s="76"/>
      <c r="AC236" s="68"/>
      <c r="AD236" s="10"/>
      <c r="AE236" s="68"/>
      <c r="AF236" s="32"/>
      <c r="AG236" s="76"/>
      <c r="AH236" s="32"/>
      <c r="AI236" s="10"/>
      <c r="AJ236" s="10"/>
      <c r="AK236" s="10"/>
      <c r="AL236" s="32"/>
    </row>
    <row r="237" spans="1:42">
      <c r="G237" s="68"/>
      <c r="H237" s="76"/>
      <c r="O237" s="68"/>
      <c r="P237" s="68"/>
      <c r="Q237" s="10"/>
      <c r="R237" s="10"/>
      <c r="S237" s="10"/>
      <c r="T237" s="32"/>
      <c r="U237" s="32"/>
      <c r="V237" s="68"/>
      <c r="W237" s="68"/>
      <c r="X237" s="68"/>
      <c r="Y237" s="68"/>
      <c r="Z237" s="68"/>
      <c r="AA237" s="76"/>
      <c r="AB237" s="76"/>
      <c r="AC237" s="68"/>
      <c r="AD237" s="10"/>
      <c r="AE237" s="68"/>
      <c r="AF237" s="32"/>
      <c r="AG237" s="76"/>
      <c r="AH237" s="32"/>
      <c r="AI237" s="10"/>
      <c r="AJ237" s="10"/>
      <c r="AK237" s="10"/>
      <c r="AL237" s="32"/>
    </row>
    <row r="238" spans="1:42">
      <c r="G238" s="68"/>
      <c r="H238" s="76"/>
      <c r="O238" s="68"/>
      <c r="P238" s="68"/>
      <c r="Q238" s="10"/>
      <c r="R238" s="10"/>
      <c r="S238" s="10"/>
      <c r="T238" s="32"/>
      <c r="U238" s="32"/>
      <c r="V238" s="68"/>
      <c r="W238" s="68"/>
      <c r="X238" s="68"/>
      <c r="Y238" s="68"/>
      <c r="Z238" s="68"/>
      <c r="AA238" s="76"/>
      <c r="AB238" s="76"/>
      <c r="AC238" s="68"/>
      <c r="AD238" s="10"/>
      <c r="AE238" s="68"/>
      <c r="AF238" s="32"/>
      <c r="AG238" s="76"/>
      <c r="AH238" s="32"/>
      <c r="AI238" s="10"/>
      <c r="AJ238" s="10"/>
      <c r="AK238" s="10"/>
      <c r="AL238" s="32"/>
    </row>
    <row r="239" spans="1:42">
      <c r="G239" s="68"/>
      <c r="H239" s="76"/>
      <c r="O239" s="68"/>
      <c r="P239" s="68"/>
      <c r="Q239" s="10"/>
      <c r="R239" s="10"/>
      <c r="S239" s="10"/>
      <c r="T239" s="32"/>
      <c r="U239" s="32"/>
      <c r="V239" s="68"/>
      <c r="W239" s="68"/>
      <c r="X239" s="68"/>
      <c r="Y239" s="68"/>
      <c r="Z239" s="68"/>
      <c r="AA239" s="76"/>
      <c r="AB239" s="76"/>
      <c r="AC239" s="68"/>
      <c r="AD239" s="10"/>
      <c r="AE239" s="68"/>
      <c r="AF239" s="32"/>
      <c r="AG239" s="76"/>
      <c r="AH239" s="32"/>
      <c r="AI239" s="10"/>
      <c r="AJ239" s="10"/>
      <c r="AK239" s="10"/>
      <c r="AL239" s="32"/>
    </row>
    <row r="240" spans="1:42">
      <c r="G240" s="68"/>
      <c r="H240" s="76"/>
      <c r="O240" s="68"/>
      <c r="P240" s="68"/>
      <c r="Q240" s="10"/>
      <c r="R240" s="10"/>
      <c r="S240" s="10"/>
      <c r="T240" s="32"/>
      <c r="U240" s="32"/>
      <c r="V240" s="68"/>
      <c r="W240" s="68"/>
      <c r="X240" s="68"/>
      <c r="Y240" s="68"/>
      <c r="Z240" s="68"/>
      <c r="AA240" s="76"/>
      <c r="AB240" s="76"/>
      <c r="AC240" s="68"/>
      <c r="AD240" s="10"/>
      <c r="AE240" s="68"/>
      <c r="AF240" s="32"/>
      <c r="AG240" s="76"/>
      <c r="AH240" s="32"/>
      <c r="AI240" s="10"/>
      <c r="AJ240" s="10"/>
      <c r="AK240" s="10"/>
      <c r="AL240" s="32"/>
    </row>
  </sheetData>
  <sortState xmlns:xlrd2="http://schemas.microsoft.com/office/spreadsheetml/2017/richdata2" ref="B29:AM234">
    <sortCondition ref="D29"/>
    <sortCondition ref="E29"/>
  </sortState>
  <dataConsolidate/>
  <mergeCells count="9">
    <mergeCell ref="B11:I11"/>
    <mergeCell ref="B27:I27"/>
    <mergeCell ref="AM5:AN5"/>
    <mergeCell ref="AK5:AL5"/>
    <mergeCell ref="AI5:AJ5"/>
    <mergeCell ref="B7:I7"/>
    <mergeCell ref="M7:N7"/>
    <mergeCell ref="AM6:AN6"/>
    <mergeCell ref="AM7:AN7"/>
  </mergeCells>
  <conditionalFormatting sqref="I9">
    <cfRule type="expression" dxfId="436" priority="3605">
      <formula>ShowAlert</formula>
    </cfRule>
  </conditionalFormatting>
  <conditionalFormatting sqref="N4 AD213:AE218 N213:N218 N221:N233 AD221:AE233 N202:N210 AD202:AE210">
    <cfRule type="expression" dxfId="435" priority="1790">
      <formula>ISBLANK($N4)</formula>
    </cfRule>
  </conditionalFormatting>
  <conditionalFormatting sqref="N4 N213:N218 N221:N233 N202:N210">
    <cfRule type="expression" dxfId="434" priority="1788">
      <formula>AND($N4&lt;&gt;"Add",$V4=1)</formula>
    </cfRule>
    <cfRule type="expression" dxfId="433" priority="1789">
      <formula>AND($N4&lt;&gt;"Add",$V4=-1)</formula>
    </cfRule>
  </conditionalFormatting>
  <conditionalFormatting sqref="M2:M4 M213:M218 M221:M233 M202:M210">
    <cfRule type="expression" dxfId="432" priority="1791" stopIfTrue="1">
      <formula>AND($M2="–",$N2="Add")</formula>
    </cfRule>
    <cfRule type="expression" dxfId="431" priority="1792" stopIfTrue="1">
      <formula>AND($V2="-1",$N2="Add")</formula>
    </cfRule>
    <cfRule type="expression" dxfId="430" priority="1793" stopIfTrue="1">
      <formula>AND($V2="1",$N2="Add")</formula>
    </cfRule>
    <cfRule type="expression" dxfId="429" priority="1794">
      <formula>AND($M2&gt;=1,$N2="Add")</formula>
    </cfRule>
  </conditionalFormatting>
  <conditionalFormatting sqref="AD4:AE4">
    <cfRule type="expression" dxfId="428" priority="1783">
      <formula>ISBLANK($N4)</formula>
    </cfRule>
  </conditionalFormatting>
  <conditionalFormatting sqref="AE2:AE4 AE213:AE218 AE221:AE233 AE202:AE210">
    <cfRule type="cellIs" dxfId="427" priority="1782" operator="equal">
      <formula>"O"</formula>
    </cfRule>
  </conditionalFormatting>
  <conditionalFormatting sqref="AN9">
    <cfRule type="expression" dxfId="426" priority="1772">
      <formula>ShowAlert</formula>
    </cfRule>
  </conditionalFormatting>
  <conditionalFormatting sqref="B9">
    <cfRule type="expression" dxfId="425" priority="1771">
      <formula>ShowAlert</formula>
    </cfRule>
  </conditionalFormatting>
  <conditionalFormatting sqref="B9:AN9">
    <cfRule type="expression" dxfId="424" priority="3609">
      <formula>ShowAlert</formula>
    </cfRule>
  </conditionalFormatting>
  <conditionalFormatting sqref="AH234 AI213:AI218 AI221:AI233 AI24:AI210">
    <cfRule type="cellIs" dxfId="423" priority="1733" operator="equal">
      <formula>"Rework Complete"</formula>
    </cfRule>
    <cfRule type="cellIs" dxfId="422" priority="1734" operator="equal">
      <formula>"Client Query"</formula>
    </cfRule>
    <cfRule type="cellIs" dxfId="421" priority="1735" operator="equal">
      <formula>"Started"</formula>
    </cfRule>
    <cfRule type="cellIs" dxfId="420" priority="1736" operator="equal">
      <formula>"Ready for Review"</formula>
    </cfRule>
    <cfRule type="cellIs" dxfId="419" priority="1737" operator="equal">
      <formula>"Rework Required"</formula>
    </cfRule>
    <cfRule type="cellIs" dxfId="418" priority="1738" operator="equal">
      <formula>"Complete"</formula>
    </cfRule>
  </conditionalFormatting>
  <conditionalFormatting sqref="L235">
    <cfRule type="expression" dxfId="417" priority="1745" stopIfTrue="1">
      <formula>AND($L235="–",$M235="Add")</formula>
    </cfRule>
    <cfRule type="expression" dxfId="416" priority="1746" stopIfTrue="1">
      <formula>AND($U235="-1",$M235="Add")</formula>
    </cfRule>
    <cfRule type="expression" dxfId="415" priority="1747" stopIfTrue="1">
      <formula>AND($U235="1",$M235="Add")</formula>
    </cfRule>
    <cfRule type="expression" dxfId="414" priority="1748">
      <formula>AND($L235&gt;=1,$M235="Add")</formula>
    </cfRule>
  </conditionalFormatting>
  <conditionalFormatting sqref="AH234:AH235">
    <cfRule type="cellIs" dxfId="413" priority="1739" operator="equal">
      <formula>"Rework Complete"</formula>
    </cfRule>
    <cfRule type="cellIs" dxfId="412" priority="1740" operator="equal">
      <formula>"Client Query"</formula>
    </cfRule>
    <cfRule type="cellIs" dxfId="411" priority="1741" operator="equal">
      <formula>"Started"</formula>
    </cfRule>
    <cfRule type="cellIs" dxfId="410" priority="1742" operator="equal">
      <formula>"Ready for Review"</formula>
    </cfRule>
    <cfRule type="cellIs" dxfId="409" priority="1743" operator="equal">
      <formula>"Rework Required"</formula>
    </cfRule>
    <cfRule type="cellIs" dxfId="408" priority="1744" operator="equal">
      <formula>"Complete"</formula>
    </cfRule>
  </conditionalFormatting>
  <conditionalFormatting sqref="AF2:AF4 AF213:AF218 AF221:AF233 AF202:AF210">
    <cfRule type="expression" dxfId="407" priority="1699">
      <formula>AND($Z2=TRUE,$E2=100)</formula>
    </cfRule>
    <cfRule type="expression" dxfId="406" priority="1700">
      <formula>AND($Y2=TRUE,$E2=100)</formula>
    </cfRule>
    <cfRule type="expression" dxfId="405" priority="1713">
      <formula>AND($Z2=TRUE,$E2&lt;&gt;100)</formula>
    </cfRule>
    <cfRule type="expression" dxfId="404" priority="1714">
      <formula>AND($Y2=TRUE,$E2&lt;&gt;100)</formula>
    </cfRule>
  </conditionalFormatting>
  <conditionalFormatting sqref="AG2:AG4 AG213:AG218 AG221:AG233 AG202:AG210">
    <cfRule type="expression" dxfId="403" priority="1697">
      <formula>AND($AA2=TRUE,$E2=100)</formula>
    </cfRule>
    <cfRule type="expression" dxfId="402" priority="1698">
      <formula>AND($AG2&gt;0,$E2=100)</formula>
    </cfRule>
    <cfRule type="expression" dxfId="401" priority="1722">
      <formula>AND($AA2=TRUE,$E2&lt;&gt;100)</formula>
    </cfRule>
    <cfRule type="expression" dxfId="400" priority="1723">
      <formula>AND($AG2&gt;0,$E2&lt;&gt;100)</formula>
    </cfRule>
  </conditionalFormatting>
  <conditionalFormatting sqref="AI1:AI12 AI234:AI1048576">
    <cfRule type="cellIs" dxfId="399" priority="1682" operator="equal">
      <formula>"Rework Complete"</formula>
    </cfRule>
    <cfRule type="cellIs" dxfId="398" priority="1683" operator="equal">
      <formula>"Client Query"</formula>
    </cfRule>
    <cfRule type="cellIs" dxfId="397" priority="1684" operator="equal">
      <formula>"Started"</formula>
    </cfRule>
    <cfRule type="cellIs" dxfId="396" priority="1685" operator="equal">
      <formula>"Ready for Review"</formula>
    </cfRule>
    <cfRule type="cellIs" dxfId="395" priority="1686" operator="equal">
      <formula>"Rework Required"</formula>
    </cfRule>
    <cfRule type="cellIs" dxfId="394" priority="1687" operator="equal">
      <formula>"Complete"</formula>
    </cfRule>
  </conditionalFormatting>
  <conditionalFormatting sqref="N2">
    <cfRule type="expression" dxfId="393" priority="1680">
      <formula>AND($N2&lt;&gt;"Add",$V2=1)</formula>
    </cfRule>
    <cfRule type="expression" dxfId="392" priority="1681">
      <formula>AND($N2&lt;&gt;"Add",$V2=-1)</formula>
    </cfRule>
  </conditionalFormatting>
  <conditionalFormatting sqref="N3">
    <cfRule type="expression" dxfId="391" priority="1678">
      <formula>AND($N3&lt;&gt;"Add",$V3=1)</formula>
    </cfRule>
    <cfRule type="expression" dxfId="390" priority="1679">
      <formula>AND($N3&lt;&gt;"Add",$V3=-1)</formula>
    </cfRule>
  </conditionalFormatting>
  <conditionalFormatting sqref="M13">
    <cfRule type="expression" dxfId="389" priority="1674" stopIfTrue="1">
      <formula>AND($M13="–",$N13="Add")</formula>
    </cfRule>
    <cfRule type="expression" dxfId="388" priority="1675" stopIfTrue="1">
      <formula>AND($V13="-1",$N13="Add")</formula>
    </cfRule>
    <cfRule type="expression" dxfId="387" priority="1676" stopIfTrue="1">
      <formula>AND($V13="1",$N13="Add")</formula>
    </cfRule>
    <cfRule type="expression" dxfId="386" priority="1677">
      <formula>AND($M13&gt;=1,$N13="Add")</formula>
    </cfRule>
  </conditionalFormatting>
  <conditionalFormatting sqref="AE13">
    <cfRule type="cellIs" dxfId="385" priority="1673" operator="equal">
      <formula>"O"</formula>
    </cfRule>
  </conditionalFormatting>
  <conditionalFormatting sqref="AF13">
    <cfRule type="expression" dxfId="384" priority="1667">
      <formula>AND($Z13=TRUE,$E13=100)</formula>
    </cfRule>
    <cfRule type="expression" dxfId="383" priority="1668">
      <formula>AND($Y13=TRUE,$E13=100)</formula>
    </cfRule>
    <cfRule type="expression" dxfId="382" priority="1669">
      <formula>AND($Z13=TRUE,$E13&lt;&gt;100)</formula>
    </cfRule>
    <cfRule type="expression" dxfId="381" priority="1670">
      <formula>AND($Y13=TRUE,$E13&lt;&gt;100)</formula>
    </cfRule>
  </conditionalFormatting>
  <conditionalFormatting sqref="AG13">
    <cfRule type="expression" dxfId="380" priority="1665">
      <formula>AND($AA13=TRUE,$E13=100)</formula>
    </cfRule>
    <cfRule type="expression" dxfId="379" priority="1666">
      <formula>AND($AG13&gt;0,$E13=100)</formula>
    </cfRule>
    <cfRule type="expression" dxfId="378" priority="1671">
      <formula>AND($AA13=TRUE,$E13&lt;&gt;100)</formula>
    </cfRule>
    <cfRule type="expression" dxfId="377" priority="1672">
      <formula>AND($AG13&gt;0,$E13&lt;&gt;100)</formula>
    </cfRule>
  </conditionalFormatting>
  <conditionalFormatting sqref="AI13">
    <cfRule type="cellIs" dxfId="376" priority="1659" operator="equal">
      <formula>"Rework Complete"</formula>
    </cfRule>
    <cfRule type="cellIs" dxfId="375" priority="1660" operator="equal">
      <formula>"Client Query"</formula>
    </cfRule>
    <cfRule type="cellIs" dxfId="374" priority="1661" operator="equal">
      <formula>"Started"</formula>
    </cfRule>
    <cfRule type="cellIs" dxfId="373" priority="1662" operator="equal">
      <formula>"Ready for Review"</formula>
    </cfRule>
    <cfRule type="cellIs" dxfId="372" priority="1663" operator="equal">
      <formula>"Rework Required"</formula>
    </cfRule>
    <cfRule type="cellIs" dxfId="371" priority="1664" operator="equal">
      <formula>"Complete"</formula>
    </cfRule>
  </conditionalFormatting>
  <conditionalFormatting sqref="N13">
    <cfRule type="expression" dxfId="370" priority="1657">
      <formula>AND($N13&lt;&gt;"Add",$V13=1)</formula>
    </cfRule>
    <cfRule type="expression" dxfId="369" priority="1658">
      <formula>AND($N13&lt;&gt;"Add",$V13=-1)</formula>
    </cfRule>
  </conditionalFormatting>
  <conditionalFormatting sqref="M14">
    <cfRule type="expression" dxfId="368" priority="1653" stopIfTrue="1">
      <formula>AND($M14="–",$N14="Add")</formula>
    </cfRule>
    <cfRule type="expression" dxfId="367" priority="1654" stopIfTrue="1">
      <formula>AND($V14="-1",$N14="Add")</formula>
    </cfRule>
    <cfRule type="expression" dxfId="366" priority="1655" stopIfTrue="1">
      <formula>AND($V14="1",$N14="Add")</formula>
    </cfRule>
    <cfRule type="expression" dxfId="365" priority="1656">
      <formula>AND($M14&gt;=1,$N14="Add")</formula>
    </cfRule>
  </conditionalFormatting>
  <conditionalFormatting sqref="AE14">
    <cfRule type="cellIs" dxfId="364" priority="1652" operator="equal">
      <formula>"O"</formula>
    </cfRule>
  </conditionalFormatting>
  <conditionalFormatting sqref="AF14">
    <cfRule type="expression" dxfId="363" priority="1646">
      <formula>AND($Z14=TRUE,$E14=100)</formula>
    </cfRule>
    <cfRule type="expression" dxfId="362" priority="1647">
      <formula>AND($Y14=TRUE,$E14=100)</formula>
    </cfRule>
    <cfRule type="expression" dxfId="361" priority="1648">
      <formula>AND($Z14=TRUE,$E14&lt;&gt;100)</formula>
    </cfRule>
    <cfRule type="expression" dxfId="360" priority="1649">
      <formula>AND($Y14=TRUE,$E14&lt;&gt;100)</formula>
    </cfRule>
  </conditionalFormatting>
  <conditionalFormatting sqref="AG14">
    <cfRule type="expression" dxfId="359" priority="1644">
      <formula>AND($AA14=TRUE,$E14=100)</formula>
    </cfRule>
    <cfRule type="expression" dxfId="358" priority="1645">
      <formula>AND($AG14&gt;0,$E14=100)</formula>
    </cfRule>
    <cfRule type="expression" dxfId="357" priority="1650">
      <formula>AND($AA14=TRUE,$E14&lt;&gt;100)</formula>
    </cfRule>
    <cfRule type="expression" dxfId="356" priority="1651">
      <formula>AND($AG14&gt;0,$E14&lt;&gt;100)</formula>
    </cfRule>
  </conditionalFormatting>
  <conditionalFormatting sqref="AI14">
    <cfRule type="cellIs" dxfId="355" priority="1638" operator="equal">
      <formula>"Rework Complete"</formula>
    </cfRule>
    <cfRule type="cellIs" dxfId="354" priority="1639" operator="equal">
      <formula>"Client Query"</formula>
    </cfRule>
    <cfRule type="cellIs" dxfId="353" priority="1640" operator="equal">
      <formula>"Started"</formula>
    </cfRule>
    <cfRule type="cellIs" dxfId="352" priority="1641" operator="equal">
      <formula>"Ready for Review"</formula>
    </cfRule>
    <cfRule type="cellIs" dxfId="351" priority="1642" operator="equal">
      <formula>"Rework Required"</formula>
    </cfRule>
    <cfRule type="cellIs" dxfId="350" priority="1643" operator="equal">
      <formula>"Complete"</formula>
    </cfRule>
  </conditionalFormatting>
  <conditionalFormatting sqref="N14">
    <cfRule type="expression" dxfId="349" priority="1636">
      <formula>AND($N14&lt;&gt;"Add",$V14=1)</formula>
    </cfRule>
    <cfRule type="expression" dxfId="348" priority="1637">
      <formula>AND($N14&lt;&gt;"Add",$V14=-1)</formula>
    </cfRule>
  </conditionalFormatting>
  <conditionalFormatting sqref="M15">
    <cfRule type="expression" dxfId="347" priority="1632" stopIfTrue="1">
      <formula>AND($M15="–",$N15="Add")</formula>
    </cfRule>
    <cfRule type="expression" dxfId="346" priority="1633" stopIfTrue="1">
      <formula>AND($V15="-1",$N15="Add")</formula>
    </cfRule>
    <cfRule type="expression" dxfId="345" priority="1634" stopIfTrue="1">
      <formula>AND($V15="1",$N15="Add")</formula>
    </cfRule>
    <cfRule type="expression" dxfId="344" priority="1635">
      <formula>AND($M15&gt;=1,$N15="Add")</formula>
    </cfRule>
  </conditionalFormatting>
  <conditionalFormatting sqref="AE15">
    <cfRule type="cellIs" dxfId="343" priority="1631" operator="equal">
      <formula>"O"</formula>
    </cfRule>
  </conditionalFormatting>
  <conditionalFormatting sqref="AF15">
    <cfRule type="expression" dxfId="342" priority="1625">
      <formula>AND($Z15=TRUE,$E15=100)</formula>
    </cfRule>
    <cfRule type="expression" dxfId="341" priority="1626">
      <formula>AND($Y15=TRUE,$E15=100)</formula>
    </cfRule>
    <cfRule type="expression" dxfId="340" priority="1627">
      <formula>AND($Z15=TRUE,$E15&lt;&gt;100)</formula>
    </cfRule>
    <cfRule type="expression" dxfId="339" priority="1628">
      <formula>AND($Y15=TRUE,$E15&lt;&gt;100)</formula>
    </cfRule>
  </conditionalFormatting>
  <conditionalFormatting sqref="AG15">
    <cfRule type="expression" dxfId="338" priority="1623">
      <formula>AND($AA15=TRUE,$E15=100)</formula>
    </cfRule>
    <cfRule type="expression" dxfId="337" priority="1624">
      <formula>AND($AG15&gt;0,$E15=100)</formula>
    </cfRule>
    <cfRule type="expression" dxfId="336" priority="1629">
      <formula>AND($AA15=TRUE,$E15&lt;&gt;100)</formula>
    </cfRule>
    <cfRule type="expression" dxfId="335" priority="1630">
      <formula>AND($AG15&gt;0,$E15&lt;&gt;100)</formula>
    </cfRule>
  </conditionalFormatting>
  <conditionalFormatting sqref="AI15">
    <cfRule type="cellIs" dxfId="334" priority="1617" operator="equal">
      <formula>"Rework Complete"</formula>
    </cfRule>
    <cfRule type="cellIs" dxfId="333" priority="1618" operator="equal">
      <formula>"Client Query"</formula>
    </cfRule>
    <cfRule type="cellIs" dxfId="332" priority="1619" operator="equal">
      <formula>"Started"</formula>
    </cfRule>
    <cfRule type="cellIs" dxfId="331" priority="1620" operator="equal">
      <formula>"Ready for Review"</formula>
    </cfRule>
    <cfRule type="cellIs" dxfId="330" priority="1621" operator="equal">
      <formula>"Rework Required"</formula>
    </cfRule>
    <cfRule type="cellIs" dxfId="329" priority="1622" operator="equal">
      <formula>"Complete"</formula>
    </cfRule>
  </conditionalFormatting>
  <conditionalFormatting sqref="N15">
    <cfRule type="expression" dxfId="328" priority="1615">
      <formula>AND($N15&lt;&gt;"Add",$V15=1)</formula>
    </cfRule>
    <cfRule type="expression" dxfId="327" priority="1616">
      <formula>AND($N15&lt;&gt;"Add",$V15=-1)</formula>
    </cfRule>
  </conditionalFormatting>
  <conditionalFormatting sqref="M16">
    <cfRule type="expression" dxfId="326" priority="1611" stopIfTrue="1">
      <formula>AND($M16="–",$N16="Add")</formula>
    </cfRule>
    <cfRule type="expression" dxfId="325" priority="1612" stopIfTrue="1">
      <formula>AND($V16="-1",$N16="Add")</formula>
    </cfRule>
    <cfRule type="expression" dxfId="324" priority="1613" stopIfTrue="1">
      <formula>AND($V16="1",$N16="Add")</formula>
    </cfRule>
    <cfRule type="expression" dxfId="323" priority="1614">
      <formula>AND($M16&gt;=1,$N16="Add")</formula>
    </cfRule>
  </conditionalFormatting>
  <conditionalFormatting sqref="AE16">
    <cfRule type="cellIs" dxfId="322" priority="1610" operator="equal">
      <formula>"O"</formula>
    </cfRule>
  </conditionalFormatting>
  <conditionalFormatting sqref="AF16">
    <cfRule type="expression" dxfId="321" priority="1604">
      <formula>AND($Z16=TRUE,$E16=100)</formula>
    </cfRule>
    <cfRule type="expression" dxfId="320" priority="1605">
      <formula>AND($Y16=TRUE,$E16=100)</formula>
    </cfRule>
    <cfRule type="expression" dxfId="319" priority="1606">
      <formula>AND($Z16=TRUE,$E16&lt;&gt;100)</formula>
    </cfRule>
    <cfRule type="expression" dxfId="318" priority="1607">
      <formula>AND($Y16=TRUE,$E16&lt;&gt;100)</formula>
    </cfRule>
  </conditionalFormatting>
  <conditionalFormatting sqref="AG16">
    <cfRule type="expression" dxfId="317" priority="1602">
      <formula>AND($AA16=TRUE,$E16=100)</formula>
    </cfRule>
    <cfRule type="expression" dxfId="316" priority="1603">
      <formula>AND($AG16&gt;0,$E16=100)</formula>
    </cfRule>
    <cfRule type="expression" dxfId="315" priority="1608">
      <formula>AND($AA16=TRUE,$E16&lt;&gt;100)</formula>
    </cfRule>
    <cfRule type="expression" dxfId="314" priority="1609">
      <formula>AND($AG16&gt;0,$E16&lt;&gt;100)</formula>
    </cfRule>
  </conditionalFormatting>
  <conditionalFormatting sqref="AI16">
    <cfRule type="cellIs" dxfId="313" priority="1596" operator="equal">
      <formula>"Rework Complete"</formula>
    </cfRule>
    <cfRule type="cellIs" dxfId="312" priority="1597" operator="equal">
      <formula>"Client Query"</formula>
    </cfRule>
    <cfRule type="cellIs" dxfId="311" priority="1598" operator="equal">
      <formula>"Started"</formula>
    </cfRule>
    <cfRule type="cellIs" dxfId="310" priority="1599" operator="equal">
      <formula>"Ready for Review"</formula>
    </cfRule>
    <cfRule type="cellIs" dxfId="309" priority="1600" operator="equal">
      <formula>"Rework Required"</formula>
    </cfRule>
    <cfRule type="cellIs" dxfId="308" priority="1601" operator="equal">
      <formula>"Complete"</formula>
    </cfRule>
  </conditionalFormatting>
  <conditionalFormatting sqref="N16">
    <cfRule type="expression" dxfId="307" priority="1594">
      <formula>AND($N16&lt;&gt;"Add",$V16=1)</formula>
    </cfRule>
    <cfRule type="expression" dxfId="306" priority="1595">
      <formula>AND($N16&lt;&gt;"Add",$V16=-1)</formula>
    </cfRule>
  </conditionalFormatting>
  <conditionalFormatting sqref="M17">
    <cfRule type="expression" dxfId="305" priority="1569" stopIfTrue="1">
      <formula>AND($M17="–",$N17="Add")</formula>
    </cfRule>
    <cfRule type="expression" dxfId="304" priority="1570" stopIfTrue="1">
      <formula>AND($V17="-1",$N17="Add")</formula>
    </cfRule>
    <cfRule type="expression" dxfId="303" priority="1571" stopIfTrue="1">
      <formula>AND($V17="1",$N17="Add")</formula>
    </cfRule>
    <cfRule type="expression" dxfId="302" priority="1572">
      <formula>AND($M17&gt;=1,$N17="Add")</formula>
    </cfRule>
  </conditionalFormatting>
  <conditionalFormatting sqref="AE17">
    <cfRule type="cellIs" dxfId="301" priority="1568" operator="equal">
      <formula>"O"</formula>
    </cfRule>
  </conditionalFormatting>
  <conditionalFormatting sqref="AF17">
    <cfRule type="expression" dxfId="300" priority="1562">
      <formula>AND($Z17=TRUE,$E17=100)</formula>
    </cfRule>
    <cfRule type="expression" dxfId="299" priority="1563">
      <formula>AND($Y17=TRUE,$E17=100)</formula>
    </cfRule>
    <cfRule type="expression" dxfId="298" priority="1564">
      <formula>AND($Z17=TRUE,$E17&lt;&gt;100)</formula>
    </cfRule>
    <cfRule type="expression" dxfId="297" priority="1565">
      <formula>AND($Y17=TRUE,$E17&lt;&gt;100)</formula>
    </cfRule>
  </conditionalFormatting>
  <conditionalFormatting sqref="AG17">
    <cfRule type="expression" dxfId="296" priority="1560">
      <formula>AND($AA17=TRUE,$E17=100)</formula>
    </cfRule>
    <cfRule type="expression" dxfId="295" priority="1561">
      <formula>AND($AG17&gt;0,$E17=100)</formula>
    </cfRule>
    <cfRule type="expression" dxfId="294" priority="1566">
      <formula>AND($AA17=TRUE,$E17&lt;&gt;100)</formula>
    </cfRule>
    <cfRule type="expression" dxfId="293" priority="1567">
      <formula>AND($AG17&gt;0,$E17&lt;&gt;100)</formula>
    </cfRule>
  </conditionalFormatting>
  <conditionalFormatting sqref="AI17">
    <cfRule type="cellIs" dxfId="292" priority="1554" operator="equal">
      <formula>"Rework Complete"</formula>
    </cfRule>
    <cfRule type="cellIs" dxfId="291" priority="1555" operator="equal">
      <formula>"Client Query"</formula>
    </cfRule>
    <cfRule type="cellIs" dxfId="290" priority="1556" operator="equal">
      <formula>"Started"</formula>
    </cfRule>
    <cfRule type="cellIs" dxfId="289" priority="1557" operator="equal">
      <formula>"Ready for Review"</formula>
    </cfRule>
    <cfRule type="cellIs" dxfId="288" priority="1558" operator="equal">
      <formula>"Rework Required"</formula>
    </cfRule>
    <cfRule type="cellIs" dxfId="287" priority="1559" operator="equal">
      <formula>"Complete"</formula>
    </cfRule>
  </conditionalFormatting>
  <conditionalFormatting sqref="N17">
    <cfRule type="expression" dxfId="286" priority="1552">
      <formula>AND($N17&lt;&gt;"Add",$V17=1)</formula>
    </cfRule>
    <cfRule type="expression" dxfId="285" priority="1553">
      <formula>AND($N17&lt;&gt;"Add",$V17=-1)</formula>
    </cfRule>
  </conditionalFormatting>
  <conditionalFormatting sqref="M18">
    <cfRule type="expression" dxfId="284" priority="1527" stopIfTrue="1">
      <formula>AND($M18="–",$N18="Add")</formula>
    </cfRule>
    <cfRule type="expression" dxfId="283" priority="1528" stopIfTrue="1">
      <formula>AND($V18="-1",$N18="Add")</formula>
    </cfRule>
    <cfRule type="expression" dxfId="282" priority="1529" stopIfTrue="1">
      <formula>AND($V18="1",$N18="Add")</formula>
    </cfRule>
    <cfRule type="expression" dxfId="281" priority="1530">
      <formula>AND($M18&gt;=1,$N18="Add")</formula>
    </cfRule>
  </conditionalFormatting>
  <conditionalFormatting sqref="AE18">
    <cfRule type="cellIs" dxfId="280" priority="1526" operator="equal">
      <formula>"O"</formula>
    </cfRule>
  </conditionalFormatting>
  <conditionalFormatting sqref="AF18">
    <cfRule type="expression" dxfId="279" priority="1520">
      <formula>AND($Z18=TRUE,$E18=100)</formula>
    </cfRule>
    <cfRule type="expression" dxfId="278" priority="1521">
      <formula>AND($Y18=TRUE,$E18=100)</formula>
    </cfRule>
    <cfRule type="expression" dxfId="277" priority="1522">
      <formula>AND($Z18=TRUE,$E18&lt;&gt;100)</formula>
    </cfRule>
    <cfRule type="expression" dxfId="276" priority="1523">
      <formula>AND($Y18=TRUE,$E18&lt;&gt;100)</formula>
    </cfRule>
  </conditionalFormatting>
  <conditionalFormatting sqref="AG18">
    <cfRule type="expression" dxfId="275" priority="1518">
      <formula>AND($AA18=TRUE,$E18=100)</formula>
    </cfRule>
    <cfRule type="expression" dxfId="274" priority="1519">
      <formula>AND($AG18&gt;0,$E18=100)</formula>
    </cfRule>
    <cfRule type="expression" dxfId="273" priority="1524">
      <formula>AND($AA18=TRUE,$E18&lt;&gt;100)</formula>
    </cfRule>
    <cfRule type="expression" dxfId="272" priority="1525">
      <formula>AND($AG18&gt;0,$E18&lt;&gt;100)</formula>
    </cfRule>
  </conditionalFormatting>
  <conditionalFormatting sqref="AI18">
    <cfRule type="cellIs" dxfId="271" priority="1512" operator="equal">
      <formula>"Rework Complete"</formula>
    </cfRule>
    <cfRule type="cellIs" dxfId="270" priority="1513" operator="equal">
      <formula>"Client Query"</formula>
    </cfRule>
    <cfRule type="cellIs" dxfId="269" priority="1514" operator="equal">
      <formula>"Started"</formula>
    </cfRule>
    <cfRule type="cellIs" dxfId="268" priority="1515" operator="equal">
      <formula>"Ready for Review"</formula>
    </cfRule>
    <cfRule type="cellIs" dxfId="267" priority="1516" operator="equal">
      <formula>"Rework Required"</formula>
    </cfRule>
    <cfRule type="cellIs" dxfId="266" priority="1517" operator="equal">
      <formula>"Complete"</formula>
    </cfRule>
  </conditionalFormatting>
  <conditionalFormatting sqref="N18">
    <cfRule type="expression" dxfId="265" priority="1510">
      <formula>AND($N18&lt;&gt;"Add",$V18=1)</formula>
    </cfRule>
    <cfRule type="expression" dxfId="264" priority="1511">
      <formula>AND($N18&lt;&gt;"Add",$V18=-1)</formula>
    </cfRule>
  </conditionalFormatting>
  <conditionalFormatting sqref="M19">
    <cfRule type="expression" dxfId="263" priority="1506" stopIfTrue="1">
      <formula>AND($M19="–",$N19="Add")</formula>
    </cfRule>
    <cfRule type="expression" dxfId="262" priority="1507" stopIfTrue="1">
      <formula>AND($V19="-1",$N19="Add")</formula>
    </cfRule>
    <cfRule type="expression" dxfId="261" priority="1508" stopIfTrue="1">
      <formula>AND($V19="1",$N19="Add")</formula>
    </cfRule>
    <cfRule type="expression" dxfId="260" priority="1509">
      <formula>AND($M19&gt;=1,$N19="Add")</formula>
    </cfRule>
  </conditionalFormatting>
  <conditionalFormatting sqref="AE19">
    <cfRule type="cellIs" dxfId="259" priority="1505" operator="equal">
      <formula>"O"</formula>
    </cfRule>
  </conditionalFormatting>
  <conditionalFormatting sqref="AF19">
    <cfRule type="expression" dxfId="258" priority="1499">
      <formula>AND($Z19=TRUE,$E19=100)</formula>
    </cfRule>
    <cfRule type="expression" dxfId="257" priority="1500">
      <formula>AND($Y19=TRUE,$E19=100)</formula>
    </cfRule>
    <cfRule type="expression" dxfId="256" priority="1501">
      <formula>AND($Z19=TRUE,$E19&lt;&gt;100)</formula>
    </cfRule>
    <cfRule type="expression" dxfId="255" priority="1502">
      <formula>AND($Y19=TRUE,$E19&lt;&gt;100)</formula>
    </cfRule>
  </conditionalFormatting>
  <conditionalFormatting sqref="AG19">
    <cfRule type="expression" dxfId="254" priority="1497">
      <formula>AND($AA19=TRUE,$E19=100)</formula>
    </cfRule>
    <cfRule type="expression" dxfId="253" priority="1498">
      <formula>AND($AG19&gt;0,$E19=100)</formula>
    </cfRule>
    <cfRule type="expression" dxfId="252" priority="1503">
      <formula>AND($AA19=TRUE,$E19&lt;&gt;100)</formula>
    </cfRule>
    <cfRule type="expression" dxfId="251" priority="1504">
      <formula>AND($AG19&gt;0,$E19&lt;&gt;100)</formula>
    </cfRule>
  </conditionalFormatting>
  <conditionalFormatting sqref="AI19">
    <cfRule type="cellIs" dxfId="250" priority="1491" operator="equal">
      <formula>"Rework Complete"</formula>
    </cfRule>
    <cfRule type="cellIs" dxfId="249" priority="1492" operator="equal">
      <formula>"Client Query"</formula>
    </cfRule>
    <cfRule type="cellIs" dxfId="248" priority="1493" operator="equal">
      <formula>"Started"</formula>
    </cfRule>
    <cfRule type="cellIs" dxfId="247" priority="1494" operator="equal">
      <formula>"Ready for Review"</formula>
    </cfRule>
    <cfRule type="cellIs" dxfId="246" priority="1495" operator="equal">
      <formula>"Rework Required"</formula>
    </cfRule>
    <cfRule type="cellIs" dxfId="245" priority="1496" operator="equal">
      <formula>"Complete"</formula>
    </cfRule>
  </conditionalFormatting>
  <conditionalFormatting sqref="N19">
    <cfRule type="expression" dxfId="244" priority="1489">
      <formula>AND($N19&lt;&gt;"Add",$V19=1)</formula>
    </cfRule>
    <cfRule type="expression" dxfId="243" priority="1490">
      <formula>AND($N19&lt;&gt;"Add",$V19=-1)</formula>
    </cfRule>
  </conditionalFormatting>
  <conditionalFormatting sqref="M20">
    <cfRule type="expression" dxfId="242" priority="1485" stopIfTrue="1">
      <formula>AND($M20="–",$N20="Add")</formula>
    </cfRule>
    <cfRule type="expression" dxfId="241" priority="1486" stopIfTrue="1">
      <formula>AND($V20="-1",$N20="Add")</formula>
    </cfRule>
    <cfRule type="expression" dxfId="240" priority="1487" stopIfTrue="1">
      <formula>AND($V20="1",$N20="Add")</formula>
    </cfRule>
    <cfRule type="expression" dxfId="239" priority="1488">
      <formula>AND($M20&gt;=1,$N20="Add")</formula>
    </cfRule>
  </conditionalFormatting>
  <conditionalFormatting sqref="AE20">
    <cfRule type="cellIs" dxfId="238" priority="1484" operator="equal">
      <formula>"O"</formula>
    </cfRule>
  </conditionalFormatting>
  <conditionalFormatting sqref="AF20">
    <cfRule type="expression" dxfId="237" priority="1478">
      <formula>AND($Z20=TRUE,$E20=100)</formula>
    </cfRule>
    <cfRule type="expression" dxfId="236" priority="1479">
      <formula>AND($Y20=TRUE,$E20=100)</formula>
    </cfRule>
    <cfRule type="expression" dxfId="235" priority="1480">
      <formula>AND($Z20=TRUE,$E20&lt;&gt;100)</formula>
    </cfRule>
    <cfRule type="expression" dxfId="234" priority="1481">
      <formula>AND($Y20=TRUE,$E20&lt;&gt;100)</formula>
    </cfRule>
  </conditionalFormatting>
  <conditionalFormatting sqref="AG20">
    <cfRule type="expression" dxfId="233" priority="1476">
      <formula>AND($AA20=TRUE,$E20=100)</formula>
    </cfRule>
    <cfRule type="expression" dxfId="232" priority="1477">
      <formula>AND($AG20&gt;0,$E20=100)</formula>
    </cfRule>
    <cfRule type="expression" dxfId="231" priority="1482">
      <formula>AND($AA20=TRUE,$E20&lt;&gt;100)</formula>
    </cfRule>
    <cfRule type="expression" dxfId="230" priority="1483">
      <formula>AND($AG20&gt;0,$E20&lt;&gt;100)</formula>
    </cfRule>
  </conditionalFormatting>
  <conditionalFormatting sqref="AI20">
    <cfRule type="cellIs" dxfId="229" priority="1470" operator="equal">
      <formula>"Rework Complete"</formula>
    </cfRule>
    <cfRule type="cellIs" dxfId="228" priority="1471" operator="equal">
      <formula>"Client Query"</formula>
    </cfRule>
    <cfRule type="cellIs" dxfId="227" priority="1472" operator="equal">
      <formula>"Started"</formula>
    </cfRule>
    <cfRule type="cellIs" dxfId="226" priority="1473" operator="equal">
      <formula>"Ready for Review"</formula>
    </cfRule>
    <cfRule type="cellIs" dxfId="225" priority="1474" operator="equal">
      <formula>"Rework Required"</formula>
    </cfRule>
    <cfRule type="cellIs" dxfId="224" priority="1475" operator="equal">
      <formula>"Complete"</formula>
    </cfRule>
  </conditionalFormatting>
  <conditionalFormatting sqref="N20">
    <cfRule type="expression" dxfId="223" priority="1468">
      <formula>AND($N20&lt;&gt;"Add",$V20=1)</formula>
    </cfRule>
    <cfRule type="expression" dxfId="222" priority="1469">
      <formula>AND($N20&lt;&gt;"Add",$V20=-1)</formula>
    </cfRule>
  </conditionalFormatting>
  <conditionalFormatting sqref="M21">
    <cfRule type="expression" dxfId="221" priority="1443" stopIfTrue="1">
      <formula>AND($M21="–",$N21="Add")</formula>
    </cfRule>
    <cfRule type="expression" dxfId="220" priority="1444" stopIfTrue="1">
      <formula>AND($V21="-1",$N21="Add")</formula>
    </cfRule>
    <cfRule type="expression" dxfId="219" priority="1445" stopIfTrue="1">
      <formula>AND($V21="1",$N21="Add")</formula>
    </cfRule>
    <cfRule type="expression" dxfId="218" priority="1446">
      <formula>AND($M21&gt;=1,$N21="Add")</formula>
    </cfRule>
  </conditionalFormatting>
  <conditionalFormatting sqref="AE21">
    <cfRule type="cellIs" dxfId="217" priority="1442" operator="equal">
      <formula>"O"</formula>
    </cfRule>
  </conditionalFormatting>
  <conditionalFormatting sqref="AF21">
    <cfRule type="expression" dxfId="216" priority="1436">
      <formula>AND($Z21=TRUE,$E21=100)</formula>
    </cfRule>
    <cfRule type="expression" dxfId="215" priority="1437">
      <formula>AND($Y21=TRUE,$E21=100)</formula>
    </cfRule>
    <cfRule type="expression" dxfId="214" priority="1438">
      <formula>AND($Z21=TRUE,$E21&lt;&gt;100)</formula>
    </cfRule>
    <cfRule type="expression" dxfId="213" priority="1439">
      <formula>AND($Y21=TRUE,$E21&lt;&gt;100)</formula>
    </cfRule>
  </conditionalFormatting>
  <conditionalFormatting sqref="AG21">
    <cfRule type="expression" dxfId="212" priority="1434">
      <formula>AND($AA21=TRUE,$E21=100)</formula>
    </cfRule>
    <cfRule type="expression" dxfId="211" priority="1435">
      <formula>AND($AG21&gt;0,$E21=100)</formula>
    </cfRule>
    <cfRule type="expression" dxfId="210" priority="1440">
      <formula>AND($AA21=TRUE,$E21&lt;&gt;100)</formula>
    </cfRule>
    <cfRule type="expression" dxfId="209" priority="1441">
      <formula>AND($AG21&gt;0,$E21&lt;&gt;100)</formula>
    </cfRule>
  </conditionalFormatting>
  <conditionalFormatting sqref="AI21">
    <cfRule type="cellIs" dxfId="208" priority="1428" operator="equal">
      <formula>"Rework Complete"</formula>
    </cfRule>
    <cfRule type="cellIs" dxfId="207" priority="1429" operator="equal">
      <formula>"Client Query"</formula>
    </cfRule>
    <cfRule type="cellIs" dxfId="206" priority="1430" operator="equal">
      <formula>"Started"</formula>
    </cfRule>
    <cfRule type="cellIs" dxfId="205" priority="1431" operator="equal">
      <formula>"Ready for Review"</formula>
    </cfRule>
    <cfRule type="cellIs" dxfId="204" priority="1432" operator="equal">
      <formula>"Rework Required"</formula>
    </cfRule>
    <cfRule type="cellIs" dxfId="203" priority="1433" operator="equal">
      <formula>"Complete"</formula>
    </cfRule>
  </conditionalFormatting>
  <conditionalFormatting sqref="N21">
    <cfRule type="expression" dxfId="202" priority="1426">
      <formula>AND($N21&lt;&gt;"Add",$V21=1)</formula>
    </cfRule>
    <cfRule type="expression" dxfId="201" priority="1427">
      <formula>AND($N21&lt;&gt;"Add",$V21=-1)</formula>
    </cfRule>
  </conditionalFormatting>
  <conditionalFormatting sqref="M22">
    <cfRule type="expression" dxfId="200" priority="1380" stopIfTrue="1">
      <formula>AND($M22="–",$N22="Add")</formula>
    </cfRule>
    <cfRule type="expression" dxfId="199" priority="1381" stopIfTrue="1">
      <formula>AND($V22="-1",$N22="Add")</formula>
    </cfRule>
    <cfRule type="expression" dxfId="198" priority="1382" stopIfTrue="1">
      <formula>AND($V22="1",$N22="Add")</formula>
    </cfRule>
    <cfRule type="expression" dxfId="197" priority="1383">
      <formula>AND($M22&gt;=1,$N22="Add")</formula>
    </cfRule>
  </conditionalFormatting>
  <conditionalFormatting sqref="AE22">
    <cfRule type="cellIs" dxfId="196" priority="1379" operator="equal">
      <formula>"O"</formula>
    </cfRule>
  </conditionalFormatting>
  <conditionalFormatting sqref="AF22">
    <cfRule type="expression" dxfId="195" priority="1373">
      <formula>AND($Z22=TRUE,$E22=100)</formula>
    </cfRule>
    <cfRule type="expression" dxfId="194" priority="1374">
      <formula>AND($Y22=TRUE,$E22=100)</formula>
    </cfRule>
    <cfRule type="expression" dxfId="193" priority="1375">
      <formula>AND($Z22=TRUE,$E22&lt;&gt;100)</formula>
    </cfRule>
    <cfRule type="expression" dxfId="192" priority="1376">
      <formula>AND($Y22=TRUE,$E22&lt;&gt;100)</formula>
    </cfRule>
  </conditionalFormatting>
  <conditionalFormatting sqref="AG22">
    <cfRule type="expression" dxfId="191" priority="1371">
      <formula>AND($AA22=TRUE,$E22=100)</formula>
    </cfRule>
    <cfRule type="expression" dxfId="190" priority="1372">
      <formula>AND($AG22&gt;0,$E22=100)</formula>
    </cfRule>
    <cfRule type="expression" dxfId="189" priority="1377">
      <formula>AND($AA22=TRUE,$E22&lt;&gt;100)</formula>
    </cfRule>
    <cfRule type="expression" dxfId="188" priority="1378">
      <formula>AND($AG22&gt;0,$E22&lt;&gt;100)</formula>
    </cfRule>
  </conditionalFormatting>
  <conditionalFormatting sqref="AI22">
    <cfRule type="cellIs" dxfId="187" priority="1365" operator="equal">
      <formula>"Rework Complete"</formula>
    </cfRule>
    <cfRule type="cellIs" dxfId="186" priority="1366" operator="equal">
      <formula>"Client Query"</formula>
    </cfRule>
    <cfRule type="cellIs" dxfId="185" priority="1367" operator="equal">
      <formula>"Started"</formula>
    </cfRule>
    <cfRule type="cellIs" dxfId="184" priority="1368" operator="equal">
      <formula>"Ready for Review"</formula>
    </cfRule>
    <cfRule type="cellIs" dxfId="183" priority="1369" operator="equal">
      <formula>"Rework Required"</formula>
    </cfRule>
    <cfRule type="cellIs" dxfId="182" priority="1370" operator="equal">
      <formula>"Complete"</formula>
    </cfRule>
  </conditionalFormatting>
  <conditionalFormatting sqref="N22">
    <cfRule type="expression" dxfId="181" priority="1363">
      <formula>AND($N22&lt;&gt;"Add",$V22=1)</formula>
    </cfRule>
    <cfRule type="expression" dxfId="180" priority="1364">
      <formula>AND($N22&lt;&gt;"Add",$V22=-1)</formula>
    </cfRule>
  </conditionalFormatting>
  <conditionalFormatting sqref="M23">
    <cfRule type="expression" dxfId="179" priority="684" stopIfTrue="1">
      <formula>AND($M23="–",$N23="Add")</formula>
    </cfRule>
    <cfRule type="expression" dxfId="178" priority="685" stopIfTrue="1">
      <formula>AND($V23="-1",$N23="Add")</formula>
    </cfRule>
    <cfRule type="expression" dxfId="177" priority="686" stopIfTrue="1">
      <formula>AND($V23="1",$N23="Add")</formula>
    </cfRule>
    <cfRule type="expression" dxfId="176" priority="687">
      <formula>AND($M23&gt;=1,$N23="Add")</formula>
    </cfRule>
  </conditionalFormatting>
  <conditionalFormatting sqref="AE23">
    <cfRule type="cellIs" dxfId="175" priority="683" operator="equal">
      <formula>"O"</formula>
    </cfRule>
  </conditionalFormatting>
  <conditionalFormatting sqref="AF23">
    <cfRule type="expression" dxfId="174" priority="677">
      <formula>AND($Z23=TRUE,$E23=100)</formula>
    </cfRule>
    <cfRule type="expression" dxfId="173" priority="678">
      <formula>AND($Y23=TRUE,$E23=100)</formula>
    </cfRule>
    <cfRule type="expression" dxfId="172" priority="679">
      <formula>AND($Z23=TRUE,$E23&lt;&gt;100)</formula>
    </cfRule>
    <cfRule type="expression" dxfId="171" priority="680">
      <formula>AND($Y23=TRUE,$E23&lt;&gt;100)</formula>
    </cfRule>
  </conditionalFormatting>
  <conditionalFormatting sqref="AG23">
    <cfRule type="expression" dxfId="170" priority="675">
      <formula>AND($AA23=TRUE,$E23=100)</formula>
    </cfRule>
    <cfRule type="expression" dxfId="169" priority="676">
      <formula>AND($AG23&gt;0,$E23=100)</formula>
    </cfRule>
    <cfRule type="expression" dxfId="168" priority="681">
      <formula>AND($AA23=TRUE,$E23&lt;&gt;100)</formula>
    </cfRule>
    <cfRule type="expression" dxfId="167" priority="682">
      <formula>AND($AG23&gt;0,$E23&lt;&gt;100)</formula>
    </cfRule>
  </conditionalFormatting>
  <conditionalFormatting sqref="AI23">
    <cfRule type="cellIs" dxfId="166" priority="669" operator="equal">
      <formula>"Rework Complete"</formula>
    </cfRule>
    <cfRule type="cellIs" dxfId="165" priority="670" operator="equal">
      <formula>"Client Query"</formula>
    </cfRule>
    <cfRule type="cellIs" dxfId="164" priority="671" operator="equal">
      <formula>"Started"</formula>
    </cfRule>
    <cfRule type="cellIs" dxfId="163" priority="672" operator="equal">
      <formula>"Ready for Review"</formula>
    </cfRule>
    <cfRule type="cellIs" dxfId="162" priority="673" operator="equal">
      <formula>"Rework Required"</formula>
    </cfRule>
    <cfRule type="cellIs" dxfId="161" priority="674" operator="equal">
      <formula>"Complete"</formula>
    </cfRule>
  </conditionalFormatting>
  <conditionalFormatting sqref="N23">
    <cfRule type="expression" dxfId="160" priority="667">
      <formula>AND($N23&lt;&gt;"Add",$V23=1)</formula>
    </cfRule>
    <cfRule type="expression" dxfId="159" priority="668">
      <formula>AND($N23&lt;&gt;"Add",$V23=-1)</formula>
    </cfRule>
  </conditionalFormatting>
  <conditionalFormatting sqref="N212">
    <cfRule type="expression" dxfId="158" priority="470">
      <formula>AND($N212&lt;&gt;"Add",$V212=1)</formula>
    </cfRule>
    <cfRule type="expression" dxfId="157" priority="471">
      <formula>AND($N212&lt;&gt;"Add",$V212=-1)</formula>
    </cfRule>
  </conditionalFormatting>
  <conditionalFormatting sqref="M212">
    <cfRule type="expression" dxfId="156" priority="489" stopIfTrue="1">
      <formula>AND($M212="–",$N212="Add")</formula>
    </cfRule>
    <cfRule type="expression" dxfId="155" priority="490" stopIfTrue="1">
      <formula>AND($V212="-1",$N212="Add")</formula>
    </cfRule>
    <cfRule type="expression" dxfId="154" priority="491" stopIfTrue="1">
      <formula>AND($V212="1",$N212="Add")</formula>
    </cfRule>
    <cfRule type="expression" dxfId="153" priority="492">
      <formula>AND($M212&gt;=1,$N212="Add")</formula>
    </cfRule>
  </conditionalFormatting>
  <conditionalFormatting sqref="AE212">
    <cfRule type="cellIs" dxfId="152" priority="488" operator="equal">
      <formula>"O"</formula>
    </cfRule>
  </conditionalFormatting>
  <conditionalFormatting sqref="AF212">
    <cfRule type="expression" dxfId="151" priority="482">
      <formula>AND($Z212=TRUE,$E212=100)</formula>
    </cfRule>
    <cfRule type="expression" dxfId="150" priority="483">
      <formula>AND($Y212=TRUE,$E212=100)</formula>
    </cfRule>
    <cfRule type="expression" dxfId="149" priority="484">
      <formula>AND($Z212=TRUE,$E212&lt;&gt;100)</formula>
    </cfRule>
    <cfRule type="expression" dxfId="148" priority="485">
      <formula>AND($Y212=TRUE,$E212&lt;&gt;100)</formula>
    </cfRule>
  </conditionalFormatting>
  <conditionalFormatting sqref="AG212">
    <cfRule type="expression" dxfId="147" priority="480">
      <formula>AND($AA212=TRUE,$E212=100)</formula>
    </cfRule>
    <cfRule type="expression" dxfId="146" priority="481">
      <formula>AND($AG212&gt;0,$E212=100)</formula>
    </cfRule>
    <cfRule type="expression" dxfId="145" priority="486">
      <formula>AND($AA212=TRUE,$E212&lt;&gt;100)</formula>
    </cfRule>
    <cfRule type="expression" dxfId="144" priority="487">
      <formula>AND($AG212&gt;0,$E212&lt;&gt;100)</formula>
    </cfRule>
  </conditionalFormatting>
  <conditionalFormatting sqref="AI212">
    <cfRule type="cellIs" dxfId="143" priority="474" operator="equal">
      <formula>"Rework Complete"</formula>
    </cfRule>
    <cfRule type="cellIs" dxfId="142" priority="475" operator="equal">
      <formula>"Client Query"</formula>
    </cfRule>
    <cfRule type="cellIs" dxfId="141" priority="476" operator="equal">
      <formula>"Started"</formula>
    </cfRule>
    <cfRule type="cellIs" dxfId="140" priority="477" operator="equal">
      <formula>"Ready for Review"</formula>
    </cfRule>
    <cfRule type="cellIs" dxfId="139" priority="478" operator="equal">
      <formula>"Rework Required"</formula>
    </cfRule>
    <cfRule type="cellIs" dxfId="138" priority="479" operator="equal">
      <formula>"Complete"</formula>
    </cfRule>
  </conditionalFormatting>
  <conditionalFormatting sqref="N211">
    <cfRule type="expression" dxfId="137" priority="424">
      <formula>AND($N211&lt;&gt;"Add",$V211=1)</formula>
    </cfRule>
    <cfRule type="expression" dxfId="136" priority="425">
      <formula>AND($N211&lt;&gt;"Add",$V211=-1)</formula>
    </cfRule>
  </conditionalFormatting>
  <conditionalFormatting sqref="N220">
    <cfRule type="expression" dxfId="135" priority="401">
      <formula>AND($N220&lt;&gt;"Add",$V220=1)</formula>
    </cfRule>
    <cfRule type="expression" dxfId="134" priority="402">
      <formula>AND($N220&lt;&gt;"Add",$V220=-1)</formula>
    </cfRule>
  </conditionalFormatting>
  <conditionalFormatting sqref="M211">
    <cfRule type="expression" dxfId="133" priority="443" stopIfTrue="1">
      <formula>AND($M211="–",$N211="Add")</formula>
    </cfRule>
    <cfRule type="expression" dxfId="132" priority="444" stopIfTrue="1">
      <formula>AND($V211="-1",$N211="Add")</formula>
    </cfRule>
    <cfRule type="expression" dxfId="131" priority="445" stopIfTrue="1">
      <formula>AND($V211="1",$N211="Add")</formula>
    </cfRule>
    <cfRule type="expression" dxfId="130" priority="446">
      <formula>AND($M211&gt;=1,$N211="Add")</formula>
    </cfRule>
  </conditionalFormatting>
  <conditionalFormatting sqref="AE211">
    <cfRule type="cellIs" dxfId="129" priority="442" operator="equal">
      <formula>"O"</formula>
    </cfRule>
  </conditionalFormatting>
  <conditionalFormatting sqref="AF211">
    <cfRule type="expression" dxfId="128" priority="436">
      <formula>AND($Z211=TRUE,$E211=100)</formula>
    </cfRule>
    <cfRule type="expression" dxfId="127" priority="437">
      <formula>AND($Y211=TRUE,$E211=100)</formula>
    </cfRule>
    <cfRule type="expression" dxfId="126" priority="438">
      <formula>AND($Z211=TRUE,$E211&lt;&gt;100)</formula>
    </cfRule>
    <cfRule type="expression" dxfId="125" priority="439">
      <formula>AND($Y211=TRUE,$E211&lt;&gt;100)</formula>
    </cfRule>
  </conditionalFormatting>
  <conditionalFormatting sqref="AG211">
    <cfRule type="expression" dxfId="124" priority="434">
      <formula>AND($AA211=TRUE,$E211=100)</formula>
    </cfRule>
    <cfRule type="expression" dxfId="123" priority="435">
      <formula>AND($AG211&gt;0,$E211=100)</formula>
    </cfRule>
    <cfRule type="expression" dxfId="122" priority="440">
      <formula>AND($AA211=TRUE,$E211&lt;&gt;100)</formula>
    </cfRule>
    <cfRule type="expression" dxfId="121" priority="441">
      <formula>AND($AG211&gt;0,$E211&lt;&gt;100)</formula>
    </cfRule>
  </conditionalFormatting>
  <conditionalFormatting sqref="AI211">
    <cfRule type="cellIs" dxfId="120" priority="428" operator="equal">
      <formula>"Rework Complete"</formula>
    </cfRule>
    <cfRule type="cellIs" dxfId="119" priority="429" operator="equal">
      <formula>"Client Query"</formula>
    </cfRule>
    <cfRule type="cellIs" dxfId="118" priority="430" operator="equal">
      <formula>"Started"</formula>
    </cfRule>
    <cfRule type="cellIs" dxfId="117" priority="431" operator="equal">
      <formula>"Ready for Review"</formula>
    </cfRule>
    <cfRule type="cellIs" dxfId="116" priority="432" operator="equal">
      <formula>"Rework Required"</formula>
    </cfRule>
    <cfRule type="cellIs" dxfId="115" priority="433" operator="equal">
      <formula>"Complete"</formula>
    </cfRule>
  </conditionalFormatting>
  <conditionalFormatting sqref="N219">
    <cfRule type="expression" dxfId="114" priority="378">
      <formula>AND($N219&lt;&gt;"Add",$V219=1)</formula>
    </cfRule>
    <cfRule type="expression" dxfId="113" priority="379">
      <formula>AND($N219&lt;&gt;"Add",$V219=-1)</formula>
    </cfRule>
  </conditionalFormatting>
  <conditionalFormatting sqref="M220">
    <cfRule type="expression" dxfId="112" priority="420" stopIfTrue="1">
      <formula>AND($M220="–",$N220="Add")</formula>
    </cfRule>
    <cfRule type="expression" dxfId="111" priority="421" stopIfTrue="1">
      <formula>AND($V220="-1",$N220="Add")</formula>
    </cfRule>
    <cfRule type="expression" dxfId="110" priority="422" stopIfTrue="1">
      <formula>AND($V220="1",$N220="Add")</formula>
    </cfRule>
    <cfRule type="expression" dxfId="109" priority="423">
      <formula>AND($M220&gt;=1,$N220="Add")</formula>
    </cfRule>
  </conditionalFormatting>
  <conditionalFormatting sqref="AE220">
    <cfRule type="cellIs" dxfId="108" priority="419" operator="equal">
      <formula>"O"</formula>
    </cfRule>
  </conditionalFormatting>
  <conditionalFormatting sqref="AF220">
    <cfRule type="expression" dxfId="107" priority="413">
      <formula>AND($Z220=TRUE,$E220=100)</formula>
    </cfRule>
    <cfRule type="expression" dxfId="106" priority="414">
      <formula>AND($Y220=TRUE,$E220=100)</formula>
    </cfRule>
    <cfRule type="expression" dxfId="105" priority="415">
      <formula>AND($Z220=TRUE,$E220&lt;&gt;100)</formula>
    </cfRule>
    <cfRule type="expression" dxfId="104" priority="416">
      <formula>AND($Y220=TRUE,$E220&lt;&gt;100)</formula>
    </cfRule>
  </conditionalFormatting>
  <conditionalFormatting sqref="AG220">
    <cfRule type="expression" dxfId="103" priority="411">
      <formula>AND($AA220=TRUE,$E220=100)</formula>
    </cfRule>
    <cfRule type="expression" dxfId="102" priority="412">
      <formula>AND($AG220&gt;0,$E220=100)</formula>
    </cfRule>
    <cfRule type="expression" dxfId="101" priority="417">
      <formula>AND($AA220=TRUE,$E220&lt;&gt;100)</formula>
    </cfRule>
    <cfRule type="expression" dxfId="100" priority="418">
      <formula>AND($AG220&gt;0,$E220&lt;&gt;100)</formula>
    </cfRule>
  </conditionalFormatting>
  <conditionalFormatting sqref="AI220">
    <cfRule type="cellIs" dxfId="99" priority="405" operator="equal">
      <formula>"Rework Complete"</formula>
    </cfRule>
    <cfRule type="cellIs" dxfId="98" priority="406" operator="equal">
      <formula>"Client Query"</formula>
    </cfRule>
    <cfRule type="cellIs" dxfId="97" priority="407" operator="equal">
      <formula>"Started"</formula>
    </cfRule>
    <cfRule type="cellIs" dxfId="96" priority="408" operator="equal">
      <formula>"Ready for Review"</formula>
    </cfRule>
    <cfRule type="cellIs" dxfId="95" priority="409" operator="equal">
      <formula>"Rework Required"</formula>
    </cfRule>
    <cfRule type="cellIs" dxfId="94" priority="410" operator="equal">
      <formula>"Complete"</formula>
    </cfRule>
  </conditionalFormatting>
  <conditionalFormatting sqref="M219">
    <cfRule type="expression" dxfId="93" priority="397" stopIfTrue="1">
      <formula>AND($M219="–",$N219="Add")</formula>
    </cfRule>
    <cfRule type="expression" dxfId="92" priority="398" stopIfTrue="1">
      <formula>AND($V219="-1",$N219="Add")</formula>
    </cfRule>
    <cfRule type="expression" dxfId="91" priority="399" stopIfTrue="1">
      <formula>AND($V219="1",$N219="Add")</formula>
    </cfRule>
    <cfRule type="expression" dxfId="90" priority="400">
      <formula>AND($M219&gt;=1,$N219="Add")</formula>
    </cfRule>
  </conditionalFormatting>
  <conditionalFormatting sqref="AE219">
    <cfRule type="cellIs" dxfId="89" priority="396" operator="equal">
      <formula>"O"</formula>
    </cfRule>
  </conditionalFormatting>
  <conditionalFormatting sqref="AF219">
    <cfRule type="expression" dxfId="88" priority="390">
      <formula>AND($Z219=TRUE,$E219=100)</formula>
    </cfRule>
    <cfRule type="expression" dxfId="87" priority="391">
      <formula>AND($Y219=TRUE,$E219=100)</formula>
    </cfRule>
    <cfRule type="expression" dxfId="86" priority="392">
      <formula>AND($Z219=TRUE,$E219&lt;&gt;100)</formula>
    </cfRule>
    <cfRule type="expression" dxfId="85" priority="393">
      <formula>AND($Y219=TRUE,$E219&lt;&gt;100)</formula>
    </cfRule>
  </conditionalFormatting>
  <conditionalFormatting sqref="AG219">
    <cfRule type="expression" dxfId="84" priority="388">
      <formula>AND($AA219=TRUE,$E219=100)</formula>
    </cfRule>
    <cfRule type="expression" dxfId="83" priority="389">
      <formula>AND($AG219&gt;0,$E219=100)</formula>
    </cfRule>
    <cfRule type="expression" dxfId="82" priority="394">
      <formula>AND($AA219=TRUE,$E219&lt;&gt;100)</formula>
    </cfRule>
    <cfRule type="expression" dxfId="81" priority="395">
      <formula>AND($AG219&gt;0,$E219&lt;&gt;100)</formula>
    </cfRule>
  </conditionalFormatting>
  <conditionalFormatting sqref="AI219">
    <cfRule type="cellIs" dxfId="80" priority="382" operator="equal">
      <formula>"Rework Complete"</formula>
    </cfRule>
    <cfRule type="cellIs" dxfId="79" priority="383" operator="equal">
      <formula>"Client Query"</formula>
    </cfRule>
    <cfRule type="cellIs" dxfId="78" priority="384" operator="equal">
      <formula>"Started"</formula>
    </cfRule>
    <cfRule type="cellIs" dxfId="77" priority="385" operator="equal">
      <formula>"Ready for Review"</formula>
    </cfRule>
    <cfRule type="cellIs" dxfId="76" priority="386" operator="equal">
      <formula>"Rework Required"</formula>
    </cfRule>
    <cfRule type="cellIs" dxfId="75" priority="387" operator="equal">
      <formula>"Complete"</formula>
    </cfRule>
  </conditionalFormatting>
  <conditionalFormatting sqref="N29:N201">
    <cfRule type="expression" dxfId="74" priority="19">
      <formula>ISBLANK($N29)</formula>
    </cfRule>
  </conditionalFormatting>
  <conditionalFormatting sqref="N29:N201">
    <cfRule type="expression" dxfId="73" priority="17">
      <formula>AND($N29&lt;&gt;"Add",$V29=1)</formula>
    </cfRule>
    <cfRule type="expression" dxfId="72" priority="18">
      <formula>AND($N29&lt;&gt;"Add",$V29=-1)</formula>
    </cfRule>
  </conditionalFormatting>
  <conditionalFormatting sqref="M29:M201">
    <cfRule type="expression" dxfId="71" priority="20" stopIfTrue="1">
      <formula>AND($M29="–",$N29="Add")</formula>
    </cfRule>
    <cfRule type="expression" dxfId="70" priority="21" stopIfTrue="1">
      <formula>AND($V29="-1",$N29="Add")</formula>
    </cfRule>
    <cfRule type="expression" dxfId="69" priority="22" stopIfTrue="1">
      <formula>AND($V29="1",$N29="Add")</formula>
    </cfRule>
    <cfRule type="expression" dxfId="68" priority="23">
      <formula>AND($M29&gt;=1,$N29="Add")</formula>
    </cfRule>
  </conditionalFormatting>
  <conditionalFormatting sqref="AD29:AE201">
    <cfRule type="expression" dxfId="67" priority="16">
      <formula>ISBLANK($N29)</formula>
    </cfRule>
  </conditionalFormatting>
  <conditionalFormatting sqref="AE29:AE201">
    <cfRule type="cellIs" dxfId="66" priority="15" operator="equal">
      <formula>"O"</formula>
    </cfRule>
  </conditionalFormatting>
  <conditionalFormatting sqref="AF29:AF201">
    <cfRule type="expression" dxfId="65" priority="9">
      <formula>AND($Z29=TRUE,$E29=100)</formula>
    </cfRule>
    <cfRule type="expression" dxfId="64" priority="10">
      <formula>AND($Y29=TRUE,$E29=100)</formula>
    </cfRule>
    <cfRule type="expression" dxfId="63" priority="11">
      <formula>AND($Z29=TRUE,$E29&lt;&gt;100)</formula>
    </cfRule>
    <cfRule type="expression" dxfId="62" priority="12">
      <formula>AND($Y29=TRUE,$E29&lt;&gt;100)</formula>
    </cfRule>
  </conditionalFormatting>
  <conditionalFormatting sqref="AG29:AG201">
    <cfRule type="expression" dxfId="61" priority="7">
      <formula>AND($AA29=TRUE,$E29=100)</formula>
    </cfRule>
    <cfRule type="expression" dxfId="60" priority="8">
      <formula>AND($AG29&gt;0,$E29=100)</formula>
    </cfRule>
    <cfRule type="expression" dxfId="59" priority="13">
      <formula>AND($AA29=TRUE,$E29&lt;&gt;100)</formula>
    </cfRule>
    <cfRule type="expression" dxfId="58" priority="14">
      <formula>AND($AG29&gt;0,$E29&lt;&gt;100)</formula>
    </cfRule>
  </conditionalFormatting>
  <conditionalFormatting sqref="AI29:AI201">
    <cfRule type="cellIs" dxfId="57" priority="1" operator="equal">
      <formula>"Rework Complete"</formula>
    </cfRule>
    <cfRule type="cellIs" dxfId="56" priority="2" operator="equal">
      <formula>"Client Query"</formula>
    </cfRule>
    <cfRule type="cellIs" dxfId="55" priority="3" operator="equal">
      <formula>"Started"</formula>
    </cfRule>
    <cfRule type="cellIs" dxfId="54" priority="4" operator="equal">
      <formula>"Ready for Review"</formula>
    </cfRule>
    <cfRule type="cellIs" dxfId="53" priority="5" operator="equal">
      <formula>"Rework Required"</formula>
    </cfRule>
    <cfRule type="cellIs" dxfId="52" priority="6" operator="equal">
      <formula>"Complete"</formula>
    </cfRule>
  </conditionalFormatting>
  <dataValidations count="1">
    <dataValidation type="list" errorStyle="information" allowBlank="1" sqref="AI1:AI4 AI7:AI8 AI236:AI1048576 AH234:AH235 AI10:AI27 AH28 AI29:AI233" xr:uid="{00000000-0002-0000-0A00-000000000000}">
      <formula1>StatusDescriptions</formula1>
    </dataValidation>
  </dataValidations>
  <hyperlinks>
    <hyperlink ref="I24" location="Go_AddWorkpaper" tooltip="Add Workpaper" display="add workpaper" xr:uid="{00000000-0004-0000-0A00-000000000000}"/>
    <hyperlink ref="AE6" location="Go_OpeningBalance" display="Import Opening Balances" xr:uid="{00000000-0004-0000-0A00-000001000000}"/>
    <hyperlink ref="M28" location="Go_ExpandAll" tooltip="Expand All Workpapers" display="+" xr:uid="{00000000-0004-0000-0A00-000002000000}"/>
    <hyperlink ref="N28" location="Go_CollapseAll" tooltip="Collapse All Workpapers" display="-" xr:uid="{00000000-0004-0000-0A00-000003000000}"/>
    <hyperlink ref="AG3" location="Index!Go_ManageItems" tooltip="Manage Items" display="Index!Go_ManageItems" xr:uid="{00000000-0004-0000-0A00-000004000000}"/>
    <hyperlink ref="AG2" location="Index!Go_ManageItems" tooltip="Manage Items" display="Index!Go_ManageItems" xr:uid="{00000000-0004-0000-0A00-000005000000}"/>
    <hyperlink ref="AE4" location="Go_Toggle_O_P" tooltip="Flag/Unflag Item" display="P" xr:uid="{00000000-0004-0000-0A00-000006000000}"/>
    <hyperlink ref="AE3" location="Go_Toggle_O_P" tooltip="Flag/Unflag Item" display="P" xr:uid="{00000000-0004-0000-0A00-000007000000}"/>
    <hyperlink ref="AE2" location="Go_Toggle_O_P" tooltip="Flag/Unflag Item" display="P" xr:uid="{00000000-0004-0000-0A00-000008000000}"/>
    <hyperlink ref="AF3" location="Go_Chat" tooltip="View chat messages" display="Go_Chat" xr:uid="{00000000-0004-0000-0A00-000009000000}"/>
    <hyperlink ref="AF2" location="Go_Chat" tooltip="View chat messages" display="Go_Chat" xr:uid="{00000000-0004-0000-0A00-00000A000000}"/>
    <hyperlink ref="N4" location="Go_AddWorkpaper" tooltip="Add Workpaper" display="u" xr:uid="{00000000-0004-0000-0A00-00000B000000}"/>
    <hyperlink ref="M4" location="Go_ExpandCollapse" tooltip="Show/Hide Workpapers" display="Go_ExpandCollapse" xr:uid="{00000000-0004-0000-0A00-00000C000000}"/>
    <hyperlink ref="AL2" location="Go_TickBox" tooltip="Tick/Untick" display="P" xr:uid="{00000000-0004-0000-0A00-00000D000000}"/>
    <hyperlink ref="AM2" location="Go_DeleteWorkpaper" tooltip="Delete Workpaper" display="Q" xr:uid="{00000000-0004-0000-0A00-00000E000000}"/>
    <hyperlink ref="AL3" location="Go_TickBox" tooltip="Tick/Untick" display="P" xr:uid="{00000000-0004-0000-0A00-00000F000000}"/>
    <hyperlink ref="AM3" location="Go_DeleteWorkpaper" tooltip="Delete Workpaper" display="Q" xr:uid="{00000000-0004-0000-0A00-000010000000}"/>
    <hyperlink ref="AM5:AN5" location="Go_Help" tooltip="Help" display="s" xr:uid="{00000000-0004-0000-0A00-000011000000}"/>
    <hyperlink ref="AK5:AL5" location="Go_RefreshTrialBalance" tooltip="Refresh" display="Refresh" xr:uid="{00000000-0004-0000-0A00-000012000000}"/>
    <hyperlink ref="AI5:AJ5" location="Go_OpeningBalance" tooltip="Import Opening Balances" display="Opening Balances" xr:uid="{00000000-0004-0000-0A00-000013000000}"/>
    <hyperlink ref="N2" location="Go_FollowHyperlink" tooltip="Go to workpaper" display="A15" xr:uid="{00000000-0004-0000-0A00-000014000000}"/>
    <hyperlink ref="N3" location="Go_FollowHyperlink" tooltip="Go to workpaper" display="A15" xr:uid="{00000000-0004-0000-0A00-000015000000}"/>
    <hyperlink ref="AG13" location="Index!Go_ManageItems" tooltip="Manage Items" display="Index!Go_ManageItems" xr:uid="{00000000-0004-0000-0A00-000016000000}"/>
    <hyperlink ref="AE13" location="Go_Toggle_O_P" tooltip="Flag/Unflag Item" display="P" xr:uid="{00000000-0004-0000-0A00-000017000000}"/>
    <hyperlink ref="AF13" location="Go_Chat" tooltip="View chat messages" display="Go_Chat" xr:uid="{00000000-0004-0000-0A00-000018000000}"/>
    <hyperlink ref="AL13" location="Go_TickBox" tooltip="Tick/Untick" display="P" xr:uid="{00000000-0004-0000-0A00-000019000000}"/>
    <hyperlink ref="AM13" location="Go_DeleteWorkpaper" tooltip="Delete Workpaper" display="Q" xr:uid="{00000000-0004-0000-0A00-00001A000000}"/>
    <hyperlink ref="N13" location="Go_FollowHyperlink" tooltip="Go to workpaper" display="A15" xr:uid="{00000000-0004-0000-0A00-00001B000000}"/>
    <hyperlink ref="AG14" location="Index!Go_ManageItems" tooltip="Manage Items" display="Index!Go_ManageItems" xr:uid="{00000000-0004-0000-0A00-00001C000000}"/>
    <hyperlink ref="AE14" location="Go_Toggle_O_P" tooltip="Flag/Unflag Item" display="P" xr:uid="{00000000-0004-0000-0A00-00001D000000}"/>
    <hyperlink ref="AF14" location="Go_Chat" tooltip="View chat messages" display="Go_Chat" xr:uid="{00000000-0004-0000-0A00-00001E000000}"/>
    <hyperlink ref="AL14" location="Go_TickBox" tooltip="Tick/Untick" display="P" xr:uid="{00000000-0004-0000-0A00-00001F000000}"/>
    <hyperlink ref="AM14" location="Go_DeleteWorkpaper" tooltip="Delete Workpaper" display="Q" xr:uid="{00000000-0004-0000-0A00-000020000000}"/>
    <hyperlink ref="N14" location="Go_FollowHyperlink" tooltip="Go to workpaper" display="A15" xr:uid="{00000000-0004-0000-0A00-000021000000}"/>
    <hyperlink ref="AG15" location="Index!Go_ManageItems" tooltip="Manage Items" display="Index!Go_ManageItems" xr:uid="{00000000-0004-0000-0A00-000022000000}"/>
    <hyperlink ref="AE15" location="Go_Toggle_O_P" tooltip="Flag/Unflag Item" display="P" xr:uid="{00000000-0004-0000-0A00-000023000000}"/>
    <hyperlink ref="AF15" location="Go_Chat" tooltip="View chat messages" display="Go_Chat" xr:uid="{00000000-0004-0000-0A00-000024000000}"/>
    <hyperlink ref="AL15" location="Go_TickBox" tooltip="Tick/Untick" display="P" xr:uid="{00000000-0004-0000-0A00-000025000000}"/>
    <hyperlink ref="AM15" location="Go_DeleteWorkpaper" tooltip="Delete Workpaper" display="Q" xr:uid="{00000000-0004-0000-0A00-000026000000}"/>
    <hyperlink ref="N15" location="Go_FollowHyperlink" tooltip="Go to workpaper" display="A15" xr:uid="{00000000-0004-0000-0A00-000027000000}"/>
    <hyperlink ref="AG16" location="Index!Go_ManageItems" tooltip="Manage Items" display="Index!Go_ManageItems" xr:uid="{00000000-0004-0000-0A00-000028000000}"/>
    <hyperlink ref="AE16" location="Go_Toggle_O_P" tooltip="Flag/Unflag Item" display="P" xr:uid="{00000000-0004-0000-0A00-000029000000}"/>
    <hyperlink ref="AF16" location="Go_Chat" tooltip="View chat messages" display="Go_Chat" xr:uid="{00000000-0004-0000-0A00-00002A000000}"/>
    <hyperlink ref="AL16" location="Go_TickBox" tooltip="Tick/Untick" display="P" xr:uid="{00000000-0004-0000-0A00-00002B000000}"/>
    <hyperlink ref="AM16" location="Go_DeleteWorkpaper" tooltip="Delete Workpaper" display="Q" xr:uid="{00000000-0004-0000-0A00-00002C000000}"/>
    <hyperlink ref="N16" location="Go_FollowHyperlink" tooltip="Go to workpaper" display="A15" xr:uid="{00000000-0004-0000-0A00-00002D000000}"/>
    <hyperlink ref="AG17" location="Index!Go_ManageItems" tooltip="Manage Items" display="Index!Go_ManageItems" xr:uid="{00000000-0004-0000-0A00-000034000000}"/>
    <hyperlink ref="AE17" location="Go_Toggle_O_P" tooltip="Flag/Unflag Item" display="P" xr:uid="{00000000-0004-0000-0A00-000035000000}"/>
    <hyperlink ref="AF17" location="Go_Chat" tooltip="View chat messages" display="Go_Chat" xr:uid="{00000000-0004-0000-0A00-000036000000}"/>
    <hyperlink ref="AL17" location="Go_TickBox" tooltip="Tick/Untick" display="P" xr:uid="{00000000-0004-0000-0A00-000037000000}"/>
    <hyperlink ref="AM17" location="Go_DeleteWorkpaper" tooltip="Delete Workpaper" display="Q" xr:uid="{00000000-0004-0000-0A00-000038000000}"/>
    <hyperlink ref="N17" location="Go_FollowHyperlink" tooltip="Go to workpaper" display="A15" xr:uid="{00000000-0004-0000-0A00-000039000000}"/>
    <hyperlink ref="AG18" location="Index!Go_ManageItems" tooltip="Manage Items" display="Index!Go_ManageItems" xr:uid="{00000000-0004-0000-0A00-000040000000}"/>
    <hyperlink ref="AE18" location="Go_Toggle_O_P" tooltip="Flag/Unflag Item" display="P" xr:uid="{00000000-0004-0000-0A00-000041000000}"/>
    <hyperlink ref="AF18" location="Go_Chat" tooltip="View chat messages" display="Go_Chat" xr:uid="{00000000-0004-0000-0A00-000042000000}"/>
    <hyperlink ref="AL18" location="Go_TickBox" tooltip="Tick/Untick" display="P" xr:uid="{00000000-0004-0000-0A00-000043000000}"/>
    <hyperlink ref="AM18" location="Go_DeleteWorkpaper" tooltip="Delete Workpaper" display="Q" xr:uid="{00000000-0004-0000-0A00-000044000000}"/>
    <hyperlink ref="N18" location="Go_FollowHyperlink" tooltip="Go to workpaper" display="A15" xr:uid="{00000000-0004-0000-0A00-000045000000}"/>
    <hyperlink ref="AG19" location="Index!Go_ManageItems" tooltip="Manage Items" display="Index!Go_ManageItems" xr:uid="{00000000-0004-0000-0A00-000046000000}"/>
    <hyperlink ref="AE19" location="Go_Toggle_O_P" tooltip="Flag/Unflag Item" display="P" xr:uid="{00000000-0004-0000-0A00-000047000000}"/>
    <hyperlink ref="AF19" location="Go_Chat" tooltip="View chat messages" display="Go_Chat" xr:uid="{00000000-0004-0000-0A00-000048000000}"/>
    <hyperlink ref="AL19" location="Go_TickBox" tooltip="Tick/Untick" display="P" xr:uid="{00000000-0004-0000-0A00-000049000000}"/>
    <hyperlink ref="AM19" location="Go_DeleteWorkpaper" tooltip="Delete Workpaper" display="Q" xr:uid="{00000000-0004-0000-0A00-00004A000000}"/>
    <hyperlink ref="N19" location="Go_FollowHyperlink" tooltip="Go to workpaper" display="A15" xr:uid="{00000000-0004-0000-0A00-00004B000000}"/>
    <hyperlink ref="AG20" location="Index!Go_ManageItems" tooltip="Manage Items" display="Index!Go_ManageItems" xr:uid="{00000000-0004-0000-0A00-00004C000000}"/>
    <hyperlink ref="AE20" location="Go_Toggle_O_P" tooltip="Flag/Unflag Item" display="P" xr:uid="{00000000-0004-0000-0A00-00004D000000}"/>
    <hyperlink ref="AF20" location="Go_Chat" tooltip="View chat messages" display="Go_Chat" xr:uid="{00000000-0004-0000-0A00-00004E000000}"/>
    <hyperlink ref="AL20" location="Go_TickBox" tooltip="Tick/Untick" display="P" xr:uid="{00000000-0004-0000-0A00-00004F000000}"/>
    <hyperlink ref="AM20" location="Go_DeleteWorkpaper" tooltip="Delete Workpaper" display="Q" xr:uid="{00000000-0004-0000-0A00-000050000000}"/>
    <hyperlink ref="N20" location="Go_FollowHyperlink" tooltip="Go to workpaper" display="A15" xr:uid="{00000000-0004-0000-0A00-000051000000}"/>
    <hyperlink ref="AG21" location="Index!Go_ManageItems" tooltip="Manage Items" display="Index!Go_ManageItems" xr:uid="{00000000-0004-0000-0A00-000058000000}"/>
    <hyperlink ref="AE21" location="Go_Toggle_O_P" tooltip="Flag/Unflag Item" display="P" xr:uid="{00000000-0004-0000-0A00-000059000000}"/>
    <hyperlink ref="AF21" location="Go_Chat" tooltip="View chat messages" display="Go_Chat" xr:uid="{00000000-0004-0000-0A00-00005A000000}"/>
    <hyperlink ref="AL21" location="Go_TickBox" tooltip="Tick/Untick" display="P" xr:uid="{00000000-0004-0000-0A00-00005B000000}"/>
    <hyperlink ref="AM21" location="Go_DeleteWorkpaper" tooltip="Delete Workpaper" display="Q" xr:uid="{00000000-0004-0000-0A00-00005C000000}"/>
    <hyperlink ref="N21" location="Go_FollowHyperlink" tooltip="Go to workpaper" display="A15" xr:uid="{00000000-0004-0000-0A00-00005D000000}"/>
    <hyperlink ref="AG22" location="Index!Go_ManageItems" tooltip="Manage Items" display="Index!Go_ManageItems" xr:uid="{00000000-0004-0000-0A00-00006A000000}"/>
    <hyperlink ref="AE22" location="Go_Toggle_O_P" tooltip="Flag/Unflag Item" display="P" xr:uid="{00000000-0004-0000-0A00-00006B000000}"/>
    <hyperlink ref="AF22" location="Go_Chat" tooltip="View chat messages" display="Go_Chat" xr:uid="{00000000-0004-0000-0A00-00006C000000}"/>
    <hyperlink ref="AL22" location="Go_TickBox" tooltip="Tick/Untick" display="P" xr:uid="{00000000-0004-0000-0A00-00006D000000}"/>
    <hyperlink ref="AM22" location="Go_DeleteWorkpaper" tooltip="Delete Workpaper" display="Q" xr:uid="{00000000-0004-0000-0A00-00006E000000}"/>
    <hyperlink ref="N22" location="Go_FollowHyperlink" tooltip="Go to workpaper" display="A15" xr:uid="{00000000-0004-0000-0A00-00006F000000}"/>
    <hyperlink ref="AG63" location="Index!Go_ManageItems" tooltip="Manage Items" display="Index!Go_ManageItems" xr:uid="{9ACC5AEC-801B-471E-AE5F-16E3781A9128}"/>
    <hyperlink ref="AE63" location="Go_Toggle_O_P" tooltip="Flag/Unflag Item" display="P" xr:uid="{5496A8F3-8058-4A80-A94C-31D06BDFFF84}"/>
    <hyperlink ref="AF63" location="Go_Chat" tooltip="View chat messages" display="Go_Chat" xr:uid="{FE270B53-5215-4723-A69E-BB71D1696628}"/>
    <hyperlink ref="AL63" location="Go_TickBox" tooltip="Tick/Untick" display="P" xr:uid="{BC629A64-59E2-4DF9-B01E-41BC2B2489A9}"/>
    <hyperlink ref="AM63" location="Go_DeleteWorkpaper" tooltip="Delete Workpaper" display="Q" xr:uid="{6D7C1A46-D0D3-4A36-A515-B41E2C0E2D37}"/>
    <hyperlink ref="N63" location="Go_FollowHyperlink" tooltip="Go to workpaper" display="A15" xr:uid="{C976EF13-A122-453F-A2E8-D4B23AEA1D8D}"/>
    <hyperlink ref="AG65" location="Index!Go_ManageItems" tooltip="Manage Items" display="Index!Go_ManageItems" xr:uid="{486DB7C3-5D03-4313-9D2C-7F2AF2E44C4D}"/>
    <hyperlink ref="AE65" location="Go_Toggle_O_P" tooltip="Flag/Unflag Item" display="P" xr:uid="{29E09DC6-0E1C-43DB-BBDD-FE310AB7392F}"/>
    <hyperlink ref="AF65" location="Go_Chat" tooltip="View chat messages" display="Go_Chat" xr:uid="{CC864DBA-E768-44B9-8531-6BEA85EDBD8F}"/>
    <hyperlink ref="AL65" location="Go_TickBox" tooltip="Tick/Untick" display="P" xr:uid="{245833AE-F8E3-470A-933C-C91FD118A12C}"/>
    <hyperlink ref="AM65" location="Go_DeleteWorkpaper" tooltip="Delete Workpaper" display="Q" xr:uid="{1EB0E08B-FDA1-4A62-88C6-CDC0A9E0EC61}"/>
    <hyperlink ref="N65" location="Go_FollowHyperlink" tooltip="Go to workpaper" display="A15" xr:uid="{F50CBAB2-ED68-43AC-9C44-C2452BE60DAC}"/>
    <hyperlink ref="AG90" location="Index!Go_ManageItems" tooltip="Manage Items" display="Index!Go_ManageItems" xr:uid="{E7C502A8-D162-4D2B-B731-CD25AAFE9656}"/>
    <hyperlink ref="AE90" location="Go_Toggle_O_P" tooltip="Flag/Unflag Item" display="P" xr:uid="{B3BE60E9-DAC6-414E-BF81-394103254E9D}"/>
    <hyperlink ref="AF90" location="Go_Chat" tooltip="View chat messages" display="Go_Chat" xr:uid="{6FD07E8B-7441-44A6-83D1-0D3B23C8C928}"/>
    <hyperlink ref="AL90" location="Go_TickBox" tooltip="Tick/Untick" display="P" xr:uid="{D73A43E4-63B2-4E9F-A37B-810D7A56A5BF}"/>
    <hyperlink ref="AM90" location="Go_DeleteWorkpaper" tooltip="Delete Workpaper" display="Q" xr:uid="{6AF57EF4-AECF-4A27-BFF8-341C57CAD94D}"/>
    <hyperlink ref="N90" location="Go_FollowHyperlink" tooltip="Go to workpaper" display="A15" xr:uid="{279BB798-906C-4C63-8251-04EDB50845BD}"/>
    <hyperlink ref="AG92" location="Index!Go_ManageItems" tooltip="Manage Items" display="Index!Go_ManageItems" xr:uid="{6C2F1E88-3E02-41B8-A778-F92FE5AD6127}"/>
    <hyperlink ref="AE92" location="Go_Toggle_O_P" tooltip="Flag/Unflag Item" display="P" xr:uid="{11890477-3B19-4A43-8D86-27AD3D4D1A48}"/>
    <hyperlink ref="AF92" location="Go_Chat" tooltip="View chat messages" display="Go_Chat" xr:uid="{60922F33-F280-4AC2-BCB2-26A79424D4DE}"/>
    <hyperlink ref="AL92" location="Go_TickBox" tooltip="Tick/Untick" display="P" xr:uid="{5831CBD9-DF00-4351-81A8-AF8848D54B1E}"/>
    <hyperlink ref="AM92" location="Go_DeleteWorkpaper" tooltip="Delete Workpaper" display="Q" xr:uid="{19D1B36E-F280-468C-9F1C-F6E4C0AE8FE0}"/>
    <hyperlink ref="N92" location="Go_FollowHyperlink" tooltip="Go to workpaper" display="A15" xr:uid="{7EF9790F-5466-45F2-96FE-01255216105B}"/>
    <hyperlink ref="AG112" location="Index!Go_ManageItems" tooltip="Manage Items" display="Index!Go_ManageItems" xr:uid="{307EFD86-C021-4A1F-B37B-8C53FF8BB3A1}"/>
    <hyperlink ref="AE112" location="Go_Toggle_O_P" tooltip="Flag/Unflag Item" display="P" xr:uid="{57F47ED3-37D4-4530-90CA-92616E3AB8C7}"/>
    <hyperlink ref="AF112" location="Go_Chat" tooltip="View chat messages" display="Go_Chat" xr:uid="{8ADF43D1-0FFF-4F96-B1EF-DF6ABBD5278E}"/>
    <hyperlink ref="AL112" location="Go_TickBox" tooltip="Tick/Untick" display="P" xr:uid="{0EBEDA24-21BF-4134-972C-47E91FA4A8DA}"/>
    <hyperlink ref="AM112" location="Go_DeleteWorkpaper" tooltip="Delete Workpaper" display="Q" xr:uid="{E7F91B9D-5DC6-4596-B719-1ABE8C41BBE7}"/>
    <hyperlink ref="N112" location="Go_FollowHyperlink" tooltip="Go to workpaper" display="A15" xr:uid="{8F175FD1-ADD4-4858-9F4C-A163637BCD41}"/>
    <hyperlink ref="AG114" location="Index!Go_ManageItems" tooltip="Manage Items" display="Index!Go_ManageItems" xr:uid="{2068B884-F411-41B3-9011-58EBA5EE9C80}"/>
    <hyperlink ref="AE114" location="Go_Toggle_O_P" tooltip="Flag/Unflag Item" display="P" xr:uid="{074E17C3-08A3-4EBB-A9A2-D89B533D6D93}"/>
    <hyperlink ref="AF114" location="Go_Chat" tooltip="View chat messages" display="Go_Chat" xr:uid="{693B8D30-0E2B-4590-9684-DB3E70190BBB}"/>
    <hyperlink ref="AL114" location="Go_TickBox" tooltip="Tick/Untick" display="P" xr:uid="{4B8597A6-5F01-4FC3-B90D-C023112F9CCC}"/>
    <hyperlink ref="AM114" location="Go_DeleteWorkpaper" tooltip="Delete Workpaper" display="Q" xr:uid="{564405A9-03E6-44FB-B670-231A32FF4E7B}"/>
    <hyperlink ref="N114" location="Go_FollowHyperlink" tooltip="Go to workpaper" display="A15" xr:uid="{4A618CB5-F01F-4CAB-9254-8CADB2AFE6EF}"/>
    <hyperlink ref="AG120" location="Index!Go_ManageItems" tooltip="Manage Items" display="Index!Go_ManageItems" xr:uid="{1A032E07-5EBB-4491-A1FB-7F9181D50CD5}"/>
    <hyperlink ref="AE120" location="Go_Toggle_O_P" tooltip="Flag/Unflag Item" display="P" xr:uid="{07B05AB3-64E7-4A06-8496-06EFDC7AFDBC}"/>
    <hyperlink ref="AF120" location="Go_Chat" tooltip="View chat messages" display="Go_Chat" xr:uid="{CFE10146-EE2A-438F-AB90-DD102D688BF4}"/>
    <hyperlink ref="AL120" location="Go_TickBox" tooltip="Tick/Untick" display="P" xr:uid="{E1054699-5E04-4793-A8A0-300302BD194E}"/>
    <hyperlink ref="AM120" location="Go_DeleteWorkpaper" tooltip="Delete Workpaper" display="Q" xr:uid="{6CAA4F60-F924-44E0-87B5-F7D3DA1DECE9}"/>
    <hyperlink ref="N120" location="Go_FollowHyperlink" tooltip="Go to workpaper" display="A15" xr:uid="{58F325FE-A337-493B-980A-2C565F9E8396}"/>
    <hyperlink ref="AG122" location="Index!Go_ManageItems" tooltip="Manage Items" display="Index!Go_ManageItems" xr:uid="{7CF2B29A-C59C-473A-838F-14D8F2C7F719}"/>
    <hyperlink ref="AE122" location="Go_Toggle_O_P" tooltip="Flag/Unflag Item" display="P" xr:uid="{71371D4F-35CF-43E1-83D8-63BB61C29697}"/>
    <hyperlink ref="AF122" location="Go_Chat" tooltip="View chat messages" display="Go_Chat" xr:uid="{3EDE1A77-9F54-4116-A3DB-6C9B6AFF7814}"/>
    <hyperlink ref="AL122" location="Go_TickBox" tooltip="Tick/Untick" display="P" xr:uid="{14F9BF4C-0AD2-42EF-874E-A3DAFC9209CA}"/>
    <hyperlink ref="AM122" location="Go_DeleteWorkpaper" tooltip="Delete Workpaper" display="Q" xr:uid="{08BACF82-A983-4FF4-9042-A64F5EE6B877}"/>
    <hyperlink ref="N122" location="Go_FollowHyperlink" tooltip="Go to workpaper" display="A15" xr:uid="{9D1C0FC9-EF38-40ED-91AC-0E0080E38C29}"/>
    <hyperlink ref="AG135" location="Index!Go_ManageItems" tooltip="Manage Items" display="Index!Go_ManageItems" xr:uid="{99590210-0B05-4EA1-AD52-EA4A3EF8EEB6}"/>
    <hyperlink ref="AE135" location="Go_Toggle_O_P" tooltip="Flag/Unflag Item" display="P" xr:uid="{41D95244-0DD6-46A2-A53F-A3B7A15B4864}"/>
    <hyperlink ref="AF135" location="Go_Chat" tooltip="View chat messages" display="Go_Chat" xr:uid="{AF5B41B0-4A79-490E-B932-7F294EC357CF}"/>
    <hyperlink ref="AL135" location="Go_TickBox" tooltip="Tick/Untick" display="P" xr:uid="{81494AE9-16C9-431A-A2CB-065878C03572}"/>
    <hyperlink ref="AM135" location="Go_DeleteWorkpaper" tooltip="Delete Workpaper" display="Q" xr:uid="{4F34A1A5-3D00-4CBE-B8EC-A7ACA462B494}"/>
    <hyperlink ref="N135" location="Go_FollowHyperlink" tooltip="Go to workpaper" display="A15" xr:uid="{5FCCC83B-CAEE-4521-A35E-5F34AAA5DAAD}"/>
    <hyperlink ref="AG137" location="Index!Go_ManageItems" tooltip="Manage Items" display="Index!Go_ManageItems" xr:uid="{8597CA09-869E-476F-84AE-AD1B9C3E4B22}"/>
    <hyperlink ref="AE137" location="Go_Toggle_O_P" tooltip="Flag/Unflag Item" display="P" xr:uid="{C4094C05-26AC-4D1B-AB0E-A3F86BD4A633}"/>
    <hyperlink ref="AF137" location="Go_Chat" tooltip="View chat messages" display="Go_Chat" xr:uid="{7D7C8649-A057-4698-B8BC-D6F46BC27044}"/>
    <hyperlink ref="AL137" location="Go_TickBox" tooltip="Tick/Untick" display="P" xr:uid="{D3D8ADE2-BF42-4928-9195-34EA59ABB99A}"/>
    <hyperlink ref="AM137" location="Go_DeleteWorkpaper" tooltip="Delete Workpaper" display="Q" xr:uid="{99E34446-FA13-472B-848C-D0887B052912}"/>
    <hyperlink ref="N137" location="Go_FollowHyperlink" tooltip="Go to workpaper" display="A15" xr:uid="{060997D3-3B32-423C-8D3D-EA806486A995}"/>
    <hyperlink ref="AG145" location="Index!Go_ManageItems" tooltip="Manage Items" display="Index!Go_ManageItems" xr:uid="{FBC469BF-2B45-4AFF-BAAB-DBD7AEC37B13}"/>
    <hyperlink ref="AE145" location="Go_Toggle_O_P" tooltip="Flag/Unflag Item" display="P" xr:uid="{E0310830-250F-4633-A8E9-68AB5A43F196}"/>
    <hyperlink ref="AF145" location="Go_Chat" tooltip="View chat messages" display="Go_Chat" xr:uid="{BB2821F7-9ECD-40B0-8408-319DF02357A8}"/>
    <hyperlink ref="AL145" location="Go_TickBox" tooltip="Tick/Untick" display="P" xr:uid="{5E2DBD86-3371-480E-8AD6-8CCFF170ECC3}"/>
    <hyperlink ref="AM145" location="Go_DeleteWorkpaper" tooltip="Delete Workpaper" display="Q" xr:uid="{2E51CA9F-F6E4-4BDA-87AD-621ED87D63BB}"/>
    <hyperlink ref="N145" location="Go_FollowHyperlink" tooltip="Go to workpaper" display="A15" xr:uid="{CA76ECEE-5774-4791-B672-0588D80189B9}"/>
    <hyperlink ref="AG143" location="Index!Go_ManageItems" tooltip="Manage Items" display="Index!Go_ManageItems" xr:uid="{6C80C750-4027-4F67-BDAF-E65D946A49BA}"/>
    <hyperlink ref="AE143" location="Go_Toggle_O_P" tooltip="Flag/Unflag Item" display="P" xr:uid="{946DAFD6-4A16-454C-8C9B-859C6AFA6E02}"/>
    <hyperlink ref="AF143" location="Go_Chat" tooltip="View chat messages" display="Go_Chat" xr:uid="{15437134-2E74-4C44-8126-11C35115BF15}"/>
    <hyperlink ref="AL143" location="Go_TickBox" tooltip="Tick/Untick" display="P" xr:uid="{3103FBD3-60DF-4CFB-9CB2-FCDD30E4474A}"/>
    <hyperlink ref="AM143" location="Go_DeleteWorkpaper" tooltip="Delete Workpaper" display="Q" xr:uid="{7F8CBD8E-5DD0-470B-886D-613D70BA0F94}"/>
    <hyperlink ref="N143" location="Go_FollowHyperlink" tooltip="Go to workpaper" display="A15" xr:uid="{B19D2991-6A46-4E58-8E8F-29DA6E4498C6}"/>
    <hyperlink ref="AG151" location="Index!Go_ManageItems" tooltip="Manage Items" display="Index!Go_ManageItems" xr:uid="{C1FF12DD-FB51-44EC-907D-BF5ECBED8F5B}"/>
    <hyperlink ref="AE151" location="Go_Toggle_O_P" tooltip="Flag/Unflag Item" display="P" xr:uid="{9390D74C-276F-4CD8-ACF8-CCF933EF767E}"/>
    <hyperlink ref="AF151" location="Go_Chat" tooltip="View chat messages" display="Go_Chat" xr:uid="{DD7095E9-ABB2-43F4-BBEA-2133FADA9FD5}"/>
    <hyperlink ref="AL151" location="Go_TickBox" tooltip="Tick/Untick" display="P" xr:uid="{C03CF0FB-523A-47AE-8B19-C057823C860F}"/>
    <hyperlink ref="AM151" location="Go_DeleteWorkpaper" tooltip="Delete Workpaper" display="Q" xr:uid="{FE16249F-D18E-4243-91C7-6306B4A09D17}"/>
    <hyperlink ref="N151" location="Go_FollowHyperlink" tooltip="Go to workpaper" display="A15" xr:uid="{57C92A4C-14E5-43F5-BC58-8B9EA1F28875}"/>
    <hyperlink ref="AG153" location="Index!Go_ManageItems" tooltip="Manage Items" display="Index!Go_ManageItems" xr:uid="{CD05944E-71E4-44C6-A92A-46CD1FFFABCC}"/>
    <hyperlink ref="AE153" location="Go_Toggle_O_P" tooltip="Flag/Unflag Item" display="P" xr:uid="{795BF894-B5AB-43FC-A0BA-4E53DDA7EC9C}"/>
    <hyperlink ref="AF153" location="Go_Chat" tooltip="View chat messages" display="Go_Chat" xr:uid="{0EC3669A-116D-4A45-962C-015E00E54491}"/>
    <hyperlink ref="AL153" location="Go_TickBox" tooltip="Tick/Untick" display="P" xr:uid="{C6620EB4-68A0-4853-BF46-8019BE62CC6A}"/>
    <hyperlink ref="AM153" location="Go_DeleteWorkpaper" tooltip="Delete Workpaper" display="Q" xr:uid="{33537B43-CFAD-4DE0-8D9A-1AB14B526497}"/>
    <hyperlink ref="N153" location="Go_FollowHyperlink" tooltip="Go to workpaper" display="A15" xr:uid="{81D80AEC-6937-4EA0-835E-9F24EB65FE1B}"/>
    <hyperlink ref="AG180" location="Index!Go_ManageItems" tooltip="Manage Items" display="Index!Go_ManageItems" xr:uid="{4607E947-D230-4BC4-ABE9-C199E991225F}"/>
    <hyperlink ref="AE180" location="Go_Toggle_O_P" tooltip="Flag/Unflag Item" display="P" xr:uid="{C71A74CF-2B7A-4F84-A7BE-495CBD959DC9}"/>
    <hyperlink ref="AF180" location="Go_Chat" tooltip="View chat messages" display="Go_Chat" xr:uid="{76BB0C32-8818-43A8-82DB-AEA102BA937C}"/>
    <hyperlink ref="AL180" location="Go_TickBox" tooltip="Tick/Untick" display="P" xr:uid="{5774BE22-1412-40F8-B57C-C317C468B4A5}"/>
    <hyperlink ref="AM180" location="Go_DeleteWorkpaper" tooltip="Delete Workpaper" display="Q" xr:uid="{4E953E67-840E-4001-8A71-75F18A88ADDA}"/>
    <hyperlink ref="N180" location="Go_FollowHyperlink" tooltip="Go to workpaper" display="A15" xr:uid="{F73142B7-3046-4859-ACA2-55273062065D}"/>
    <hyperlink ref="AG185" location="Index!Go_ManageItems" tooltip="Manage Items" display="Index!Go_ManageItems" xr:uid="{86D3D297-F700-4D62-9344-FB1489B1A84A}"/>
    <hyperlink ref="AE185" location="Go_Toggle_O_P" tooltip="Flag/Unflag Item" display="P" xr:uid="{E2BCBA62-B904-4DF5-9C9D-C1BDF1D139A9}"/>
    <hyperlink ref="AF185" location="Go_Chat" tooltip="View chat messages" display="Go_Chat" xr:uid="{8D1B31F0-64DA-4809-B17C-345B9A707C79}"/>
    <hyperlink ref="AL185" location="Go_TickBox" tooltip="Tick/Untick" display="P" xr:uid="{C5C6D52A-F7A3-4FC8-BB05-B78D14B3BD8D}"/>
    <hyperlink ref="AM185" location="Go_DeleteWorkpaper" tooltip="Delete Workpaper" display="Q" xr:uid="{A4FB25A8-93CF-4BA8-B494-6E6B437DB60E}"/>
    <hyperlink ref="N185" location="Go_FollowHyperlink" tooltip="Go to workpaper" display="A15" xr:uid="{9E1C2850-05DF-4480-A8E7-9F6AB25A545E}"/>
    <hyperlink ref="AG195" location="Index!Go_ManageItems" tooltip="Manage Items" display="Index!Go_ManageItems" xr:uid="{C443D91F-4009-4B68-8FDE-D052CA090022}"/>
    <hyperlink ref="AE195" location="Go_Toggle_O_P" tooltip="Flag/Unflag Item" display="P" xr:uid="{D6971F90-5478-458F-BCF4-C378F11BFC2B}"/>
    <hyperlink ref="AF195" location="Go_Chat" tooltip="View chat messages" display="Go_Chat" xr:uid="{47E7AE30-6337-4412-AC40-41B7FBEF0015}"/>
    <hyperlink ref="AL195" location="Go_TickBox" tooltip="Tick/Untick" display="P" xr:uid="{2B6E07D8-B7D5-45A7-846B-3480732AA8D5}"/>
    <hyperlink ref="AM195" location="Go_DeleteWorkpaper" tooltip="Delete Workpaper" display="Q" xr:uid="{EFDC8A56-D209-4F2B-8AE4-944EA415E41B}"/>
    <hyperlink ref="N195" r:id="rId1" display="hownow://_r907522/" xr:uid="{1FE16E45-A867-45A2-ADD4-2FD594D35213}"/>
    <hyperlink ref="AG197" location="Index!Go_ManageItems" tooltip="Manage Items" display="Index!Go_ManageItems" xr:uid="{6F3195E1-A07F-49BF-9B8C-445D07E61612}"/>
    <hyperlink ref="AE197" location="Go_Toggle_O_P" tooltip="Flag/Unflag Item" display="P" xr:uid="{346ADB5E-16C8-4080-85C9-E1BC6309A962}"/>
    <hyperlink ref="AF197" location="Go_Chat" tooltip="View chat messages" display="Go_Chat" xr:uid="{4039B595-E0B3-4710-8C89-480A99672359}"/>
    <hyperlink ref="AL197" location="Go_TickBox" tooltip="Tick/Untick" display="P" xr:uid="{EC8A1343-5C82-40D3-A836-0A78B3932B1B}"/>
    <hyperlink ref="AM197" location="Go_DeleteWorkpaper" tooltip="Delete Workpaper" display="Q" xr:uid="{F4DE7392-8131-4CF1-B746-8AA70623086C}"/>
    <hyperlink ref="N197" r:id="rId2" display="hownow://_r907522/" xr:uid="{0E76A951-46A6-4955-A5CD-6B2B12B5EA91}"/>
    <hyperlink ref="AG57" location="Index!Go_ManageItems" tooltip="Manage Items" display="Index!Go_ManageItems" xr:uid="{D5F376BF-136F-4928-9CA5-9CD4CCA8C535}"/>
    <hyperlink ref="AE57" location="Go_Toggle_O_P" tooltip="Flag/Unflag Item" display="P" xr:uid="{2F5F203D-B961-4BB5-9870-7CA8DEC28A96}"/>
    <hyperlink ref="AF57" location="Go_Chat" tooltip="View chat messages" display="Go_Chat" xr:uid="{DFB24A98-FF38-46A0-9EC6-2DF5DFF72C45}"/>
    <hyperlink ref="AL57" location="Go_TickBox" tooltip="Tick/Untick" display="P" xr:uid="{2860833F-FAF7-4345-BF3F-81F55C33EC18}"/>
    <hyperlink ref="AM57" location="Go_DeleteWorkpaper" tooltip="Delete Workpaper" display="Q" xr:uid="{BFFB4A95-8E37-4B47-90E6-ECCA6C9CBF31}"/>
    <hyperlink ref="N57" r:id="rId3" display="hownow://_r907522/" xr:uid="{78B27206-73D5-4F64-9DBB-5D1A3DAE66BB}"/>
    <hyperlink ref="AG188" location="Index!Go_ManageItems" tooltip="Manage Items" display="Index!Go_ManageItems" xr:uid="{A4F49906-2D98-4E9C-84E0-6D3054B82DE4}"/>
    <hyperlink ref="AE188" location="Go_Toggle_O_P" tooltip="Flag/Unflag Item" display="P" xr:uid="{77CCBAEE-5516-4DA0-9389-BC717EC1FB43}"/>
    <hyperlink ref="AF188" location="Go_Chat" tooltip="View chat messages" display="Go_Chat" xr:uid="{C3412F48-5ECE-4D11-A6EF-8DFDA38CC525}"/>
    <hyperlink ref="AL188" location="Go_TickBox" tooltip="Tick/Untick" display="P" xr:uid="{8C2AB048-5DB9-4E1B-A419-643AEA67BB43}"/>
    <hyperlink ref="AM188" location="Go_DeleteWorkpaper" tooltip="Delete Workpaper" display="Q" xr:uid="{6FA03D17-A4AC-41E6-B0DC-48AE7E50E0B6}"/>
    <hyperlink ref="N188" location="Go_FollowHyperlink" tooltip="Go to workpaper" display="A15" xr:uid="{097BC8DF-D144-4EF1-A376-FB2FC20AC2D2}"/>
    <hyperlink ref="AG23" location="Index!Go_ManageItems" tooltip="Manage Items" display="Index!Go_ManageItems" xr:uid="{36F72488-29A8-4EB5-AF6A-5956CF3D3B65}"/>
    <hyperlink ref="AE23" location="Go_Toggle_O_P" tooltip="Flag/Unflag Item" display="P" xr:uid="{0AB32DED-3ADD-489E-8B44-3F78A9E519DE}"/>
    <hyperlink ref="AF23" location="Go_Chat" tooltip="View chat messages" display="Go_Chat" xr:uid="{D26F73BF-B678-4580-B634-58AA7B87EEAD}"/>
    <hyperlink ref="AL23" location="Go_TickBox" tooltip="Tick/Untick" display="P" xr:uid="{A066CB36-5057-486A-A7BD-2C5374A78F6C}"/>
    <hyperlink ref="AM23" location="Go_DeleteWorkpaper" tooltip="Delete Workpaper" display="Q" xr:uid="{CEF0103A-13CD-4132-80BE-4BF6CD474B81}"/>
    <hyperlink ref="N23" location="Go_FollowHyperlink" tooltip="Go to workpaper" display="A15" xr:uid="{2B3C7D1F-178B-4927-89B6-306DE1E29591}"/>
    <hyperlink ref="AG36" location="Index!Go_ManageItems" tooltip="Manage Items" display="Index!Go_ManageItems" xr:uid="{7D6B8846-A2A1-4999-A625-D3204E9C4C8A}"/>
    <hyperlink ref="AE36" location="Go_Toggle_O_P" tooltip="Flag/Unflag Item" display="P" xr:uid="{E0882994-6980-4B36-8729-DCEB3548085D}"/>
    <hyperlink ref="AF36" location="Go_Chat" tooltip="View chat messages" display="Go_Chat" xr:uid="{6F11B29C-148C-43BF-AA40-1A4F5B846FB2}"/>
    <hyperlink ref="AL36" location="Go_TickBox" tooltip="Tick/Untick" display="P" xr:uid="{83F65171-EAFF-4EC6-A2F6-92D0CD597BD7}"/>
    <hyperlink ref="AM36" location="Go_DeleteWorkpaper" tooltip="Delete Workpaper" display="Q" xr:uid="{718F76EE-F89C-4E76-859F-A6361308A0E3}"/>
    <hyperlink ref="N36" location="Go_FollowHyperlink" tooltip="Go to workpaper" display="A15" xr:uid="{122E304D-5C93-4315-B1DD-DC3D3B2E87F9}"/>
    <hyperlink ref="AG43" location="Index!Go_ManageItems" tooltip="Manage Items" display="Index!Go_ManageItems" xr:uid="{10B7C994-2C2F-45EA-92CA-223DD83ECCC2}"/>
    <hyperlink ref="AE43" location="Go_Toggle_O_P" tooltip="Flag/Unflag Item" display="P" xr:uid="{9CFC60E2-CC98-42FE-95D2-79EAA1790968}"/>
    <hyperlink ref="AF43" location="Go_Chat" tooltip="View chat messages" display="Go_Chat" xr:uid="{5970F0EB-3525-4833-8E66-80E1372CF2EC}"/>
    <hyperlink ref="AL43" location="Go_TickBox" tooltip="Tick/Untick" display="P" xr:uid="{6E407F80-2E63-4F7B-A3D9-20C066B41C2F}"/>
    <hyperlink ref="AM43" location="Go_DeleteWorkpaper" tooltip="Delete Workpaper" display="Q" xr:uid="{601F4D12-4171-4BAA-85E1-071A54BAF6DC}"/>
    <hyperlink ref="N43" location="Go_FollowHyperlink" tooltip="Go to workpaper" display="A15" xr:uid="{423857C9-68C6-4A74-BF6F-CB6A9B33B4C3}"/>
    <hyperlink ref="AG129" location="Index!Go_ManageItems" tooltip="Manage Items" display="Index!Go_ManageItems" xr:uid="{AEEF2B1F-C186-4E82-9715-884BC1D6C587}"/>
    <hyperlink ref="AE129" location="Go_Toggle_O_P" tooltip="Flag/Unflag Item" display="P" xr:uid="{ACF07E6B-E9A4-4631-B384-B242F70771F2}"/>
    <hyperlink ref="AF129" location="Go_Chat" tooltip="View chat messages" display="Go_Chat" xr:uid="{854C671C-3132-4402-89B7-DE94A180967C}"/>
    <hyperlink ref="AL129" location="Go_TickBox" tooltip="Tick/Untick" display="P" xr:uid="{E5BE289F-4BD7-4DF7-91F4-FFA36B18997F}"/>
    <hyperlink ref="AM129" location="Go_DeleteWorkpaper" tooltip="Delete Workpaper" display="Q" xr:uid="{365156DF-4D86-43EA-9F7A-577D17CDC9E4}"/>
    <hyperlink ref="N129" location="Go_FollowHyperlink" tooltip="Go to workpaper" display="A15" xr:uid="{83A6A913-9988-41BA-8497-776045756255}"/>
    <hyperlink ref="AG187" location="Index!Go_ManageItems" tooltip="Manage Items" display="Index!Go_ManageItems" xr:uid="{EA1E4A21-6344-401C-B63B-431770C675E3}"/>
    <hyperlink ref="AE187" location="Go_Toggle_O_P" tooltip="Flag/Unflag Item" display="P" xr:uid="{5562A418-0CFA-4C06-B81B-F343393F3201}"/>
    <hyperlink ref="AF187" location="Go_Chat" tooltip="View chat messages" display="Go_Chat" xr:uid="{39D55CDA-5803-4B2F-B8FD-AB8412D418A1}"/>
    <hyperlink ref="AL187" location="Go_TickBox" tooltip="Tick/Untick" display="P" xr:uid="{4F383618-BAB8-435D-8466-3AC537D9C543}"/>
    <hyperlink ref="AM187" location="Go_DeleteWorkpaper" tooltip="Delete Workpaper" display="Q" xr:uid="{43B72E69-9F95-4A8D-8858-2A9DB6709528}"/>
    <hyperlink ref="N187" location="Go_FollowHyperlink" tooltip="Go to workpaper" display="A15" xr:uid="{EEDE5352-79F4-48A1-AF94-C0D1E9195F53}"/>
    <hyperlink ref="AG212" location="Index!Go_ManageItems" tooltip="Manage Items" display="Index!Go_ManageItems" xr:uid="{B5AC2DE7-4C58-4DD4-8285-4278F0F88ABE}"/>
    <hyperlink ref="AE212" location="Go_Toggle_O_P" tooltip="Flag/Unflag Item" display="P" xr:uid="{18DDF454-85EC-4D46-9A95-7D6D7C810BE7}"/>
    <hyperlink ref="AF212" location="Go_Chat" tooltip="View chat messages" display="Go_Chat" xr:uid="{28DEC898-027E-4ED0-9452-A6D19DDF2AB3}"/>
    <hyperlink ref="AL212" location="Go_TickBox" tooltip="Tick/Untick" display="P" xr:uid="{6A5340DB-8BD6-4E39-8451-F2365D13C134}"/>
    <hyperlink ref="AM212" location="Go_DeleteWorkpaper" tooltip="Delete Workpaper" display="Q" xr:uid="{9A30991C-41E0-451C-B4E8-FB798FD17FA7}"/>
    <hyperlink ref="N212" r:id="rId4" display="hownow://_r919025/" xr:uid="{039F199B-97B7-484E-A671-2090613EFA73}"/>
    <hyperlink ref="AG211" location="Index!Go_ManageItems" tooltip="Manage Items" display="Index!Go_ManageItems" xr:uid="{C64DCE2F-5560-4C53-9039-0C8ECB84DA65}"/>
    <hyperlink ref="AE211" location="Go_Toggle_O_P" tooltip="Flag/Unflag Item" display="P" xr:uid="{781792EE-4E80-4240-A35B-14EB6F3A206A}"/>
    <hyperlink ref="AF211" location="Go_Chat" tooltip="View chat messages" display="Go_Chat" xr:uid="{A342537F-A86F-4CAE-BA39-4790F2C9EBE6}"/>
    <hyperlink ref="AL211" location="Go_TickBox" tooltip="Tick/Untick" display="P" xr:uid="{91FA8603-1B63-438C-B555-0E8E53226B8F}"/>
    <hyperlink ref="AM211" location="Go_DeleteWorkpaper" tooltip="Delete Workpaper" display="Q" xr:uid="{D8FE8917-3FD5-417D-A136-2C3BB232545B}"/>
    <hyperlink ref="N211" r:id="rId5" display="hownow://_r919024/" xr:uid="{03F54DE5-4F16-4B73-A7FE-486B0062098F}"/>
    <hyperlink ref="AG220" location="Index!Go_ManageItems" tooltip="Manage Items" display="Index!Go_ManageItems" xr:uid="{45AE55C7-5703-4F8B-9E57-66E4DF3BAD93}"/>
    <hyperlink ref="AE220" location="Go_Toggle_O_P" tooltip="Flag/Unflag Item" display="P" xr:uid="{E4ABFDB8-FAF0-4013-8E03-C23E8EB112B6}"/>
    <hyperlink ref="AF220" location="Go_Chat" tooltip="View chat messages" display="Go_Chat" xr:uid="{A9F097EC-69F9-4084-B06C-31758DBB2797}"/>
    <hyperlink ref="AL220" location="Go_TickBox" tooltip="Tick/Untick" display="P" xr:uid="{52922F47-4A0D-4673-B925-7D24F7A24EE5}"/>
    <hyperlink ref="AM220" location="Go_DeleteWorkpaper" tooltip="Delete Workpaper" display="Q" xr:uid="{E9466E14-3D0F-4775-8D98-33556B53527A}"/>
    <hyperlink ref="N220" r:id="rId6" display="hownow://_r919024/" xr:uid="{1F5EE9D5-0F32-4AB6-94A6-956CF44CF31B}"/>
    <hyperlink ref="AG219" location="Index!Go_ManageItems" tooltip="Manage Items" display="Index!Go_ManageItems" xr:uid="{A332AD80-15FC-46FF-90B7-9FEDECF1D7C2}"/>
    <hyperlink ref="AE219" location="Go_Toggle_O_P" tooltip="Flag/Unflag Item" display="P" xr:uid="{1701980A-B766-4110-9AC8-413C7B5F33FA}"/>
    <hyperlink ref="AF219" location="Go_Chat" tooltip="View chat messages" display="Go_Chat" xr:uid="{CAC755B0-1D60-48BB-98FF-B8C9660FFB3E}"/>
    <hyperlink ref="AL219" location="Go_TickBox" tooltip="Tick/Untick" display="P" xr:uid="{D53ED7F1-C3FB-4B0D-84CD-2BA17AECA33D}"/>
    <hyperlink ref="AM219" location="Go_DeleteWorkpaper" tooltip="Delete Workpaper" display="Q" xr:uid="{0E6111D0-96A0-4A03-96AB-54EDBF3BC920}"/>
    <hyperlink ref="N219" r:id="rId7" display="hownow://_r919025/" xr:uid="{6D8BD447-EF0B-4A5E-A78F-FCE9BCCB3F30}"/>
    <hyperlink ref="AG97" location="Index!Go_ManageItems" tooltip="Manage Items" display="Index!Go_ManageItems" xr:uid="{B03237D7-B8DD-4615-8441-018C528E6D20}"/>
    <hyperlink ref="AE97" location="Go_Toggle_O_P" tooltip="Flag/Unflag Item" display="P" xr:uid="{C1423DC3-2CDE-4E0B-A061-5201B69E10B8}"/>
    <hyperlink ref="AF97" location="Go_Chat" tooltip="View chat messages" display="Go_Chat" xr:uid="{804D8966-CD18-4E59-96D5-E9644A40DE3D}"/>
    <hyperlink ref="AL97" location="Go_TickBox" tooltip="Tick/Untick" display="P" xr:uid="{05E111DA-E9C6-43DD-A7A1-816D3FAFB050}"/>
    <hyperlink ref="AM97" location="Go_DeleteWorkpaper" tooltip="Delete Workpaper" display="Q" xr:uid="{DBD2DA4E-B0EA-41C9-813E-847D0BB48064}"/>
    <hyperlink ref="N97" location="Go_FollowHyperlink" tooltip="Go to workpaper" display="A15" xr:uid="{D2255B9C-E45F-4D55-B7A1-E8793A6C4149}"/>
    <hyperlink ref="AG103" location="Index!Go_ManageItems" tooltip="Manage Items" display="Index!Go_ManageItems" xr:uid="{C99A6EA3-B967-41E1-8088-946A81A98345}"/>
    <hyperlink ref="AE103" location="Go_Toggle_O_P" tooltip="Flag/Unflag Item" display="P" xr:uid="{153297D6-9916-49FC-9BE2-C13A45934D0E}"/>
    <hyperlink ref="AF103" location="Go_Chat" tooltip="View chat messages" display="Go_Chat" xr:uid="{A4B75883-743E-4B57-8F28-7779F6D1A47F}"/>
    <hyperlink ref="AL103" location="Go_TickBox" tooltip="Tick/Untick" display="P" xr:uid="{BDA65C20-090C-49F8-906F-4799E8E4AF0A}"/>
    <hyperlink ref="AM103" location="Go_DeleteWorkpaper" tooltip="Delete Workpaper" display="Q" xr:uid="{48461776-3A61-4B44-8794-AABE76E1714F}"/>
    <hyperlink ref="N103" location="Go_FollowHyperlink" tooltip="Go to workpaper" display="A15" xr:uid="{3F9E6392-EFC1-4CF8-9FFA-3A673F38B523}"/>
    <hyperlink ref="AG71" location="Index!Go_ManageItems" tooltip="Manage Items" display="Index!Go_ManageItems" xr:uid="{B0C0F721-E36F-41EC-AC1E-2844B11B4E33}"/>
    <hyperlink ref="AE71" location="Go_Toggle_O_P" tooltip="Flag/Unflag Item" display="P" xr:uid="{A6A95469-6969-428A-ACB9-ABE73F8D683B}"/>
    <hyperlink ref="AF71" location="Go_Chat" tooltip="View chat messages" display="Go_Chat" xr:uid="{A7ABF2AB-AA1F-40F2-847C-70CD0761A117}"/>
    <hyperlink ref="AL71" location="Go_TickBox" tooltip="Tick/Untick" display="P" xr:uid="{9AF97B2A-A861-4B9B-AA35-D472E82BF936}"/>
    <hyperlink ref="AM71" location="Go_DeleteWorkpaper" tooltip="Delete Workpaper" display="Q" xr:uid="{3622F89B-34EB-4EA2-A8CD-C67889B61928}"/>
    <hyperlink ref="N71" location="Go_FollowHyperlink" tooltip="Go to workpaper" display="A15" xr:uid="{A1E507F1-2C4B-4285-AD43-893858B4E948}"/>
    <hyperlink ref="AG77" location="Index!Go_ManageItems" tooltip="Manage Items" display="Index!Go_ManageItems" xr:uid="{55C76685-F5C3-432C-B639-A89867B281EB}"/>
    <hyperlink ref="AE77" location="Go_Toggle_O_P" tooltip="Flag/Unflag Item" display="P" xr:uid="{92633727-8DA3-4C3F-9DD0-1274EF5B3A10}"/>
    <hyperlink ref="AF77" location="Go_Chat" tooltip="View chat messages" display="Go_Chat" xr:uid="{8CA382BA-28BC-47FA-8EB2-F83EF6F03779}"/>
    <hyperlink ref="AL77" location="Go_TickBox" tooltip="Tick/Untick" display="P" xr:uid="{84AA7B41-3520-4AB5-8705-0797B35558CD}"/>
    <hyperlink ref="AM77" location="Go_DeleteWorkpaper" tooltip="Delete Workpaper" display="Q" xr:uid="{EF2CD888-F814-4E21-BF54-A0C9521A8F6B}"/>
    <hyperlink ref="N77" r:id="rId8" display="hownow://_r919024/" xr:uid="{B59BF1E4-0550-445D-9821-32BF8F8A84CB}"/>
    <hyperlink ref="AE29" location="Go_Toggle_O_P" tooltip="Flag/Unflag Item" display="P" xr:uid="{E6C2C0BF-79F0-4F7C-B37E-66FE45C842A9}"/>
    <hyperlink ref="AE30" location="Go_Toggle_O_P" tooltip="Flag/Unflag Item" display="P" xr:uid="{926E125E-E5E4-497E-9020-7B1313401312}"/>
    <hyperlink ref="AE31" location="Go_Toggle_O_P" tooltip="Flag/Unflag Item" display="P" xr:uid="{FD17A7A6-2695-45B3-989E-428CF12E64B7}"/>
    <hyperlink ref="AE32" location="Go_Toggle_O_P" tooltip="Flag/Unflag Item" display="P" xr:uid="{728A93F6-1F1B-41F2-961F-E9153D8AF5DB}"/>
    <hyperlink ref="AE33" location="Go_Toggle_O_P" tooltip="Flag/Unflag Item" display="P" xr:uid="{FFD18784-82F4-42B4-9C50-754F433E84B6}"/>
    <hyperlink ref="AE34" location="Go_Toggle_O_P" tooltip="Flag/Unflag Item" display="P" xr:uid="{64EFC45D-59D3-44E4-833E-2A7610AF8D62}"/>
    <hyperlink ref="AE35" location="Go_Toggle_O_P" tooltip="Flag/Unflag Item" display="P" xr:uid="{7C04A18C-80EA-4580-9603-5F39247347C7}"/>
    <hyperlink ref="AE37" location="Go_Toggle_O_P" tooltip="Flag/Unflag Item" display="P" xr:uid="{24CB60EC-5014-4B28-A7C3-23D4B7CA64D1}"/>
    <hyperlink ref="AE38" location="Go_Toggle_O_P" tooltip="Flag/Unflag Item" display="P" xr:uid="{DCB1BCCA-FF35-41FB-BAA3-2C138B7EB6CC}"/>
    <hyperlink ref="AE39" location="Go_Toggle_O_P" tooltip="Flag/Unflag Item" display="P" xr:uid="{48859183-6D5C-4673-8285-8C19CCD8D8EA}"/>
    <hyperlink ref="AE40" location="Go_Toggle_O_P" tooltip="Flag/Unflag Item" display="P" xr:uid="{F1CDD889-6C76-4BF5-85A6-F5A6CBBC0131}"/>
    <hyperlink ref="AE41" location="Go_Toggle_O_P" tooltip="Flag/Unflag Item" display="P" xr:uid="{A3B9F0D7-54E4-4145-8295-07F77F602904}"/>
    <hyperlink ref="AE42" location="Go_Toggle_O_P" tooltip="Flag/Unflag Item" display="P" xr:uid="{D99E3641-C97D-42C2-B5D4-46C04589C577}"/>
    <hyperlink ref="AE44" location="Go_Toggle_O_P" tooltip="Flag/Unflag Item" display="P" xr:uid="{3153CC74-0BCE-4013-BF0E-DA1E2147EB6C}"/>
    <hyperlink ref="AE45" location="Go_Toggle_O_P" tooltip="Flag/Unflag Item" display="P" xr:uid="{68D3123D-F7F9-431B-AB9D-D60A432157F4}"/>
    <hyperlink ref="AE46" location="Go_Toggle_O_P" tooltip="Flag/Unflag Item" display="P" xr:uid="{1C1FE526-B365-4ECC-8716-9BE4D25B8894}"/>
    <hyperlink ref="AE47" location="Go_Toggle_O_P" tooltip="Flag/Unflag Item" display="P" xr:uid="{CE8D7A6C-0AD8-4F77-98DE-27E44F61EC8C}"/>
    <hyperlink ref="AE48" location="Go_Toggle_O_P" tooltip="Flag/Unflag Item" display="P" xr:uid="{52BE3EBF-C759-4686-AD88-F260FDA14DC4}"/>
    <hyperlink ref="AE49" location="Go_Toggle_O_P" tooltip="Flag/Unflag Item" display="P" xr:uid="{F9D2CB0D-9647-4C05-8F14-F114BE76E24A}"/>
    <hyperlink ref="AE50" location="Go_Toggle_O_P" tooltip="Flag/Unflag Item" display="P" xr:uid="{BC31B83C-99A3-4DD0-AAA3-64F4053F5B06}"/>
    <hyperlink ref="AE51" location="Go_Toggle_O_P" tooltip="Flag/Unflag Item" display="P" xr:uid="{63A21F6B-3D1D-4900-A793-17DFC518B2B3}"/>
    <hyperlink ref="AE52" location="Go_Toggle_O_P" tooltip="Flag/Unflag Item" display="P" xr:uid="{011F3DBD-6F46-4F0B-99F7-286AD87A46E5}"/>
    <hyperlink ref="AE53" location="Go_Toggle_O_P" tooltip="Flag/Unflag Item" display="P" xr:uid="{D8A683C5-3812-436E-AE16-77EDECBD36DA}"/>
    <hyperlink ref="AE54" location="Go_Toggle_O_P" tooltip="Flag/Unflag Item" display="P" xr:uid="{C1840B37-0759-4818-B48B-3EC06B6A8A23}"/>
    <hyperlink ref="AE55" location="Go_Toggle_O_P" tooltip="Flag/Unflag Item" display="P" xr:uid="{01729D02-59C9-45C4-A361-716AAF585950}"/>
    <hyperlink ref="AE56" location="Go_Toggle_O_P" tooltip="Flag/Unflag Item" display="P" xr:uid="{FC3B08CB-8E9F-4350-A4E9-CED26D29C06B}"/>
    <hyperlink ref="AE58" location="Go_Toggle_O_P" tooltip="Flag/Unflag Item" display="P" xr:uid="{DDBF0BFC-B285-48AE-B265-5FE2C896EF04}"/>
    <hyperlink ref="AE59" location="Go_Toggle_O_P" tooltip="Flag/Unflag Item" display="P" xr:uid="{36CA3EEF-D77B-48D2-AF04-89657594F0E1}"/>
    <hyperlink ref="AE60" location="Go_Toggle_O_P" tooltip="Flag/Unflag Item" display="P" xr:uid="{E8426C90-3881-47A5-A865-AF648A286E55}"/>
    <hyperlink ref="AE61" location="Go_Toggle_O_P" tooltip="Flag/Unflag Item" display="P" xr:uid="{BB470FC7-8C9C-4F62-BC2E-472C6954AA91}"/>
    <hyperlink ref="AE62" location="Go_Toggle_O_P" tooltip="Flag/Unflag Item" display="P" xr:uid="{332CD42A-74E5-44A6-8C68-14FAF34C5889}"/>
    <hyperlink ref="AE64" location="Go_Toggle_O_P" tooltip="Flag/Unflag Item" display="P" xr:uid="{CD0D6147-109C-4DD5-9029-4D5EE59E977C}"/>
    <hyperlink ref="AE66" location="Go_Toggle_O_P" tooltip="Flag/Unflag Item" display="P" xr:uid="{0B65CF57-9CAE-474B-8205-E0E05A407801}"/>
    <hyperlink ref="AE67" location="Go_Toggle_O_P" tooltip="Flag/Unflag Item" display="P" xr:uid="{6EDE78B8-2E46-4BF3-BE31-EF990142E9FF}"/>
    <hyperlink ref="AE68" location="Go_Toggle_O_P" tooltip="Flag/Unflag Item" display="P" xr:uid="{9B6563DF-DDB0-46DD-8FED-FA4E21A5E021}"/>
    <hyperlink ref="AE69" location="Go_Toggle_O_P" tooltip="Flag/Unflag Item" display="P" xr:uid="{7ACC5449-AA00-496B-8C0D-DC4466E4674C}"/>
    <hyperlink ref="AE70" location="Go_Toggle_O_P" tooltip="Flag/Unflag Item" display="P" xr:uid="{0A16883E-7C45-4252-912A-68DE63C12262}"/>
    <hyperlink ref="AE72" location="Go_Toggle_O_P" tooltip="Flag/Unflag Item" display="P" xr:uid="{04E841B7-0C60-497E-9539-70D658790D49}"/>
    <hyperlink ref="AE73" location="Go_Toggle_O_P" tooltip="Flag/Unflag Item" display="P" xr:uid="{C25F8A70-4351-4295-A6BA-7601D33ED9D0}"/>
    <hyperlink ref="AE74" location="Go_Toggle_O_P" tooltip="Flag/Unflag Item" display="P" xr:uid="{5DA908E4-9048-47C5-8DDE-6825DDD007A6}"/>
    <hyperlink ref="AE75" location="Go_Toggle_O_P" tooltip="Flag/Unflag Item" display="P" xr:uid="{41B13AEE-0AB1-4000-9D0D-6162CD788861}"/>
    <hyperlink ref="AE76" location="Go_Toggle_O_P" tooltip="Flag/Unflag Item" display="P" xr:uid="{A25AA31C-296B-4ACB-9ADF-1143B60A03E5}"/>
    <hyperlink ref="AE78" location="Go_Toggle_O_P" tooltip="Flag/Unflag Item" display="P" xr:uid="{55453190-37C5-4C21-B0D5-C6902D7FC435}"/>
    <hyperlink ref="AE79" location="Go_Toggle_O_P" tooltip="Flag/Unflag Item" display="P" xr:uid="{3F53BDFA-B7A1-411F-9FF5-0D2F84698B0F}"/>
    <hyperlink ref="AE80" location="Go_Toggle_O_P" tooltip="Flag/Unflag Item" display="P" xr:uid="{A87BF9F7-F50B-43DA-8BFB-38630374FDAE}"/>
    <hyperlink ref="AE81" location="Go_Toggle_O_P" tooltip="Flag/Unflag Item" display="P" xr:uid="{3FF55D66-83AF-4485-905A-E13F05D6E07D}"/>
    <hyperlink ref="AE82" location="Go_Toggle_O_P" tooltip="Flag/Unflag Item" display="P" xr:uid="{8CF95424-73CC-4413-B713-514313FA8B9D}"/>
    <hyperlink ref="AE83" location="Go_Toggle_O_P" tooltip="Flag/Unflag Item" display="P" xr:uid="{6529D9F7-68EA-4226-ABBB-9DEB0568B54A}"/>
    <hyperlink ref="AE84" location="Go_Toggle_O_P" tooltip="Flag/Unflag Item" display="P" xr:uid="{6ACB8CD6-74CA-4C43-A015-1C85400D4773}"/>
    <hyperlink ref="AE85" location="Go_Toggle_O_P" tooltip="Flag/Unflag Item" display="P" xr:uid="{B88E2E87-487B-4B97-8D55-029AF4A1DE94}"/>
    <hyperlink ref="AE86" location="Go_Toggle_O_P" tooltip="Flag/Unflag Item" display="P" xr:uid="{D1CBF9BB-322D-40CA-BBE2-AE58A9A74491}"/>
    <hyperlink ref="AE87" location="Go_Toggle_O_P" tooltip="Flag/Unflag Item" display="P" xr:uid="{45DC4D88-7A6C-4675-96B0-26505FF96EFD}"/>
    <hyperlink ref="AE88" location="Go_Toggle_O_P" tooltip="Flag/Unflag Item" display="P" xr:uid="{90199D09-4C71-4138-B521-40B327D51BFE}"/>
    <hyperlink ref="AE89" location="Go_Toggle_O_P" tooltip="Flag/Unflag Item" display="P" xr:uid="{0ED823B4-45EE-478E-8F02-C971FF527969}"/>
    <hyperlink ref="AE91" location="Go_Toggle_O_P" tooltip="Flag/Unflag Item" display="P" xr:uid="{CD1CF518-3D70-4298-AF90-0492E4043603}"/>
    <hyperlink ref="AE93" location="Go_Toggle_O_P" tooltip="Flag/Unflag Item" display="P" xr:uid="{73565CD7-4DEA-4D9A-AEB3-2EF58DBF9F43}"/>
    <hyperlink ref="AE94" location="Go_Toggle_O_P" tooltip="Flag/Unflag Item" display="P" xr:uid="{4521788F-2893-4B24-8DF2-2E1D82DE1BA4}"/>
    <hyperlink ref="AE95" location="Go_Toggle_O_P" tooltip="Flag/Unflag Item" display="P" xr:uid="{251DF69B-4CF2-4312-94B1-D335B4A44FDC}"/>
    <hyperlink ref="AE96" location="Go_Toggle_O_P" tooltip="Flag/Unflag Item" display="P" xr:uid="{714926FF-F51C-41ED-8BCA-365D811EAF17}"/>
    <hyperlink ref="AE98" location="Go_Toggle_O_P" tooltip="Flag/Unflag Item" display="P" xr:uid="{2B2CF02E-8224-42DD-8D42-439CE52E4DBC}"/>
    <hyperlink ref="AE99" location="Go_Toggle_O_P" tooltip="Flag/Unflag Item" display="P" xr:uid="{08E9EDAE-3A4B-4775-A38A-4EA077907421}"/>
    <hyperlink ref="AE100" location="Go_Toggle_O_P" tooltip="Flag/Unflag Item" display="P" xr:uid="{A1E6D4CE-29D2-4E6A-9ADE-162D7EE52C99}"/>
    <hyperlink ref="AE101" location="Go_Toggle_O_P" tooltip="Flag/Unflag Item" display="P" xr:uid="{E4643548-52FB-4289-ABB0-51F6FF456047}"/>
    <hyperlink ref="AE102" location="Go_Toggle_O_P" tooltip="Flag/Unflag Item" display="P" xr:uid="{D2243046-46D3-40A7-B072-963866D0E50A}"/>
    <hyperlink ref="AE104" location="Go_Toggle_O_P" tooltip="Flag/Unflag Item" display="P" xr:uid="{EC5FA72A-60BC-4924-B277-FE6222517858}"/>
    <hyperlink ref="AE105" location="Go_Toggle_O_P" tooltip="Flag/Unflag Item" display="P" xr:uid="{E2A4A7E1-12E6-47B1-8B89-D77EF213D020}"/>
    <hyperlink ref="AE106" location="Go_Toggle_O_P" tooltip="Flag/Unflag Item" display="P" xr:uid="{ED84B8A5-F978-49E7-8466-7C536B0F4492}"/>
    <hyperlink ref="AE107" location="Go_Toggle_O_P" tooltip="Flag/Unflag Item" display="P" xr:uid="{3965ABF6-5037-4E8A-8F3B-D7929DA24ACB}"/>
    <hyperlink ref="AE108" location="Go_Toggle_O_P" tooltip="Flag/Unflag Item" display="P" xr:uid="{A4B65852-63D3-44A6-BE1C-CB23D285E111}"/>
    <hyperlink ref="AE109" location="Go_Toggle_O_P" tooltip="Flag/Unflag Item" display="P" xr:uid="{89962B65-034A-4BFF-BA6E-4F1036930994}"/>
    <hyperlink ref="AE110" location="Go_Toggle_O_P" tooltip="Flag/Unflag Item" display="P" xr:uid="{240B1131-E0FD-4BBD-B9FF-EA6BF5E3C200}"/>
    <hyperlink ref="AE111" location="Go_Toggle_O_P" tooltip="Flag/Unflag Item" display="P" xr:uid="{541762FF-7299-4569-9CA9-EFCE79E5B58B}"/>
    <hyperlink ref="AE113" location="Go_Toggle_O_P" tooltip="Flag/Unflag Item" display="P" xr:uid="{8CD1BC7A-1ACB-46BB-8FC3-6447DACE293D}"/>
    <hyperlink ref="AE115" location="Go_Toggle_O_P" tooltip="Flag/Unflag Item" display="P" xr:uid="{C6DBEC16-C998-44FA-83E6-7199186BB42E}"/>
    <hyperlink ref="AE116" location="Go_Toggle_O_P" tooltip="Flag/Unflag Item" display="P" xr:uid="{8F3BABF0-98D9-4381-B990-3D125CAFF490}"/>
    <hyperlink ref="AE117" location="Go_Toggle_O_P" tooltip="Flag/Unflag Item" display="P" xr:uid="{0DCA9274-2D13-446B-B1A9-2D888A194047}"/>
    <hyperlink ref="AE118" location="Go_Toggle_O_P" tooltip="Flag/Unflag Item" display="P" xr:uid="{E387F3D8-04A0-4431-BF15-A615D87D275D}"/>
    <hyperlink ref="AE119" location="Go_Toggle_O_P" tooltip="Flag/Unflag Item" display="P" xr:uid="{1339965A-5074-4542-B335-E006068BD05E}"/>
    <hyperlink ref="AE121" location="Go_Toggle_O_P" tooltip="Flag/Unflag Item" display="P" xr:uid="{D088A57C-8013-4A90-AA83-86790A9C314F}"/>
    <hyperlink ref="AE123" location="Go_Toggle_O_P" tooltip="Flag/Unflag Item" display="P" xr:uid="{15FEE26B-EA4F-4B4F-9BC4-2A68BE418387}"/>
    <hyperlink ref="AE124" location="Go_Toggle_O_P" tooltip="Flag/Unflag Item" display="P" xr:uid="{78E1B8B0-0131-419B-B7A4-653D9C02BB86}"/>
    <hyperlink ref="AE125" location="Go_Toggle_O_P" tooltip="Flag/Unflag Item" display="P" xr:uid="{599785D9-C495-49EC-917A-62B7A1C89823}"/>
    <hyperlink ref="AE126" location="Go_Toggle_O_P" tooltip="Flag/Unflag Item" display="P" xr:uid="{AF81A61C-99D3-4BEB-B883-9BD43C56218E}"/>
    <hyperlink ref="AE127" location="Go_Toggle_O_P" tooltip="Flag/Unflag Item" display="P" xr:uid="{F8A10008-F371-423B-BEF2-221245E02E33}"/>
    <hyperlink ref="AE128" location="Go_Toggle_O_P" tooltip="Flag/Unflag Item" display="P" xr:uid="{9D74F448-1D24-4FF7-8FAF-0BD9C941A338}"/>
    <hyperlink ref="AE130" location="Go_Toggle_O_P" tooltip="Flag/Unflag Item" display="P" xr:uid="{A6B3DCD7-7565-4577-BFBA-6F79BA757A11}"/>
    <hyperlink ref="AE131" location="Go_Toggle_O_P" tooltip="Flag/Unflag Item" display="P" xr:uid="{756310CE-F10E-4664-B8CC-4C91685DEBF5}"/>
    <hyperlink ref="AE132" location="Go_Toggle_O_P" tooltip="Flag/Unflag Item" display="P" xr:uid="{C2E50C15-1470-46AA-9FAE-B77384C33C8B}"/>
    <hyperlink ref="AE133" location="Go_Toggle_O_P" tooltip="Flag/Unflag Item" display="P" xr:uid="{77FDF338-1C83-48C1-B871-DF004A9D63D2}"/>
    <hyperlink ref="AE134" location="Go_Toggle_O_P" tooltip="Flag/Unflag Item" display="P" xr:uid="{D67CAB75-C096-4C8A-868C-B4AABCC8812E}"/>
    <hyperlink ref="AE136" location="Go_Toggle_O_P" tooltip="Flag/Unflag Item" display="P" xr:uid="{35CF9DB3-4F31-439E-BDEF-1229D55EB7FD}"/>
    <hyperlink ref="AE138" location="Go_Toggle_O_P" tooltip="Flag/Unflag Item" display="P" xr:uid="{FFD9FBAA-C70F-4FD0-A34D-C16DA018F5E2}"/>
    <hyperlink ref="AE139" location="Go_Toggle_O_P" tooltip="Flag/Unflag Item" display="P" xr:uid="{9262B78D-D54F-478D-877C-C59A04824EC2}"/>
    <hyperlink ref="AE140" location="Go_Toggle_O_P" tooltip="Flag/Unflag Item" display="P" xr:uid="{138081B7-F088-49A5-95BF-FF8BCE25DA04}"/>
    <hyperlink ref="AE141" location="Go_Toggle_O_P" tooltip="Flag/Unflag Item" display="P" xr:uid="{C95B2D61-7D07-4311-BA46-4A55B6A9D092}"/>
    <hyperlink ref="AE142" location="Go_Toggle_O_P" tooltip="Flag/Unflag Item" display="P" xr:uid="{2ED0C648-3A36-4287-A462-FD21929D5B0D}"/>
    <hyperlink ref="AE144" location="Go_Toggle_O_P" tooltip="Flag/Unflag Item" display="P" xr:uid="{D74263C2-59A1-4855-9EE7-AC38D0BAC00A}"/>
    <hyperlink ref="AE146" location="Go_Toggle_O_P" tooltip="Flag/Unflag Item" display="P" xr:uid="{783B4717-BE9F-4C4E-851E-A1861E59956A}"/>
    <hyperlink ref="AE147" location="Go_Toggle_O_P" tooltip="Flag/Unflag Item" display="P" xr:uid="{62B879C0-BC50-4E80-9548-6569735A5A86}"/>
    <hyperlink ref="AE148" location="Go_Toggle_O_P" tooltip="Flag/Unflag Item" display="P" xr:uid="{83060AE6-E9FA-4777-A86C-DD3E8E439703}"/>
    <hyperlink ref="AE149" location="Go_Toggle_O_P" tooltip="Flag/Unflag Item" display="P" xr:uid="{E5220511-3EC7-4211-9DF0-6E814F0A6EBE}"/>
    <hyperlink ref="AE150" location="Go_Toggle_O_P" tooltip="Flag/Unflag Item" display="P" xr:uid="{F5E9ED6D-C8E6-4AA3-A2CE-2EAF181FA11A}"/>
    <hyperlink ref="AE152" location="Go_Toggle_O_P" tooltip="Flag/Unflag Item" display="P" xr:uid="{CF607885-3AAF-45F9-BBBF-E6FF2EE6BBB9}"/>
    <hyperlink ref="AE154" location="Go_Toggle_O_P" tooltip="Flag/Unflag Item" display="P" xr:uid="{0698F31F-6AE3-46D3-872E-507BD1B4C62F}"/>
    <hyperlink ref="AE155" location="Go_Toggle_O_P" tooltip="Flag/Unflag Item" display="P" xr:uid="{3E446471-FEEE-4164-8C1F-4AD1419C3753}"/>
    <hyperlink ref="AE156" location="Go_Toggle_O_P" tooltip="Flag/Unflag Item" display="P" xr:uid="{975955BC-7202-473D-8DAC-02ECCBDD33F7}"/>
    <hyperlink ref="AE157" location="Go_Toggle_O_P" tooltip="Flag/Unflag Item" display="P" xr:uid="{9CA384F6-F748-4E18-B33A-73B33687445F}"/>
    <hyperlink ref="AE158" location="Go_Toggle_O_P" tooltip="Flag/Unflag Item" display="P" xr:uid="{986F6ED6-0EF8-4E58-82D9-2DCD006C61EE}"/>
    <hyperlink ref="AE159" location="Go_Toggle_O_P" tooltip="Flag/Unflag Item" display="P" xr:uid="{65C3A812-045E-4D11-BD70-957EC363FDAE}"/>
    <hyperlink ref="AE160" location="Go_Toggle_O_P" tooltip="Flag/Unflag Item" display="P" xr:uid="{B6F18098-7ABF-415C-8266-7FB3CB40B40C}"/>
    <hyperlink ref="AE161" location="Go_Toggle_O_P" tooltip="Flag/Unflag Item" display="P" xr:uid="{BD9E0431-D2D4-4C5E-BFF8-134D18E44FFA}"/>
    <hyperlink ref="AE162" location="Go_Toggle_O_P" tooltip="Flag/Unflag Item" display="P" xr:uid="{823C0615-CD84-4B2D-8ACA-F7E309F9ED82}"/>
    <hyperlink ref="AE163" location="Go_Toggle_O_P" tooltip="Flag/Unflag Item" display="P" xr:uid="{3FC57887-66A3-4964-B9EE-ADECB83FF06B}"/>
    <hyperlink ref="AE164" location="Go_Toggle_O_P" tooltip="Flag/Unflag Item" display="P" xr:uid="{7F76F5D2-3988-42DC-B04E-BC5714ACBCCF}"/>
    <hyperlink ref="AE165" location="Go_Toggle_O_P" tooltip="Flag/Unflag Item" display="P" xr:uid="{6BFD51A9-D31D-4593-9D3B-6FD5D8639E99}"/>
    <hyperlink ref="AE166" location="Go_Toggle_O_P" tooltip="Flag/Unflag Item" display="P" xr:uid="{F8BC8088-8D3C-4417-A508-91B782A45CE8}"/>
    <hyperlink ref="AE167" location="Go_Toggle_O_P" tooltip="Flag/Unflag Item" display="P" xr:uid="{46157DFF-DBB5-4F22-B7E7-81E365CD3EB3}"/>
    <hyperlink ref="AE168" location="Go_Toggle_O_P" tooltip="Flag/Unflag Item" display="P" xr:uid="{6D250F1E-8580-414C-947B-A902BCC3D957}"/>
    <hyperlink ref="AE169" location="Go_Toggle_O_P" tooltip="Flag/Unflag Item" display="P" xr:uid="{7490EF5E-07FB-4397-9B2E-64454069DF1B}"/>
    <hyperlink ref="AE170" location="Go_Toggle_O_P" tooltip="Flag/Unflag Item" display="P" xr:uid="{AC846FD5-CE7D-4D09-9E0E-913D8754CE6D}"/>
    <hyperlink ref="AE171" location="Go_Toggle_O_P" tooltip="Flag/Unflag Item" display="P" xr:uid="{BCAC6F1F-E818-4E91-80B8-6FAE957AA201}"/>
    <hyperlink ref="AE172" location="Go_Toggle_O_P" tooltip="Flag/Unflag Item" display="P" xr:uid="{F6926B8B-D4BA-4344-9234-C28E698E38B1}"/>
    <hyperlink ref="AE173" location="Go_Toggle_O_P" tooltip="Flag/Unflag Item" display="P" xr:uid="{E6E4EB61-E6CC-4109-A609-989C9BCEDCFD}"/>
    <hyperlink ref="AE174" location="Go_Toggle_O_P" tooltip="Flag/Unflag Item" display="P" xr:uid="{37D0909E-C209-42A5-B0CF-17EB58F39A3A}"/>
    <hyperlink ref="AE175" location="Go_Toggle_O_P" tooltip="Flag/Unflag Item" display="P" xr:uid="{48A42073-E4F3-4D32-9738-B77F40D53A93}"/>
    <hyperlink ref="AE176" location="Go_Toggle_O_P" tooltip="Flag/Unflag Item" display="P" xr:uid="{6D47EA13-CA98-418A-A599-62FF9BD3F5C6}"/>
    <hyperlink ref="AE177" location="Go_Toggle_O_P" tooltip="Flag/Unflag Item" display="P" xr:uid="{01F61CC9-F621-4A80-98C8-9FB84756074B}"/>
    <hyperlink ref="AE178" location="Go_Toggle_O_P" tooltip="Flag/Unflag Item" display="P" xr:uid="{0B8DD35B-3819-4810-B98F-5EEADAB7ECAB}"/>
    <hyperlink ref="AE179" location="Go_Toggle_O_P" tooltip="Flag/Unflag Item" display="P" xr:uid="{B170CC8D-A54F-4EF8-A9AC-454A4D163689}"/>
    <hyperlink ref="AE181" location="Go_Toggle_O_P" tooltip="Flag/Unflag Item" display="P" xr:uid="{4E2A6BEB-408D-4220-A30E-DDD659A01EB8}"/>
    <hyperlink ref="AE182" location="Go_Toggle_O_P" tooltip="Flag/Unflag Item" display="P" xr:uid="{B38F2CD2-1B4A-4285-9358-076A1722E3ED}"/>
    <hyperlink ref="AE183" location="Go_Toggle_O_P" tooltip="Flag/Unflag Item" display="P" xr:uid="{3D0B72B4-E58C-462E-824A-835181E3AEF4}"/>
    <hyperlink ref="AE184" location="Go_Toggle_O_P" tooltip="Flag/Unflag Item" display="P" xr:uid="{4FEEA501-2565-408F-B684-3B233D39BC02}"/>
    <hyperlink ref="AE186" location="Go_Toggle_O_P" tooltip="Flag/Unflag Item" display="P" xr:uid="{56C5FD33-6544-4493-BCC8-52E20228D8C5}"/>
    <hyperlink ref="AE189" location="Go_Toggle_O_P" tooltip="Flag/Unflag Item" display="P" xr:uid="{B9E3C387-A3A7-4A9C-B01F-C7E5210CBC8F}"/>
    <hyperlink ref="AE190" location="Go_Toggle_O_P" tooltip="Flag/Unflag Item" display="P" xr:uid="{EB673F75-0A51-47B8-8E8A-E0DD56819B95}"/>
    <hyperlink ref="AE191" location="Go_Toggle_O_P" tooltip="Flag/Unflag Item" display="P" xr:uid="{A6BB56C0-F5A9-4C0B-A6D8-E9454E6896FE}"/>
    <hyperlink ref="AE192" location="Go_Toggle_O_P" tooltip="Flag/Unflag Item" display="P" xr:uid="{C9E44004-2716-44DA-BDB3-2D1221DDE563}"/>
    <hyperlink ref="AE193" location="Go_Toggle_O_P" tooltip="Flag/Unflag Item" display="P" xr:uid="{9EF48EA1-809A-424A-BA27-D21B7005B8AB}"/>
    <hyperlink ref="AE194" location="Go_Toggle_O_P" tooltip="Flag/Unflag Item" display="P" xr:uid="{7BDAC7F4-8E7E-4068-9357-10625115E579}"/>
    <hyperlink ref="AE196" location="Go_Toggle_O_P" tooltip="Flag/Unflag Item" display="P" xr:uid="{63FFF08F-644D-4914-9406-B19874F70725}"/>
    <hyperlink ref="AE198" location="Go_Toggle_O_P" tooltip="Flag/Unflag Item" display="P" xr:uid="{99308A67-1AF0-4984-9E11-C42462A2F83B}"/>
    <hyperlink ref="AE199" location="Go_Toggle_O_P" tooltip="Flag/Unflag Item" display="P" xr:uid="{C6C85750-F36F-4C9E-86E9-60268709F6D2}"/>
    <hyperlink ref="AE200" location="Go_Toggle_O_P" tooltip="Flag/Unflag Item" display="P" xr:uid="{52A54D17-8FB5-417C-8A5E-100E82DA4F66}"/>
    <hyperlink ref="AE201" location="Go_Toggle_O_P" tooltip="Flag/Unflag Item" display="P" xr:uid="{7A74C3CE-C1AF-460B-8BE4-594452BE4E49}"/>
    <hyperlink ref="AE202" location="Go_Toggle_O_P" tooltip="Flag/Unflag Item" display="P" xr:uid="{DAD75994-C728-42A8-9306-677758EBC434}"/>
    <hyperlink ref="AE203" location="Go_Toggle_O_P" tooltip="Flag/Unflag Item" display="P" xr:uid="{B80F92F1-90E5-472B-8EAF-52A26931133C}"/>
    <hyperlink ref="AE204" location="Go_Toggle_O_P" tooltip="Flag/Unflag Item" display="P" xr:uid="{13063042-4158-4161-B92A-8B2090DADE6B}"/>
    <hyperlink ref="AE205" location="Go_Toggle_O_P" tooltip="Flag/Unflag Item" display="P" xr:uid="{AD88C235-DA3B-48D4-B2A7-27C721AAB1DD}"/>
    <hyperlink ref="AE206" location="Go_Toggle_O_P" tooltip="Flag/Unflag Item" display="P" xr:uid="{6B41FD12-E9F2-47BD-BE20-AC5A081C5651}"/>
    <hyperlink ref="AE207" location="Go_Toggle_O_P" tooltip="Flag/Unflag Item" display="P" xr:uid="{E216AF69-562D-4879-A93C-BAC5D4F1ED9F}"/>
    <hyperlink ref="AE208" location="Go_Toggle_O_P" tooltip="Flag/Unflag Item" display="P" xr:uid="{F6C9F319-64C9-48C8-9E81-71848BA92147}"/>
    <hyperlink ref="AE209" location="Go_Toggle_O_P" tooltip="Flag/Unflag Item" display="P" xr:uid="{B1C4BED2-EB69-4986-BF01-C9B9812F289D}"/>
    <hyperlink ref="AE210" location="Go_Toggle_O_P" tooltip="Flag/Unflag Item" display="P" xr:uid="{927E24B9-B3D0-4675-90FB-2ED4A4571F01}"/>
    <hyperlink ref="AE213" location="Go_Toggle_O_P" tooltip="Flag/Unflag Item" display="P" xr:uid="{1F9B6F5F-0B22-4B00-96F7-3802AD909148}"/>
    <hyperlink ref="AE214" location="Go_Toggle_O_P" tooltip="Flag/Unflag Item" display="P" xr:uid="{E4A5B7B1-216D-4F21-AC20-40B8AA239336}"/>
    <hyperlink ref="AE215" location="Go_Toggle_O_P" tooltip="Flag/Unflag Item" display="P" xr:uid="{3F537FF1-A0DB-4346-B39D-E9C863A453ED}"/>
    <hyperlink ref="AE216" location="Go_Toggle_O_P" tooltip="Flag/Unflag Item" display="P" xr:uid="{468A16F2-2728-4433-8E4E-0BDF8F669BE3}"/>
    <hyperlink ref="AE217" location="Go_Toggle_O_P" tooltip="Flag/Unflag Item" display="P" xr:uid="{62233669-C61B-4CB5-A130-08C418BCE9E2}"/>
    <hyperlink ref="AE218" location="Go_Toggle_O_P" tooltip="Flag/Unflag Item" display="P" xr:uid="{F3E39188-38A5-477D-B0E7-53B8C102EC1B}"/>
    <hyperlink ref="AE221" location="Go_Toggle_O_P" tooltip="Flag/Unflag Item" display="P" xr:uid="{72B513B4-22E4-4E33-A2DB-54A7E8877569}"/>
    <hyperlink ref="AE222" location="Go_Toggle_O_P" tooltip="Flag/Unflag Item" display="P" xr:uid="{8099AB63-9394-4C6D-9D5A-C79DC39FA722}"/>
    <hyperlink ref="AE223" location="Go_Toggle_O_P" tooltip="Flag/Unflag Item" display="P" xr:uid="{50DED8B4-1F1D-4FBF-A025-64AE5B3FD75A}"/>
    <hyperlink ref="AE224" location="Go_Toggle_O_P" tooltip="Flag/Unflag Item" display="P" xr:uid="{BCCCD51F-E9E9-4850-8081-0CAA2AE44548}"/>
    <hyperlink ref="AE225" location="Go_Toggle_O_P" tooltip="Flag/Unflag Item" display="P" xr:uid="{1716642F-F8FA-4FEB-825B-9D0A5E6EA230}"/>
    <hyperlink ref="AE226" location="Go_Toggle_O_P" tooltip="Flag/Unflag Item" display="P" xr:uid="{4E280915-DFE8-471B-BAA9-178E286BFDA1}"/>
    <hyperlink ref="AE227" location="Go_Toggle_O_P" tooltip="Flag/Unflag Item" display="P" xr:uid="{EB4AED35-5147-46DC-AAE8-E645D6E58FB7}"/>
    <hyperlink ref="AE228" location="Go_Toggle_O_P" tooltip="Flag/Unflag Item" display="P" xr:uid="{A0A7188F-6135-46D7-A4D6-BFB38D9B1527}"/>
    <hyperlink ref="AE229" location="Go_Toggle_O_P" tooltip="Flag/Unflag Item" display="P" xr:uid="{93F3764F-E708-4CE0-89F7-4731842BA01D}"/>
    <hyperlink ref="AE230" location="Go_Toggle_O_P" tooltip="Flag/Unflag Item" display="P" xr:uid="{C7A974BE-9705-4558-80BD-1590F5B70603}"/>
    <hyperlink ref="AE231" location="Go_Toggle_O_P" tooltip="Flag/Unflag Item" display="P" xr:uid="{77E3D503-6C3F-4EA7-93D9-3A306A896D87}"/>
    <hyperlink ref="AE232" location="Go_Toggle_O_P" tooltip="Flag/Unflag Item" display="P" xr:uid="{C3DF4018-FC53-4D75-A93D-7B21772AEB46}"/>
    <hyperlink ref="AE233" location="Go_Toggle_O_P" tooltip="Flag/Unflag Item" display="P" xr:uid="{BD244986-918F-4775-833D-3FBFDA6947F5}"/>
    <hyperlink ref="N33" location="Go_AddWorkpaper" tooltip="Add Workpaper" display="u" xr:uid="{451ACB78-7223-450F-AD6C-57674C88A285}"/>
    <hyperlink ref="N34" location="Go_AddWorkpaper" tooltip="Add Workpaper" display="u" xr:uid="{DE95B6EE-6FCB-4478-8DC5-288F06991373}"/>
    <hyperlink ref="N35" location="Go_AddWorkpaper" tooltip="Add Workpaper" display="u" xr:uid="{7D1AA6CE-EF4E-40FA-A06C-6A7A25926B34}"/>
    <hyperlink ref="N39" location="Go_AddWorkpaper" tooltip="Add Workpaper" display="u" xr:uid="{1D7C495C-10B6-4286-A5BA-068670D4A1A9}"/>
    <hyperlink ref="N40" location="Go_AddWorkpaper" tooltip="Add Workpaper" display="u" xr:uid="{9DEFDACB-8D3B-458F-8296-57AEBBA61170}"/>
    <hyperlink ref="N41" location="Go_AddWorkpaper" tooltip="Add Workpaper" display="u" xr:uid="{BEB2B9D6-A0FD-4796-8778-15AE8EA98D86}"/>
    <hyperlink ref="N42" location="Go_AddWorkpaper" tooltip="Add Workpaper" display="u" xr:uid="{5BCFA5DF-A703-4035-A218-BAB5FAA0188E}"/>
    <hyperlink ref="N44" location="Go_AddWorkpaper" tooltip="Add Workpaper" display="u" xr:uid="{2F8C416B-BE27-4967-AA7E-692EEDAEC28A}"/>
    <hyperlink ref="N45" location="Go_AddWorkpaper" tooltip="Add Workpaper" display="u" xr:uid="{BA022E0D-F3C1-467D-BE3A-DA8C6C6BEA47}"/>
    <hyperlink ref="N49" location="Go_AddWorkpaper" tooltip="Add Workpaper" display="u" xr:uid="{A8A16339-0AD6-4192-82C4-0455581D0366}"/>
    <hyperlink ref="N50" location="Go_AddWorkpaper" tooltip="Add Workpaper" display="u" xr:uid="{F83122AC-0135-45DA-B87A-D679AE5F7832}"/>
    <hyperlink ref="N51" location="Go_AddWorkpaper" tooltip="Add Workpaper" display="u" xr:uid="{35DADEDF-467F-4A38-89D4-B29EB6A5FA73}"/>
    <hyperlink ref="N52" location="Go_AddWorkpaper" tooltip="Add Workpaper" display="u" xr:uid="{14B85B1A-E23F-4072-B776-CD8FB21557AB}"/>
    <hyperlink ref="N56" location="Go_AddWorkpaper" tooltip="Add Workpaper" display="u" xr:uid="{247A32FC-F42E-45DE-B038-430EF569C259}"/>
    <hyperlink ref="N58" location="Go_AddWorkpaper" tooltip="Add Workpaper" display="u" xr:uid="{591B7B36-75BB-4FB4-AAE9-40E65FDE9F38}"/>
    <hyperlink ref="N59" location="Go_AddWorkpaper" tooltip="Add Workpaper" display="u" xr:uid="{0A900BA2-560B-4F8C-91C0-6838970615CE}"/>
    <hyperlink ref="N62" location="Go_AddWorkpaper" tooltip="Add Workpaper" display="u" xr:uid="{7793E6C8-1338-41DE-B507-4E533260DACE}"/>
    <hyperlink ref="N64" location="Go_AddWorkpaper" tooltip="Add Workpaper" display="u" xr:uid="{163E1716-AD74-4E7B-B2CF-913C39FF0276}"/>
    <hyperlink ref="N66" location="Go_AddWorkpaper" tooltip="Add Workpaper" display="u" xr:uid="{5EEB285E-D508-43F5-845C-2A10AB4C3A67}"/>
    <hyperlink ref="N67" location="Go_AddWorkpaper" tooltip="Add Workpaper" display="u" xr:uid="{470935F2-F539-4F39-92EF-46F2E245E133}"/>
    <hyperlink ref="N70" location="Go_AddWorkpaper" tooltip="Add Workpaper" display="u" xr:uid="{91626606-92AE-4E3F-9471-2CD92DEEC085}"/>
    <hyperlink ref="N72" location="Go_AddWorkpaper" tooltip="Add Workpaper" display="u" xr:uid="{F933FC3E-39D8-47FC-A282-116294FEC4EE}"/>
    <hyperlink ref="N73" location="Go_AddWorkpaper" tooltip="Add Workpaper" display="u" xr:uid="{39A3917A-C865-4B0C-8DA1-FE612D12D819}"/>
    <hyperlink ref="N74" location="Go_AddWorkpaper" tooltip="Add Workpaper" display="u" xr:uid="{7F72D458-9EC2-4D18-9DA2-889FCF109E77}"/>
    <hyperlink ref="N76" location="Go_AddWorkpaper" tooltip="Add Workpaper" display="u" xr:uid="{0A2C51A1-8F19-4FFD-8485-E8065DF5A0F5}"/>
    <hyperlink ref="N78" location="Go_AddWorkpaper" tooltip="Add Workpaper" display="u" xr:uid="{A2375BE8-540D-4962-A3A7-51415827C57E}"/>
    <hyperlink ref="N79" location="Go_AddWorkpaper" tooltip="Add Workpaper" display="u" xr:uid="{2E82A421-E874-48D0-B2FB-5A7CEFF9E598}"/>
    <hyperlink ref="N84" location="Go_AddWorkpaper" tooltip="Add Workpaper" display="u" xr:uid="{16A64941-EDC5-4166-9FC2-222A98BAF9F1}"/>
    <hyperlink ref="N85" location="Go_AddWorkpaper" tooltip="Add Workpaper" display="u" xr:uid="{E1B03618-59B4-47CF-9D0E-FDE1DA5B815C}"/>
    <hyperlink ref="N86" location="Go_AddWorkpaper" tooltip="Add Workpaper" display="u" xr:uid="{BA8EC587-847F-4E90-93D1-E956C1CF6229}"/>
    <hyperlink ref="N87" location="Go_AddWorkpaper" tooltip="Add Workpaper" display="u" xr:uid="{C2E787E5-29A3-4097-81DC-F6D4EB0F1969}"/>
    <hyperlink ref="N89" location="Go_AddWorkpaper" tooltip="Add Workpaper" display="u" xr:uid="{286ECA2B-0868-4FBE-8C19-D73A2886F444}"/>
    <hyperlink ref="N91" location="Go_AddWorkpaper" tooltip="Add Workpaper" display="u" xr:uid="{75716074-DBBB-4D34-AA22-3605E65DE600}"/>
    <hyperlink ref="N96" location="Go_AddWorkpaper" tooltip="Add Workpaper" display="u" xr:uid="{D7276937-92C3-4E83-A49E-E1C0370363C4}"/>
    <hyperlink ref="N98" location="Go_AddWorkpaper" tooltip="Add Workpaper" display="u" xr:uid="{EA66B22A-744B-4FC1-A3F7-247DB08B66AE}"/>
    <hyperlink ref="N99" location="Go_AddWorkpaper" tooltip="Add Workpaper" display="u" xr:uid="{403F0E92-F86E-4B56-BBAB-B208FDE4AEC7}"/>
    <hyperlink ref="N102" location="Go_AddWorkpaper" tooltip="Add Workpaper" display="u" xr:uid="{89B9D667-26C2-4E83-B78D-AA7ABE09A69D}"/>
    <hyperlink ref="N104" location="Go_AddWorkpaper" tooltip="Add Workpaper" display="u" xr:uid="{6A28BD78-DCB8-4BEA-A6F2-B7DDA7971B5D}"/>
    <hyperlink ref="N105" location="Go_AddWorkpaper" tooltip="Add Workpaper" display="u" xr:uid="{35C912C7-5AA2-43FA-91E7-52F7830767C3}"/>
    <hyperlink ref="N106" location="Go_AddWorkpaper" tooltip="Add Workpaper" display="u" xr:uid="{6AC70A1D-9FB5-4C10-A9EE-51FA84C0DB62}"/>
    <hyperlink ref="N107" location="Go_AddWorkpaper" tooltip="Add Workpaper" display="u" xr:uid="{A3B5E172-6A08-45C6-8360-22DF9BDC6E8D}"/>
    <hyperlink ref="N111" location="Go_AddWorkpaper" tooltip="Add Workpaper" display="u" xr:uid="{FE1083C2-FC68-4081-9B64-101D9CA971C2}"/>
    <hyperlink ref="N113" location="Go_AddWorkpaper" tooltip="Add Workpaper" display="u" xr:uid="{6C121F9D-2B2A-4B5B-AE2F-CA8077E47539}"/>
    <hyperlink ref="N115" location="Go_AddWorkpaper" tooltip="Add Workpaper" display="u" xr:uid="{F07EC511-DEA9-4407-9B55-48E440F2AA5A}"/>
    <hyperlink ref="N116" location="Go_AddWorkpaper" tooltip="Add Workpaper" display="u" xr:uid="{040A76E7-0AF5-42B1-B96F-25304D1BC8EA}"/>
    <hyperlink ref="N119" location="Go_AddWorkpaper" tooltip="Add Workpaper" display="u" xr:uid="{75EEA850-42F9-43E2-8749-61BDFEC651B5}"/>
    <hyperlink ref="N121" location="Go_AddWorkpaper" tooltip="Add Workpaper" display="u" xr:uid="{1A40DB5E-122D-42E7-A62B-3C13C726693F}"/>
    <hyperlink ref="N123" location="Go_AddWorkpaper" tooltip="Add Workpaper" display="u" xr:uid="{4DA3ECD6-B04C-4504-BAAF-A147E05D510A}"/>
    <hyperlink ref="N124" location="Go_AddWorkpaper" tooltip="Add Workpaper" display="u" xr:uid="{7B8F087B-F195-423A-80E6-A59B122645ED}"/>
    <hyperlink ref="N127" location="Go_AddWorkpaper" tooltip="Add Workpaper" display="u" xr:uid="{F5E75BB2-35C7-4D19-B399-F042E3880A26}"/>
    <hyperlink ref="N128" location="Go_AddWorkpaper" tooltip="Add Workpaper" display="u" xr:uid="{7076DFA3-CD79-42A0-85DE-D6D13B0A0051}"/>
    <hyperlink ref="N130" location="Go_AddWorkpaper" tooltip="Add Workpaper" display="u" xr:uid="{9F2BFA87-E3F4-49E8-B62C-D6C24C957AA7}"/>
    <hyperlink ref="N131" location="Go_AddWorkpaper" tooltip="Add Workpaper" display="u" xr:uid="{5E8EC75D-6B55-47F6-82C6-4FC42F6AC4B9}"/>
    <hyperlink ref="N134" location="Go_AddWorkpaper" tooltip="Add Workpaper" display="u" xr:uid="{DAC728DE-9475-4232-A81A-FF720650DB0C}"/>
    <hyperlink ref="N136" location="Go_AddWorkpaper" tooltip="Add Workpaper" display="u" xr:uid="{DFD1065C-5266-4220-BC53-ED90AFC22D58}"/>
    <hyperlink ref="N138" location="Go_AddWorkpaper" tooltip="Add Workpaper" display="u" xr:uid="{D8B3FC8B-5393-4B3E-A925-34884DCAA8F4}"/>
    <hyperlink ref="N139" location="Go_AddWorkpaper" tooltip="Add Workpaper" display="u" xr:uid="{ECF8E7C0-4862-42D1-8320-10C6CC17C80A}"/>
    <hyperlink ref="N142" location="Go_AddWorkpaper" tooltip="Add Workpaper" display="u" xr:uid="{94C58895-5EF7-451A-9ED2-155B97B2582C}"/>
    <hyperlink ref="N144" location="Go_AddWorkpaper" tooltip="Add Workpaper" display="u" xr:uid="{5CAB0587-BB41-4542-BFCC-EE213EE69230}"/>
    <hyperlink ref="N146" location="Go_AddWorkpaper" tooltip="Add Workpaper" display="u" xr:uid="{AC688977-A131-414B-A423-24FFF148A56D}"/>
    <hyperlink ref="N147" location="Go_AddWorkpaper" tooltip="Add Workpaper" display="u" xr:uid="{6E2A329C-1017-4073-8DDE-812D9904C1E0}"/>
    <hyperlink ref="N150" location="Go_AddWorkpaper" tooltip="Add Workpaper" display="u" xr:uid="{D28DBCF6-BAAE-4BE8-9ECA-3EB4C71A413E}"/>
    <hyperlink ref="N152" location="Go_AddWorkpaper" tooltip="Add Workpaper" display="u" xr:uid="{0A140AD1-61FF-4EA6-9F46-00EB765DD825}"/>
    <hyperlink ref="N154" location="Go_AddWorkpaper" tooltip="Add Workpaper" display="u" xr:uid="{91285BEA-7800-4272-A475-79FE26419A37}"/>
    <hyperlink ref="N155" location="Go_AddWorkpaper" tooltip="Add Workpaper" display="u" xr:uid="{6219E39A-D3C2-4504-A2C1-F0B45F251146}"/>
    <hyperlink ref="N156" location="Go_AddWorkpaper" tooltip="Add Workpaper" display="u" xr:uid="{9D43C5CB-8B2E-42DD-A145-FCD7C2B25BE1}"/>
    <hyperlink ref="N157" location="Go_AddWorkpaper" tooltip="Add Workpaper" display="u" xr:uid="{E0C350D1-9D7B-4BCC-A133-670939ABF46B}"/>
    <hyperlink ref="N160" location="Go_AddWorkpaper" tooltip="Add Workpaper" display="u" xr:uid="{D88485FC-E21F-4F5A-983D-F2EE968BBC15}"/>
    <hyperlink ref="N161" location="Go_AddWorkpaper" tooltip="Add Workpaper" display="u" xr:uid="{91BDF8E0-C605-4C3A-B53A-F5A54AC33B10}"/>
    <hyperlink ref="N162" location="Go_AddWorkpaper" tooltip="Add Workpaper" display="u" xr:uid="{F8A957E9-D2D6-4C91-BAC8-1A03E5F38D40}"/>
    <hyperlink ref="N163" location="Go_AddWorkpaper" tooltip="Add Workpaper" display="u" xr:uid="{59B4F5D5-7D37-4C9E-A26C-45F506D53FA4}"/>
    <hyperlink ref="N164" location="Go_AddWorkpaper" tooltip="Add Workpaper" display="u" xr:uid="{E99A2B97-E896-4BDA-AB7E-41DEEF0AE7FF}"/>
    <hyperlink ref="N165" location="Go_AddWorkpaper" tooltip="Add Workpaper" display="u" xr:uid="{3B0A5355-939C-4E3E-8A37-7661E1D41773}"/>
    <hyperlink ref="N168" location="Go_AddWorkpaper" tooltip="Add Workpaper" display="u" xr:uid="{2458056A-9339-4A37-B67B-4124F09B1569}"/>
    <hyperlink ref="N169" location="Go_AddWorkpaper" tooltip="Add Workpaper" display="u" xr:uid="{4403A074-CD82-41D6-BD51-571D6914695B}"/>
    <hyperlink ref="N170" location="Go_AddWorkpaper" tooltip="Add Workpaper" display="u" xr:uid="{20A22830-535F-4D47-A900-6266D0883592}"/>
    <hyperlink ref="N172" location="Go_AddWorkpaper" tooltip="Add Workpaper" display="u" xr:uid="{F86E7F2F-9419-4251-A9F8-2EB7C5640ED8}"/>
    <hyperlink ref="N173" location="Go_AddWorkpaper" tooltip="Add Workpaper" display="u" xr:uid="{A81DF701-5442-4487-B200-411F1D0E7EA8}"/>
    <hyperlink ref="N177" location="Go_AddWorkpaper" tooltip="Add Workpaper" display="u" xr:uid="{0B01B7C2-AF31-4038-A775-B41643A5420E}"/>
    <hyperlink ref="N178" location="Go_AddWorkpaper" tooltip="Add Workpaper" display="u" xr:uid="{6D6BCF62-2BBA-43C1-9929-8E1913AA5018}"/>
    <hyperlink ref="N179" location="Go_AddWorkpaper" tooltip="Add Workpaper" display="u" xr:uid="{3EFDE13E-C00B-4BD2-9D98-EDBAC3E8C053}"/>
    <hyperlink ref="N181" location="Go_AddWorkpaper" tooltip="Add Workpaper" display="u" xr:uid="{694C40A0-B7FF-476D-89EA-6978CC04B21D}"/>
    <hyperlink ref="N184" location="Go_AddWorkpaper" tooltip="Add Workpaper" display="u" xr:uid="{5E99DA7D-92B4-4F4A-956B-8D60801C3CD1}"/>
    <hyperlink ref="N186" location="Go_AddWorkpaper" tooltip="Add Workpaper" display="u" xr:uid="{5BA5A37F-AB5C-4383-BB64-CE12A575EE40}"/>
    <hyperlink ref="N189" location="Go_AddWorkpaper" tooltip="Add Workpaper" display="u" xr:uid="{A9D32A81-9485-45AF-B0D2-1B0A460EDD79}"/>
    <hyperlink ref="N194" location="Go_AddWorkpaper" tooltip="Add Workpaper" display="u" xr:uid="{5A47D33A-80D7-4746-8B4B-81A07651EEB2}"/>
    <hyperlink ref="N196" location="Go_AddWorkpaper" tooltip="Add Workpaper" display="u" xr:uid="{52D33C86-ABB4-49CD-A3FB-2561CF19B1C5}"/>
    <hyperlink ref="N198" location="Go_AddWorkpaper" tooltip="Add Workpaper" display="u" xr:uid="{F73C4F09-2E77-4CA7-9D0E-C16DD5265146}"/>
    <hyperlink ref="N199" location="Go_AddWorkpaper" tooltip="Add Workpaper" display="u" xr:uid="{4CB2F5A1-32CF-410D-B461-300EDB0174CC}"/>
    <hyperlink ref="N200" location="Go_AddWorkpaper" tooltip="Add Workpaper" display="u" xr:uid="{B534A650-46BE-4F75-B095-C47387932F17}"/>
    <hyperlink ref="N201" location="Go_AddWorkpaper" tooltip="Add Workpaper" display="u" xr:uid="{2717A722-B9AF-48DE-83B9-AB4986AA8F83}"/>
    <hyperlink ref="N203" location="Go_AddWorkpaper" tooltip="Add Workpaper" display="u" xr:uid="{44D2E658-51ED-4E5E-A801-F40CA4F570CA}"/>
    <hyperlink ref="N204" location="Go_AddWorkpaper" tooltip="Add Workpaper" display="u" xr:uid="{A0218EE0-9B5C-48D4-A732-F32572BB7732}"/>
    <hyperlink ref="N205" location="Go_AddWorkpaper" tooltip="Add Workpaper" display="u" xr:uid="{220F283E-B5CC-424D-80E3-205EE44DD2A2}"/>
    <hyperlink ref="N206" location="Go_AddWorkpaper" tooltip="Add Workpaper" display="u" xr:uid="{FAD38EC4-1E94-4F01-82BE-049288461BB8}"/>
    <hyperlink ref="N209" location="Go_AddWorkpaper" tooltip="Add Workpaper" display="u" xr:uid="{1D9424CD-09E3-4002-9A84-BEBEB28B6981}"/>
    <hyperlink ref="N210" location="Go_AddWorkpaper" tooltip="Add Workpaper" display="u" xr:uid="{A0EB74D9-2E6F-4C2D-B58E-270D509EA758}"/>
    <hyperlink ref="N213" location="Go_AddWorkpaper" tooltip="Add Workpaper" display="u" xr:uid="{C7652A3D-CAA0-4A8C-922B-E8C150F4DD30}"/>
    <hyperlink ref="N215" location="Go_AddWorkpaper" tooltip="Add Workpaper" display="u" xr:uid="{3E47F0F5-6697-4CC2-B363-A0B0DE4D6D89}"/>
    <hyperlink ref="N216" location="Go_AddWorkpaper" tooltip="Add Workpaper" display="u" xr:uid="{349997F9-950C-4F30-BE7A-1497DC6E6552}"/>
    <hyperlink ref="N218" location="Go_AddWorkpaper" tooltip="Add Workpaper" display="u" xr:uid="{4B669D2D-A479-4838-A869-590832B24CF0}"/>
    <hyperlink ref="N221" location="Go_AddWorkpaper" tooltip="Add Workpaper" display="u" xr:uid="{94C0880C-3C3F-4CB0-B7D5-2D0C1DC8F149}"/>
    <hyperlink ref="N222" location="Go_AddWorkpaper" tooltip="Add Workpaper" display="u" xr:uid="{9F88D00B-8FCE-4CC6-ADCC-54ACD08E1ACD}"/>
    <hyperlink ref="N226" location="Go_AddWorkpaper" tooltip="Add Workpaper" display="u" xr:uid="{B2103E32-3F38-4483-8A9A-C17F929D0C95}"/>
    <hyperlink ref="N227" location="Go_AddWorkpaper" tooltip="Add Workpaper" display="u" xr:uid="{FA9C408C-0F8A-4E95-91BF-137FD704536F}"/>
    <hyperlink ref="N229" location="Go_AddWorkpaper" tooltip="Add Workpaper" display="u" xr:uid="{BAE7E4D6-7087-4845-98DC-75F3377695CA}"/>
    <hyperlink ref="N230" location="Go_AddWorkpaper" tooltip="Add Workpaper" display="u" xr:uid="{15A55053-0021-44BF-B80A-083FDF1F077B}"/>
    <hyperlink ref="N231" location="Go_AddWorkpaper" tooltip="Add Workpaper" display="u" xr:uid="{B5EA19C5-65FD-4569-8A7D-E3FE78B440FE}"/>
    <hyperlink ref="N232" location="Go_AddWorkpaper" tooltip="Add Workpaper" display="u" xr:uid="{32A81DC1-3181-4A24-8AFC-0CDDD9EF2988}"/>
    <hyperlink ref="N233" location="Go_AddWorkpaper" tooltip="Add Workpaper" display="u" xr:uid="{4DDE1FE6-E16E-4E89-9F1D-B3C48C39C707}"/>
    <hyperlink ref="M29" location="Go_ExpandCollapse" tooltip="Show/Hide Workpapers" display="Go_ExpandCollapse" xr:uid="{37431B2F-EF0F-4498-8CFA-62B1B4C99FDB}"/>
    <hyperlink ref="M30" location="Go_ExpandCollapse" tooltip="Show/Hide Workpapers" display="Go_ExpandCollapse" xr:uid="{CC01130F-595D-4891-8F77-EFF47D92D5A5}"/>
    <hyperlink ref="M31" location="Go_ExpandCollapse" tooltip="Show/Hide Workpapers" display="Go_ExpandCollapse" xr:uid="{B66C77E3-AD0C-47C3-9187-2D4F87423953}"/>
    <hyperlink ref="M32" location="Go_ExpandCollapse" tooltip="Show/Hide Workpapers" display="Go_ExpandCollapse" xr:uid="{CCD6A7CD-0462-44BA-9F76-144850CC798F}"/>
    <hyperlink ref="M33" location="Go_ExpandCollapse" tooltip="Show/Hide Workpapers" display="Go_ExpandCollapse" xr:uid="{2487984B-70FC-4178-B364-69FF86A37B51}"/>
    <hyperlink ref="M34" location="Go_ExpandCollapse" tooltip="Show/Hide Workpapers" display="Go_ExpandCollapse" xr:uid="{126786B9-6AD2-4FDA-96C3-BF667E5F5900}"/>
    <hyperlink ref="M35" location="Go_ExpandCollapse" tooltip="Show/Hide Workpapers" display="Go_ExpandCollapse" xr:uid="{9D3A7805-3B21-46D2-9B63-1156C31BE606}"/>
    <hyperlink ref="M37" location="Go_ExpandCollapse" tooltip="Show/Hide Workpapers" display="Go_ExpandCollapse" xr:uid="{28C8AF58-7397-46BE-B3B8-3D67CA263518}"/>
    <hyperlink ref="M38" location="Go_ExpandCollapse" tooltip="Show/Hide Workpapers" display="Go_ExpandCollapse" xr:uid="{5466AC70-B8BF-4CC4-9496-8574285D3221}"/>
    <hyperlink ref="M39" location="Go_ExpandCollapse" tooltip="Show/Hide Workpapers" display="Go_ExpandCollapse" xr:uid="{F9F5F18D-60DD-4CEB-9F3D-059AC1C3CB42}"/>
    <hyperlink ref="M40" location="Go_ExpandCollapse" tooltip="Show/Hide Workpapers" display="Go_ExpandCollapse" xr:uid="{19414144-9F14-4A52-969E-ABD665650971}"/>
    <hyperlink ref="M41" location="Go_ExpandCollapse" tooltip="Show/Hide Workpapers" display="Go_ExpandCollapse" xr:uid="{FDEA708F-5C5C-4EC5-BA2B-912132A1804A}"/>
    <hyperlink ref="M42" location="Go_ExpandCollapse" tooltip="Show/Hide Workpapers" display="Go_ExpandCollapse" xr:uid="{37254A09-9940-4276-A9B9-31172A9F603A}"/>
    <hyperlink ref="M44" location="Go_ExpandCollapse" tooltip="Show/Hide Workpapers" display="Go_ExpandCollapse" xr:uid="{8103A3F7-117E-49CC-A1C5-35D7A8933707}"/>
    <hyperlink ref="M45" location="Go_ExpandCollapse" tooltip="Show/Hide Workpapers" display="Go_ExpandCollapse" xr:uid="{D6048B2F-F4F2-4A42-88F4-CF8E6E185BDE}"/>
    <hyperlink ref="M46" location="Go_ExpandCollapse" tooltip="Show/Hide Workpapers" display="Go_ExpandCollapse" xr:uid="{1713E0B3-1033-4DAE-BEB9-3872C09DE357}"/>
    <hyperlink ref="M47" location="Go_ExpandCollapse" tooltip="Show/Hide Workpapers" display="Go_ExpandCollapse" xr:uid="{7747A34C-58F5-4AF4-9473-290B384318C7}"/>
    <hyperlink ref="M48" location="Go_ExpandCollapse" tooltip="Show/Hide Workpapers" display="Go_ExpandCollapse" xr:uid="{FD7D3519-3FFC-4DE5-8E7A-5BB1108F830E}"/>
    <hyperlink ref="M49" location="Go_ExpandCollapse" tooltip="Show/Hide Workpapers" display="Go_ExpandCollapse" xr:uid="{3AC34E29-1DC1-4BD1-8553-97FCAC883D17}"/>
    <hyperlink ref="M50" location="Go_ExpandCollapse" tooltip="Show/Hide Workpapers" display="Go_ExpandCollapse" xr:uid="{48B20A00-3876-4EB5-9424-A6B057B23DC5}"/>
    <hyperlink ref="M51" location="Go_ExpandCollapse" tooltip="Show/Hide Workpapers" display="Go_ExpandCollapse" xr:uid="{DBF63DCA-D537-46C5-8A2B-3EF9401A42AD}"/>
    <hyperlink ref="M52" location="Go_ExpandCollapse" tooltip="Show/Hide Workpapers" display="Go_ExpandCollapse" xr:uid="{A49DED19-CB62-4C99-8E1A-60624AB62710}"/>
    <hyperlink ref="M53" location="Go_ExpandCollapse" tooltip="Show/Hide Workpapers" display="Go_ExpandCollapse" xr:uid="{834A1E51-6DB2-403C-A648-4E62396619BE}"/>
    <hyperlink ref="M54" location="Go_ExpandCollapse" tooltip="Show/Hide Workpapers" display="Go_ExpandCollapse" xr:uid="{87785401-96D1-4AD1-8C5F-9BADFDB1C567}"/>
    <hyperlink ref="M55" location="Go_ExpandCollapse" tooltip="Show/Hide Workpapers" display="Go_ExpandCollapse" xr:uid="{02A2BAE8-A624-4956-BE5B-7645ADCC4548}"/>
    <hyperlink ref="M56" location="Go_ExpandCollapse" tooltip="Show/Hide Workpapers" display="Go_ExpandCollapse" xr:uid="{FA2E7A9F-61F8-445D-93DC-079FDA0EE2CA}"/>
    <hyperlink ref="M58" location="Go_ExpandCollapse" tooltip="Show/Hide Workpapers" display="Go_ExpandCollapse" xr:uid="{A5C6E193-06FD-4914-A7EF-44159E7D622A}"/>
    <hyperlink ref="M59" location="Go_ExpandCollapse" tooltip="Show/Hide Workpapers" display="Go_ExpandCollapse" xr:uid="{0A1F8BC0-57CC-4045-9188-4D0F04B987BA}"/>
    <hyperlink ref="M60" location="Go_ExpandCollapse" tooltip="Show/Hide Workpapers" display="Go_ExpandCollapse" xr:uid="{169CA266-00E8-4C43-A201-B5E19EBF3109}"/>
    <hyperlink ref="M61" location="Go_ExpandCollapse" tooltip="Show/Hide Workpapers" display="Go_ExpandCollapse" xr:uid="{2373180B-78E2-44C4-B32D-8C6F23FCDC90}"/>
    <hyperlink ref="M62" location="Go_ExpandCollapse" tooltip="Show/Hide Workpapers" display="Go_ExpandCollapse" xr:uid="{C8024B7A-F09F-4461-9C43-4D282F71D9E2}"/>
    <hyperlink ref="M64" location="Go_ExpandCollapse" tooltip="Show/Hide Workpapers" display="Go_ExpandCollapse" xr:uid="{BC29817A-F4ED-4729-9DF9-305FD4A60958}"/>
    <hyperlink ref="M66" location="Go_ExpandCollapse" tooltip="Show/Hide Workpapers" display="Go_ExpandCollapse" xr:uid="{5D1F7F05-A190-44BC-BA58-D7E1BF0E424C}"/>
    <hyperlink ref="M67" location="Go_ExpandCollapse" tooltip="Show/Hide Workpapers" display="Go_ExpandCollapse" xr:uid="{CF920647-2383-45BD-836E-8A15C5280889}"/>
    <hyperlink ref="M68" location="Go_ExpandCollapse" tooltip="Show/Hide Workpapers" display="Go_ExpandCollapse" xr:uid="{150090CD-A137-4B8D-B8A3-81EEEA15F78B}"/>
    <hyperlink ref="M69" location="Go_ExpandCollapse" tooltip="Show/Hide Workpapers" display="Go_ExpandCollapse" xr:uid="{B38023E8-49FF-4E68-801A-71AA55520759}"/>
    <hyperlink ref="M70" location="Go_ExpandCollapse" tooltip="Show/Hide Workpapers" display="Go_ExpandCollapse" xr:uid="{1B51C77A-4FD7-41FD-83E7-AFA507AD409D}"/>
    <hyperlink ref="M72" location="Go_ExpandCollapse" tooltip="Show/Hide Workpapers" display="Go_ExpandCollapse" xr:uid="{EDD608A3-765D-4758-9A3B-F59CD9F7099D}"/>
    <hyperlink ref="M73" location="Go_ExpandCollapse" tooltip="Show/Hide Workpapers" display="Go_ExpandCollapse" xr:uid="{0975D753-D9BD-4D02-AD27-93A2F2F87739}"/>
    <hyperlink ref="M74" location="Go_ExpandCollapse" tooltip="Show/Hide Workpapers" display="Go_ExpandCollapse" xr:uid="{E64EE272-C43F-4CBB-BEC8-CEA91F59551B}"/>
    <hyperlink ref="M75" location="Go_ExpandCollapse" tooltip="Show/Hide Workpapers" display="Go_ExpandCollapse" xr:uid="{30320A15-6233-4934-801B-871DC0E5A52B}"/>
    <hyperlink ref="M76" location="Go_ExpandCollapse" tooltip="Show/Hide Workpapers" display="Go_ExpandCollapse" xr:uid="{D08225F8-E8D8-4DE0-A31A-7116AA0480C7}"/>
    <hyperlink ref="M78" location="Go_ExpandCollapse" tooltip="Show/Hide Workpapers" display="Go_ExpandCollapse" xr:uid="{B6A22B22-C448-4D5A-B08E-FCC1D0A1C122}"/>
    <hyperlink ref="M79" location="Go_ExpandCollapse" tooltip="Show/Hide Workpapers" display="Go_ExpandCollapse" xr:uid="{5918DD51-09C9-40A4-ABFF-9E6353FBB068}"/>
    <hyperlink ref="M80" location="Go_ExpandCollapse" tooltip="Show/Hide Workpapers" display="Go_ExpandCollapse" xr:uid="{247AA92E-66C3-4477-9A3C-5EDEEBFCC821}"/>
    <hyperlink ref="M81" location="Go_ExpandCollapse" tooltip="Show/Hide Workpapers" display="Go_ExpandCollapse" xr:uid="{0138D235-C7D3-4D0F-B775-EF2B3EC76E18}"/>
    <hyperlink ref="M82" location="Go_ExpandCollapse" tooltip="Show/Hide Workpapers" display="Go_ExpandCollapse" xr:uid="{7658152C-C075-430F-A87E-7F2FD90F00DA}"/>
    <hyperlink ref="M83" location="Go_ExpandCollapse" tooltip="Show/Hide Workpapers" display="Go_ExpandCollapse" xr:uid="{14A72C7D-6A02-4449-8F7A-F545DAEA7DB5}"/>
    <hyperlink ref="M84" location="Go_ExpandCollapse" tooltip="Show/Hide Workpapers" display="Go_ExpandCollapse" xr:uid="{1D3564CB-02DB-49C0-828E-D952CE61B894}"/>
    <hyperlink ref="M85" location="Go_ExpandCollapse" tooltip="Show/Hide Workpapers" display="Go_ExpandCollapse" xr:uid="{468EEF16-57CB-442F-A2AE-377DC1C75F81}"/>
    <hyperlink ref="M86" location="Go_ExpandCollapse" tooltip="Show/Hide Workpapers" display="Go_ExpandCollapse" xr:uid="{3B8D148C-C60D-401E-8E87-EA5A7B2A955C}"/>
    <hyperlink ref="M87" location="Go_ExpandCollapse" tooltip="Show/Hide Workpapers" display="Go_ExpandCollapse" xr:uid="{27F7EFEE-D11C-4E2E-B5CE-DC9D07C7FB36}"/>
    <hyperlink ref="M88" location="Go_ExpandCollapse" tooltip="Show/Hide Workpapers" display="Go_ExpandCollapse" xr:uid="{FE495D8C-CEF4-44E2-A672-CA3D1261E350}"/>
    <hyperlink ref="M89" location="Go_ExpandCollapse" tooltip="Show/Hide Workpapers" display="Go_ExpandCollapse" xr:uid="{4B245518-CF47-435F-A565-BC54E5AF4C03}"/>
    <hyperlink ref="M91" location="Go_ExpandCollapse" tooltip="Show/Hide Workpapers" display="Go_ExpandCollapse" xr:uid="{7C893C60-E1F3-44D8-A767-74303647DFA2}"/>
    <hyperlink ref="M93" location="Go_ExpandCollapse" tooltip="Show/Hide Workpapers" display="Go_ExpandCollapse" xr:uid="{A8F315C5-25A0-472E-9520-0579D9C999F6}"/>
    <hyperlink ref="M94" location="Go_ExpandCollapse" tooltip="Show/Hide Workpapers" display="Go_ExpandCollapse" xr:uid="{4DFDF76F-5DB7-4322-A215-F1352E9E4D24}"/>
    <hyperlink ref="M95" location="Go_ExpandCollapse" tooltip="Show/Hide Workpapers" display="Go_ExpandCollapse" xr:uid="{53CD2BFA-1A33-4245-906C-6D65423938EF}"/>
    <hyperlink ref="M96" location="Go_ExpandCollapse" tooltip="Show/Hide Workpapers" display="Go_ExpandCollapse" xr:uid="{31CA63CA-F3C3-4AB4-A76E-D7DEEBA86170}"/>
    <hyperlink ref="M98" location="Go_ExpandCollapse" tooltip="Show/Hide Workpapers" display="Go_ExpandCollapse" xr:uid="{23735114-C127-48FB-8DF4-AA50ED232A8A}"/>
    <hyperlink ref="M99" location="Go_ExpandCollapse" tooltip="Show/Hide Workpapers" display="Go_ExpandCollapse" xr:uid="{AA4D288C-ECD5-4AA6-9565-3852B2A40EB8}"/>
    <hyperlink ref="M100" location="Go_ExpandCollapse" tooltip="Show/Hide Workpapers" display="Go_ExpandCollapse" xr:uid="{44448703-569D-44B8-B353-18C38E10805F}"/>
    <hyperlink ref="M101" location="Go_ExpandCollapse" tooltip="Show/Hide Workpapers" display="Go_ExpandCollapse" xr:uid="{2CBD5500-8541-4698-ACB4-B4AF773C0D60}"/>
    <hyperlink ref="M102" location="Go_ExpandCollapse" tooltip="Show/Hide Workpapers" display="Go_ExpandCollapse" xr:uid="{DEECAE62-9917-4825-8AB5-02C74B40B5C8}"/>
    <hyperlink ref="M104" location="Go_ExpandCollapse" tooltip="Show/Hide Workpapers" display="Go_ExpandCollapse" xr:uid="{9CC27D8C-8749-491C-861F-633C3F24C983}"/>
    <hyperlink ref="M105" location="Go_ExpandCollapse" tooltip="Show/Hide Workpapers" display="Go_ExpandCollapse" xr:uid="{E347AFA2-A45C-492F-8BAC-A0104E22482F}"/>
    <hyperlink ref="M106" location="Go_ExpandCollapse" tooltip="Show/Hide Workpapers" display="Go_ExpandCollapse" xr:uid="{51230DFA-DF2E-4ECE-BBD2-8A165079C61B}"/>
    <hyperlink ref="M107" location="Go_ExpandCollapse" tooltip="Show/Hide Workpapers" display="Go_ExpandCollapse" xr:uid="{C30C7DBB-1561-4DB6-A7B2-41734FE17EE2}"/>
    <hyperlink ref="M108" location="Go_ExpandCollapse" tooltip="Show/Hide Workpapers" display="Go_ExpandCollapse" xr:uid="{7A7652DB-37BF-45E2-97C9-28DF5BE0C2FB}"/>
    <hyperlink ref="M109" location="Go_ExpandCollapse" tooltip="Show/Hide Workpapers" display="Go_ExpandCollapse" xr:uid="{E07CD27D-D28A-4306-B59A-3713752450BD}"/>
    <hyperlink ref="M110" location="Go_ExpandCollapse" tooltip="Show/Hide Workpapers" display="Go_ExpandCollapse" xr:uid="{F8C4D6D5-B7BC-4697-A743-05F0609B7D3E}"/>
    <hyperlink ref="M111" location="Go_ExpandCollapse" tooltip="Show/Hide Workpapers" display="Go_ExpandCollapse" xr:uid="{B45E4E3D-E0DF-47E8-B480-0C3000479CD9}"/>
    <hyperlink ref="M113" location="Go_ExpandCollapse" tooltip="Show/Hide Workpapers" display="Go_ExpandCollapse" xr:uid="{889B2BFC-E130-4A16-8B78-44843634DEEF}"/>
    <hyperlink ref="M115" location="Go_ExpandCollapse" tooltip="Show/Hide Workpapers" display="Go_ExpandCollapse" xr:uid="{986F7935-D87A-4805-A3FD-07D24871DD67}"/>
    <hyperlink ref="M116" location="Go_ExpandCollapse" tooltip="Show/Hide Workpapers" display="Go_ExpandCollapse" xr:uid="{8522E6E2-3BFF-408D-A1CC-29D2CC129ADB}"/>
    <hyperlink ref="M117" location="Go_ExpandCollapse" tooltip="Show/Hide Workpapers" display="Go_ExpandCollapse" xr:uid="{02734BC3-2815-43F9-B8E1-3F91A3AAF96E}"/>
    <hyperlink ref="M118" location="Go_ExpandCollapse" tooltip="Show/Hide Workpapers" display="Go_ExpandCollapse" xr:uid="{7323759C-C61F-4516-BF4B-DDF2BDFD0F20}"/>
    <hyperlink ref="M119" location="Go_ExpandCollapse" tooltip="Show/Hide Workpapers" display="Go_ExpandCollapse" xr:uid="{84BBDB0F-9B4D-415D-9B08-5F095FADBC1F}"/>
    <hyperlink ref="M121" location="Go_ExpandCollapse" tooltip="Show/Hide Workpapers" display="Go_ExpandCollapse" xr:uid="{F69B813B-E41E-43B5-BAB3-7D42A3F27116}"/>
    <hyperlink ref="M123" location="Go_ExpandCollapse" tooltip="Show/Hide Workpapers" display="Go_ExpandCollapse" xr:uid="{7D29C675-FBC4-4875-87C6-EFD725F79DEF}"/>
    <hyperlink ref="M124" location="Go_ExpandCollapse" tooltip="Show/Hide Workpapers" display="Go_ExpandCollapse" xr:uid="{A1427E57-CAD7-4B65-9BD8-FFD1464CD9A8}"/>
    <hyperlink ref="M125" location="Go_ExpandCollapse" tooltip="Show/Hide Workpapers" display="Go_ExpandCollapse" xr:uid="{E8344F97-A414-443A-8C21-7BC3783002F6}"/>
    <hyperlink ref="M126" location="Go_ExpandCollapse" tooltip="Show/Hide Workpapers" display="Go_ExpandCollapse" xr:uid="{FD40CC98-5F84-417A-97DC-C531E4302C8F}"/>
    <hyperlink ref="M127" location="Go_ExpandCollapse" tooltip="Show/Hide Workpapers" display="Go_ExpandCollapse" xr:uid="{0CDD9AAF-8671-4484-B2F0-22ABB78FB3F2}"/>
    <hyperlink ref="M128" location="Go_ExpandCollapse" tooltip="Show/Hide Workpapers" display="Go_ExpandCollapse" xr:uid="{07D57636-3376-4C75-904E-FC87A4B75025}"/>
    <hyperlink ref="M130" location="Go_ExpandCollapse" tooltip="Show/Hide Workpapers" display="Go_ExpandCollapse" xr:uid="{209EA721-9CE9-4B15-BD28-18D6288D6446}"/>
    <hyperlink ref="M131" location="Go_ExpandCollapse" tooltip="Show/Hide Workpapers" display="Go_ExpandCollapse" xr:uid="{5F68E14A-9676-46E3-9B2A-6071388F60C7}"/>
    <hyperlink ref="M132" location="Go_ExpandCollapse" tooltip="Show/Hide Workpapers" display="Go_ExpandCollapse" xr:uid="{3C74FD08-C638-4EE2-98F9-7160D14B9EC8}"/>
    <hyperlink ref="M133" location="Go_ExpandCollapse" tooltip="Show/Hide Workpapers" display="Go_ExpandCollapse" xr:uid="{AA31F456-056B-4A9F-9C29-BE5A56FFA8A9}"/>
    <hyperlink ref="M134" location="Go_ExpandCollapse" tooltip="Show/Hide Workpapers" display="Go_ExpandCollapse" xr:uid="{DADE407C-7B64-43E2-B464-4E080E100A8B}"/>
    <hyperlink ref="M136" location="Go_ExpandCollapse" tooltip="Show/Hide Workpapers" display="Go_ExpandCollapse" xr:uid="{A0A5A3F0-6125-4EEA-B91D-5B81657233B6}"/>
    <hyperlink ref="M138" location="Go_ExpandCollapse" tooltip="Show/Hide Workpapers" display="Go_ExpandCollapse" xr:uid="{34D6EFBD-C379-4388-9E7F-FA82CA25AB54}"/>
    <hyperlink ref="M139" location="Go_ExpandCollapse" tooltip="Show/Hide Workpapers" display="Go_ExpandCollapse" xr:uid="{F03B3885-94BA-45DC-B334-E8003AC1628D}"/>
    <hyperlink ref="M140" location="Go_ExpandCollapse" tooltip="Show/Hide Workpapers" display="Go_ExpandCollapse" xr:uid="{4626E5FC-8CB5-405E-9076-3CBA8F1519F0}"/>
    <hyperlink ref="M141" location="Go_ExpandCollapse" tooltip="Show/Hide Workpapers" display="Go_ExpandCollapse" xr:uid="{8A27F288-584E-4C63-A5FF-EFC66E14346D}"/>
    <hyperlink ref="M142" location="Go_ExpandCollapse" tooltip="Show/Hide Workpapers" display="Go_ExpandCollapse" xr:uid="{42FA22D3-1DF4-41C6-AF1A-B113A06EDCB6}"/>
    <hyperlink ref="M144" location="Go_ExpandCollapse" tooltip="Show/Hide Workpapers" display="Go_ExpandCollapse" xr:uid="{6A601139-5EDA-4CAF-B054-566C76EB4A9E}"/>
    <hyperlink ref="M146" location="Go_ExpandCollapse" tooltip="Show/Hide Workpapers" display="Go_ExpandCollapse" xr:uid="{1AB4A709-3669-4835-9D63-AC4038446E5A}"/>
    <hyperlink ref="M147" location="Go_ExpandCollapse" tooltip="Show/Hide Workpapers" display="Go_ExpandCollapse" xr:uid="{EAA34BC2-D724-4544-AD28-A137730C4762}"/>
    <hyperlink ref="M148" location="Go_ExpandCollapse" tooltip="Show/Hide Workpapers" display="Go_ExpandCollapse" xr:uid="{EF7A02D2-A6D1-467D-B05D-4F989BCE55E4}"/>
    <hyperlink ref="M149" location="Go_ExpandCollapse" tooltip="Show/Hide Workpapers" display="Go_ExpandCollapse" xr:uid="{BF0A0153-FEAF-4F30-A93D-6F3E653F16FB}"/>
    <hyperlink ref="M150" location="Go_ExpandCollapse" tooltip="Show/Hide Workpapers" display="Go_ExpandCollapse" xr:uid="{DF0B7653-25CC-4647-B74C-40E022316CD2}"/>
    <hyperlink ref="M152" location="Go_ExpandCollapse" tooltip="Show/Hide Workpapers" display="Go_ExpandCollapse" xr:uid="{9DAE2D13-122B-4C79-AD1E-BFE45A22BEAF}"/>
    <hyperlink ref="M154" location="Go_ExpandCollapse" tooltip="Show/Hide Workpapers" display="Go_ExpandCollapse" xr:uid="{CB56ED22-6F9B-4D97-8DF5-AF46F6A82D8A}"/>
    <hyperlink ref="M155" location="Go_ExpandCollapse" tooltip="Show/Hide Workpapers" display="Go_ExpandCollapse" xr:uid="{D2F72CA1-985B-4016-BBAE-CA05B9720AFA}"/>
    <hyperlink ref="M156" location="Go_ExpandCollapse" tooltip="Show/Hide Workpapers" display="Go_ExpandCollapse" xr:uid="{5677DD54-6A36-4BEB-895C-F53DAEBE72B9}"/>
    <hyperlink ref="M157" location="Go_ExpandCollapse" tooltip="Show/Hide Workpapers" display="Go_ExpandCollapse" xr:uid="{C40F0C75-3220-480E-BB6C-49F3C5EFC747}"/>
    <hyperlink ref="M158" location="Go_ExpandCollapse" tooltip="Show/Hide Workpapers" display="Go_ExpandCollapse" xr:uid="{DE074757-972A-48CC-B7BF-667CBC0942DB}"/>
    <hyperlink ref="M159" location="Go_ExpandCollapse" tooltip="Show/Hide Workpapers" display="Go_ExpandCollapse" xr:uid="{89D44C41-5ED8-43FB-9FAD-C52FD8B656FC}"/>
    <hyperlink ref="M160" location="Go_ExpandCollapse" tooltip="Show/Hide Workpapers" display="Go_ExpandCollapse" xr:uid="{87B67F58-1255-4EC0-ACE5-14D74DA6BF99}"/>
    <hyperlink ref="M161" location="Go_ExpandCollapse" tooltip="Show/Hide Workpapers" display="Go_ExpandCollapse" xr:uid="{0372C475-7B19-4827-B243-5F1DED9BCBA5}"/>
    <hyperlink ref="M162" location="Go_ExpandCollapse" tooltip="Show/Hide Workpapers" display="Go_ExpandCollapse" xr:uid="{39C27275-B98D-43CE-85E7-2CEAA3335460}"/>
    <hyperlink ref="M163" location="Go_ExpandCollapse" tooltip="Show/Hide Workpapers" display="Go_ExpandCollapse" xr:uid="{5D9C96C8-EF67-488C-B0CB-5D0BDC15BD36}"/>
    <hyperlink ref="M164" location="Go_ExpandCollapse" tooltip="Show/Hide Workpapers" display="Go_ExpandCollapse" xr:uid="{8CE41732-74DA-4661-ABF9-75F9D4C13C16}"/>
    <hyperlink ref="M165" location="Go_ExpandCollapse" tooltip="Show/Hide Workpapers" display="Go_ExpandCollapse" xr:uid="{AE64EEF5-D76E-4346-9EC0-CD77AD044692}"/>
    <hyperlink ref="M166" location="Go_ExpandCollapse" tooltip="Show/Hide Workpapers" display="Go_ExpandCollapse" xr:uid="{7274FCED-9FF0-4F24-9CFC-4FA22A9BF7D9}"/>
    <hyperlink ref="M167" location="Go_ExpandCollapse" tooltip="Show/Hide Workpapers" display="Go_ExpandCollapse" xr:uid="{98AC5A2E-A154-45AC-AEC1-FE9154CE9626}"/>
    <hyperlink ref="M168" location="Go_ExpandCollapse" tooltip="Show/Hide Workpapers" display="Go_ExpandCollapse" xr:uid="{2F5B0BC0-B264-4FA4-A813-56EB8F5D7278}"/>
    <hyperlink ref="M169" location="Go_ExpandCollapse" tooltip="Show/Hide Workpapers" display="Go_ExpandCollapse" xr:uid="{04BFF533-D5D2-4538-944C-7DE0EF738E4D}"/>
    <hyperlink ref="M170" location="Go_ExpandCollapse" tooltip="Show/Hide Workpapers" display="Go_ExpandCollapse" xr:uid="{A5DE1BDA-1B5B-4AC8-9082-DE81800CCD25}"/>
    <hyperlink ref="M171" location="Go_ExpandCollapse" tooltip="Show/Hide Workpapers" display="Go_ExpandCollapse" xr:uid="{AACBA2A4-CF91-484A-949F-6D363D0520F2}"/>
    <hyperlink ref="M172" location="Go_ExpandCollapse" tooltip="Show/Hide Workpapers" display="Go_ExpandCollapse" xr:uid="{E17C06DC-4226-457E-88CB-801CDE8B3B8A}"/>
    <hyperlink ref="M173" location="Go_ExpandCollapse" tooltip="Show/Hide Workpapers" display="Go_ExpandCollapse" xr:uid="{CFD200EA-C7C3-4175-9CB3-3BDF798E20F4}"/>
    <hyperlink ref="M174" location="Go_ExpandCollapse" tooltip="Show/Hide Workpapers" display="Go_ExpandCollapse" xr:uid="{61EF8FAB-50CB-4CBB-AC57-686766B7FBFC}"/>
    <hyperlink ref="M175" location="Go_ExpandCollapse" tooltip="Show/Hide Workpapers" display="Go_ExpandCollapse" xr:uid="{6BDCF864-8D41-4875-AADE-7E75375C272C}"/>
    <hyperlink ref="M176" location="Go_ExpandCollapse" tooltip="Show/Hide Workpapers" display="Go_ExpandCollapse" xr:uid="{DF250485-6CAA-454A-855A-3EB46CF89747}"/>
    <hyperlink ref="M177" location="Go_ExpandCollapse" tooltip="Show/Hide Workpapers" display="Go_ExpandCollapse" xr:uid="{A20BBF9A-5ACD-4BB5-BFFF-3F11D49A6EDD}"/>
    <hyperlink ref="M178" location="Go_ExpandCollapse" tooltip="Show/Hide Workpapers" display="Go_ExpandCollapse" xr:uid="{64E75A93-8E87-4577-A77C-41BBC299ADBD}"/>
    <hyperlink ref="M179" location="Go_ExpandCollapse" tooltip="Show/Hide Workpapers" display="Go_ExpandCollapse" xr:uid="{854948B1-EE6B-484E-8E46-3931326C2B08}"/>
    <hyperlink ref="M181" location="Go_ExpandCollapse" tooltip="Show/Hide Workpapers" display="Go_ExpandCollapse" xr:uid="{5EC7199A-1AE7-417C-ADEB-AD987D35FC1A}"/>
    <hyperlink ref="M182" location="Go_ExpandCollapse" tooltip="Show/Hide Workpapers" display="Go_ExpandCollapse" xr:uid="{24BEA7AC-C4A8-4829-BDB3-73D22A2A7E21}"/>
    <hyperlink ref="M183" location="Go_ExpandCollapse" tooltip="Show/Hide Workpapers" display="Go_ExpandCollapse" xr:uid="{5C24F4CF-60E0-49DA-AE8F-A109FF464F66}"/>
    <hyperlink ref="M184" location="Go_ExpandCollapse" tooltip="Show/Hide Workpapers" display="Go_ExpandCollapse" xr:uid="{EA8D5448-E96C-4F66-B74D-F21F61701902}"/>
    <hyperlink ref="M186" location="Go_ExpandCollapse" tooltip="Show/Hide Workpapers" display="Go_ExpandCollapse" xr:uid="{A10B6D25-EAF4-4C35-A1F7-F1D55CA9482C}"/>
    <hyperlink ref="M189" location="Go_ExpandCollapse" tooltip="Show/Hide Workpapers" display="Go_ExpandCollapse" xr:uid="{66C7471F-F3C5-46D5-93F4-CF541E4416EC}"/>
    <hyperlink ref="M190" location="Go_ExpandCollapse" tooltip="Show/Hide Workpapers" display="Go_ExpandCollapse" xr:uid="{B009F199-60AC-479D-9B3F-C0D84C75E2D5}"/>
    <hyperlink ref="M191" location="Go_ExpandCollapse" tooltip="Show/Hide Workpapers" display="Go_ExpandCollapse" xr:uid="{BC0056D4-F65C-4B9E-9B0A-1EBC2B10710A}"/>
    <hyperlink ref="M192" location="Go_ExpandCollapse" tooltip="Show/Hide Workpapers" display="Go_ExpandCollapse" xr:uid="{24935285-59D0-4E2A-889D-E6917AC249E5}"/>
    <hyperlink ref="M193" location="Go_ExpandCollapse" tooltip="Show/Hide Workpapers" display="Go_ExpandCollapse" xr:uid="{B8DE3B9A-2EDB-40BC-9578-C3900905CF48}"/>
    <hyperlink ref="M194" location="Go_ExpandCollapse" tooltip="Show/Hide Workpapers" display="Go_ExpandCollapse" xr:uid="{8CC3DC70-F573-49B0-B58D-83E0DF7C333A}"/>
    <hyperlink ref="M196" location="Go_ExpandCollapse" tooltip="Show/Hide Workpapers" display="Go_ExpandCollapse" xr:uid="{653F0608-F932-4FD2-A506-D85C054C3E8D}"/>
    <hyperlink ref="M198" location="Go_ExpandCollapse" tooltip="Show/Hide Workpapers" display="Go_ExpandCollapse" xr:uid="{C8E81842-937B-4174-B0DB-577C70460A57}"/>
    <hyperlink ref="M199" location="Go_ExpandCollapse" tooltip="Show/Hide Workpapers" display="Go_ExpandCollapse" xr:uid="{73F1631A-BE4D-49A9-90BB-9A3EC28CE2F6}"/>
    <hyperlink ref="M200" location="Go_ExpandCollapse" tooltip="Show/Hide Workpapers" display="Go_ExpandCollapse" xr:uid="{5E8B7A26-9680-4698-9942-D0D8D1F6F23F}"/>
    <hyperlink ref="M201" location="Go_ExpandCollapse" tooltip="Show/Hide Workpapers" display="Go_ExpandCollapse" xr:uid="{96C9B8D7-CFEC-4CB3-8DC7-F3BC7D8C42C5}"/>
    <hyperlink ref="M202" location="Go_ExpandCollapse" tooltip="Show/Hide Workpapers" display="Go_ExpandCollapse" xr:uid="{1E8F92FC-5E18-4AFC-8612-FD6C55FA79E0}"/>
    <hyperlink ref="M203" location="Go_ExpandCollapse" tooltip="Show/Hide Workpapers" display="Go_ExpandCollapse" xr:uid="{3BF0044A-A386-4F9F-B48C-D0E18F59B1F4}"/>
    <hyperlink ref="M204" location="Go_ExpandCollapse" tooltip="Show/Hide Workpapers" display="Go_ExpandCollapse" xr:uid="{0DB0E708-3135-40FE-AB13-1F5D43ABD67B}"/>
    <hyperlink ref="M205" location="Go_ExpandCollapse" tooltip="Show/Hide Workpapers" display="Go_ExpandCollapse" xr:uid="{9806BC23-D624-4351-B205-5797C5AFFFBC}"/>
    <hyperlink ref="M206" location="Go_ExpandCollapse" tooltip="Show/Hide Workpapers" display="Go_ExpandCollapse" xr:uid="{F411E278-5E03-45B8-8DA6-0AB433A2C750}"/>
    <hyperlink ref="M207" location="Go_ExpandCollapse" tooltip="Show/Hide Workpapers" display="Go_ExpandCollapse" xr:uid="{8E54F5ED-E772-487B-BBE1-ECF5CB4D382B}"/>
    <hyperlink ref="M208" location="Go_ExpandCollapse" tooltip="Show/Hide Workpapers" display="Go_ExpandCollapse" xr:uid="{F41F06C3-4BFF-461E-AADA-17D818015BCA}"/>
    <hyperlink ref="M209" location="Go_ExpandCollapse" tooltip="Show/Hide Workpapers" display="Go_ExpandCollapse" xr:uid="{F6797EB8-3540-46E3-BEBC-E1587F01F6A4}"/>
    <hyperlink ref="M210" location="Go_ExpandCollapse" tooltip="Show/Hide Workpapers" display="Go_ExpandCollapse" xr:uid="{3D2284E1-EDCF-4A24-BFAA-DDB06D5B3028}"/>
    <hyperlink ref="M213" location="Go_ExpandCollapse" tooltip="Show/Hide Workpapers" display="Go_ExpandCollapse" xr:uid="{8ED2A4BF-0CAC-40BA-BDE9-695A561622B1}"/>
    <hyperlink ref="M214" location="Go_ExpandCollapse" tooltip="Show/Hide Workpapers" display="Go_ExpandCollapse" xr:uid="{7B438D72-028D-4A21-A42B-EFF805AF8DB9}"/>
    <hyperlink ref="M215" location="Go_ExpandCollapse" tooltip="Show/Hide Workpapers" display="Go_ExpandCollapse" xr:uid="{53EE9EAD-48FD-453C-B7B3-1909A12C8261}"/>
    <hyperlink ref="M216" location="Go_ExpandCollapse" tooltip="Show/Hide Workpapers" display="Go_ExpandCollapse" xr:uid="{444FBE96-F676-4E4C-AF4E-BBE1BDC1B937}"/>
    <hyperlink ref="M217" location="Go_ExpandCollapse" tooltip="Show/Hide Workpapers" display="Go_ExpandCollapse" xr:uid="{B5F0DB64-A2B5-4D16-BE85-5623579B7563}"/>
    <hyperlink ref="M218" location="Go_ExpandCollapse" tooltip="Show/Hide Workpapers" display="Go_ExpandCollapse" xr:uid="{AA85A393-79BE-4227-AF36-391088FA7782}"/>
    <hyperlink ref="M221" location="Go_ExpandCollapse" tooltip="Show/Hide Workpapers" display="Go_ExpandCollapse" xr:uid="{E6B902C7-A455-4480-8180-5E09F17875EA}"/>
    <hyperlink ref="M222" location="Go_ExpandCollapse" tooltip="Show/Hide Workpapers" display="Go_ExpandCollapse" xr:uid="{073182B9-B156-4464-A376-0FFE74441B62}"/>
    <hyperlink ref="M223" location="Go_ExpandCollapse" tooltip="Show/Hide Workpapers" display="Go_ExpandCollapse" xr:uid="{CF69F98F-BB71-455C-AA47-44FAA4DFBD2D}"/>
    <hyperlink ref="M224" location="Go_ExpandCollapse" tooltip="Show/Hide Workpapers" display="Go_ExpandCollapse" xr:uid="{701AB340-C5DB-44C2-A077-7BF757780275}"/>
    <hyperlink ref="M225" location="Go_ExpandCollapse" tooltip="Show/Hide Workpapers" display="Go_ExpandCollapse" xr:uid="{FCB0EAC3-BB3E-45CD-89B2-6CFC00032782}"/>
    <hyperlink ref="M226" location="Go_ExpandCollapse" tooltip="Show/Hide Workpapers" display="Go_ExpandCollapse" xr:uid="{77C8CBAC-FC5A-473B-9874-D9D5AD6E1C09}"/>
    <hyperlink ref="M227" location="Go_ExpandCollapse" tooltip="Show/Hide Workpapers" display="Go_ExpandCollapse" xr:uid="{A011A7DC-014C-4147-95BD-734EA4DD9AAF}"/>
    <hyperlink ref="M228" location="Go_ExpandCollapse" tooltip="Show/Hide Workpapers" display="Go_ExpandCollapse" xr:uid="{4BC536B9-EA72-4A5A-9B0F-A681E38331AF}"/>
    <hyperlink ref="M229" location="Go_ExpandCollapse" tooltip="Show/Hide Workpapers" display="Go_ExpandCollapse" xr:uid="{0B52F600-8820-4784-84BA-7375C7BD99E5}"/>
    <hyperlink ref="M230" location="Go_ExpandCollapse" tooltip="Show/Hide Workpapers" display="Go_ExpandCollapse" xr:uid="{3FA49E1E-3CFF-4F2B-A6ED-90BFA81DC86B}"/>
    <hyperlink ref="M231" location="Go_ExpandCollapse" tooltip="Show/Hide Workpapers" display="Go_ExpandCollapse" xr:uid="{8AD7A039-FDBB-4106-A2BE-03DB34335378}"/>
    <hyperlink ref="M232" location="Go_ExpandCollapse" tooltip="Show/Hide Workpapers" display="Go_ExpandCollapse" xr:uid="{2C2F5A1A-D3AE-4D9E-B35F-2AFC5AB8D748}"/>
    <hyperlink ref="M233" location="Go_ExpandCollapse" tooltip="Show/Hide Workpapers" display="Go_ExpandCollapse" xr:uid="{D42983CA-F354-4242-AD77-3982976649C6}"/>
  </hyperlinks>
  <printOptions horizontalCentered="1"/>
  <pageMargins left="0.25" right="0.25" top="0.75" bottom="0.75" header="0.3" footer="0.3"/>
  <pageSetup paperSize="9" scale="52" fitToHeight="2" orientation="portrait" r:id="rId9"/>
  <headerFooter alignWithMargins="0">
    <oddFooter>&amp;L&amp;F
Copyright © 2003-Present Business Fitness Pty Ltd&amp;R&amp;A &amp;P</oddFooter>
  </headerFooter>
  <customProperties>
    <customPr name="SheetId" r:id="rId10"/>
  </customProperties>
  <drawing r:id="rId1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O76"/>
  <sheetViews>
    <sheetView topLeftCell="A58" workbookViewId="0">
      <selection activeCell="J95" sqref="J95"/>
    </sheetView>
  </sheetViews>
  <sheetFormatPr defaultColWidth="13.7109375" defaultRowHeight="12.75"/>
  <cols>
    <col min="1" max="12" width="11.42578125" style="214" customWidth="1"/>
    <col min="13" max="13" width="0.5703125" style="214" customWidth="1"/>
    <col min="14" max="16384" width="13.7109375" style="214"/>
  </cols>
  <sheetData>
    <row r="1" spans="1:15">
      <c r="A1" s="232"/>
      <c r="B1" s="232"/>
      <c r="C1" s="232"/>
      <c r="D1" s="232"/>
      <c r="E1" s="232"/>
      <c r="F1" s="232"/>
      <c r="G1" s="232"/>
      <c r="H1" s="232"/>
      <c r="I1" s="232"/>
      <c r="J1" s="232"/>
      <c r="K1" s="232"/>
      <c r="L1" s="232"/>
    </row>
    <row r="2" spans="1:15" s="216" customFormat="1" ht="20.25">
      <c r="A2" s="262" t="s">
        <v>401</v>
      </c>
      <c r="B2" s="259"/>
      <c r="C2" s="259"/>
      <c r="D2" s="259"/>
      <c r="E2" s="259"/>
      <c r="F2" s="259"/>
      <c r="G2" s="259"/>
      <c r="H2" s="259"/>
      <c r="I2" s="259"/>
      <c r="J2" s="259"/>
      <c r="K2" s="259"/>
      <c r="L2" s="259"/>
      <c r="O2" s="372"/>
    </row>
    <row r="3" spans="1:15" s="216" customFormat="1" ht="15" customHeight="1">
      <c r="A3" s="259"/>
      <c r="B3" s="259" t="s">
        <v>402</v>
      </c>
      <c r="C3" s="259"/>
      <c r="D3" s="259"/>
      <c r="E3" s="259"/>
      <c r="F3" s="259"/>
      <c r="G3" s="259"/>
      <c r="H3" s="259"/>
      <c r="I3" s="259"/>
      <c r="J3" s="259"/>
      <c r="K3" s="259"/>
      <c r="L3" s="259"/>
      <c r="O3" s="372"/>
    </row>
    <row r="4" spans="1:15" s="216" customFormat="1" ht="15" customHeight="1">
      <c r="A4" s="259"/>
      <c r="B4" s="259"/>
      <c r="C4" s="259"/>
      <c r="D4" s="259"/>
      <c r="E4" s="259"/>
      <c r="F4" s="259"/>
      <c r="G4" s="259"/>
      <c r="H4" s="259"/>
      <c r="I4" s="259"/>
      <c r="J4" s="259"/>
      <c r="K4" s="259"/>
      <c r="L4" s="259"/>
      <c r="O4" s="372"/>
    </row>
    <row r="5" spans="1:15" s="216" customFormat="1" ht="15" customHeight="1">
      <c r="A5" s="259"/>
      <c r="B5" s="259"/>
      <c r="C5" s="259"/>
      <c r="D5" s="259"/>
      <c r="E5" s="259"/>
      <c r="F5" s="259"/>
      <c r="G5" s="259"/>
      <c r="H5" s="259"/>
      <c r="I5" s="259"/>
      <c r="J5" s="259"/>
      <c r="K5" s="259"/>
      <c r="L5" s="259"/>
      <c r="O5" s="372"/>
    </row>
    <row r="6" spans="1:15" ht="15" customHeight="1">
      <c r="A6" s="265" t="s">
        <v>219</v>
      </c>
      <c r="B6" s="239" t="str">
        <f>'Assignment To do'!B3</f>
        <v>The Schubert Superannuation Fund</v>
      </c>
      <c r="C6" s="265"/>
      <c r="D6" s="265"/>
      <c r="E6" s="265"/>
      <c r="F6" s="265"/>
      <c r="G6" s="265"/>
      <c r="H6" s="265"/>
      <c r="I6" s="265"/>
      <c r="J6" s="265" t="s">
        <v>220</v>
      </c>
      <c r="K6" s="232"/>
      <c r="L6" s="235">
        <f>'Assignment To do'!I7</f>
        <v>43482</v>
      </c>
    </row>
    <row r="7" spans="1:15" ht="15" customHeight="1">
      <c r="A7" s="265" t="s">
        <v>223</v>
      </c>
      <c r="B7" s="239" t="str">
        <f>'Assignment To do'!B4</f>
        <v>2018 Year End</v>
      </c>
      <c r="C7" s="265"/>
      <c r="D7" s="265"/>
      <c r="E7" s="265"/>
      <c r="F7" s="265"/>
      <c r="G7" s="266"/>
      <c r="H7" s="266"/>
      <c r="I7" s="266"/>
      <c r="J7" s="265" t="s">
        <v>224</v>
      </c>
      <c r="K7" s="232"/>
      <c r="L7" s="241" t="str">
        <f>'Assignment To do'!I8</f>
        <v>Kristy Gorgievski</v>
      </c>
    </row>
    <row r="8" spans="1:15" ht="15" customHeight="1">
      <c r="A8" s="265" t="s">
        <v>245</v>
      </c>
      <c r="B8" s="239" t="str">
        <f>+A2</f>
        <v>Manager Review Points</v>
      </c>
      <c r="C8" s="265"/>
      <c r="D8" s="265"/>
      <c r="E8" s="265"/>
      <c r="F8" s="265"/>
      <c r="G8" s="265"/>
      <c r="H8" s="265"/>
      <c r="I8" s="265"/>
      <c r="J8" s="265" t="s">
        <v>468</v>
      </c>
      <c r="K8" s="232"/>
      <c r="L8" s="244">
        <f>'Assignment To do'!I9</f>
        <v>0</v>
      </c>
    </row>
    <row r="9" spans="1:15" ht="15" customHeight="1" thickBot="1">
      <c r="A9" s="373"/>
      <c r="B9" s="373"/>
      <c r="C9" s="373"/>
      <c r="D9" s="373"/>
      <c r="E9" s="373"/>
      <c r="F9" s="373"/>
      <c r="G9" s="373"/>
      <c r="H9" s="373"/>
      <c r="I9" s="373"/>
      <c r="J9" s="373"/>
      <c r="K9" s="268"/>
      <c r="L9" s="374"/>
    </row>
    <row r="10" spans="1:15">
      <c r="A10" s="265"/>
      <c r="B10" s="238"/>
      <c r="C10" s="238"/>
      <c r="D10" s="238"/>
      <c r="E10" s="238"/>
      <c r="F10" s="265"/>
      <c r="G10" s="232"/>
      <c r="H10" s="232"/>
      <c r="I10" s="232"/>
      <c r="J10" s="232"/>
      <c r="K10" s="265"/>
      <c r="L10" s="375"/>
    </row>
    <row r="11" spans="1:15" ht="15">
      <c r="A11" s="1094" t="s">
        <v>295</v>
      </c>
      <c r="B11" s="1094"/>
      <c r="C11" s="1094"/>
      <c r="D11" s="1094"/>
      <c r="E11" s="1094"/>
      <c r="F11" s="1094"/>
      <c r="G11" s="1095" t="s">
        <v>296</v>
      </c>
      <c r="H11" s="1095"/>
      <c r="I11" s="1095"/>
      <c r="J11" s="1095"/>
      <c r="K11" s="1095"/>
      <c r="L11" s="1095"/>
    </row>
    <row r="12" spans="1:15">
      <c r="A12" s="1096"/>
      <c r="B12" s="1097"/>
      <c r="C12" s="1097"/>
      <c r="D12" s="1097"/>
      <c r="E12" s="1097"/>
      <c r="F12" s="1097"/>
      <c r="G12" s="1098"/>
      <c r="H12" s="1098"/>
      <c r="I12" s="1098"/>
      <c r="J12" s="1098"/>
      <c r="K12" s="1098"/>
      <c r="L12" s="1099"/>
    </row>
    <row r="13" spans="1:15">
      <c r="A13" s="1072"/>
      <c r="B13" s="1073"/>
      <c r="C13" s="1073"/>
      <c r="D13" s="1073"/>
      <c r="E13" s="1073"/>
      <c r="F13" s="1073"/>
      <c r="G13" s="1080"/>
      <c r="H13" s="1080"/>
      <c r="I13" s="1080"/>
      <c r="J13" s="1080"/>
      <c r="K13" s="1080"/>
      <c r="L13" s="1081"/>
    </row>
    <row r="14" spans="1:15" ht="20.25" customHeight="1">
      <c r="A14" s="1070" t="s">
        <v>1039</v>
      </c>
      <c r="B14" s="1071"/>
      <c r="C14" s="1071"/>
      <c r="D14" s="1071"/>
      <c r="E14" s="1071"/>
      <c r="F14" s="1071"/>
      <c r="G14" s="1086" t="s">
        <v>1094</v>
      </c>
      <c r="H14" s="1086"/>
      <c r="I14" s="1086"/>
      <c r="J14" s="1086"/>
      <c r="K14" s="1086"/>
      <c r="L14" s="1087"/>
    </row>
    <row r="15" spans="1:15">
      <c r="A15" s="1072"/>
      <c r="B15" s="1073"/>
      <c r="C15" s="1073"/>
      <c r="D15" s="1073"/>
      <c r="E15" s="1073"/>
      <c r="F15" s="1073"/>
      <c r="G15" s="1088"/>
      <c r="H15" s="1088"/>
      <c r="I15" s="1088"/>
      <c r="J15" s="1088"/>
      <c r="K15" s="1088"/>
      <c r="L15" s="1089"/>
    </row>
    <row r="16" spans="1:15" ht="19.5" customHeight="1">
      <c r="A16" s="1070" t="s">
        <v>1040</v>
      </c>
      <c r="B16" s="1071"/>
      <c r="C16" s="1071"/>
      <c r="D16" s="1071"/>
      <c r="E16" s="1071"/>
      <c r="F16" s="1071"/>
      <c r="G16" s="1086" t="s">
        <v>1068</v>
      </c>
      <c r="H16" s="1086"/>
      <c r="I16" s="1086"/>
      <c r="J16" s="1086"/>
      <c r="K16" s="1086"/>
      <c r="L16" s="1087"/>
    </row>
    <row r="17" spans="1:15">
      <c r="A17" s="1072"/>
      <c r="B17" s="1073"/>
      <c r="C17" s="1073"/>
      <c r="D17" s="1073"/>
      <c r="E17" s="1073"/>
      <c r="F17" s="1073"/>
      <c r="G17" s="1088"/>
      <c r="H17" s="1088"/>
      <c r="I17" s="1088"/>
      <c r="J17" s="1088"/>
      <c r="K17" s="1088"/>
      <c r="L17" s="1089"/>
    </row>
    <row r="18" spans="1:15">
      <c r="A18" s="1070" t="s">
        <v>1042</v>
      </c>
      <c r="B18" s="1071"/>
      <c r="C18" s="1071"/>
      <c r="D18" s="1071"/>
      <c r="E18" s="1071"/>
      <c r="F18" s="1071"/>
      <c r="G18" s="1090" t="s">
        <v>1067</v>
      </c>
      <c r="H18" s="1090"/>
      <c r="I18" s="1090"/>
      <c r="J18" s="1090"/>
      <c r="K18" s="1090"/>
      <c r="L18" s="1091"/>
    </row>
    <row r="19" spans="1:15">
      <c r="A19" s="1072"/>
      <c r="B19" s="1073"/>
      <c r="C19" s="1073"/>
      <c r="D19" s="1073"/>
      <c r="E19" s="1073"/>
      <c r="F19" s="1073"/>
      <c r="G19" s="1092"/>
      <c r="H19" s="1092"/>
      <c r="I19" s="1092"/>
      <c r="J19" s="1092"/>
      <c r="K19" s="1092"/>
      <c r="L19" s="1093"/>
    </row>
    <row r="20" spans="1:15" ht="18.75" customHeight="1">
      <c r="A20" s="1070" t="s">
        <v>1043</v>
      </c>
      <c r="B20" s="1071"/>
      <c r="C20" s="1071"/>
      <c r="D20" s="1071"/>
      <c r="E20" s="1071"/>
      <c r="F20" s="1071"/>
      <c r="G20" s="1086" t="s">
        <v>1069</v>
      </c>
      <c r="H20" s="1086"/>
      <c r="I20" s="1086"/>
      <c r="J20" s="1086"/>
      <c r="K20" s="1086"/>
      <c r="L20" s="1087"/>
    </row>
    <row r="21" spans="1:15">
      <c r="A21" s="1072"/>
      <c r="B21" s="1073"/>
      <c r="C21" s="1073"/>
      <c r="D21" s="1073"/>
      <c r="E21" s="1073"/>
      <c r="F21" s="1073"/>
      <c r="G21" s="1088"/>
      <c r="H21" s="1088"/>
      <c r="I21" s="1088"/>
      <c r="J21" s="1088"/>
      <c r="K21" s="1088"/>
      <c r="L21" s="1089"/>
      <c r="O21" s="803" t="s">
        <v>1011</v>
      </c>
    </row>
    <row r="22" spans="1:15">
      <c r="A22" s="1082" t="s">
        <v>1123</v>
      </c>
      <c r="B22" s="1083"/>
      <c r="C22" s="1083"/>
      <c r="D22" s="1083"/>
      <c r="E22" s="1083"/>
      <c r="F22" s="1083"/>
      <c r="G22" s="1078"/>
      <c r="H22" s="1078"/>
      <c r="I22" s="1078"/>
      <c r="J22" s="1078"/>
      <c r="K22" s="1078"/>
      <c r="L22" s="1079"/>
    </row>
    <row r="23" spans="1:15">
      <c r="A23" s="1084"/>
      <c r="B23" s="1085"/>
      <c r="C23" s="1085"/>
      <c r="D23" s="1085"/>
      <c r="E23" s="1085"/>
      <c r="F23" s="1085"/>
      <c r="G23" s="1080"/>
      <c r="H23" s="1080"/>
      <c r="I23" s="1080"/>
      <c r="J23" s="1080"/>
      <c r="K23" s="1080"/>
      <c r="L23" s="1081"/>
    </row>
    <row r="24" spans="1:15">
      <c r="A24" s="1070" t="s">
        <v>1102</v>
      </c>
      <c r="B24" s="1071"/>
      <c r="C24" s="1071"/>
      <c r="D24" s="1071"/>
      <c r="E24" s="1071"/>
      <c r="F24" s="1071"/>
      <c r="G24" s="1078"/>
      <c r="H24" s="1078"/>
      <c r="I24" s="1078"/>
      <c r="J24" s="1078"/>
      <c r="K24" s="1078"/>
      <c r="L24" s="1079"/>
    </row>
    <row r="25" spans="1:15">
      <c r="A25" s="1072"/>
      <c r="B25" s="1073"/>
      <c r="C25" s="1073"/>
      <c r="D25" s="1073"/>
      <c r="E25" s="1073"/>
      <c r="F25" s="1073"/>
      <c r="G25" s="1080"/>
      <c r="H25" s="1080"/>
      <c r="I25" s="1080"/>
      <c r="J25" s="1080"/>
      <c r="K25" s="1080"/>
      <c r="L25" s="1081"/>
    </row>
    <row r="26" spans="1:15">
      <c r="A26" s="1070" t="s">
        <v>1103</v>
      </c>
      <c r="B26" s="1071"/>
      <c r="C26" s="1071"/>
      <c r="D26" s="1071"/>
      <c r="E26" s="1071"/>
      <c r="F26" s="1071"/>
      <c r="G26" s="1078"/>
      <c r="H26" s="1078"/>
      <c r="I26" s="1078"/>
      <c r="J26" s="1078"/>
      <c r="K26" s="1078"/>
      <c r="L26" s="1079"/>
    </row>
    <row r="27" spans="1:15">
      <c r="A27" s="1072"/>
      <c r="B27" s="1073"/>
      <c r="C27" s="1073"/>
      <c r="D27" s="1073"/>
      <c r="E27" s="1073"/>
      <c r="F27" s="1073"/>
      <c r="G27" s="1080"/>
      <c r="H27" s="1080"/>
      <c r="I27" s="1080"/>
      <c r="J27" s="1080"/>
      <c r="K27" s="1080"/>
      <c r="L27" s="1081"/>
    </row>
    <row r="28" spans="1:15">
      <c r="A28" s="1070" t="s">
        <v>1104</v>
      </c>
      <c r="B28" s="1071"/>
      <c r="C28" s="1071"/>
      <c r="D28" s="1071"/>
      <c r="E28" s="1071"/>
      <c r="F28" s="1071"/>
      <c r="G28" s="1078"/>
      <c r="H28" s="1078"/>
      <c r="I28" s="1078"/>
      <c r="J28" s="1078"/>
      <c r="K28" s="1078"/>
      <c r="L28" s="1079"/>
    </row>
    <row r="29" spans="1:15">
      <c r="A29" s="1072"/>
      <c r="B29" s="1073"/>
      <c r="C29" s="1073"/>
      <c r="D29" s="1073"/>
      <c r="E29" s="1073"/>
      <c r="F29" s="1073"/>
      <c r="G29" s="1080"/>
      <c r="H29" s="1080"/>
      <c r="I29" s="1080"/>
      <c r="J29" s="1080"/>
      <c r="K29" s="1080"/>
      <c r="L29" s="1081"/>
    </row>
    <row r="30" spans="1:15">
      <c r="A30" s="1070" t="s">
        <v>1105</v>
      </c>
      <c r="B30" s="1071"/>
      <c r="C30" s="1071"/>
      <c r="D30" s="1071"/>
      <c r="E30" s="1071"/>
      <c r="F30" s="1071"/>
      <c r="G30" s="1074"/>
      <c r="H30" s="1074"/>
      <c r="I30" s="1074"/>
      <c r="J30" s="1074"/>
      <c r="K30" s="1074"/>
      <c r="L30" s="1075"/>
    </row>
    <row r="31" spans="1:15">
      <c r="A31" s="1072"/>
      <c r="B31" s="1073"/>
      <c r="C31" s="1073"/>
      <c r="D31" s="1073"/>
      <c r="E31" s="1073"/>
      <c r="F31" s="1073"/>
      <c r="G31" s="1076"/>
      <c r="H31" s="1076"/>
      <c r="I31" s="1076"/>
      <c r="J31" s="1076"/>
      <c r="K31" s="1076"/>
      <c r="L31" s="1077"/>
    </row>
    <row r="32" spans="1:15">
      <c r="A32" s="1070" t="s">
        <v>1106</v>
      </c>
      <c r="B32" s="1071"/>
      <c r="C32" s="1071"/>
      <c r="D32" s="1071"/>
      <c r="E32" s="1071"/>
      <c r="F32" s="1071"/>
      <c r="G32" s="1074"/>
      <c r="H32" s="1074"/>
      <c r="I32" s="1074"/>
      <c r="J32" s="1074"/>
      <c r="K32" s="1074"/>
      <c r="L32" s="1075"/>
    </row>
    <row r="33" spans="1:12">
      <c r="A33" s="1072"/>
      <c r="B33" s="1073"/>
      <c r="C33" s="1073"/>
      <c r="D33" s="1073"/>
      <c r="E33" s="1073"/>
      <c r="F33" s="1073"/>
      <c r="G33" s="1076"/>
      <c r="H33" s="1076"/>
      <c r="I33" s="1076"/>
      <c r="J33" s="1076"/>
      <c r="K33" s="1076"/>
      <c r="L33" s="1077"/>
    </row>
    <row r="34" spans="1:12">
      <c r="A34" s="1070" t="s">
        <v>1107</v>
      </c>
      <c r="B34" s="1071"/>
      <c r="C34" s="1071"/>
      <c r="D34" s="1071"/>
      <c r="E34" s="1071"/>
      <c r="F34" s="1071"/>
      <c r="G34" s="1074"/>
      <c r="H34" s="1074"/>
      <c r="I34" s="1074"/>
      <c r="J34" s="1074"/>
      <c r="K34" s="1074"/>
      <c r="L34" s="1075"/>
    </row>
    <row r="35" spans="1:12">
      <c r="A35" s="1072"/>
      <c r="B35" s="1073"/>
      <c r="C35" s="1073"/>
      <c r="D35" s="1073"/>
      <c r="E35" s="1073"/>
      <c r="F35" s="1073"/>
      <c r="G35" s="1076"/>
      <c r="H35" s="1076"/>
      <c r="I35" s="1076"/>
      <c r="J35" s="1076"/>
      <c r="K35" s="1076"/>
      <c r="L35" s="1077"/>
    </row>
    <row r="36" spans="1:12">
      <c r="A36" s="1070" t="s">
        <v>1108</v>
      </c>
      <c r="B36" s="1071"/>
      <c r="C36" s="1071"/>
      <c r="D36" s="1071"/>
      <c r="E36" s="1071"/>
      <c r="F36" s="1071"/>
      <c r="G36" s="1074"/>
      <c r="H36" s="1074"/>
      <c r="I36" s="1074"/>
      <c r="J36" s="1074"/>
      <c r="K36" s="1074"/>
      <c r="L36" s="1075"/>
    </row>
    <row r="37" spans="1:12">
      <c r="A37" s="1072"/>
      <c r="B37" s="1073"/>
      <c r="C37" s="1073"/>
      <c r="D37" s="1073"/>
      <c r="E37" s="1073"/>
      <c r="F37" s="1073"/>
      <c r="G37" s="1076"/>
      <c r="H37" s="1076"/>
      <c r="I37" s="1076"/>
      <c r="J37" s="1076"/>
      <c r="K37" s="1076"/>
      <c r="L37" s="1077"/>
    </row>
    <row r="38" spans="1:12">
      <c r="A38" s="1070" t="s">
        <v>1109</v>
      </c>
      <c r="B38" s="1071"/>
      <c r="C38" s="1071"/>
      <c r="D38" s="1071"/>
      <c r="E38" s="1071"/>
      <c r="F38" s="1071"/>
      <c r="G38" s="1074"/>
      <c r="H38" s="1074"/>
      <c r="I38" s="1074"/>
      <c r="J38" s="1074"/>
      <c r="K38" s="1074"/>
      <c r="L38" s="1075"/>
    </row>
    <row r="39" spans="1:12">
      <c r="A39" s="1072"/>
      <c r="B39" s="1073"/>
      <c r="C39" s="1073"/>
      <c r="D39" s="1073"/>
      <c r="E39" s="1073"/>
      <c r="F39" s="1073"/>
      <c r="G39" s="1076"/>
      <c r="H39" s="1076"/>
      <c r="I39" s="1076"/>
      <c r="J39" s="1076"/>
      <c r="K39" s="1076"/>
      <c r="L39" s="1077"/>
    </row>
    <row r="40" spans="1:12" ht="38.25" customHeight="1">
      <c r="A40" s="1054" t="s">
        <v>1110</v>
      </c>
      <c r="B40" s="1055"/>
      <c r="C40" s="1055"/>
      <c r="D40" s="1055"/>
      <c r="E40" s="1055"/>
      <c r="F40" s="1055"/>
      <c r="G40" s="1058" t="s">
        <v>1163</v>
      </c>
      <c r="H40" s="1058"/>
      <c r="I40" s="1058"/>
      <c r="J40" s="1058"/>
      <c r="K40" s="1058"/>
      <c r="L40" s="1059"/>
    </row>
    <row r="41" spans="1:12" ht="42" customHeight="1">
      <c r="A41" s="1056"/>
      <c r="B41" s="1057"/>
      <c r="C41" s="1057"/>
      <c r="D41" s="1057"/>
      <c r="E41" s="1057"/>
      <c r="F41" s="1057"/>
      <c r="G41" s="1060"/>
      <c r="H41" s="1060"/>
      <c r="I41" s="1060"/>
      <c r="J41" s="1060"/>
      <c r="K41" s="1060"/>
      <c r="L41" s="1061"/>
    </row>
    <row r="42" spans="1:12">
      <c r="A42" s="1062" t="s">
        <v>1111</v>
      </c>
      <c r="B42" s="1063"/>
      <c r="C42" s="1063"/>
      <c r="D42" s="1063"/>
      <c r="E42" s="1063"/>
      <c r="F42" s="1063"/>
      <c r="G42" s="1066"/>
      <c r="H42" s="1066"/>
      <c r="I42" s="1066"/>
      <c r="J42" s="1066"/>
      <c r="K42" s="1066"/>
      <c r="L42" s="1067"/>
    </row>
    <row r="43" spans="1:12">
      <c r="A43" s="1064"/>
      <c r="B43" s="1065"/>
      <c r="C43" s="1065"/>
      <c r="D43" s="1065"/>
      <c r="E43" s="1065"/>
      <c r="F43" s="1065"/>
      <c r="G43" s="1068"/>
      <c r="H43" s="1068"/>
      <c r="I43" s="1068"/>
      <c r="J43" s="1068"/>
      <c r="K43" s="1068"/>
      <c r="L43" s="1069"/>
    </row>
    <row r="44" spans="1:12" ht="1.5" customHeight="1">
      <c r="A44" s="376"/>
      <c r="B44" s="376"/>
      <c r="C44" s="376"/>
      <c r="D44" s="376"/>
      <c r="E44" s="376"/>
      <c r="F44" s="376"/>
      <c r="G44" s="377"/>
      <c r="H44" s="377"/>
      <c r="I44" s="377"/>
      <c r="J44" s="377"/>
      <c r="K44" s="377"/>
      <c r="L44" s="378"/>
    </row>
    <row r="45" spans="1:12">
      <c r="A45" s="216" t="s">
        <v>1112</v>
      </c>
      <c r="G45" s="817"/>
    </row>
    <row r="46" spans="1:12">
      <c r="A46" s="216" t="s">
        <v>1113</v>
      </c>
      <c r="G46" s="817"/>
    </row>
    <row r="47" spans="1:12">
      <c r="A47" s="216" t="s">
        <v>1114</v>
      </c>
    </row>
    <row r="48" spans="1:12">
      <c r="A48" s="216" t="s">
        <v>1115</v>
      </c>
      <c r="G48" s="817"/>
    </row>
    <row r="49" spans="1:10">
      <c r="A49" s="216" t="s">
        <v>1116</v>
      </c>
      <c r="G49" s="817"/>
    </row>
    <row r="50" spans="1:10">
      <c r="A50" s="216" t="s">
        <v>1117</v>
      </c>
    </row>
    <row r="51" spans="1:10">
      <c r="A51" s="216" t="s">
        <v>1118</v>
      </c>
      <c r="G51" s="817"/>
    </row>
    <row r="52" spans="1:10">
      <c r="A52" s="216" t="s">
        <v>1119</v>
      </c>
      <c r="G52" s="817"/>
    </row>
    <row r="53" spans="1:10">
      <c r="A53" s="216" t="s">
        <v>1120</v>
      </c>
      <c r="G53" s="817"/>
    </row>
    <row r="60" spans="1:10">
      <c r="J60" s="812" t="s">
        <v>1121</v>
      </c>
    </row>
    <row r="76" spans="10:10">
      <c r="J76" s="812" t="s">
        <v>1122</v>
      </c>
    </row>
  </sheetData>
  <mergeCells count="34">
    <mergeCell ref="A11:F11"/>
    <mergeCell ref="G11:L11"/>
    <mergeCell ref="A12:F13"/>
    <mergeCell ref="G12:L13"/>
    <mergeCell ref="A14:F15"/>
    <mergeCell ref="G14:L15"/>
    <mergeCell ref="A16:F17"/>
    <mergeCell ref="G16:L17"/>
    <mergeCell ref="A18:F19"/>
    <mergeCell ref="G18:L19"/>
    <mergeCell ref="A20:F21"/>
    <mergeCell ref="G20:L21"/>
    <mergeCell ref="A22:F23"/>
    <mergeCell ref="G22:L23"/>
    <mergeCell ref="A24:F25"/>
    <mergeCell ref="G24:L25"/>
    <mergeCell ref="A26:F27"/>
    <mergeCell ref="G26:L27"/>
    <mergeCell ref="A28:F29"/>
    <mergeCell ref="G28:L29"/>
    <mergeCell ref="A30:F31"/>
    <mergeCell ref="G30:L31"/>
    <mergeCell ref="A32:F33"/>
    <mergeCell ref="G32:L33"/>
    <mergeCell ref="A40:F41"/>
    <mergeCell ref="G40:L41"/>
    <mergeCell ref="A42:F43"/>
    <mergeCell ref="G42:L43"/>
    <mergeCell ref="A34:F35"/>
    <mergeCell ref="G34:L35"/>
    <mergeCell ref="A36:F37"/>
    <mergeCell ref="G36:L37"/>
    <mergeCell ref="A38:F39"/>
    <mergeCell ref="G38:L39"/>
  </mergeCells>
  <hyperlinks>
    <hyperlink ref="O21" r:id="rId1" display="hownow://_r816320/" xr:uid="{233DF61B-90F2-4A5F-A214-ACCF0FFE5E12}"/>
  </hyperlinks>
  <pageMargins left="0.39370078740157483" right="0.39370078740157483" top="0.39370078740157483" bottom="0.39370078740157483" header="0.31496062992125984" footer="0.31496062992125984"/>
  <pageSetup paperSize="9" scale="69" orientation="portrait" r:id="rId2"/>
  <customProperties>
    <customPr name="SheetId" r:id="rId3"/>
  </customProperties>
  <drawing r:id="rId4"/>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729FD-C996-4134-A0A0-3BC46C26A3A6}">
  <dimension ref="B2:L13"/>
  <sheetViews>
    <sheetView workbookViewId="0">
      <selection activeCell="J13" sqref="J13"/>
    </sheetView>
  </sheetViews>
  <sheetFormatPr defaultRowHeight="15"/>
  <sheetData>
    <row r="2" spans="2:12">
      <c r="B2" t="s">
        <v>1141</v>
      </c>
      <c r="K2" s="822"/>
      <c r="L2" s="821" t="s">
        <v>1157</v>
      </c>
    </row>
    <row r="3" spans="2:12">
      <c r="B3" t="s">
        <v>1142</v>
      </c>
      <c r="L3" s="821" t="s">
        <v>1150</v>
      </c>
    </row>
    <row r="4" spans="2:12">
      <c r="B4" t="s">
        <v>1143</v>
      </c>
      <c r="L4" s="821" t="s">
        <v>1149</v>
      </c>
    </row>
    <row r="5" spans="2:12">
      <c r="B5" t="s">
        <v>1144</v>
      </c>
      <c r="L5" s="821" t="s">
        <v>1159</v>
      </c>
    </row>
    <row r="6" spans="2:12">
      <c r="B6" t="s">
        <v>1145</v>
      </c>
      <c r="L6" s="821" t="s">
        <v>1151</v>
      </c>
    </row>
    <row r="7" spans="2:12">
      <c r="B7" t="s">
        <v>1146</v>
      </c>
      <c r="L7" s="821" t="s">
        <v>1154</v>
      </c>
    </row>
    <row r="8" spans="2:12">
      <c r="B8" t="s">
        <v>1147</v>
      </c>
      <c r="L8" s="821" t="s">
        <v>1156</v>
      </c>
    </row>
    <row r="9" spans="2:12">
      <c r="B9" s="31" t="s">
        <v>1148</v>
      </c>
      <c r="L9" s="821" t="s">
        <v>1162</v>
      </c>
    </row>
    <row r="11" spans="2:12">
      <c r="B11" t="s">
        <v>1166</v>
      </c>
    </row>
    <row r="12" spans="2:12">
      <c r="B12" t="s">
        <v>1164</v>
      </c>
      <c r="J12" s="821" t="s">
        <v>1167</v>
      </c>
    </row>
    <row r="13" spans="2:12">
      <c r="B13" t="s">
        <v>1165</v>
      </c>
    </row>
  </sheetData>
  <pageMargins left="0.7" right="0.7" top="0.75" bottom="0.75" header="0.3" footer="0.3"/>
  <pageSetup paperSize="9" orientation="portrait" verticalDpi="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2:L33"/>
  <sheetViews>
    <sheetView workbookViewId="0">
      <selection activeCell="E17" sqref="E17"/>
    </sheetView>
  </sheetViews>
  <sheetFormatPr defaultColWidth="13.7109375" defaultRowHeight="12.75"/>
  <cols>
    <col min="1" max="2" width="13.7109375" style="214"/>
    <col min="3" max="3" width="15.28515625" style="214" customWidth="1"/>
    <col min="4" max="4" width="16" style="214" customWidth="1"/>
    <col min="5" max="5" width="14.42578125" style="214" customWidth="1"/>
    <col min="6" max="6" width="13.7109375" style="214"/>
    <col min="7" max="7" width="14.42578125" style="214" customWidth="1"/>
    <col min="8" max="9" width="22.42578125" style="214" customWidth="1"/>
    <col min="10" max="10" width="14" style="214" customWidth="1"/>
    <col min="11" max="11" width="13.7109375" style="214"/>
    <col min="12" max="12" width="13.7109375" style="380"/>
    <col min="13" max="16384" width="13.7109375" style="214"/>
  </cols>
  <sheetData>
    <row r="2" spans="1:12">
      <c r="L2" s="214"/>
    </row>
    <row r="3" spans="1:12" ht="20.25">
      <c r="A3" s="262" t="s">
        <v>300</v>
      </c>
      <c r="B3" s="259"/>
      <c r="C3" s="259"/>
      <c r="L3" s="214"/>
    </row>
    <row r="4" spans="1:12" ht="15" customHeight="1">
      <c r="A4" s="259"/>
      <c r="B4" s="259"/>
      <c r="C4" s="259"/>
      <c r="L4" s="214"/>
    </row>
    <row r="5" spans="1:12" ht="15" customHeight="1">
      <c r="A5" s="259"/>
      <c r="B5" s="259"/>
      <c r="C5" s="259"/>
      <c r="L5" s="214"/>
    </row>
    <row r="6" spans="1:12" ht="15" customHeight="1">
      <c r="A6" s="265" t="s">
        <v>219</v>
      </c>
      <c r="B6" s="379" t="str">
        <f>'Assignment To do'!B3</f>
        <v>The Schubert Superannuation Fund</v>
      </c>
      <c r="C6" s="265"/>
      <c r="E6" s="265" t="s">
        <v>220</v>
      </c>
      <c r="F6" s="235">
        <f>'Assignment To do'!I7</f>
        <v>43482</v>
      </c>
      <c r="L6" s="214"/>
    </row>
    <row r="7" spans="1:12" ht="15" customHeight="1">
      <c r="A7" s="265" t="s">
        <v>223</v>
      </c>
      <c r="B7" s="379" t="str">
        <f>'Assignment To do'!B4</f>
        <v>2018 Year End</v>
      </c>
      <c r="C7" s="265"/>
      <c r="E7" s="265" t="s">
        <v>224</v>
      </c>
      <c r="F7" s="241" t="str">
        <f>'Assignment To do'!I8</f>
        <v>Kristy Gorgievski</v>
      </c>
      <c r="L7" s="214"/>
    </row>
    <row r="8" spans="1:12" ht="15" customHeight="1">
      <c r="A8" s="265" t="s">
        <v>245</v>
      </c>
      <c r="B8" s="265" t="str">
        <f>+A3</f>
        <v>Tax Reconciliation</v>
      </c>
      <c r="C8" s="265"/>
      <c r="E8" s="265" t="s">
        <v>468</v>
      </c>
      <c r="F8" s="244">
        <f>'Assignment To do'!I9</f>
        <v>0</v>
      </c>
      <c r="L8" s="214"/>
    </row>
    <row r="9" spans="1:12" ht="15" customHeight="1" thickBot="1">
      <c r="A9" s="223"/>
      <c r="B9" s="223"/>
      <c r="C9" s="223"/>
      <c r="D9" s="223"/>
      <c r="E9" s="223"/>
      <c r="F9" s="223"/>
      <c r="L9" s="214"/>
    </row>
    <row r="10" spans="1:12" ht="15" customHeight="1">
      <c r="L10" s="214"/>
    </row>
    <row r="11" spans="1:12" ht="15" customHeight="1">
      <c r="L11" s="214"/>
    </row>
    <row r="12" spans="1:12" ht="15" customHeight="1">
      <c r="A12" s="216" t="s">
        <v>301</v>
      </c>
    </row>
    <row r="13" spans="1:12" ht="15" customHeight="1"/>
    <row r="14" spans="1:12" ht="15" customHeight="1">
      <c r="A14" s="441"/>
      <c r="B14" s="803" t="s">
        <v>1136</v>
      </c>
      <c r="C14" s="813"/>
      <c r="D14" s="813"/>
      <c r="E14" s="813"/>
    </row>
    <row r="15" spans="1:12" s="218" customFormat="1" ht="15" customHeight="1" thickBot="1">
      <c r="A15" s="381"/>
      <c r="B15" s="381"/>
      <c r="C15" s="381"/>
      <c r="D15" s="381"/>
      <c r="E15" s="381"/>
      <c r="L15" s="382"/>
    </row>
    <row r="16" spans="1:12" ht="15" customHeight="1">
      <c r="A16" s="214" t="s">
        <v>302</v>
      </c>
      <c r="E16" s="445">
        <f>Index!J213</f>
        <v>7528.5</v>
      </c>
      <c r="F16" s="383"/>
      <c r="G16" s="1100" t="s">
        <v>391</v>
      </c>
    </row>
    <row r="17" spans="1:12" ht="15" customHeight="1">
      <c r="F17" s="383"/>
      <c r="G17" s="1101"/>
    </row>
    <row r="18" spans="1:12" ht="15" customHeight="1">
      <c r="A18" s="214" t="s">
        <v>303</v>
      </c>
      <c r="B18" s="214" t="s">
        <v>508</v>
      </c>
      <c r="D18" s="446">
        <f>'Tax Payment Sch'!E20</f>
        <v>7528.5</v>
      </c>
      <c r="G18" s="1101"/>
    </row>
    <row r="19" spans="1:12" ht="15" customHeight="1">
      <c r="B19" s="214" t="s">
        <v>304</v>
      </c>
      <c r="D19" s="445"/>
      <c r="G19" s="1101"/>
    </row>
    <row r="20" spans="1:12" ht="15" customHeight="1">
      <c r="B20" s="214" t="s">
        <v>305</v>
      </c>
      <c r="D20" s="447"/>
      <c r="E20" s="384">
        <f>SUM(D18:D20)</f>
        <v>7528.5</v>
      </c>
      <c r="G20" s="1101"/>
    </row>
    <row r="21" spans="1:12" ht="15" customHeight="1">
      <c r="G21" s="1101"/>
    </row>
    <row r="22" spans="1:12" s="216" customFormat="1" ht="15" customHeight="1" thickBot="1">
      <c r="A22" s="216" t="s">
        <v>306</v>
      </c>
      <c r="E22" s="385">
        <f>E16-E20</f>
        <v>0</v>
      </c>
      <c r="G22" s="1102"/>
      <c r="L22" s="372"/>
    </row>
    <row r="23" spans="1:12" ht="15" customHeight="1" thickTop="1"/>
    <row r="24" spans="1:12" ht="15" customHeight="1">
      <c r="B24" s="883" t="s">
        <v>1014</v>
      </c>
      <c r="C24" s="883"/>
      <c r="D24" s="883"/>
      <c r="E24" s="883"/>
    </row>
    <row r="25" spans="1:12" ht="15" customHeight="1">
      <c r="C25" s="225"/>
      <c r="E25" s="218"/>
    </row>
    <row r="26" spans="1:12" ht="15" customHeight="1">
      <c r="B26" s="1103" t="s">
        <v>1001</v>
      </c>
      <c r="C26" s="1103"/>
      <c r="D26" s="1103"/>
      <c r="E26" s="1103"/>
    </row>
    <row r="27" spans="1:12" ht="15" customHeight="1">
      <c r="C27" s="225"/>
      <c r="E27" s="218"/>
    </row>
    <row r="28" spans="1:12" ht="15" customHeight="1">
      <c r="B28" s="883" t="s">
        <v>999</v>
      </c>
      <c r="C28" s="883"/>
      <c r="D28" s="883"/>
      <c r="E28" s="883"/>
    </row>
    <row r="29" spans="1:12" ht="15" customHeight="1">
      <c r="E29" s="218"/>
    </row>
    <row r="30" spans="1:12" ht="15" customHeight="1"/>
    <row r="31" spans="1:12" ht="15" customHeight="1"/>
    <row r="32" spans="1:12" ht="15" customHeight="1"/>
    <row r="33" ht="15" customHeight="1"/>
  </sheetData>
  <mergeCells count="4">
    <mergeCell ref="G16:G22"/>
    <mergeCell ref="B24:E24"/>
    <mergeCell ref="B26:E26"/>
    <mergeCell ref="B28:E28"/>
  </mergeCells>
  <hyperlinks>
    <hyperlink ref="A9" location="'Prov-2 for Income Tax'!A1" display="'Statement of Financial Position" xr:uid="{00000000-0004-0000-0D00-000000000000}"/>
    <hyperlink ref="B26" r:id="rId1" display="hownow://_r919024/" xr:uid="{5BFE27B2-0718-4BB9-B5F3-42835522C48E}"/>
    <hyperlink ref="B28" r:id="rId2" display="hownow://_r919025/" xr:uid="{8625DFDA-52D2-4944-BDF5-A426EC4BB9AB}"/>
    <hyperlink ref="B24" r:id="rId3" display="hownow://_r919072/" xr:uid="{C3654860-3BB3-47F7-A153-65F7FE38F5DC}"/>
    <hyperlink ref="B14" r:id="rId4" display="hownow://_r989608/" xr:uid="{A6B53201-6BDF-431A-83EC-7C1188FA9047}"/>
  </hyperlinks>
  <pageMargins left="0.7" right="0.7" top="0.75" bottom="0.75" header="0.3" footer="0.3"/>
  <pageSetup paperSize="9" orientation="portrait" r:id="rId5"/>
  <customProperties>
    <customPr name="SheetId" r:id="rId6"/>
  </customProperties>
  <drawing r:id="rId7"/>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D75885-42A7-4BD9-BECC-7CD14594EC86}">
  <sheetPr>
    <pageSetUpPr autoPageBreaks="0" fitToPage="1"/>
  </sheetPr>
  <dimension ref="A1:L248"/>
  <sheetViews>
    <sheetView showGridLines="0" topLeftCell="A13" zoomScaleNormal="100" workbookViewId="0">
      <selection activeCell="E17" sqref="E17"/>
    </sheetView>
  </sheetViews>
  <sheetFormatPr defaultRowHeight="15"/>
  <cols>
    <col min="1" max="1" width="3.7109375" style="74" customWidth="1"/>
    <col min="2" max="2" width="2.42578125" style="74" customWidth="1"/>
    <col min="3" max="3" width="40.7109375" style="74" customWidth="1"/>
    <col min="4" max="4" width="15.7109375" style="395" customWidth="1"/>
    <col min="5" max="6" width="15.7109375" style="74" customWidth="1"/>
    <col min="7" max="7" width="18.7109375" style="74" customWidth="1"/>
    <col min="8" max="8" width="15.7109375" style="74" customWidth="1"/>
    <col min="9" max="10" width="3.7109375" style="74" customWidth="1"/>
    <col min="11" max="12" width="15.7109375" style="74" customWidth="1"/>
    <col min="13" max="16384" width="9.140625" style="74"/>
  </cols>
  <sheetData>
    <row r="1" spans="1:12" ht="9" customHeight="1">
      <c r="B1" s="1109" t="str">
        <f>Index!AD23</f>
        <v>Super Contributions</v>
      </c>
      <c r="C1" s="1109"/>
      <c r="D1" s="1109"/>
      <c r="E1" s="34"/>
      <c r="F1" s="34"/>
      <c r="G1" s="34"/>
      <c r="H1" s="34"/>
      <c r="I1" s="34"/>
    </row>
    <row r="2" spans="1:12" ht="24.95" customHeight="1">
      <c r="B2" s="1109"/>
      <c r="C2" s="1109"/>
      <c r="D2" s="1109"/>
      <c r="E2" s="34"/>
      <c r="F2" s="34"/>
      <c r="G2" s="683" t="s">
        <v>37</v>
      </c>
      <c r="H2" s="684" t="s">
        <v>773</v>
      </c>
    </row>
    <row r="3" spans="1:12" ht="10.5" customHeight="1">
      <c r="B3" s="1110"/>
      <c r="C3" s="1110"/>
      <c r="D3" s="1110"/>
      <c r="E3" s="36"/>
      <c r="F3" s="36"/>
      <c r="G3" s="36"/>
      <c r="H3" s="36"/>
      <c r="I3" s="36"/>
    </row>
    <row r="4" spans="1:12" ht="12" customHeight="1"/>
    <row r="5" spans="1:12" ht="24.95" customHeight="1">
      <c r="B5" s="1111" t="str">
        <f ca="1">_xll.NamedRange("Cl_Name","Client Name")</f>
        <v>The Schubert Superannuation Fund</v>
      </c>
      <c r="C5" s="1111"/>
      <c r="D5" s="1111"/>
      <c r="E5" s="780"/>
      <c r="F5" s="688" t="s">
        <v>774</v>
      </c>
      <c r="G5" s="1112" t="str">
        <f>Tm_WorksheetTitle</f>
        <v>Super Contributions</v>
      </c>
      <c r="H5" s="1112"/>
      <c r="I5" s="1112"/>
    </row>
    <row r="6" spans="1:12" ht="24.95" customHeight="1">
      <c r="B6" s="1111" t="str">
        <f ca="1">_xll.NamedRange("Cl_Code","Client Code")</f>
        <v>Client Code</v>
      </c>
      <c r="C6" s="1111"/>
      <c r="D6" s="1111"/>
      <c r="E6" s="780"/>
      <c r="F6" s="688" t="s">
        <v>776</v>
      </c>
      <c r="G6" s="781" t="str">
        <f ca="1">_xll.NamedRange("Firm_Preparer","")</f>
        <v/>
      </c>
      <c r="H6" s="1113" t="str">
        <f ca="1">_xll.NamedRange("Firm_PreparerDate","")</f>
        <v/>
      </c>
      <c r="I6" s="1114"/>
      <c r="L6" s="782"/>
    </row>
    <row r="7" spans="1:12" ht="24.95" customHeight="1">
      <c r="B7" s="1115">
        <f ca="1">_xll.NamedRange("PeriodEndDate")</f>
        <v>43281</v>
      </c>
      <c r="C7" s="1115"/>
      <c r="D7" s="1115"/>
      <c r="E7" s="780"/>
      <c r="F7" s="688" t="s">
        <v>777</v>
      </c>
      <c r="G7" s="781" t="str">
        <f ca="1">_xll.NamedRange("Firm_Reviewer","")</f>
        <v/>
      </c>
      <c r="H7" s="1113" t="str">
        <f ca="1">_xll.NamedRange("Firm_ReviewerDate","")</f>
        <v/>
      </c>
      <c r="I7" s="1114"/>
    </row>
    <row r="8" spans="1:12" ht="7.5" customHeight="1"/>
    <row r="9" spans="1:12" ht="15" customHeight="1">
      <c r="A9" s="34"/>
      <c r="B9" s="1104" t="s">
        <v>966</v>
      </c>
      <c r="C9" s="1105"/>
      <c r="D9" s="1105"/>
      <c r="E9" s="1105"/>
      <c r="F9" s="1105"/>
      <c r="G9" s="1105"/>
      <c r="H9" s="1105"/>
      <c r="I9" s="1105"/>
      <c r="K9" s="1106" t="s">
        <v>789</v>
      </c>
      <c r="L9" s="1107"/>
    </row>
    <row r="10" spans="1:12" ht="7.5" customHeight="1">
      <c r="A10" s="34"/>
      <c r="B10" s="36"/>
      <c r="C10" s="36"/>
      <c r="D10" s="785"/>
      <c r="E10" s="36"/>
      <c r="F10" s="36"/>
      <c r="G10" s="36"/>
      <c r="H10" s="36"/>
      <c r="I10" s="36"/>
    </row>
    <row r="11" spans="1:12" ht="7.5" customHeight="1"/>
    <row r="12" spans="1:12" ht="17.25" customHeight="1">
      <c r="B12" s="1108" t="s">
        <v>970</v>
      </c>
      <c r="C12" s="1108"/>
      <c r="D12" s="1108"/>
      <c r="E12" s="783"/>
      <c r="F12" s="783"/>
      <c r="G12" s="783"/>
      <c r="H12" s="783"/>
      <c r="K12" s="706"/>
      <c r="L12" s="706"/>
    </row>
    <row r="13" spans="1:12" ht="17.25" customHeight="1">
      <c r="B13" s="783"/>
      <c r="C13" s="783"/>
      <c r="D13" s="786"/>
      <c r="E13" s="783"/>
      <c r="F13" s="783"/>
      <c r="G13" s="783"/>
      <c r="H13" s="783"/>
      <c r="K13" s="706"/>
      <c r="L13" s="706"/>
    </row>
    <row r="14" spans="1:12" ht="17.25" customHeight="1">
      <c r="B14" s="784" t="s">
        <v>971</v>
      </c>
      <c r="C14" s="783"/>
      <c r="D14" s="786"/>
      <c r="E14" s="783"/>
      <c r="F14" s="783"/>
      <c r="G14" s="783"/>
      <c r="H14" s="783"/>
      <c r="K14" s="706"/>
      <c r="L14" s="706"/>
    </row>
    <row r="15" spans="1:12" ht="17.25" customHeight="1">
      <c r="B15" s="783"/>
      <c r="C15" s="783" t="s">
        <v>555</v>
      </c>
      <c r="D15" s="395">
        <f>100500*0.095</f>
        <v>9547.5</v>
      </c>
      <c r="E15" s="783"/>
      <c r="F15" s="783"/>
      <c r="G15" s="783"/>
      <c r="H15" s="783"/>
      <c r="K15" s="706"/>
      <c r="L15" s="706"/>
    </row>
    <row r="16" spans="1:12" ht="17.25" customHeight="1">
      <c r="B16" s="783"/>
      <c r="C16" s="783" t="s">
        <v>557</v>
      </c>
      <c r="D16" s="786">
        <f>87000*0.095</f>
        <v>8265</v>
      </c>
      <c r="E16" s="783"/>
      <c r="F16" s="783"/>
      <c r="G16" s="783"/>
      <c r="H16" s="783"/>
      <c r="K16" s="706"/>
      <c r="L16" s="706"/>
    </row>
    <row r="17" spans="2:12" ht="17.25" customHeight="1" thickBot="1">
      <c r="B17" s="789" t="s">
        <v>972</v>
      </c>
      <c r="C17" s="788"/>
      <c r="D17" s="787">
        <f>SUM(D15:D16)</f>
        <v>17812.5</v>
      </c>
      <c r="E17" s="803" t="s">
        <v>1095</v>
      </c>
      <c r="F17" s="783"/>
      <c r="G17" s="783"/>
      <c r="H17" s="783"/>
      <c r="K17" s="706"/>
      <c r="L17" s="706"/>
    </row>
    <row r="18" spans="2:12" ht="17.25" customHeight="1">
      <c r="B18" s="783"/>
      <c r="C18" s="783"/>
      <c r="D18" s="786"/>
      <c r="E18" s="783"/>
      <c r="F18" s="783"/>
      <c r="G18" s="783"/>
      <c r="H18" s="783"/>
      <c r="K18" s="706"/>
      <c r="L18" s="706"/>
    </row>
    <row r="19" spans="2:12" ht="17.25" customHeight="1">
      <c r="B19" s="784" t="s">
        <v>973</v>
      </c>
      <c r="C19" s="783"/>
      <c r="D19" s="786"/>
      <c r="E19" s="783"/>
      <c r="F19" s="783"/>
      <c r="G19" s="783"/>
      <c r="H19" s="783"/>
      <c r="K19" s="706"/>
      <c r="L19" s="706"/>
    </row>
    <row r="20" spans="2:12" ht="17.25" customHeight="1">
      <c r="B20" s="783"/>
      <c r="C20" s="783" t="s">
        <v>555</v>
      </c>
      <c r="D20" s="395">
        <f>15000-D15+(1140/2)+(9917/2)</f>
        <v>10981</v>
      </c>
      <c r="E20" s="800" t="s">
        <v>1096</v>
      </c>
      <c r="F20" s="783"/>
      <c r="G20" s="783"/>
      <c r="H20" s="783"/>
      <c r="K20" s="706"/>
      <c r="L20" s="706"/>
    </row>
    <row r="21" spans="2:12" ht="17.25" customHeight="1">
      <c r="B21" s="783"/>
      <c r="C21" s="783" t="s">
        <v>557</v>
      </c>
      <c r="D21" s="786">
        <f>15000-D16+(1140/2)+(9917/2)</f>
        <v>12263.5</v>
      </c>
      <c r="E21" s="800" t="s">
        <v>1096</v>
      </c>
      <c r="F21" s="783"/>
      <c r="G21" s="783"/>
      <c r="H21" s="783"/>
      <c r="K21" s="706"/>
      <c r="L21" s="706"/>
    </row>
    <row r="22" spans="2:12" ht="17.25" customHeight="1" thickBot="1">
      <c r="B22" s="789" t="s">
        <v>974</v>
      </c>
      <c r="C22" s="788"/>
      <c r="D22" s="787">
        <f>SUM(D20:D21)</f>
        <v>23244.5</v>
      </c>
      <c r="E22" s="783"/>
      <c r="F22" s="783"/>
      <c r="G22" s="783"/>
      <c r="H22" s="783"/>
      <c r="K22" s="706"/>
      <c r="L22" s="706"/>
    </row>
    <row r="23" spans="2:12" ht="17.25" customHeight="1">
      <c r="B23" s="783"/>
      <c r="C23" s="783"/>
      <c r="D23" s="786"/>
      <c r="E23" s="783"/>
      <c r="F23" s="783"/>
      <c r="G23" s="783"/>
      <c r="H23" s="783"/>
      <c r="K23" s="706"/>
      <c r="L23" s="706"/>
    </row>
    <row r="24" spans="2:12" ht="17.25" customHeight="1" thickBot="1">
      <c r="B24" s="790" t="s">
        <v>975</v>
      </c>
      <c r="C24" s="790"/>
      <c r="D24" s="791">
        <f>D17+D22</f>
        <v>41057</v>
      </c>
      <c r="E24" s="783"/>
      <c r="F24" s="783"/>
      <c r="G24" s="783"/>
      <c r="H24" s="783"/>
      <c r="K24" s="706"/>
      <c r="L24" s="706"/>
    </row>
    <row r="25" spans="2:12" ht="17.25" customHeight="1" thickTop="1">
      <c r="B25" s="783"/>
      <c r="C25" s="783"/>
      <c r="D25" s="786"/>
      <c r="E25" s="783"/>
      <c r="F25" s="783"/>
      <c r="G25" s="783"/>
      <c r="H25" s="783"/>
      <c r="K25" s="706"/>
      <c r="L25" s="706"/>
    </row>
    <row r="26" spans="2:12" ht="17.25" customHeight="1">
      <c r="B26" s="783"/>
      <c r="C26" s="783"/>
      <c r="D26" s="786"/>
      <c r="E26" s="783"/>
      <c r="F26" s="783"/>
      <c r="G26" s="783"/>
      <c r="H26" s="783"/>
      <c r="K26" s="706"/>
      <c r="L26" s="706"/>
    </row>
    <row r="27" spans="2:12" ht="17.25" customHeight="1">
      <c r="B27" s="783"/>
      <c r="C27" s="783"/>
      <c r="D27" s="786"/>
      <c r="E27" s="783"/>
      <c r="F27" s="783"/>
      <c r="G27" s="783"/>
      <c r="H27" s="783"/>
      <c r="K27" s="706"/>
      <c r="L27" s="706"/>
    </row>
    <row r="28" spans="2:12" ht="17.25" customHeight="1">
      <c r="B28" s="783"/>
      <c r="C28" s="783"/>
      <c r="D28" s="786"/>
      <c r="E28" s="783"/>
      <c r="F28" s="783"/>
      <c r="G28" s="783"/>
      <c r="H28" s="783"/>
      <c r="K28" s="706"/>
      <c r="L28" s="706"/>
    </row>
    <row r="29" spans="2:12" ht="17.25" customHeight="1">
      <c r="B29" s="783"/>
      <c r="C29" s="783"/>
      <c r="D29" s="786"/>
      <c r="E29" s="783"/>
      <c r="F29" s="783"/>
      <c r="G29" s="783"/>
      <c r="H29" s="783"/>
      <c r="K29" s="706"/>
      <c r="L29" s="706"/>
    </row>
    <row r="30" spans="2:12" ht="17.25" customHeight="1">
      <c r="B30" s="783"/>
      <c r="C30" s="783"/>
      <c r="D30" s="786"/>
      <c r="E30" s="783"/>
      <c r="F30" s="783"/>
      <c r="G30" s="783"/>
      <c r="H30" s="783"/>
      <c r="K30" s="706"/>
      <c r="L30" s="706"/>
    </row>
    <row r="31" spans="2:12" ht="17.25" customHeight="1">
      <c r="B31" s="783"/>
      <c r="C31" s="783"/>
      <c r="D31" s="786"/>
      <c r="E31" s="783"/>
      <c r="F31" s="783"/>
      <c r="G31" s="783"/>
      <c r="H31" s="783"/>
      <c r="K31" s="706"/>
      <c r="L31" s="706"/>
    </row>
    <row r="32" spans="2:12" ht="17.25" customHeight="1">
      <c r="B32" s="783"/>
      <c r="C32" s="783"/>
      <c r="D32" s="786"/>
      <c r="E32" s="783"/>
      <c r="F32" s="783"/>
      <c r="G32" s="783"/>
      <c r="H32" s="783"/>
      <c r="K32" s="706"/>
      <c r="L32" s="706"/>
    </row>
    <row r="33" spans="2:12" ht="17.25" customHeight="1">
      <c r="B33" s="783"/>
      <c r="C33" s="783"/>
      <c r="D33" s="786"/>
      <c r="E33" s="783"/>
      <c r="F33" s="783"/>
      <c r="G33" s="783"/>
      <c r="H33" s="783"/>
      <c r="K33" s="706"/>
      <c r="L33" s="706"/>
    </row>
    <row r="34" spans="2:12" ht="17.25" customHeight="1">
      <c r="B34" s="783"/>
      <c r="C34" s="783"/>
      <c r="D34" s="786"/>
      <c r="E34" s="783"/>
      <c r="F34" s="783"/>
      <c r="G34" s="783"/>
      <c r="H34" s="783"/>
      <c r="K34" s="706"/>
      <c r="L34" s="706"/>
    </row>
    <row r="35" spans="2:12" ht="17.25" customHeight="1">
      <c r="B35" s="783"/>
      <c r="C35" s="783"/>
      <c r="D35" s="786"/>
      <c r="E35" s="783"/>
      <c r="F35" s="783"/>
      <c r="G35" s="783"/>
      <c r="H35" s="783"/>
      <c r="K35" s="706"/>
      <c r="L35" s="706"/>
    </row>
    <row r="36" spans="2:12" ht="17.25" customHeight="1">
      <c r="B36" s="783"/>
      <c r="C36" s="783"/>
      <c r="D36" s="786"/>
      <c r="E36" s="783"/>
      <c r="F36" s="783"/>
      <c r="G36" s="783"/>
      <c r="H36" s="783"/>
      <c r="K36" s="706"/>
      <c r="L36" s="706"/>
    </row>
    <row r="37" spans="2:12" ht="17.25" customHeight="1">
      <c r="B37" s="783"/>
      <c r="C37" s="783"/>
      <c r="D37" s="786"/>
      <c r="E37" s="783"/>
      <c r="F37" s="783"/>
      <c r="G37" s="783"/>
      <c r="H37" s="783"/>
      <c r="K37" s="706"/>
      <c r="L37" s="706"/>
    </row>
    <row r="38" spans="2:12" ht="17.25" customHeight="1">
      <c r="B38" s="783"/>
      <c r="C38" s="783"/>
      <c r="D38" s="786"/>
      <c r="E38" s="783"/>
      <c r="F38" s="783"/>
      <c r="G38" s="783"/>
      <c r="H38" s="783"/>
      <c r="K38" s="706"/>
      <c r="L38" s="706"/>
    </row>
    <row r="39" spans="2:12" ht="17.25" customHeight="1">
      <c r="B39" s="783"/>
      <c r="C39" s="783"/>
      <c r="D39" s="786"/>
      <c r="E39" s="783"/>
      <c r="F39" s="783"/>
      <c r="G39" s="783"/>
      <c r="H39" s="783"/>
      <c r="K39" s="706"/>
      <c r="L39" s="706"/>
    </row>
    <row r="40" spans="2:12" ht="17.25" customHeight="1">
      <c r="B40" s="783"/>
      <c r="C40" s="783"/>
      <c r="D40" s="786"/>
      <c r="E40" s="783"/>
      <c r="F40" s="783"/>
      <c r="G40" s="783"/>
      <c r="H40" s="783"/>
      <c r="K40" s="706"/>
      <c r="L40" s="706"/>
    </row>
    <row r="41" spans="2:12" ht="17.25" customHeight="1">
      <c r="B41" s="783"/>
      <c r="C41" s="783"/>
      <c r="D41" s="786"/>
      <c r="E41" s="783"/>
      <c r="F41" s="783"/>
      <c r="G41" s="783"/>
      <c r="H41" s="783"/>
      <c r="K41" s="706"/>
      <c r="L41" s="706"/>
    </row>
    <row r="42" spans="2:12" ht="17.25" customHeight="1">
      <c r="B42" s="783"/>
      <c r="C42" s="783"/>
      <c r="D42" s="786"/>
      <c r="E42" s="783"/>
      <c r="F42" s="783"/>
      <c r="G42" s="783"/>
      <c r="H42" s="783"/>
      <c r="K42" s="706"/>
      <c r="L42" s="706"/>
    </row>
    <row r="43" spans="2:12" ht="17.25" customHeight="1">
      <c r="B43" s="783"/>
      <c r="C43" s="783"/>
      <c r="D43" s="786"/>
      <c r="E43" s="783"/>
      <c r="F43" s="783"/>
      <c r="G43" s="783"/>
      <c r="H43" s="783"/>
      <c r="K43" s="706"/>
      <c r="L43" s="706"/>
    </row>
    <row r="44" spans="2:12" ht="17.25" customHeight="1">
      <c r="B44" s="783"/>
      <c r="C44" s="783"/>
      <c r="D44" s="786"/>
      <c r="E44" s="783"/>
      <c r="F44" s="783"/>
      <c r="G44" s="783"/>
      <c r="H44" s="783"/>
      <c r="K44" s="706"/>
      <c r="L44" s="706"/>
    </row>
    <row r="45" spans="2:12" ht="17.25" customHeight="1">
      <c r="B45" s="783"/>
      <c r="C45" s="783"/>
      <c r="D45" s="786"/>
      <c r="E45" s="783"/>
      <c r="F45" s="783"/>
      <c r="G45" s="783"/>
      <c r="H45" s="783"/>
      <c r="K45" s="706"/>
      <c r="L45" s="706"/>
    </row>
    <row r="46" spans="2:12" ht="17.25" customHeight="1">
      <c r="B46" s="783"/>
      <c r="C46" s="783"/>
      <c r="D46" s="786"/>
      <c r="E46" s="783"/>
      <c r="F46" s="783"/>
      <c r="G46" s="783"/>
      <c r="H46" s="783"/>
      <c r="K46" s="706"/>
      <c r="L46" s="706"/>
    </row>
    <row r="47" spans="2:12" ht="17.25" customHeight="1">
      <c r="B47" s="783"/>
      <c r="C47" s="783"/>
      <c r="D47" s="786"/>
      <c r="E47" s="783"/>
      <c r="F47" s="783"/>
      <c r="G47" s="783"/>
      <c r="H47" s="783"/>
      <c r="K47" s="706"/>
      <c r="L47" s="706"/>
    </row>
    <row r="48" spans="2:12" ht="17.25" customHeight="1">
      <c r="B48" s="783"/>
      <c r="C48" s="783"/>
      <c r="D48" s="786"/>
      <c r="E48" s="783"/>
      <c r="F48" s="783"/>
      <c r="G48" s="783"/>
      <c r="H48" s="783"/>
      <c r="K48" s="706"/>
      <c r="L48" s="706"/>
    </row>
    <row r="49" spans="2:8" ht="15.95" customHeight="1">
      <c r="B49" s="783"/>
      <c r="C49" s="783"/>
      <c r="D49" s="786"/>
      <c r="E49" s="783"/>
      <c r="F49" s="783"/>
      <c r="G49" s="783"/>
      <c r="H49" s="783"/>
    </row>
    <row r="50" spans="2:8" ht="15.95" customHeight="1">
      <c r="B50" s="783"/>
      <c r="C50" s="783"/>
      <c r="D50" s="786"/>
      <c r="E50" s="783"/>
      <c r="F50" s="783"/>
      <c r="G50" s="783"/>
      <c r="H50" s="783"/>
    </row>
    <row r="51" spans="2:8" ht="15.95" customHeight="1">
      <c r="B51" s="783"/>
      <c r="C51" s="783"/>
      <c r="D51" s="786"/>
      <c r="E51" s="783"/>
      <c r="F51" s="783"/>
      <c r="G51" s="783"/>
      <c r="H51" s="783"/>
    </row>
    <row r="52" spans="2:8" ht="15.95" customHeight="1">
      <c r="B52" s="783"/>
      <c r="C52" s="783"/>
      <c r="D52" s="786"/>
      <c r="E52" s="783"/>
      <c r="F52" s="783"/>
      <c r="G52" s="783"/>
      <c r="H52" s="783"/>
    </row>
    <row r="53" spans="2:8" ht="15.95" customHeight="1">
      <c r="B53" s="783"/>
      <c r="C53" s="783"/>
      <c r="D53" s="786"/>
      <c r="E53" s="783"/>
      <c r="F53" s="783"/>
      <c r="G53" s="783"/>
      <c r="H53" s="783"/>
    </row>
    <row r="54" spans="2:8" ht="15.95" customHeight="1">
      <c r="B54" s="783"/>
      <c r="C54" s="783"/>
      <c r="D54" s="786"/>
      <c r="E54" s="783"/>
      <c r="F54" s="783"/>
      <c r="G54" s="783"/>
      <c r="H54" s="783"/>
    </row>
    <row r="55" spans="2:8" ht="15.95" customHeight="1">
      <c r="B55" s="783"/>
      <c r="C55" s="783"/>
      <c r="D55" s="786"/>
      <c r="E55" s="783"/>
      <c r="F55" s="783"/>
      <c r="G55" s="783"/>
      <c r="H55" s="783"/>
    </row>
    <row r="56" spans="2:8" ht="15.95" customHeight="1">
      <c r="B56" s="783"/>
      <c r="C56" s="783"/>
      <c r="D56" s="786"/>
      <c r="E56" s="783"/>
      <c r="F56" s="783"/>
      <c r="G56" s="783"/>
      <c r="H56" s="783"/>
    </row>
    <row r="57" spans="2:8" ht="15.95" customHeight="1">
      <c r="B57" s="783"/>
      <c r="C57" s="783"/>
      <c r="D57" s="786"/>
      <c r="E57" s="783"/>
      <c r="F57" s="783"/>
      <c r="G57" s="783"/>
      <c r="H57" s="783"/>
    </row>
    <row r="58" spans="2:8" ht="15.95" customHeight="1">
      <c r="B58" s="783"/>
      <c r="C58" s="783"/>
      <c r="D58" s="786"/>
      <c r="E58" s="783"/>
      <c r="F58" s="783"/>
      <c r="G58" s="783"/>
      <c r="H58" s="783"/>
    </row>
    <row r="59" spans="2:8" ht="15.95" customHeight="1">
      <c r="B59" s="783"/>
      <c r="C59" s="783"/>
      <c r="D59" s="786"/>
      <c r="E59" s="783"/>
      <c r="F59" s="783"/>
      <c r="G59" s="783"/>
      <c r="H59" s="783"/>
    </row>
    <row r="60" spans="2:8" ht="15.95" customHeight="1">
      <c r="B60" s="783"/>
      <c r="C60" s="783"/>
      <c r="D60" s="786"/>
      <c r="E60" s="783"/>
      <c r="F60" s="783"/>
      <c r="G60" s="783"/>
      <c r="H60" s="783"/>
    </row>
    <row r="61" spans="2:8" ht="15.95" customHeight="1">
      <c r="B61" s="783"/>
      <c r="C61" s="783"/>
      <c r="D61" s="786"/>
      <c r="E61" s="783"/>
      <c r="F61" s="783"/>
      <c r="G61" s="783"/>
      <c r="H61" s="783"/>
    </row>
    <row r="62" spans="2:8" ht="15.95" customHeight="1">
      <c r="B62" s="783"/>
      <c r="C62" s="783"/>
      <c r="D62" s="786"/>
      <c r="E62" s="783"/>
      <c r="F62" s="783"/>
      <c r="G62" s="783"/>
      <c r="H62" s="783"/>
    </row>
    <row r="63" spans="2:8" ht="15.95" customHeight="1">
      <c r="B63" s="783"/>
      <c r="C63" s="783"/>
      <c r="D63" s="786"/>
      <c r="E63" s="783"/>
      <c r="F63" s="783"/>
      <c r="G63" s="783"/>
      <c r="H63" s="783"/>
    </row>
    <row r="64" spans="2:8" ht="15.95" customHeight="1">
      <c r="B64" s="783"/>
      <c r="C64" s="783"/>
      <c r="D64" s="786"/>
      <c r="E64" s="783"/>
      <c r="F64" s="783"/>
      <c r="G64" s="783"/>
      <c r="H64" s="783"/>
    </row>
    <row r="65" spans="2:8" ht="15.95" customHeight="1">
      <c r="B65" s="783"/>
      <c r="C65" s="783"/>
      <c r="D65" s="786"/>
      <c r="E65" s="783"/>
      <c r="F65" s="783"/>
      <c r="G65" s="783"/>
      <c r="H65" s="783"/>
    </row>
    <row r="66" spans="2:8" ht="15.95" customHeight="1">
      <c r="B66" s="783"/>
      <c r="C66" s="783"/>
      <c r="D66" s="786"/>
      <c r="E66" s="783"/>
      <c r="F66" s="783"/>
      <c r="G66" s="783"/>
      <c r="H66" s="783"/>
    </row>
    <row r="67" spans="2:8" ht="15.95" customHeight="1">
      <c r="B67" s="783"/>
      <c r="C67" s="783"/>
      <c r="D67" s="786"/>
      <c r="E67" s="783"/>
      <c r="F67" s="783"/>
      <c r="G67" s="783"/>
      <c r="H67" s="783"/>
    </row>
    <row r="68" spans="2:8" ht="15.95" customHeight="1">
      <c r="B68" s="783"/>
      <c r="C68" s="783"/>
      <c r="D68" s="786"/>
      <c r="E68" s="783"/>
      <c r="F68" s="783"/>
      <c r="G68" s="783"/>
      <c r="H68" s="783"/>
    </row>
    <row r="69" spans="2:8" ht="15.95" customHeight="1">
      <c r="B69" s="783"/>
      <c r="C69" s="783"/>
      <c r="D69" s="786"/>
      <c r="E69" s="783"/>
      <c r="F69" s="783"/>
      <c r="G69" s="783"/>
      <c r="H69" s="783"/>
    </row>
    <row r="70" spans="2:8" ht="15.95" customHeight="1">
      <c r="B70" s="783"/>
      <c r="C70" s="783"/>
      <c r="D70" s="786"/>
      <c r="E70" s="783"/>
      <c r="F70" s="783"/>
      <c r="G70" s="783"/>
      <c r="H70" s="783"/>
    </row>
    <row r="71" spans="2:8" ht="15.95" customHeight="1">
      <c r="B71" s="783"/>
      <c r="C71" s="783"/>
      <c r="D71" s="786"/>
      <c r="E71" s="783"/>
      <c r="F71" s="783"/>
      <c r="G71" s="783"/>
      <c r="H71" s="783"/>
    </row>
    <row r="72" spans="2:8" ht="15.95" customHeight="1">
      <c r="B72" s="783"/>
      <c r="C72" s="783"/>
      <c r="D72" s="786"/>
      <c r="E72" s="783"/>
      <c r="F72" s="783"/>
      <c r="G72" s="783"/>
      <c r="H72" s="783"/>
    </row>
    <row r="73" spans="2:8" ht="15.95" customHeight="1">
      <c r="B73" s="783"/>
      <c r="C73" s="783"/>
      <c r="D73" s="786"/>
      <c r="E73" s="783"/>
      <c r="F73" s="783"/>
      <c r="G73" s="783"/>
      <c r="H73" s="783"/>
    </row>
    <row r="74" spans="2:8" ht="15.95" customHeight="1">
      <c r="B74" s="783"/>
      <c r="C74" s="783"/>
      <c r="D74" s="786"/>
      <c r="E74" s="783"/>
      <c r="F74" s="783"/>
      <c r="G74" s="783"/>
      <c r="H74" s="783"/>
    </row>
    <row r="75" spans="2:8" ht="15.95" customHeight="1">
      <c r="B75" s="783"/>
      <c r="C75" s="783"/>
      <c r="D75" s="786"/>
      <c r="E75" s="783"/>
      <c r="F75" s="783"/>
      <c r="G75" s="783"/>
      <c r="H75" s="783"/>
    </row>
    <row r="76" spans="2:8" ht="15.95" customHeight="1">
      <c r="B76" s="783"/>
      <c r="C76" s="783"/>
      <c r="D76" s="786"/>
      <c r="E76" s="783"/>
      <c r="F76" s="783"/>
      <c r="G76" s="783"/>
      <c r="H76" s="783"/>
    </row>
    <row r="77" spans="2:8" ht="15.95" customHeight="1">
      <c r="B77" s="783"/>
      <c r="C77" s="783"/>
      <c r="D77" s="786"/>
      <c r="E77" s="783"/>
      <c r="F77" s="783"/>
      <c r="G77" s="783"/>
      <c r="H77" s="783"/>
    </row>
    <row r="78" spans="2:8" ht="15.95" customHeight="1">
      <c r="B78" s="783"/>
      <c r="C78" s="783"/>
      <c r="D78" s="786"/>
      <c r="E78" s="783"/>
      <c r="F78" s="783"/>
      <c r="G78" s="783"/>
      <c r="H78" s="783"/>
    </row>
    <row r="79" spans="2:8" ht="15.95" customHeight="1">
      <c r="B79" s="783"/>
      <c r="C79" s="783"/>
      <c r="D79" s="786"/>
      <c r="E79" s="783"/>
      <c r="F79" s="783"/>
      <c r="G79" s="783"/>
      <c r="H79" s="783"/>
    </row>
    <row r="80" spans="2:8" ht="15.95" customHeight="1">
      <c r="B80" s="783"/>
      <c r="C80" s="783"/>
      <c r="D80" s="786"/>
      <c r="E80" s="783"/>
      <c r="F80" s="783"/>
      <c r="G80" s="783"/>
      <c r="H80" s="783"/>
    </row>
    <row r="81" spans="2:8" ht="15.95" customHeight="1">
      <c r="B81" s="783"/>
      <c r="C81" s="783"/>
      <c r="D81" s="786"/>
      <c r="E81" s="783"/>
      <c r="F81" s="783"/>
      <c r="G81" s="783"/>
      <c r="H81" s="783"/>
    </row>
    <row r="82" spans="2:8" ht="15.95" customHeight="1">
      <c r="B82" s="783"/>
      <c r="C82" s="783"/>
      <c r="D82" s="786"/>
      <c r="E82" s="783"/>
      <c r="F82" s="783"/>
      <c r="G82" s="783"/>
      <c r="H82" s="783"/>
    </row>
    <row r="83" spans="2:8" ht="15.95" customHeight="1">
      <c r="B83" s="783"/>
      <c r="C83" s="783"/>
      <c r="D83" s="786"/>
      <c r="E83" s="783"/>
      <c r="F83" s="783"/>
      <c r="G83" s="783"/>
      <c r="H83" s="783"/>
    </row>
    <row r="84" spans="2:8" ht="15.95" customHeight="1">
      <c r="B84" s="783"/>
      <c r="C84" s="783"/>
      <c r="D84" s="786"/>
      <c r="E84" s="783"/>
      <c r="F84" s="783"/>
      <c r="G84" s="783"/>
      <c r="H84" s="783"/>
    </row>
    <row r="85" spans="2:8" ht="15.95" customHeight="1">
      <c r="B85" s="783"/>
      <c r="C85" s="783"/>
      <c r="D85" s="786"/>
      <c r="E85" s="783"/>
      <c r="F85" s="783"/>
      <c r="G85" s="783"/>
      <c r="H85" s="783"/>
    </row>
    <row r="86" spans="2:8" ht="15.95" customHeight="1">
      <c r="B86" s="783"/>
      <c r="C86" s="783"/>
      <c r="D86" s="786"/>
      <c r="E86" s="783"/>
      <c r="F86" s="783"/>
      <c r="G86" s="783"/>
      <c r="H86" s="783"/>
    </row>
    <row r="87" spans="2:8" ht="15.95" customHeight="1">
      <c r="B87" s="783"/>
      <c r="C87" s="783"/>
      <c r="D87" s="786"/>
      <c r="E87" s="783"/>
      <c r="F87" s="783"/>
      <c r="G87" s="783"/>
      <c r="H87" s="783"/>
    </row>
    <row r="88" spans="2:8" ht="15.95" customHeight="1">
      <c r="B88" s="783"/>
      <c r="C88" s="783"/>
      <c r="D88" s="786"/>
      <c r="E88" s="783"/>
      <c r="F88" s="783"/>
      <c r="G88" s="783"/>
      <c r="H88" s="783"/>
    </row>
    <row r="89" spans="2:8" ht="15.95" customHeight="1">
      <c r="B89" s="783"/>
      <c r="C89" s="783"/>
      <c r="D89" s="786"/>
      <c r="E89" s="783"/>
      <c r="F89" s="783"/>
      <c r="G89" s="783"/>
      <c r="H89" s="783"/>
    </row>
    <row r="90" spans="2:8" ht="15.95" customHeight="1">
      <c r="B90" s="783"/>
      <c r="C90" s="783"/>
      <c r="D90" s="786"/>
      <c r="E90" s="783"/>
      <c r="F90" s="783"/>
      <c r="G90" s="783"/>
      <c r="H90" s="783"/>
    </row>
    <row r="91" spans="2:8" ht="15.95" customHeight="1">
      <c r="B91" s="783"/>
      <c r="C91" s="783"/>
      <c r="D91" s="786"/>
      <c r="E91" s="783"/>
      <c r="F91" s="783"/>
      <c r="G91" s="783"/>
      <c r="H91" s="783"/>
    </row>
    <row r="92" spans="2:8" ht="15.95" customHeight="1">
      <c r="B92" s="783"/>
      <c r="C92" s="783"/>
      <c r="D92" s="786"/>
      <c r="E92" s="783"/>
      <c r="F92" s="783"/>
      <c r="G92" s="783"/>
      <c r="H92" s="783"/>
    </row>
    <row r="93" spans="2:8" ht="15.95" customHeight="1">
      <c r="B93" s="783"/>
      <c r="C93" s="783"/>
      <c r="D93" s="786"/>
      <c r="E93" s="783"/>
      <c r="F93" s="783"/>
      <c r="G93" s="783"/>
      <c r="H93" s="783"/>
    </row>
    <row r="94" spans="2:8" ht="15.95" customHeight="1">
      <c r="B94" s="783"/>
      <c r="C94" s="783"/>
      <c r="D94" s="786"/>
      <c r="E94" s="783"/>
      <c r="F94" s="783"/>
      <c r="G94" s="783"/>
      <c r="H94" s="783"/>
    </row>
    <row r="95" spans="2:8" ht="15.95" customHeight="1">
      <c r="B95" s="783"/>
      <c r="C95" s="783"/>
      <c r="D95" s="786"/>
      <c r="E95" s="783"/>
      <c r="F95" s="783"/>
      <c r="G95" s="783"/>
      <c r="H95" s="783"/>
    </row>
    <row r="96" spans="2:8" ht="15.95" customHeight="1">
      <c r="B96" s="783"/>
      <c r="C96" s="783"/>
      <c r="D96" s="786"/>
      <c r="E96" s="783"/>
      <c r="F96" s="783"/>
      <c r="G96" s="783"/>
      <c r="H96" s="783"/>
    </row>
    <row r="97" spans="2:8" ht="15.95" customHeight="1">
      <c r="B97" s="783"/>
      <c r="C97" s="783"/>
      <c r="D97" s="786"/>
      <c r="E97" s="783"/>
      <c r="F97" s="783"/>
      <c r="G97" s="783"/>
      <c r="H97" s="783"/>
    </row>
    <row r="98" spans="2:8" ht="15.95" customHeight="1">
      <c r="B98" s="783"/>
      <c r="C98" s="783"/>
      <c r="D98" s="786"/>
      <c r="E98" s="783"/>
      <c r="F98" s="783"/>
      <c r="G98" s="783"/>
      <c r="H98" s="783"/>
    </row>
    <row r="99" spans="2:8" ht="15.95" customHeight="1">
      <c r="B99" s="783"/>
      <c r="C99" s="783"/>
      <c r="D99" s="786"/>
      <c r="E99" s="783"/>
      <c r="F99" s="783"/>
      <c r="G99" s="783"/>
      <c r="H99" s="783"/>
    </row>
    <row r="100" spans="2:8" ht="15.95" customHeight="1">
      <c r="B100" s="783"/>
      <c r="C100" s="783"/>
      <c r="D100" s="786"/>
      <c r="E100" s="783"/>
      <c r="F100" s="783"/>
      <c r="G100" s="783"/>
      <c r="H100" s="783"/>
    </row>
    <row r="101" spans="2:8" ht="15.95" customHeight="1">
      <c r="B101" s="783"/>
      <c r="C101" s="783"/>
      <c r="D101" s="786"/>
      <c r="E101" s="783"/>
      <c r="F101" s="783"/>
      <c r="G101" s="783"/>
      <c r="H101" s="783"/>
    </row>
    <row r="102" spans="2:8" ht="15.95" customHeight="1">
      <c r="B102" s="783"/>
      <c r="C102" s="783"/>
      <c r="D102" s="786"/>
      <c r="E102" s="783"/>
      <c r="F102" s="783"/>
      <c r="G102" s="783"/>
      <c r="H102" s="783"/>
    </row>
    <row r="103" spans="2:8" ht="15.95" customHeight="1">
      <c r="B103" s="783"/>
      <c r="C103" s="783"/>
      <c r="D103" s="786"/>
      <c r="E103" s="783"/>
      <c r="F103" s="783"/>
      <c r="G103" s="783"/>
      <c r="H103" s="783"/>
    </row>
    <row r="104" spans="2:8" ht="15.95" customHeight="1">
      <c r="B104" s="783"/>
      <c r="C104" s="783"/>
      <c r="D104" s="786"/>
      <c r="E104" s="783"/>
      <c r="F104" s="783"/>
      <c r="G104" s="783"/>
      <c r="H104" s="783"/>
    </row>
    <row r="105" spans="2:8" ht="15.95" customHeight="1">
      <c r="B105" s="783"/>
      <c r="C105" s="783"/>
      <c r="D105" s="786"/>
      <c r="E105" s="783"/>
      <c r="F105" s="783"/>
      <c r="G105" s="783"/>
      <c r="H105" s="783"/>
    </row>
    <row r="106" spans="2:8" ht="15.95" customHeight="1">
      <c r="B106" s="783"/>
      <c r="C106" s="783"/>
      <c r="D106" s="786"/>
      <c r="E106" s="783"/>
      <c r="F106" s="783"/>
      <c r="G106" s="783"/>
      <c r="H106" s="783"/>
    </row>
    <row r="107" spans="2:8" ht="15.95" customHeight="1">
      <c r="B107" s="783"/>
      <c r="C107" s="783"/>
      <c r="D107" s="786"/>
      <c r="E107" s="783"/>
      <c r="F107" s="783"/>
      <c r="G107" s="783"/>
      <c r="H107" s="783"/>
    </row>
    <row r="108" spans="2:8" ht="15.95" customHeight="1">
      <c r="B108" s="783"/>
      <c r="C108" s="783"/>
      <c r="D108" s="786"/>
      <c r="E108" s="783"/>
      <c r="F108" s="783"/>
      <c r="G108" s="783"/>
      <c r="H108" s="783"/>
    </row>
    <row r="109" spans="2:8" ht="15.95" customHeight="1">
      <c r="B109" s="783"/>
      <c r="C109" s="783"/>
      <c r="D109" s="786"/>
      <c r="E109" s="783"/>
      <c r="F109" s="783"/>
      <c r="G109" s="783"/>
      <c r="H109" s="783"/>
    </row>
    <row r="110" spans="2:8" ht="15.95" customHeight="1">
      <c r="B110" s="783"/>
      <c r="C110" s="783"/>
      <c r="D110" s="786"/>
      <c r="E110" s="783"/>
      <c r="F110" s="783"/>
      <c r="G110" s="783"/>
      <c r="H110" s="783"/>
    </row>
    <row r="111" spans="2:8" ht="15.95" customHeight="1">
      <c r="B111" s="783"/>
      <c r="C111" s="783"/>
      <c r="D111" s="786"/>
      <c r="E111" s="783"/>
      <c r="F111" s="783"/>
      <c r="G111" s="783"/>
      <c r="H111" s="783"/>
    </row>
    <row r="112" spans="2:8" ht="15.95" customHeight="1">
      <c r="B112" s="783"/>
      <c r="C112" s="783"/>
      <c r="D112" s="786"/>
      <c r="E112" s="783"/>
      <c r="F112" s="783"/>
      <c r="G112" s="783"/>
      <c r="H112" s="783"/>
    </row>
    <row r="113" spans="2:8" ht="15.95" customHeight="1">
      <c r="B113" s="783"/>
      <c r="C113" s="783"/>
      <c r="D113" s="786"/>
      <c r="E113" s="783"/>
      <c r="F113" s="783"/>
      <c r="G113" s="783"/>
      <c r="H113" s="783"/>
    </row>
    <row r="114" spans="2:8" ht="15.95" customHeight="1">
      <c r="B114" s="783"/>
      <c r="C114" s="783"/>
      <c r="D114" s="786"/>
      <c r="E114" s="783"/>
      <c r="F114" s="783"/>
      <c r="G114" s="783"/>
      <c r="H114" s="783"/>
    </row>
    <row r="115" spans="2:8" ht="15.95" customHeight="1">
      <c r="B115" s="783"/>
      <c r="C115" s="783"/>
      <c r="D115" s="786"/>
      <c r="E115" s="783"/>
      <c r="F115" s="783"/>
      <c r="G115" s="783"/>
      <c r="H115" s="783"/>
    </row>
    <row r="116" spans="2:8" ht="15.95" customHeight="1">
      <c r="B116" s="783"/>
      <c r="C116" s="783"/>
      <c r="D116" s="786"/>
      <c r="E116" s="783"/>
      <c r="F116" s="783"/>
      <c r="G116" s="783"/>
      <c r="H116" s="783"/>
    </row>
    <row r="117" spans="2:8" ht="15.95" customHeight="1">
      <c r="B117" s="783"/>
      <c r="C117" s="783"/>
      <c r="D117" s="786"/>
      <c r="E117" s="783"/>
      <c r="F117" s="783"/>
      <c r="G117" s="783"/>
      <c r="H117" s="783"/>
    </row>
    <row r="118" spans="2:8" ht="15.95" customHeight="1">
      <c r="B118" s="783"/>
      <c r="C118" s="783"/>
      <c r="D118" s="786"/>
      <c r="E118" s="783"/>
      <c r="F118" s="783"/>
      <c r="G118" s="783"/>
      <c r="H118" s="783"/>
    </row>
    <row r="119" spans="2:8" ht="15.95" customHeight="1">
      <c r="B119" s="783"/>
      <c r="C119" s="783"/>
      <c r="D119" s="786"/>
      <c r="E119" s="783"/>
      <c r="F119" s="783"/>
      <c r="G119" s="783"/>
      <c r="H119" s="783"/>
    </row>
    <row r="120" spans="2:8" ht="15.95" customHeight="1">
      <c r="B120" s="783"/>
      <c r="C120" s="783"/>
      <c r="D120" s="786"/>
      <c r="E120" s="783"/>
      <c r="F120" s="783"/>
      <c r="G120" s="783"/>
      <c r="H120" s="783"/>
    </row>
    <row r="121" spans="2:8" ht="15.95" customHeight="1">
      <c r="B121" s="783"/>
      <c r="C121" s="783"/>
      <c r="D121" s="786"/>
      <c r="E121" s="783"/>
      <c r="F121" s="783"/>
      <c r="G121" s="783"/>
      <c r="H121" s="783"/>
    </row>
    <row r="122" spans="2:8" ht="15.95" customHeight="1">
      <c r="B122" s="783"/>
      <c r="C122" s="783"/>
      <c r="D122" s="786"/>
      <c r="E122" s="783"/>
      <c r="F122" s="783"/>
      <c r="G122" s="783"/>
      <c r="H122" s="783"/>
    </row>
    <row r="123" spans="2:8" ht="15.95" customHeight="1">
      <c r="B123" s="783"/>
      <c r="C123" s="783"/>
      <c r="D123" s="786"/>
      <c r="E123" s="783"/>
      <c r="F123" s="783"/>
      <c r="G123" s="783"/>
      <c r="H123" s="783"/>
    </row>
    <row r="124" spans="2:8" ht="15.95" customHeight="1">
      <c r="B124" s="783"/>
      <c r="C124" s="783"/>
      <c r="D124" s="786"/>
      <c r="E124" s="783"/>
      <c r="F124" s="783"/>
      <c r="G124" s="783"/>
      <c r="H124" s="783"/>
    </row>
    <row r="125" spans="2:8" ht="15.95" customHeight="1">
      <c r="B125" s="783"/>
      <c r="C125" s="783"/>
      <c r="D125" s="786"/>
      <c r="E125" s="783"/>
      <c r="F125" s="783"/>
      <c r="G125" s="783"/>
      <c r="H125" s="783"/>
    </row>
    <row r="126" spans="2:8" ht="15.95" customHeight="1">
      <c r="B126" s="783"/>
      <c r="C126" s="783"/>
      <c r="D126" s="786"/>
      <c r="E126" s="783"/>
      <c r="F126" s="783"/>
      <c r="G126" s="783"/>
      <c r="H126" s="783"/>
    </row>
    <row r="127" spans="2:8" ht="15.95" customHeight="1">
      <c r="B127" s="783"/>
      <c r="C127" s="783"/>
      <c r="D127" s="786"/>
      <c r="E127" s="783"/>
      <c r="F127" s="783"/>
      <c r="G127" s="783"/>
      <c r="H127" s="783"/>
    </row>
    <row r="128" spans="2:8" ht="15.95" customHeight="1">
      <c r="B128" s="783"/>
      <c r="C128" s="783"/>
      <c r="D128" s="786"/>
      <c r="E128" s="783"/>
      <c r="F128" s="783"/>
      <c r="G128" s="783"/>
      <c r="H128" s="783"/>
    </row>
    <row r="129" spans="2:8" ht="15.95" customHeight="1">
      <c r="B129" s="783"/>
      <c r="C129" s="783"/>
      <c r="D129" s="786"/>
      <c r="E129" s="783"/>
      <c r="F129" s="783"/>
      <c r="G129" s="783"/>
      <c r="H129" s="783"/>
    </row>
    <row r="130" spans="2:8" ht="15.95" customHeight="1">
      <c r="B130" s="783"/>
      <c r="C130" s="783"/>
      <c r="D130" s="786"/>
      <c r="E130" s="783"/>
      <c r="F130" s="783"/>
      <c r="G130" s="783"/>
      <c r="H130" s="783"/>
    </row>
    <row r="131" spans="2:8" ht="15.95" customHeight="1">
      <c r="B131" s="783"/>
      <c r="C131" s="783"/>
      <c r="D131" s="786"/>
      <c r="E131" s="783"/>
      <c r="F131" s="783"/>
      <c r="G131" s="783"/>
      <c r="H131" s="783"/>
    </row>
    <row r="132" spans="2:8" ht="15.95" customHeight="1">
      <c r="B132" s="783"/>
      <c r="C132" s="783"/>
      <c r="D132" s="786"/>
      <c r="E132" s="783"/>
      <c r="F132" s="783"/>
      <c r="G132" s="783"/>
      <c r="H132" s="783"/>
    </row>
    <row r="133" spans="2:8" ht="15.95" customHeight="1">
      <c r="B133" s="783"/>
      <c r="C133" s="783"/>
      <c r="D133" s="786"/>
      <c r="E133" s="783"/>
      <c r="F133" s="783"/>
      <c r="G133" s="783"/>
      <c r="H133" s="783"/>
    </row>
    <row r="134" spans="2:8" ht="15.95" customHeight="1">
      <c r="B134" s="783"/>
      <c r="C134" s="783"/>
      <c r="D134" s="786"/>
      <c r="E134" s="783"/>
      <c r="F134" s="783"/>
      <c r="G134" s="783"/>
      <c r="H134" s="783"/>
    </row>
    <row r="135" spans="2:8" ht="15.95" customHeight="1">
      <c r="B135" s="783"/>
      <c r="C135" s="783"/>
      <c r="D135" s="786"/>
      <c r="E135" s="783"/>
      <c r="F135" s="783"/>
      <c r="G135" s="783"/>
      <c r="H135" s="783"/>
    </row>
    <row r="136" spans="2:8" ht="15.95" customHeight="1">
      <c r="B136" s="783"/>
      <c r="C136" s="783"/>
      <c r="D136" s="786"/>
      <c r="E136" s="783"/>
      <c r="F136" s="783"/>
      <c r="G136" s="783"/>
      <c r="H136" s="783"/>
    </row>
    <row r="137" spans="2:8" ht="15.95" customHeight="1">
      <c r="B137" s="783"/>
      <c r="C137" s="783"/>
      <c r="D137" s="786"/>
      <c r="E137" s="783"/>
      <c r="F137" s="783"/>
      <c r="G137" s="783"/>
      <c r="H137" s="783"/>
    </row>
    <row r="138" spans="2:8" ht="15.95" customHeight="1">
      <c r="B138" s="783"/>
      <c r="C138" s="783"/>
      <c r="D138" s="786"/>
      <c r="E138" s="783"/>
      <c r="F138" s="783"/>
      <c r="G138" s="783"/>
      <c r="H138" s="783"/>
    </row>
    <row r="139" spans="2:8" ht="15.95" customHeight="1">
      <c r="B139" s="783"/>
      <c r="C139" s="783"/>
      <c r="D139" s="786"/>
      <c r="E139" s="783"/>
      <c r="F139" s="783"/>
      <c r="G139" s="783"/>
      <c r="H139" s="783"/>
    </row>
    <row r="140" spans="2:8" ht="15.95" customHeight="1">
      <c r="B140" s="783"/>
      <c r="C140" s="783"/>
      <c r="D140" s="786"/>
      <c r="E140" s="783"/>
      <c r="F140" s="783"/>
      <c r="G140" s="783"/>
      <c r="H140" s="783"/>
    </row>
    <row r="141" spans="2:8" ht="15.95" customHeight="1">
      <c r="B141" s="783"/>
      <c r="C141" s="783"/>
      <c r="D141" s="786"/>
      <c r="E141" s="783"/>
      <c r="F141" s="783"/>
      <c r="G141" s="783"/>
      <c r="H141" s="783"/>
    </row>
    <row r="142" spans="2:8" ht="15.95" customHeight="1">
      <c r="B142" s="783"/>
      <c r="C142" s="783"/>
      <c r="D142" s="786"/>
      <c r="E142" s="783"/>
      <c r="F142" s="783"/>
      <c r="G142" s="783"/>
      <c r="H142" s="783"/>
    </row>
    <row r="143" spans="2:8" ht="15.95" customHeight="1">
      <c r="B143" s="783"/>
      <c r="C143" s="783"/>
      <c r="D143" s="786"/>
      <c r="E143" s="783"/>
      <c r="F143" s="783"/>
      <c r="G143" s="783"/>
      <c r="H143" s="783"/>
    </row>
    <row r="144" spans="2:8" ht="15.95" customHeight="1">
      <c r="B144" s="783"/>
      <c r="C144" s="783"/>
      <c r="D144" s="786"/>
      <c r="E144" s="783"/>
      <c r="F144" s="783"/>
      <c r="G144" s="783"/>
      <c r="H144" s="783"/>
    </row>
    <row r="145" spans="2:8" ht="15.95" customHeight="1">
      <c r="B145" s="783"/>
      <c r="C145" s="783"/>
      <c r="D145" s="786"/>
      <c r="E145" s="783"/>
      <c r="F145" s="783"/>
      <c r="G145" s="783"/>
      <c r="H145" s="783"/>
    </row>
    <row r="146" spans="2:8" ht="15.95" customHeight="1">
      <c r="B146" s="783"/>
      <c r="C146" s="783"/>
      <c r="D146" s="786"/>
      <c r="E146" s="783"/>
      <c r="F146" s="783"/>
      <c r="G146" s="783"/>
      <c r="H146" s="783"/>
    </row>
    <row r="147" spans="2:8" ht="15.95" customHeight="1">
      <c r="B147" s="783"/>
      <c r="C147" s="783"/>
      <c r="D147" s="786"/>
      <c r="E147" s="783"/>
      <c r="F147" s="783"/>
      <c r="G147" s="783"/>
      <c r="H147" s="783"/>
    </row>
    <row r="148" spans="2:8" ht="15.95" customHeight="1">
      <c r="B148" s="783"/>
      <c r="C148" s="783"/>
      <c r="D148" s="786"/>
      <c r="E148" s="783"/>
      <c r="F148" s="783"/>
      <c r="G148" s="783"/>
      <c r="H148" s="783"/>
    </row>
    <row r="149" spans="2:8" ht="15.95" customHeight="1">
      <c r="B149" s="783"/>
      <c r="C149" s="783"/>
      <c r="D149" s="786"/>
      <c r="E149" s="783"/>
      <c r="F149" s="783"/>
      <c r="G149" s="783"/>
      <c r="H149" s="783"/>
    </row>
    <row r="150" spans="2:8" ht="15.95" customHeight="1">
      <c r="B150" s="783"/>
      <c r="C150" s="783"/>
      <c r="D150" s="786"/>
      <c r="E150" s="783"/>
      <c r="F150" s="783"/>
      <c r="G150" s="783"/>
      <c r="H150" s="783"/>
    </row>
    <row r="151" spans="2:8" ht="15.95" customHeight="1">
      <c r="B151" s="783"/>
      <c r="C151" s="783"/>
      <c r="D151" s="786"/>
      <c r="E151" s="783"/>
      <c r="F151" s="783"/>
      <c r="G151" s="783"/>
      <c r="H151" s="783"/>
    </row>
    <row r="152" spans="2:8" ht="15.95" customHeight="1">
      <c r="B152" s="783"/>
      <c r="C152" s="783"/>
      <c r="D152" s="786"/>
      <c r="E152" s="783"/>
      <c r="F152" s="783"/>
      <c r="G152" s="783"/>
      <c r="H152" s="783"/>
    </row>
    <row r="153" spans="2:8" ht="15.95" customHeight="1">
      <c r="B153" s="783"/>
      <c r="C153" s="783"/>
      <c r="D153" s="786"/>
      <c r="E153" s="783"/>
      <c r="F153" s="783"/>
      <c r="G153" s="783"/>
      <c r="H153" s="783"/>
    </row>
    <row r="154" spans="2:8" ht="15.95" customHeight="1">
      <c r="B154" s="783"/>
      <c r="C154" s="783"/>
      <c r="D154" s="786"/>
      <c r="E154" s="783"/>
      <c r="F154" s="783"/>
      <c r="G154" s="783"/>
      <c r="H154" s="783"/>
    </row>
    <row r="155" spans="2:8" ht="15.95" customHeight="1">
      <c r="B155" s="783"/>
      <c r="C155" s="783"/>
      <c r="D155" s="786"/>
      <c r="E155" s="783"/>
      <c r="F155" s="783"/>
      <c r="G155" s="783"/>
      <c r="H155" s="783"/>
    </row>
    <row r="156" spans="2:8" ht="15.95" customHeight="1">
      <c r="B156" s="783"/>
      <c r="C156" s="783"/>
      <c r="D156" s="786"/>
      <c r="E156" s="783"/>
      <c r="F156" s="783"/>
      <c r="G156" s="783"/>
      <c r="H156" s="783"/>
    </row>
    <row r="157" spans="2:8" ht="15.95" customHeight="1">
      <c r="B157" s="783"/>
      <c r="C157" s="783"/>
      <c r="D157" s="786"/>
      <c r="E157" s="783"/>
      <c r="F157" s="783"/>
      <c r="G157" s="783"/>
      <c r="H157" s="783"/>
    </row>
    <row r="158" spans="2:8" ht="15.95" customHeight="1">
      <c r="B158" s="783"/>
      <c r="C158" s="783"/>
      <c r="D158" s="786"/>
      <c r="E158" s="783"/>
      <c r="F158" s="783"/>
      <c r="G158" s="783"/>
      <c r="H158" s="783"/>
    </row>
    <row r="159" spans="2:8" ht="15.95" customHeight="1">
      <c r="B159" s="783"/>
      <c r="C159" s="783"/>
      <c r="D159" s="786"/>
      <c r="E159" s="783"/>
      <c r="F159" s="783"/>
      <c r="G159" s="783"/>
      <c r="H159" s="783"/>
    </row>
    <row r="160" spans="2:8" ht="15.95" customHeight="1">
      <c r="B160" s="783"/>
      <c r="C160" s="783"/>
      <c r="D160" s="786"/>
      <c r="E160" s="783"/>
      <c r="F160" s="783"/>
      <c r="G160" s="783"/>
      <c r="H160" s="783"/>
    </row>
    <row r="161" spans="2:8" ht="15.95" customHeight="1">
      <c r="B161" s="783"/>
      <c r="C161" s="783"/>
      <c r="D161" s="786"/>
      <c r="E161" s="783"/>
      <c r="F161" s="783"/>
      <c r="G161" s="783"/>
      <c r="H161" s="783"/>
    </row>
    <row r="162" spans="2:8" ht="15.95" customHeight="1">
      <c r="B162" s="783"/>
      <c r="C162" s="783"/>
      <c r="D162" s="786"/>
      <c r="E162" s="783"/>
      <c r="F162" s="783"/>
      <c r="G162" s="783"/>
      <c r="H162" s="783"/>
    </row>
    <row r="163" spans="2:8" ht="15.95" customHeight="1">
      <c r="B163" s="783"/>
      <c r="C163" s="783"/>
      <c r="D163" s="786"/>
      <c r="E163" s="783"/>
      <c r="F163" s="783"/>
      <c r="G163" s="783"/>
      <c r="H163" s="783"/>
    </row>
    <row r="164" spans="2:8" ht="15.95" customHeight="1">
      <c r="B164" s="783"/>
      <c r="C164" s="783"/>
      <c r="D164" s="786"/>
      <c r="E164" s="783"/>
      <c r="F164" s="783"/>
      <c r="G164" s="783"/>
      <c r="H164" s="783"/>
    </row>
    <row r="165" spans="2:8" ht="15.95" customHeight="1"/>
    <row r="166" spans="2:8" ht="15.95" customHeight="1"/>
    <row r="167" spans="2:8" ht="15.95" customHeight="1"/>
    <row r="168" spans="2:8" ht="15.95" customHeight="1"/>
    <row r="169" spans="2:8" ht="15.95" customHeight="1"/>
    <row r="170" spans="2:8" ht="15.95" customHeight="1"/>
    <row r="171" spans="2:8" ht="15.95" customHeight="1"/>
    <row r="172" spans="2:8" ht="15.95" customHeight="1"/>
    <row r="173" spans="2:8" ht="15.95" customHeight="1"/>
    <row r="174" spans="2:8" ht="15.95" customHeight="1"/>
    <row r="175" spans="2:8" ht="15.95" customHeight="1"/>
    <row r="176" spans="2:8" ht="15.95" customHeight="1"/>
    <row r="177" ht="15.95" customHeight="1"/>
    <row r="178" ht="15.95" customHeight="1"/>
    <row r="179" ht="15.95" customHeight="1"/>
    <row r="180" ht="15.95" customHeight="1"/>
    <row r="181" ht="15.95" customHeight="1"/>
    <row r="182" ht="15.95" customHeight="1"/>
    <row r="183" ht="15.95" customHeight="1"/>
    <row r="184" ht="15.95" customHeight="1"/>
    <row r="185" ht="15.95" customHeight="1"/>
    <row r="186" ht="15.95" customHeight="1"/>
    <row r="187" ht="15.95" customHeight="1"/>
    <row r="188" ht="15.95" customHeight="1"/>
    <row r="189" ht="15.95" customHeight="1"/>
    <row r="190" ht="15.95" customHeight="1"/>
    <row r="191" ht="15.95" customHeight="1"/>
    <row r="192" ht="15.95" customHeight="1"/>
    <row r="193" ht="15.95" customHeight="1"/>
    <row r="194" ht="15.95" customHeight="1"/>
    <row r="195" ht="15.95" customHeight="1"/>
    <row r="196" ht="15.95" customHeight="1"/>
    <row r="197" ht="15.95" customHeight="1"/>
    <row r="198" ht="15.95" customHeight="1"/>
    <row r="199" ht="15.95" customHeight="1"/>
    <row r="200" ht="15.95" customHeight="1"/>
    <row r="201" ht="15.95" customHeight="1"/>
    <row r="202" ht="15.95" customHeight="1"/>
    <row r="203" ht="15.95" customHeight="1"/>
    <row r="204" ht="15.95" customHeight="1"/>
    <row r="205" ht="15.95" customHeight="1"/>
    <row r="206" ht="15.95" customHeight="1"/>
    <row r="207" ht="15.95" customHeight="1"/>
    <row r="208" ht="15.95" customHeight="1"/>
    <row r="209" ht="15.95" customHeight="1"/>
    <row r="210" ht="15.95" customHeight="1"/>
    <row r="211" ht="15.95" customHeight="1"/>
    <row r="212" ht="15.95" customHeight="1"/>
    <row r="213" ht="15.95" customHeight="1"/>
    <row r="214" ht="15.95" customHeight="1"/>
    <row r="215" ht="15.95" customHeight="1"/>
    <row r="216" ht="15.95" customHeight="1"/>
    <row r="217" ht="15.95" customHeight="1"/>
    <row r="218" ht="15.95" customHeight="1"/>
    <row r="219" ht="15.95" customHeight="1"/>
    <row r="220" ht="15.95" customHeight="1"/>
    <row r="221" ht="15.95" customHeight="1"/>
    <row r="222" ht="15.95" customHeight="1"/>
    <row r="223" ht="15.95" customHeight="1"/>
    <row r="224" ht="15.95" customHeight="1"/>
    <row r="225" ht="15.95" customHeight="1"/>
    <row r="226" ht="15.95" customHeight="1"/>
    <row r="227" ht="15.95" customHeight="1"/>
    <row r="228" ht="15.95" customHeight="1"/>
    <row r="229" ht="15.95" customHeight="1"/>
    <row r="230" ht="15.95" customHeight="1"/>
    <row r="231" ht="15.95" customHeight="1"/>
    <row r="232" ht="15.95" customHeight="1"/>
    <row r="233" ht="15.95" customHeight="1"/>
    <row r="234" ht="15.95" customHeight="1"/>
    <row r="235" ht="15.95" customHeight="1"/>
    <row r="236" ht="15.95" customHeight="1"/>
    <row r="237" ht="15.95" customHeight="1"/>
    <row r="238" ht="15.95" customHeight="1"/>
    <row r="239" ht="15.95" customHeight="1"/>
    <row r="240" ht="15.95" customHeight="1"/>
    <row r="241" ht="15.95" customHeight="1"/>
    <row r="242" ht="15.95" customHeight="1"/>
    <row r="243" ht="15.95" customHeight="1"/>
    <row r="244" ht="15.95" customHeight="1"/>
    <row r="245" ht="15.95" customHeight="1"/>
    <row r="246" ht="15.95" customHeight="1"/>
    <row r="247" ht="15.95" customHeight="1"/>
    <row r="248" ht="15.95" customHeight="1"/>
  </sheetData>
  <mergeCells count="10">
    <mergeCell ref="B9:I9"/>
    <mergeCell ref="K9:L9"/>
    <mergeCell ref="B12:D12"/>
    <mergeCell ref="B1:D3"/>
    <mergeCell ref="B5:D5"/>
    <mergeCell ref="G5:I5"/>
    <mergeCell ref="B6:D6"/>
    <mergeCell ref="H6:I6"/>
    <mergeCell ref="B7:D7"/>
    <mergeCell ref="H7:I7"/>
  </mergeCells>
  <conditionalFormatting sqref="G2">
    <cfRule type="cellIs" dxfId="51" priority="1" operator="equal">
      <formula>"Partner Approved"</formula>
    </cfRule>
    <cfRule type="cellIs" dxfId="50" priority="2" operator="equal">
      <formula>"Reviewed"</formula>
    </cfRule>
    <cfRule type="cellIs" dxfId="49" priority="3" operator="equal">
      <formula>"Rework Complete"</formula>
    </cfRule>
    <cfRule type="cellIs" dxfId="48" priority="4" operator="equal">
      <formula>"Client Query"</formula>
    </cfRule>
    <cfRule type="cellIs" dxfId="47" priority="5" operator="equal">
      <formula>"Started"</formula>
    </cfRule>
    <cfRule type="cellIs" dxfId="46" priority="6" operator="equal">
      <formula>"Ready for Review"</formula>
    </cfRule>
    <cfRule type="cellIs" dxfId="45" priority="7" operator="equal">
      <formula>"Rework Required"</formula>
    </cfRule>
    <cfRule type="cellIs" dxfId="44" priority="8" operator="equal">
      <formula>"Complete"</formula>
    </cfRule>
  </conditionalFormatting>
  <dataValidations count="1">
    <dataValidation type="list" errorStyle="information" allowBlank="1" showInputMessage="1" showErrorMessage="1" sqref="G2" xr:uid="{5B46BA8F-9CF5-4EB2-9D00-C33467DF432F}">
      <formula1>StatusDescriptions</formula1>
    </dataValidation>
  </dataValidations>
  <hyperlinks>
    <hyperlink ref="H2" location="'Z01 Spare Worksheet - Blank'!Go_Index" display="Index" xr:uid="{F9AE9FC6-A5A4-4620-9D7D-56B0573A6A60}"/>
    <hyperlink ref="E17" r:id="rId1" display="hownow://_r925588/" xr:uid="{6D2787FB-DC54-44CC-9C20-2FE28ACF250A}"/>
  </hyperlinks>
  <printOptions horizontalCentered="1"/>
  <pageMargins left="0.39370078740157483" right="0.39370078740157483" top="0.39370078740157483" bottom="0.39370078740157483" header="0" footer="0"/>
  <pageSetup paperSize="9" scale="74" orientation="portrait" r:id="rId2"/>
  <headerFooter alignWithMargins="0">
    <oddFooter>&amp;L&amp;F
Copyright © 2003-Present Business Fitness Pty Ltd&amp;R&amp;A &amp;P</oddFooter>
  </headerFooter>
  <customProperties>
    <customPr name="SheetId" r:id="rId3"/>
  </customProperties>
  <drawing r:id="rId4"/>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2:Z68"/>
  <sheetViews>
    <sheetView zoomScale="80" zoomScaleNormal="80" workbookViewId="0">
      <selection activeCell="L17" sqref="L17"/>
    </sheetView>
  </sheetViews>
  <sheetFormatPr defaultColWidth="13.7109375" defaultRowHeight="12.75"/>
  <cols>
    <col min="1" max="1" width="13.7109375" style="214"/>
    <col min="2" max="2" width="48" style="214" customWidth="1"/>
    <col min="3" max="3" width="7.85546875" style="214" hidden="1" customWidth="1"/>
    <col min="4" max="6" width="11.85546875" style="214" hidden="1" customWidth="1"/>
    <col min="7" max="7" width="27" style="214" customWidth="1"/>
    <col min="8" max="8" width="11.85546875" style="435" customWidth="1"/>
    <col min="9" max="10" width="11.85546875" style="435" hidden="1" customWidth="1"/>
    <col min="11" max="11" width="14.140625" style="435" customWidth="1"/>
    <col min="12" max="12" width="13.85546875" style="435" customWidth="1"/>
    <col min="13" max="13" width="12.28515625" style="435" bestFit="1" customWidth="1"/>
    <col min="14" max="15" width="11.85546875" style="435" customWidth="1"/>
    <col min="16" max="17" width="11.85546875" style="214" hidden="1" customWidth="1"/>
    <col min="18" max="18" width="2.5703125" style="214" customWidth="1"/>
    <col min="19" max="19" width="16.28515625" style="214" customWidth="1"/>
    <col min="20" max="20" width="17.140625" style="214" customWidth="1"/>
    <col min="21" max="21" width="11.85546875" style="214" customWidth="1"/>
    <col min="22" max="25" width="13.7109375" style="214"/>
    <col min="26" max="26" width="19.42578125" style="214" customWidth="1"/>
    <col min="27" max="16384" width="13.7109375" style="214"/>
  </cols>
  <sheetData>
    <row r="2" spans="1:26" ht="20.25">
      <c r="A2" s="262" t="s">
        <v>310</v>
      </c>
      <c r="B2" s="259"/>
      <c r="C2" s="259"/>
      <c r="D2" s="259"/>
      <c r="E2" s="259"/>
      <c r="F2" s="259"/>
      <c r="G2" s="259"/>
      <c r="H2" s="792"/>
      <c r="I2" s="792"/>
    </row>
    <row r="3" spans="1:26" ht="15" customHeight="1">
      <c r="A3" s="259"/>
      <c r="B3" s="259"/>
      <c r="C3" s="259"/>
      <c r="D3" s="259"/>
      <c r="E3" s="259"/>
      <c r="F3" s="259"/>
      <c r="G3" s="259"/>
      <c r="H3" s="792"/>
      <c r="I3" s="792"/>
    </row>
    <row r="4" spans="1:26" ht="15" customHeight="1">
      <c r="A4" s="386"/>
      <c r="B4" s="386"/>
      <c r="C4" s="386"/>
      <c r="D4" s="386"/>
      <c r="E4" s="386"/>
      <c r="F4" s="386"/>
      <c r="G4" s="386"/>
      <c r="H4" s="793"/>
      <c r="I4" s="793"/>
      <c r="J4" s="793"/>
      <c r="K4" s="793"/>
      <c r="L4" s="793"/>
      <c r="M4" s="793"/>
    </row>
    <row r="5" spans="1:26" ht="15" customHeight="1">
      <c r="A5" s="386"/>
      <c r="B5" s="386"/>
      <c r="C5" s="386"/>
      <c r="D5" s="386"/>
      <c r="E5" s="386"/>
      <c r="F5" s="386"/>
      <c r="G5" s="386"/>
      <c r="H5" s="793"/>
      <c r="I5" s="793"/>
      <c r="J5" s="793"/>
      <c r="K5" s="793"/>
      <c r="L5" s="793"/>
      <c r="M5" s="793"/>
    </row>
    <row r="6" spans="1:26" ht="15" customHeight="1">
      <c r="A6" s="265" t="s">
        <v>219</v>
      </c>
      <c r="B6" s="379" t="str">
        <f>'Assignment To do'!B3</f>
        <v>The Schubert Superannuation Fund</v>
      </c>
      <c r="C6" s="265"/>
      <c r="D6" s="265"/>
      <c r="E6" s="265"/>
      <c r="F6" s="265"/>
      <c r="H6" s="792"/>
      <c r="O6" s="379" t="s">
        <v>220</v>
      </c>
      <c r="S6" s="235">
        <f>'Assignment To do'!I7</f>
        <v>43482</v>
      </c>
      <c r="U6" s="235"/>
    </row>
    <row r="7" spans="1:26" ht="15" customHeight="1">
      <c r="A7" s="265" t="s">
        <v>223</v>
      </c>
      <c r="B7" s="379" t="str">
        <f>'Assignment To do'!B4</f>
        <v>2018 Year End</v>
      </c>
      <c r="C7" s="265"/>
      <c r="D7" s="265"/>
      <c r="E7" s="265"/>
      <c r="F7" s="266"/>
      <c r="H7" s="792"/>
      <c r="O7" s="379" t="s">
        <v>224</v>
      </c>
      <c r="S7" s="241" t="str">
        <f>'Assignment To do'!I8</f>
        <v>Kristy Gorgievski</v>
      </c>
      <c r="U7" s="241"/>
    </row>
    <row r="8" spans="1:26" ht="15" customHeight="1">
      <c r="A8" s="265" t="s">
        <v>245</v>
      </c>
      <c r="B8" s="265" t="str">
        <f>+A2</f>
        <v xml:space="preserve">Investment Confirmations </v>
      </c>
      <c r="C8" s="265"/>
      <c r="D8" s="265"/>
      <c r="E8" s="265"/>
      <c r="F8" s="265"/>
      <c r="H8" s="792"/>
      <c r="O8" s="379" t="s">
        <v>468</v>
      </c>
      <c r="S8" s="244">
        <f>'Assignment To do'!I9</f>
        <v>0</v>
      </c>
      <c r="U8" s="244"/>
    </row>
    <row r="9" spans="1:26" ht="15" customHeight="1" thickBot="1">
      <c r="A9" s="223"/>
      <c r="B9" s="223"/>
      <c r="C9" s="223"/>
      <c r="D9" s="223"/>
      <c r="E9" s="223"/>
      <c r="F9" s="223"/>
      <c r="G9" s="223"/>
      <c r="H9" s="794"/>
      <c r="I9" s="794"/>
      <c r="J9" s="794"/>
      <c r="K9" s="794"/>
      <c r="L9" s="794"/>
      <c r="M9" s="794"/>
      <c r="N9" s="794"/>
      <c r="O9" s="794"/>
      <c r="R9" s="223"/>
      <c r="S9" s="223"/>
      <c r="U9" s="220"/>
    </row>
    <row r="10" spans="1:26" ht="15" customHeight="1"/>
    <row r="11" spans="1:26" ht="15" customHeight="1">
      <c r="A11" s="1117" t="s">
        <v>311</v>
      </c>
      <c r="B11" s="1117"/>
      <c r="C11" s="1117"/>
      <c r="D11" s="1117"/>
      <c r="E11" s="1117"/>
      <c r="F11" s="1117"/>
      <c r="G11" s="1117"/>
      <c r="H11" s="1117"/>
      <c r="I11" s="1117"/>
      <c r="J11" s="1117"/>
      <c r="K11" s="1117"/>
      <c r="L11" s="1117"/>
      <c r="M11" s="1117"/>
      <c r="N11" s="1117"/>
      <c r="O11" s="1117"/>
      <c r="P11" s="1117"/>
      <c r="Q11" s="1117"/>
      <c r="R11" s="1117"/>
      <c r="S11" s="1117"/>
      <c r="T11" s="387"/>
      <c r="U11" s="1118" t="s">
        <v>400</v>
      </c>
    </row>
    <row r="12" spans="1:26" ht="15" customHeight="1">
      <c r="U12" s="1118"/>
    </row>
    <row r="13" spans="1:26" s="388" customFormat="1" ht="39" customHeight="1">
      <c r="A13" s="388" t="s">
        <v>312</v>
      </c>
      <c r="B13" s="388" t="s">
        <v>313</v>
      </c>
      <c r="C13" s="388" t="s">
        <v>314</v>
      </c>
      <c r="D13" s="388" t="s">
        <v>315</v>
      </c>
      <c r="E13" s="388" t="s">
        <v>316</v>
      </c>
      <c r="F13" s="388" t="s">
        <v>549</v>
      </c>
      <c r="G13" s="388" t="s">
        <v>317</v>
      </c>
      <c r="H13" s="795" t="s">
        <v>318</v>
      </c>
      <c r="I13" s="795" t="s">
        <v>319</v>
      </c>
      <c r="J13" s="795" t="s">
        <v>320</v>
      </c>
      <c r="K13" s="795" t="s">
        <v>321</v>
      </c>
      <c r="L13" s="795" t="s">
        <v>322</v>
      </c>
      <c r="M13" s="795" t="s">
        <v>323</v>
      </c>
      <c r="N13" s="795" t="s">
        <v>324</v>
      </c>
      <c r="O13" s="795" t="s">
        <v>325</v>
      </c>
      <c r="P13" s="388" t="s">
        <v>326</v>
      </c>
      <c r="Q13" s="388" t="s">
        <v>327</v>
      </c>
      <c r="R13" s="389"/>
      <c r="S13" s="389"/>
      <c r="T13" s="389"/>
      <c r="U13" s="1118"/>
    </row>
    <row r="14" spans="1:26" ht="15" customHeight="1" thickBot="1">
      <c r="A14" s="390"/>
      <c r="B14" s="390"/>
      <c r="C14" s="390"/>
      <c r="D14" s="391"/>
      <c r="E14" s="391"/>
      <c r="F14" s="391"/>
      <c r="G14" s="391"/>
      <c r="H14" s="796"/>
      <c r="I14" s="797"/>
      <c r="J14" s="797"/>
      <c r="K14" s="796"/>
      <c r="L14" s="797"/>
      <c r="M14" s="797"/>
      <c r="N14" s="796"/>
      <c r="O14" s="797"/>
      <c r="P14" s="391"/>
      <c r="Q14" s="391"/>
      <c r="R14" s="392"/>
      <c r="S14" s="1119" t="s">
        <v>328</v>
      </c>
      <c r="T14" s="1119"/>
      <c r="U14" s="1118"/>
    </row>
    <row r="15" spans="1:26" ht="15" customHeight="1">
      <c r="A15" s="74" t="s">
        <v>991</v>
      </c>
      <c r="B15" s="74" t="s">
        <v>574</v>
      </c>
      <c r="C15" s="74" t="s">
        <v>992</v>
      </c>
      <c r="D15" s="74" t="s">
        <v>993</v>
      </c>
      <c r="E15" s="74" t="s">
        <v>994</v>
      </c>
      <c r="F15" s="74"/>
      <c r="G15" s="74" t="s">
        <v>571</v>
      </c>
      <c r="H15" s="395"/>
      <c r="I15" s="395">
        <v>0</v>
      </c>
      <c r="J15" s="395">
        <v>0</v>
      </c>
      <c r="K15" s="395">
        <v>108153.76</v>
      </c>
      <c r="L15" s="395">
        <v>108153.76</v>
      </c>
      <c r="M15" s="395">
        <v>0</v>
      </c>
      <c r="N15" s="395">
        <v>0</v>
      </c>
      <c r="O15" s="395">
        <v>9.4534309761739301</v>
      </c>
      <c r="P15" s="74">
        <v>0</v>
      </c>
      <c r="Q15" s="74">
        <v>0</v>
      </c>
      <c r="R15" s="393"/>
      <c r="S15" s="883" t="s">
        <v>900</v>
      </c>
      <c r="T15" s="883"/>
      <c r="U15" s="393"/>
      <c r="Z15" s="394"/>
    </row>
    <row r="16" spans="1:26" ht="15" customHeight="1">
      <c r="A16" s="74" t="s">
        <v>991</v>
      </c>
      <c r="B16" s="74" t="s">
        <v>908</v>
      </c>
      <c r="C16" s="74" t="s">
        <v>992</v>
      </c>
      <c r="D16" s="74" t="s">
        <v>993</v>
      </c>
      <c r="E16" s="74" t="s">
        <v>994</v>
      </c>
      <c r="F16" s="74"/>
      <c r="G16" s="74" t="s">
        <v>571</v>
      </c>
      <c r="H16" s="395"/>
      <c r="I16" s="395">
        <v>0</v>
      </c>
      <c r="J16" s="395">
        <v>0</v>
      </c>
      <c r="K16" s="395">
        <v>915.1</v>
      </c>
      <c r="L16" s="395">
        <v>915.1</v>
      </c>
      <c r="M16" s="395">
        <v>0</v>
      </c>
      <c r="N16" s="395">
        <v>0</v>
      </c>
      <c r="O16" s="395">
        <v>7.9986444172599799E-2</v>
      </c>
      <c r="P16" s="74">
        <v>0</v>
      </c>
      <c r="Q16" s="74">
        <v>0</v>
      </c>
      <c r="R16" s="74"/>
      <c r="S16" s="1120" t="s">
        <v>951</v>
      </c>
      <c r="T16" s="1120"/>
      <c r="Y16" s="394"/>
    </row>
    <row r="17" spans="1:20" ht="15" customHeight="1">
      <c r="A17" s="74" t="s">
        <v>995</v>
      </c>
      <c r="B17" s="74" t="s">
        <v>1009</v>
      </c>
      <c r="C17" s="74" t="s">
        <v>992</v>
      </c>
      <c r="D17" s="74" t="s">
        <v>996</v>
      </c>
      <c r="E17" s="74" t="s">
        <v>994</v>
      </c>
      <c r="F17" s="74"/>
      <c r="G17" s="74" t="s">
        <v>596</v>
      </c>
      <c r="H17" s="395">
        <v>1</v>
      </c>
      <c r="I17" s="395">
        <v>565273</v>
      </c>
      <c r="J17" s="395">
        <v>715000</v>
      </c>
      <c r="K17" s="395">
        <v>565273</v>
      </c>
      <c r="L17" s="395">
        <v>715000</v>
      </c>
      <c r="M17" s="395">
        <v>149727</v>
      </c>
      <c r="N17" s="395">
        <v>26.487555570494202</v>
      </c>
      <c r="O17" s="395">
        <v>62.4962382072002</v>
      </c>
      <c r="P17" s="74">
        <v>0</v>
      </c>
      <c r="Q17" s="74">
        <v>0</v>
      </c>
      <c r="R17" s="74"/>
      <c r="S17" s="1120" t="s">
        <v>383</v>
      </c>
      <c r="T17" s="1120"/>
    </row>
    <row r="18" spans="1:20" ht="15" customHeight="1">
      <c r="A18" s="74" t="s">
        <v>995</v>
      </c>
      <c r="B18" s="74" t="s">
        <v>1010</v>
      </c>
      <c r="C18" s="74" t="s">
        <v>992</v>
      </c>
      <c r="D18" s="74" t="s">
        <v>996</v>
      </c>
      <c r="E18" s="74" t="s">
        <v>994</v>
      </c>
      <c r="F18" s="74"/>
      <c r="G18" s="74" t="s">
        <v>596</v>
      </c>
      <c r="H18" s="395">
        <v>1</v>
      </c>
      <c r="I18" s="395">
        <v>285375.65000000002</v>
      </c>
      <c r="J18" s="395">
        <v>320000</v>
      </c>
      <c r="K18" s="395">
        <v>285375.65000000002</v>
      </c>
      <c r="L18" s="395">
        <v>320000</v>
      </c>
      <c r="M18" s="395">
        <v>34624.35</v>
      </c>
      <c r="N18" s="395">
        <v>12.1329027196258</v>
      </c>
      <c r="O18" s="395">
        <v>27.970344372453201</v>
      </c>
      <c r="P18" s="74">
        <v>0</v>
      </c>
      <c r="Q18" s="74">
        <v>0</v>
      </c>
      <c r="R18" s="74"/>
      <c r="S18" s="1120" t="s">
        <v>383</v>
      </c>
      <c r="T18" s="1120"/>
    </row>
    <row r="19" spans="1:20" ht="15" customHeight="1">
      <c r="A19" s="74"/>
      <c r="B19" s="74"/>
      <c r="C19" s="74"/>
      <c r="D19" s="74"/>
      <c r="E19" s="74"/>
      <c r="F19" s="74"/>
      <c r="G19" s="74"/>
      <c r="H19" s="395"/>
      <c r="I19" s="395"/>
      <c r="J19" s="395"/>
      <c r="K19" s="395"/>
      <c r="L19" s="395"/>
      <c r="M19" s="395"/>
      <c r="N19" s="395"/>
      <c r="O19" s="395"/>
      <c r="P19" s="74"/>
      <c r="Q19" s="74"/>
      <c r="R19" s="74"/>
      <c r="S19" s="219"/>
      <c r="T19" s="219"/>
    </row>
    <row r="20" spans="1:20" ht="15" customHeight="1">
      <c r="A20" s="74"/>
      <c r="B20" s="74"/>
      <c r="C20" s="74"/>
      <c r="D20" s="74"/>
      <c r="E20" s="74"/>
      <c r="F20" s="74"/>
      <c r="G20" s="74"/>
      <c r="H20" s="395"/>
      <c r="I20" s="395"/>
      <c r="J20" s="395"/>
      <c r="K20" s="395"/>
      <c r="L20" s="395"/>
      <c r="M20" s="395"/>
      <c r="N20" s="395"/>
      <c r="O20" s="395"/>
      <c r="P20" s="74"/>
      <c r="Q20" s="74"/>
      <c r="R20" s="74"/>
      <c r="S20" s="219"/>
      <c r="T20" s="219"/>
    </row>
    <row r="21" spans="1:20" ht="15" customHeight="1">
      <c r="A21" s="396"/>
      <c r="B21" s="393"/>
      <c r="C21" s="393"/>
      <c r="D21" s="397"/>
      <c r="E21" s="397"/>
      <c r="F21" s="397"/>
      <c r="G21" s="397"/>
      <c r="H21" s="397"/>
      <c r="I21" s="397"/>
      <c r="J21" s="397"/>
      <c r="K21" s="397"/>
      <c r="L21" s="397"/>
      <c r="M21" s="397"/>
      <c r="N21" s="397"/>
      <c r="O21" s="397"/>
      <c r="P21" s="397"/>
      <c r="Q21" s="398"/>
      <c r="R21" s="397"/>
      <c r="S21" s="219"/>
      <c r="T21" s="219"/>
    </row>
    <row r="22" spans="1:20" ht="15" customHeight="1">
      <c r="A22" s="399"/>
      <c r="B22" s="393"/>
      <c r="C22" s="393"/>
      <c r="D22" s="397"/>
      <c r="E22" s="397"/>
      <c r="F22" s="397"/>
      <c r="G22" s="397"/>
      <c r="H22" s="397"/>
      <c r="I22" s="400"/>
      <c r="J22" s="397"/>
      <c r="K22" s="397"/>
      <c r="L22" s="397"/>
      <c r="M22" s="397"/>
      <c r="N22" s="397"/>
      <c r="O22" s="397"/>
      <c r="P22" s="400"/>
      <c r="Q22" s="401"/>
      <c r="R22" s="400"/>
      <c r="S22" s="219"/>
      <c r="T22" s="219"/>
    </row>
    <row r="23" spans="1:20" ht="15" customHeight="1">
      <c r="A23" s="399"/>
      <c r="B23" s="393"/>
      <c r="C23" s="393"/>
      <c r="D23" s="397"/>
      <c r="E23" s="397"/>
      <c r="F23" s="397"/>
      <c r="G23" s="397"/>
      <c r="H23" s="397"/>
      <c r="I23" s="397"/>
      <c r="J23" s="397"/>
      <c r="K23" s="397"/>
      <c r="L23" s="397"/>
      <c r="M23" s="397"/>
      <c r="N23" s="397"/>
      <c r="O23" s="397"/>
      <c r="P23" s="397"/>
      <c r="Q23" s="398"/>
      <c r="R23" s="397"/>
      <c r="S23" s="219"/>
      <c r="T23" s="219"/>
    </row>
    <row r="24" spans="1:20" ht="15" customHeight="1">
      <c r="A24" s="402"/>
      <c r="B24" s="393"/>
      <c r="C24" s="393"/>
      <c r="D24" s="397"/>
      <c r="E24" s="397"/>
      <c r="F24" s="397"/>
      <c r="G24" s="397"/>
      <c r="H24" s="397"/>
      <c r="I24" s="397"/>
      <c r="J24" s="397"/>
      <c r="K24" s="397"/>
      <c r="L24" s="397"/>
      <c r="M24" s="397"/>
      <c r="N24" s="397"/>
      <c r="O24" s="397"/>
      <c r="P24" s="397"/>
      <c r="Q24" s="398"/>
      <c r="R24" s="397"/>
      <c r="S24" s="219"/>
      <c r="T24" s="219"/>
    </row>
    <row r="25" spans="1:20" ht="15" customHeight="1">
      <c r="A25" s="396"/>
      <c r="B25" s="393"/>
      <c r="C25" s="393"/>
      <c r="D25" s="400"/>
      <c r="E25" s="400"/>
      <c r="F25" s="400"/>
      <c r="G25" s="397"/>
      <c r="H25" s="397"/>
      <c r="I25" s="397"/>
      <c r="J25" s="397"/>
      <c r="K25" s="397"/>
      <c r="L25" s="397"/>
      <c r="M25" s="397"/>
      <c r="N25" s="397"/>
      <c r="O25" s="400"/>
      <c r="P25" s="400"/>
      <c r="Q25" s="401"/>
      <c r="R25" s="400"/>
      <c r="S25" s="219"/>
      <c r="T25" s="219"/>
    </row>
    <row r="26" spans="1:20" ht="15" customHeight="1">
      <c r="A26" s="396"/>
      <c r="B26" s="393"/>
      <c r="C26" s="393"/>
      <c r="D26" s="400"/>
      <c r="E26" s="400"/>
      <c r="F26" s="400"/>
      <c r="G26" s="397"/>
      <c r="H26" s="397"/>
      <c r="I26" s="397"/>
      <c r="J26" s="400"/>
      <c r="K26" s="397"/>
      <c r="L26" s="400"/>
      <c r="M26" s="400"/>
      <c r="N26" s="397"/>
      <c r="O26" s="397"/>
      <c r="P26" s="397"/>
      <c r="Q26" s="398"/>
      <c r="R26" s="397"/>
      <c r="S26" s="219"/>
      <c r="T26" s="219"/>
    </row>
    <row r="27" spans="1:20" ht="15" customHeight="1">
      <c r="A27" s="396"/>
      <c r="B27" s="393"/>
      <c r="C27" s="393"/>
      <c r="D27" s="397"/>
      <c r="E27" s="397"/>
      <c r="F27" s="397"/>
      <c r="G27" s="397"/>
      <c r="H27" s="397"/>
      <c r="I27" s="397"/>
      <c r="J27" s="397"/>
      <c r="K27" s="397"/>
      <c r="L27" s="397"/>
      <c r="M27" s="397"/>
      <c r="N27" s="397"/>
      <c r="O27" s="397"/>
      <c r="P27" s="397"/>
      <c r="Q27" s="398"/>
      <c r="R27" s="397"/>
      <c r="S27" s="219"/>
      <c r="T27" s="219"/>
    </row>
    <row r="28" spans="1:20" ht="15" customHeight="1">
      <c r="A28" s="396"/>
      <c r="B28" s="393"/>
      <c r="C28" s="393"/>
      <c r="D28" s="400"/>
      <c r="E28" s="400"/>
      <c r="F28" s="400"/>
      <c r="G28" s="400"/>
      <c r="H28" s="397"/>
      <c r="I28" s="400"/>
      <c r="J28" s="397"/>
      <c r="K28" s="397"/>
      <c r="L28" s="397"/>
      <c r="M28" s="397"/>
      <c r="N28" s="397"/>
      <c r="O28" s="400"/>
      <c r="P28" s="400"/>
      <c r="Q28" s="401"/>
      <c r="R28" s="400"/>
      <c r="S28" s="219"/>
      <c r="T28" s="219"/>
    </row>
    <row r="29" spans="1:20" ht="15" customHeight="1">
      <c r="A29" s="396"/>
      <c r="B29" s="393"/>
      <c r="C29" s="393"/>
      <c r="D29" s="397"/>
      <c r="E29" s="397"/>
      <c r="F29" s="397"/>
      <c r="G29" s="397"/>
      <c r="H29" s="397"/>
      <c r="I29" s="397"/>
      <c r="J29" s="397"/>
      <c r="K29" s="397"/>
      <c r="L29" s="397"/>
      <c r="M29" s="397"/>
      <c r="N29" s="397"/>
      <c r="O29" s="397"/>
      <c r="P29" s="397"/>
      <c r="Q29" s="398"/>
      <c r="R29" s="397"/>
      <c r="S29" s="219"/>
      <c r="T29" s="219"/>
    </row>
    <row r="30" spans="1:20" ht="15" customHeight="1">
      <c r="A30" s="396"/>
      <c r="B30" s="393"/>
      <c r="C30" s="393"/>
      <c r="D30" s="397"/>
      <c r="E30" s="397"/>
      <c r="F30" s="397"/>
      <c r="G30" s="400"/>
      <c r="H30" s="397"/>
      <c r="I30" s="400"/>
      <c r="J30" s="397"/>
      <c r="K30" s="397"/>
      <c r="L30" s="397"/>
      <c r="M30" s="397"/>
      <c r="N30" s="397"/>
      <c r="O30" s="400"/>
      <c r="P30" s="400"/>
      <c r="Q30" s="401"/>
      <c r="R30" s="400"/>
      <c r="S30" s="219"/>
      <c r="T30" s="219"/>
    </row>
    <row r="31" spans="1:20" ht="15" customHeight="1">
      <c r="A31" s="396"/>
      <c r="B31" s="393"/>
      <c r="C31" s="393"/>
      <c r="D31" s="397"/>
      <c r="E31" s="397"/>
      <c r="F31" s="397"/>
      <c r="G31" s="400"/>
      <c r="H31" s="397"/>
      <c r="I31" s="400"/>
      <c r="J31" s="397"/>
      <c r="K31" s="397"/>
      <c r="L31" s="397"/>
      <c r="M31" s="397"/>
      <c r="N31" s="397"/>
      <c r="O31" s="400"/>
      <c r="P31" s="400"/>
      <c r="Q31" s="401"/>
      <c r="R31" s="400"/>
      <c r="S31" s="219"/>
      <c r="T31" s="219"/>
    </row>
    <row r="32" spans="1:20" ht="15" customHeight="1">
      <c r="A32" s="396"/>
      <c r="B32" s="393"/>
      <c r="C32" s="393"/>
      <c r="D32" s="397"/>
      <c r="E32" s="397"/>
      <c r="F32" s="397"/>
      <c r="G32" s="400"/>
      <c r="H32" s="397"/>
      <c r="I32" s="400"/>
      <c r="J32" s="397"/>
      <c r="K32" s="397"/>
      <c r="L32" s="397"/>
      <c r="M32" s="397"/>
      <c r="N32" s="397"/>
      <c r="O32" s="400"/>
      <c r="P32" s="400"/>
      <c r="Q32" s="401"/>
      <c r="R32" s="400"/>
      <c r="S32" s="219"/>
      <c r="T32" s="219"/>
    </row>
    <row r="33" spans="1:20" ht="15" customHeight="1">
      <c r="A33" s="396"/>
      <c r="B33" s="393"/>
      <c r="C33" s="393"/>
      <c r="D33" s="397"/>
      <c r="E33" s="397"/>
      <c r="F33" s="397"/>
      <c r="G33" s="400"/>
      <c r="H33" s="397"/>
      <c r="I33" s="400"/>
      <c r="J33" s="397"/>
      <c r="K33" s="397"/>
      <c r="L33" s="397"/>
      <c r="M33" s="397"/>
      <c r="N33" s="397"/>
      <c r="O33" s="400"/>
      <c r="P33" s="400"/>
      <c r="Q33" s="401"/>
      <c r="R33" s="400"/>
      <c r="S33" s="219"/>
      <c r="T33" s="219"/>
    </row>
    <row r="34" spans="1:20" ht="15" customHeight="1">
      <c r="A34" s="396"/>
      <c r="B34" s="393"/>
      <c r="C34" s="393"/>
      <c r="D34" s="397"/>
      <c r="E34" s="397"/>
      <c r="F34" s="397"/>
      <c r="G34" s="400"/>
      <c r="H34" s="397"/>
      <c r="I34" s="400"/>
      <c r="J34" s="397"/>
      <c r="K34" s="397"/>
      <c r="L34" s="397"/>
      <c r="M34" s="397"/>
      <c r="N34" s="397"/>
      <c r="O34" s="400"/>
      <c r="P34" s="400"/>
      <c r="Q34" s="401"/>
      <c r="R34" s="400"/>
      <c r="S34" s="219"/>
      <c r="T34" s="219"/>
    </row>
    <row r="35" spans="1:20" ht="15" customHeight="1">
      <c r="A35" s="396"/>
      <c r="B35" s="393"/>
      <c r="C35" s="393"/>
      <c r="D35" s="397"/>
      <c r="E35" s="397"/>
      <c r="F35" s="397"/>
      <c r="G35" s="400"/>
      <c r="H35" s="397"/>
      <c r="I35" s="400"/>
      <c r="J35" s="397"/>
      <c r="K35" s="397"/>
      <c r="L35" s="397"/>
      <c r="M35" s="397"/>
      <c r="N35" s="397"/>
      <c r="O35" s="400"/>
      <c r="P35" s="400"/>
      <c r="Q35" s="401"/>
      <c r="R35" s="400"/>
      <c r="S35" s="219"/>
      <c r="T35" s="219"/>
    </row>
    <row r="36" spans="1:20" ht="15" customHeight="1">
      <c r="A36" s="396"/>
      <c r="B36" s="393"/>
      <c r="C36" s="393"/>
      <c r="D36" s="397"/>
      <c r="E36" s="397"/>
      <c r="F36" s="397"/>
      <c r="G36" s="400"/>
      <c r="H36" s="397"/>
      <c r="I36" s="400"/>
      <c r="J36" s="397"/>
      <c r="K36" s="397"/>
      <c r="L36" s="397"/>
      <c r="M36" s="397"/>
      <c r="N36" s="397"/>
      <c r="O36" s="400"/>
      <c r="P36" s="400"/>
      <c r="Q36" s="401"/>
      <c r="R36" s="400"/>
      <c r="S36" s="219"/>
      <c r="T36" s="219"/>
    </row>
    <row r="37" spans="1:20" ht="15" customHeight="1">
      <c r="A37" s="396"/>
      <c r="B37" s="393"/>
      <c r="C37" s="393"/>
      <c r="D37" s="397"/>
      <c r="E37" s="397"/>
      <c r="F37" s="397"/>
      <c r="G37" s="400"/>
      <c r="H37" s="397"/>
      <c r="I37" s="400"/>
      <c r="J37" s="397"/>
      <c r="K37" s="397"/>
      <c r="L37" s="397"/>
      <c r="M37" s="397"/>
      <c r="N37" s="397"/>
      <c r="O37" s="400"/>
      <c r="P37" s="400"/>
      <c r="Q37" s="401"/>
      <c r="R37" s="400"/>
      <c r="S37" s="219"/>
      <c r="T37" s="219"/>
    </row>
    <row r="38" spans="1:20" ht="15" customHeight="1">
      <c r="A38" s="396"/>
      <c r="B38" s="393"/>
      <c r="C38" s="393"/>
      <c r="D38" s="397"/>
      <c r="E38" s="397"/>
      <c r="F38" s="397"/>
      <c r="G38" s="400"/>
      <c r="H38" s="397"/>
      <c r="I38" s="400"/>
      <c r="J38" s="397"/>
      <c r="K38" s="397"/>
      <c r="L38" s="397"/>
      <c r="M38" s="397"/>
      <c r="N38" s="397"/>
      <c r="O38" s="400"/>
      <c r="P38" s="400"/>
      <c r="Q38" s="401"/>
      <c r="R38" s="400"/>
      <c r="S38" s="219"/>
      <c r="T38" s="219"/>
    </row>
    <row r="39" spans="1:20" ht="15" customHeight="1">
      <c r="A39" s="396"/>
      <c r="B39" s="393"/>
      <c r="C39" s="393"/>
      <c r="D39" s="397"/>
      <c r="E39" s="397"/>
      <c r="F39" s="397"/>
      <c r="G39" s="400"/>
      <c r="H39" s="397"/>
      <c r="I39" s="400"/>
      <c r="J39" s="397"/>
      <c r="K39" s="397"/>
      <c r="L39" s="397"/>
      <c r="M39" s="397"/>
      <c r="N39" s="397"/>
      <c r="O39" s="400"/>
      <c r="P39" s="400"/>
      <c r="Q39" s="401"/>
      <c r="R39" s="400"/>
      <c r="S39" s="219"/>
      <c r="T39" s="219"/>
    </row>
    <row r="40" spans="1:20" ht="15" customHeight="1">
      <c r="A40" s="396"/>
      <c r="B40" s="393"/>
      <c r="C40" s="393"/>
      <c r="D40" s="397"/>
      <c r="E40" s="397"/>
      <c r="F40" s="397"/>
      <c r="G40" s="400"/>
      <c r="H40" s="397"/>
      <c r="I40" s="400"/>
      <c r="J40" s="397"/>
      <c r="K40" s="397"/>
      <c r="L40" s="397"/>
      <c r="M40" s="397"/>
      <c r="N40" s="397"/>
      <c r="O40" s="400"/>
      <c r="P40" s="400"/>
      <c r="Q40" s="401"/>
      <c r="R40" s="400"/>
      <c r="S40" s="219"/>
      <c r="T40" s="219"/>
    </row>
    <row r="41" spans="1:20" ht="15" customHeight="1">
      <c r="A41" s="396"/>
      <c r="B41" s="393"/>
      <c r="C41" s="393"/>
      <c r="D41" s="397"/>
      <c r="E41" s="397"/>
      <c r="F41" s="397"/>
      <c r="G41" s="400"/>
      <c r="H41" s="397"/>
      <c r="I41" s="400"/>
      <c r="J41" s="397"/>
      <c r="K41" s="397"/>
      <c r="L41" s="397"/>
      <c r="M41" s="397"/>
      <c r="N41" s="397"/>
      <c r="O41" s="400"/>
      <c r="P41" s="400"/>
      <c r="Q41" s="401"/>
      <c r="R41" s="400"/>
      <c r="S41" s="219"/>
      <c r="T41" s="219"/>
    </row>
    <row r="42" spans="1:20" ht="15" customHeight="1">
      <c r="A42" s="396"/>
      <c r="B42" s="393"/>
      <c r="C42" s="393"/>
      <c r="D42" s="397"/>
      <c r="E42" s="397"/>
      <c r="F42" s="397"/>
      <c r="G42" s="397"/>
      <c r="H42" s="397"/>
      <c r="I42" s="397"/>
      <c r="J42" s="397"/>
      <c r="K42" s="397"/>
      <c r="L42" s="397"/>
      <c r="M42" s="397"/>
      <c r="N42" s="397"/>
      <c r="O42" s="397"/>
      <c r="P42" s="397"/>
      <c r="Q42" s="398"/>
      <c r="R42" s="397"/>
      <c r="S42" s="219"/>
      <c r="T42" s="219"/>
    </row>
    <row r="43" spans="1:20" ht="15" customHeight="1">
      <c r="A43" s="396"/>
      <c r="B43" s="393"/>
      <c r="C43" s="393"/>
      <c r="D43" s="397"/>
      <c r="E43" s="397"/>
      <c r="F43" s="397"/>
      <c r="G43" s="400"/>
      <c r="H43" s="397"/>
      <c r="I43" s="400"/>
      <c r="J43" s="397"/>
      <c r="K43" s="397"/>
      <c r="L43" s="397"/>
      <c r="M43" s="397"/>
      <c r="N43" s="397"/>
      <c r="O43" s="400"/>
      <c r="P43" s="400"/>
      <c r="Q43" s="401"/>
      <c r="R43" s="400"/>
      <c r="S43" s="219"/>
      <c r="T43" s="219"/>
    </row>
    <row r="44" spans="1:20" ht="15" customHeight="1">
      <c r="A44" s="396"/>
      <c r="B44" s="393"/>
      <c r="C44" s="393"/>
      <c r="D44" s="397"/>
      <c r="E44" s="397"/>
      <c r="F44" s="397"/>
      <c r="G44" s="400"/>
      <c r="H44" s="397"/>
      <c r="I44" s="400"/>
      <c r="J44" s="397"/>
      <c r="K44" s="397"/>
      <c r="L44" s="397"/>
      <c r="M44" s="397"/>
      <c r="N44" s="397"/>
      <c r="O44" s="400"/>
      <c r="P44" s="400"/>
      <c r="Q44" s="401"/>
      <c r="R44" s="400"/>
      <c r="S44" s="219"/>
      <c r="T44" s="219"/>
    </row>
    <row r="45" spans="1:20" ht="15" customHeight="1">
      <c r="A45" s="396"/>
      <c r="B45" s="393"/>
      <c r="C45" s="393"/>
      <c r="D45" s="397"/>
      <c r="E45" s="397"/>
      <c r="F45" s="397"/>
      <c r="G45" s="400"/>
      <c r="H45" s="397"/>
      <c r="I45" s="400"/>
      <c r="J45" s="397"/>
      <c r="K45" s="397"/>
      <c r="L45" s="397"/>
      <c r="M45" s="397"/>
      <c r="N45" s="397"/>
      <c r="O45" s="400"/>
      <c r="P45" s="400"/>
      <c r="Q45" s="401"/>
      <c r="R45" s="400"/>
      <c r="S45" s="219"/>
      <c r="T45" s="219"/>
    </row>
    <row r="46" spans="1:20" ht="15" customHeight="1">
      <c r="A46" s="396"/>
      <c r="B46" s="393"/>
      <c r="C46" s="393"/>
      <c r="D46" s="397"/>
      <c r="E46" s="397"/>
      <c r="F46" s="397"/>
      <c r="G46" s="400"/>
      <c r="H46" s="397"/>
      <c r="I46" s="400"/>
      <c r="J46" s="397"/>
      <c r="K46" s="397"/>
      <c r="L46" s="397"/>
      <c r="M46" s="397"/>
      <c r="N46" s="397"/>
      <c r="O46" s="400"/>
      <c r="P46" s="400"/>
      <c r="Q46" s="401"/>
      <c r="R46" s="400"/>
      <c r="S46" s="219"/>
      <c r="T46" s="219"/>
    </row>
    <row r="47" spans="1:20" ht="15" customHeight="1">
      <c r="A47" s="396"/>
      <c r="B47" s="393"/>
      <c r="C47" s="393"/>
      <c r="D47" s="397"/>
      <c r="E47" s="397"/>
      <c r="F47" s="397"/>
      <c r="G47" s="400"/>
      <c r="H47" s="397"/>
      <c r="I47" s="400"/>
      <c r="J47" s="397"/>
      <c r="K47" s="397"/>
      <c r="L47" s="397"/>
      <c r="M47" s="397"/>
      <c r="N47" s="397"/>
      <c r="O47" s="400"/>
      <c r="P47" s="400"/>
      <c r="Q47" s="401"/>
      <c r="R47" s="400"/>
      <c r="S47" s="219"/>
      <c r="T47" s="219"/>
    </row>
    <row r="48" spans="1:20" ht="15" customHeight="1">
      <c r="A48" s="396"/>
      <c r="B48" s="393"/>
      <c r="C48" s="393"/>
      <c r="D48" s="397"/>
      <c r="E48" s="397"/>
      <c r="F48" s="397"/>
      <c r="G48" s="400"/>
      <c r="H48" s="397"/>
      <c r="I48" s="400"/>
      <c r="J48" s="397"/>
      <c r="K48" s="397"/>
      <c r="L48" s="397"/>
      <c r="M48" s="397"/>
      <c r="N48" s="397"/>
      <c r="O48" s="400"/>
      <c r="P48" s="400"/>
      <c r="Q48" s="401"/>
      <c r="R48" s="400"/>
      <c r="S48" s="219"/>
      <c r="T48" s="219"/>
    </row>
    <row r="49" spans="1:20" ht="15" customHeight="1">
      <c r="A49" s="396"/>
      <c r="B49" s="393"/>
      <c r="C49" s="393"/>
      <c r="D49" s="397"/>
      <c r="E49" s="397"/>
      <c r="F49" s="397"/>
      <c r="G49" s="400"/>
      <c r="H49" s="397"/>
      <c r="I49" s="400"/>
      <c r="J49" s="397"/>
      <c r="K49" s="397"/>
      <c r="L49" s="397"/>
      <c r="M49" s="397"/>
      <c r="N49" s="397"/>
      <c r="O49" s="400"/>
      <c r="P49" s="400"/>
      <c r="Q49" s="401"/>
      <c r="R49" s="400"/>
      <c r="S49" s="219"/>
      <c r="T49" s="219"/>
    </row>
    <row r="50" spans="1:20" ht="15" customHeight="1">
      <c r="A50" s="396"/>
      <c r="B50" s="393"/>
      <c r="C50" s="393"/>
      <c r="D50" s="397"/>
      <c r="E50" s="397"/>
      <c r="F50" s="397"/>
      <c r="G50" s="400"/>
      <c r="H50" s="397"/>
      <c r="I50" s="400"/>
      <c r="J50" s="397"/>
      <c r="K50" s="397"/>
      <c r="L50" s="397"/>
      <c r="M50" s="397"/>
      <c r="N50" s="397"/>
      <c r="O50" s="400"/>
      <c r="P50" s="400"/>
      <c r="Q50" s="401"/>
      <c r="R50" s="400"/>
      <c r="S50" s="219"/>
      <c r="T50" s="219"/>
    </row>
    <row r="51" spans="1:20" ht="15" customHeight="1">
      <c r="A51" s="396"/>
      <c r="B51" s="393"/>
      <c r="C51" s="393"/>
      <c r="D51" s="397"/>
      <c r="E51" s="397"/>
      <c r="F51" s="397"/>
      <c r="G51" s="400"/>
      <c r="H51" s="397"/>
      <c r="I51" s="400"/>
      <c r="J51" s="397"/>
      <c r="K51" s="397"/>
      <c r="L51" s="397"/>
      <c r="M51" s="397"/>
      <c r="N51" s="397"/>
      <c r="O51" s="400"/>
      <c r="P51" s="400"/>
      <c r="Q51" s="401"/>
      <c r="R51" s="400"/>
      <c r="S51" s="219"/>
      <c r="T51" s="219"/>
    </row>
    <row r="52" spans="1:20" ht="15" customHeight="1">
      <c r="A52" s="396"/>
      <c r="B52" s="393"/>
      <c r="C52" s="393"/>
      <c r="D52" s="397"/>
      <c r="E52" s="397"/>
      <c r="F52" s="397"/>
      <c r="G52" s="400"/>
      <c r="H52" s="397"/>
      <c r="I52" s="400"/>
      <c r="J52" s="397"/>
      <c r="K52" s="397"/>
      <c r="L52" s="397"/>
      <c r="M52" s="397"/>
      <c r="N52" s="397"/>
      <c r="O52" s="400"/>
      <c r="P52" s="400"/>
      <c r="Q52" s="401"/>
      <c r="R52" s="400"/>
      <c r="S52" s="219"/>
      <c r="T52" s="219"/>
    </row>
    <row r="53" spans="1:20" ht="15" customHeight="1">
      <c r="A53" s="396"/>
      <c r="B53" s="393"/>
      <c r="C53" s="393"/>
      <c r="D53" s="397"/>
      <c r="E53" s="397"/>
      <c r="F53" s="397"/>
      <c r="G53" s="400"/>
      <c r="H53" s="397"/>
      <c r="I53" s="400"/>
      <c r="J53" s="397"/>
      <c r="K53" s="397"/>
      <c r="L53" s="397"/>
      <c r="M53" s="397"/>
      <c r="N53" s="397"/>
      <c r="O53" s="400"/>
      <c r="P53" s="400"/>
      <c r="Q53" s="401"/>
      <c r="R53" s="400"/>
      <c r="S53" s="219"/>
      <c r="T53" s="219"/>
    </row>
    <row r="54" spans="1:20" ht="15" customHeight="1">
      <c r="A54" s="396"/>
      <c r="B54" s="393"/>
      <c r="C54" s="393"/>
      <c r="D54" s="397"/>
      <c r="E54" s="397"/>
      <c r="F54" s="397"/>
      <c r="G54" s="400"/>
      <c r="H54" s="397"/>
      <c r="I54" s="400"/>
      <c r="J54" s="397"/>
      <c r="K54" s="397"/>
      <c r="L54" s="397"/>
      <c r="M54" s="397"/>
      <c r="N54" s="397"/>
      <c r="O54" s="400"/>
      <c r="P54" s="400"/>
      <c r="Q54" s="401"/>
      <c r="R54" s="400"/>
      <c r="S54" s="219"/>
      <c r="T54" s="219"/>
    </row>
    <row r="55" spans="1:20" ht="15" customHeight="1">
      <c r="A55" s="396"/>
      <c r="B55" s="393"/>
      <c r="C55" s="393"/>
      <c r="D55" s="397"/>
      <c r="E55" s="397"/>
      <c r="F55" s="397"/>
      <c r="G55" s="400"/>
      <c r="H55" s="397"/>
      <c r="I55" s="400"/>
      <c r="J55" s="397"/>
      <c r="K55" s="397"/>
      <c r="L55" s="397"/>
      <c r="M55" s="397"/>
      <c r="N55" s="397"/>
      <c r="O55" s="400"/>
      <c r="P55" s="400"/>
      <c r="Q55" s="401"/>
      <c r="R55" s="400"/>
      <c r="S55" s="219"/>
      <c r="T55" s="219"/>
    </row>
    <row r="56" spans="1:20" ht="15" customHeight="1">
      <c r="A56" s="396"/>
      <c r="B56" s="393"/>
      <c r="C56" s="393"/>
      <c r="D56" s="397"/>
      <c r="E56" s="397"/>
      <c r="F56" s="397"/>
      <c r="G56" s="400"/>
      <c r="H56" s="397"/>
      <c r="I56" s="400"/>
      <c r="J56" s="397"/>
      <c r="K56" s="397"/>
      <c r="L56" s="397"/>
      <c r="M56" s="397"/>
      <c r="N56" s="397"/>
      <c r="O56" s="400"/>
      <c r="P56" s="400"/>
      <c r="Q56" s="401"/>
      <c r="R56" s="400"/>
      <c r="S56" s="219"/>
      <c r="T56" s="219"/>
    </row>
    <row r="57" spans="1:20" ht="15" customHeight="1">
      <c r="A57" s="396"/>
      <c r="B57" s="393"/>
      <c r="C57" s="393"/>
      <c r="D57" s="397"/>
      <c r="E57" s="397"/>
      <c r="F57" s="397"/>
      <c r="G57" s="400"/>
      <c r="H57" s="397"/>
      <c r="I57" s="400"/>
      <c r="J57" s="397"/>
      <c r="K57" s="397"/>
      <c r="L57" s="397"/>
      <c r="M57" s="397"/>
      <c r="N57" s="397"/>
      <c r="O57" s="400"/>
      <c r="P57" s="400"/>
      <c r="Q57" s="401"/>
      <c r="R57" s="400"/>
      <c r="S57" s="219"/>
      <c r="T57" s="219"/>
    </row>
    <row r="58" spans="1:20" ht="15" customHeight="1">
      <c r="A58" s="396"/>
      <c r="B58" s="393"/>
      <c r="C58" s="393"/>
      <c r="D58" s="397"/>
      <c r="E58" s="397"/>
      <c r="F58" s="397"/>
      <c r="G58" s="400"/>
      <c r="H58" s="397"/>
      <c r="I58" s="400"/>
      <c r="J58" s="397"/>
      <c r="K58" s="397"/>
      <c r="L58" s="397"/>
      <c r="M58" s="397"/>
      <c r="N58" s="397"/>
      <c r="O58" s="400"/>
      <c r="P58" s="400"/>
      <c r="Q58" s="401"/>
      <c r="R58" s="400"/>
      <c r="S58" s="219"/>
      <c r="T58" s="219"/>
    </row>
    <row r="59" spans="1:20" ht="15" customHeight="1">
      <c r="A59" s="396"/>
      <c r="B59" s="393"/>
      <c r="C59" s="393"/>
      <c r="D59" s="397"/>
      <c r="E59" s="397"/>
      <c r="F59" s="397"/>
      <c r="G59" s="400"/>
      <c r="H59" s="397"/>
      <c r="I59" s="400"/>
      <c r="J59" s="397"/>
      <c r="K59" s="397"/>
      <c r="L59" s="397"/>
      <c r="M59" s="397"/>
      <c r="N59" s="397"/>
      <c r="O59" s="400"/>
      <c r="P59" s="400"/>
      <c r="Q59" s="401"/>
      <c r="R59" s="400"/>
      <c r="S59" s="219"/>
      <c r="T59" s="219"/>
    </row>
    <row r="60" spans="1:20" ht="15" customHeight="1">
      <c r="A60" s="396"/>
      <c r="B60" s="393"/>
      <c r="C60" s="393"/>
      <c r="D60" s="397"/>
      <c r="E60" s="397"/>
      <c r="F60" s="397"/>
      <c r="G60" s="400"/>
      <c r="H60" s="397"/>
      <c r="I60" s="400"/>
      <c r="J60" s="397"/>
      <c r="K60" s="397"/>
      <c r="L60" s="397"/>
      <c r="M60" s="397"/>
      <c r="N60" s="397"/>
      <c r="O60" s="400"/>
      <c r="P60" s="400"/>
      <c r="Q60" s="401"/>
      <c r="R60" s="400"/>
      <c r="S60" s="219"/>
      <c r="T60" s="219"/>
    </row>
    <row r="61" spans="1:20" ht="15" customHeight="1">
      <c r="A61" s="396"/>
      <c r="B61" s="393"/>
      <c r="C61" s="393"/>
      <c r="D61" s="397"/>
      <c r="E61" s="397"/>
      <c r="F61" s="397"/>
      <c r="G61" s="400"/>
      <c r="H61" s="397"/>
      <c r="I61" s="400"/>
      <c r="J61" s="397"/>
      <c r="K61" s="397"/>
      <c r="L61" s="397"/>
      <c r="M61" s="397"/>
      <c r="N61" s="397"/>
      <c r="O61" s="400"/>
      <c r="P61" s="400"/>
      <c r="Q61" s="401"/>
      <c r="R61" s="400"/>
      <c r="S61" s="219"/>
      <c r="T61" s="219"/>
    </row>
    <row r="62" spans="1:20" ht="15" customHeight="1">
      <c r="A62" s="396"/>
      <c r="B62" s="393"/>
      <c r="C62" s="393"/>
      <c r="D62" s="397"/>
      <c r="E62" s="397"/>
      <c r="F62" s="397"/>
      <c r="G62" s="400"/>
      <c r="H62" s="397"/>
      <c r="I62" s="400"/>
      <c r="J62" s="397"/>
      <c r="K62" s="397"/>
      <c r="L62" s="397"/>
      <c r="M62" s="397"/>
      <c r="N62" s="397"/>
      <c r="O62" s="400"/>
      <c r="P62" s="400"/>
      <c r="Q62" s="401"/>
      <c r="R62" s="400"/>
      <c r="S62" s="219"/>
      <c r="T62" s="219"/>
    </row>
    <row r="63" spans="1:20" ht="15" customHeight="1">
      <c r="A63" s="396"/>
      <c r="B63" s="393"/>
      <c r="C63" s="393"/>
      <c r="D63" s="397"/>
      <c r="E63" s="397"/>
      <c r="F63" s="397"/>
      <c r="G63" s="400"/>
      <c r="H63" s="397"/>
      <c r="I63" s="400"/>
      <c r="J63" s="397"/>
      <c r="K63" s="397"/>
      <c r="L63" s="397"/>
      <c r="M63" s="397"/>
      <c r="N63" s="397"/>
      <c r="O63" s="400"/>
      <c r="P63" s="400"/>
      <c r="Q63" s="401"/>
      <c r="R63" s="400"/>
      <c r="S63" s="1116"/>
      <c r="T63" s="1116"/>
    </row>
    <row r="64" spans="1:20" ht="15" customHeight="1">
      <c r="A64" s="396"/>
      <c r="B64" s="393"/>
      <c r="C64" s="393"/>
      <c r="D64" s="397"/>
      <c r="E64" s="397"/>
      <c r="F64" s="397"/>
      <c r="G64" s="397"/>
      <c r="H64" s="397"/>
      <c r="I64" s="397"/>
      <c r="J64" s="397"/>
      <c r="K64" s="397"/>
      <c r="L64" s="397"/>
      <c r="M64" s="397"/>
      <c r="N64" s="397"/>
      <c r="O64" s="397"/>
      <c r="P64" s="397"/>
      <c r="Q64" s="398"/>
      <c r="R64" s="397"/>
      <c r="S64" s="1116"/>
      <c r="T64" s="1116"/>
    </row>
    <row r="65" spans="1:20" ht="15" customHeight="1">
      <c r="A65" s="396"/>
      <c r="B65" s="393"/>
      <c r="C65" s="393"/>
      <c r="D65" s="400"/>
      <c r="E65" s="400"/>
      <c r="F65" s="400"/>
      <c r="G65" s="397"/>
      <c r="H65" s="397"/>
      <c r="I65" s="397"/>
      <c r="J65" s="397"/>
      <c r="K65" s="397"/>
      <c r="L65" s="397"/>
      <c r="M65" s="397"/>
      <c r="N65" s="397"/>
      <c r="O65" s="400"/>
      <c r="P65" s="400"/>
      <c r="Q65" s="401"/>
      <c r="R65" s="400"/>
      <c r="S65" s="1116"/>
      <c r="T65" s="1116"/>
    </row>
    <row r="66" spans="1:20" ht="15" customHeight="1">
      <c r="A66" s="396"/>
      <c r="B66" s="393"/>
      <c r="C66" s="393"/>
      <c r="D66" s="397"/>
      <c r="E66" s="397"/>
      <c r="F66" s="397"/>
      <c r="G66" s="397"/>
      <c r="H66" s="397"/>
      <c r="I66" s="397"/>
      <c r="J66" s="397"/>
      <c r="K66" s="397"/>
      <c r="L66" s="397"/>
      <c r="M66" s="397"/>
      <c r="N66" s="397"/>
      <c r="O66" s="397"/>
      <c r="P66" s="397"/>
      <c r="Q66" s="398"/>
      <c r="R66" s="397"/>
      <c r="S66" s="1116"/>
      <c r="T66" s="1116"/>
    </row>
    <row r="67" spans="1:20" ht="15" customHeight="1">
      <c r="A67" s="396"/>
      <c r="B67" s="393"/>
      <c r="C67" s="393"/>
      <c r="D67" s="400"/>
      <c r="E67" s="400"/>
      <c r="F67" s="400"/>
      <c r="G67" s="397"/>
      <c r="H67" s="397"/>
      <c r="I67" s="397"/>
      <c r="J67" s="397"/>
      <c r="K67" s="397"/>
      <c r="L67" s="397"/>
      <c r="M67" s="397"/>
      <c r="N67" s="397"/>
      <c r="O67" s="400"/>
      <c r="P67" s="400"/>
      <c r="Q67" s="401"/>
      <c r="R67" s="400"/>
      <c r="S67" s="218"/>
      <c r="T67" s="218"/>
    </row>
    <row r="68" spans="1:20" ht="15" customHeight="1"/>
  </sheetData>
  <mergeCells count="11">
    <mergeCell ref="S66:T66"/>
    <mergeCell ref="A11:S11"/>
    <mergeCell ref="U11:U14"/>
    <mergeCell ref="S14:T14"/>
    <mergeCell ref="S63:T63"/>
    <mergeCell ref="S64:T64"/>
    <mergeCell ref="S65:T65"/>
    <mergeCell ref="S15:T15"/>
    <mergeCell ref="S17:T17"/>
    <mergeCell ref="S18:T18"/>
    <mergeCell ref="S16:T16"/>
  </mergeCells>
  <hyperlinks>
    <hyperlink ref="A9" location="'Investments'!A1" display="'Statement of Financial Position" xr:uid="{00000000-0004-0000-0E00-000000000000}"/>
    <hyperlink ref="S15" r:id="rId1" display="hownow://_r907522/" xr:uid="{5172AC56-F8E7-42C9-BB09-1B435A25195E}"/>
    <hyperlink ref="S17" location="'Property CB &amp; MV'!A1" display="'Property CB &amp; MV" xr:uid="{8521ADAC-68F8-4214-9C42-12B38F56A978}"/>
    <hyperlink ref="S18" location="'Property CB &amp; MV'!A1" display="'Property CB &amp; MV" xr:uid="{A95F5527-BE02-4A62-9584-B8DFFACBF32E}"/>
    <hyperlink ref="S16" location="'F05 Trade Debtors'!A1" display="'F05 Trade Debtors" xr:uid="{7099CC43-5D21-4B67-801C-2B820C0477E6}"/>
  </hyperlinks>
  <pageMargins left="0.39370078740157483" right="0.39370078740157483" top="0.39370078740157483" bottom="0.39370078740157483" header="0.31496062992125984" footer="0.31496062992125984"/>
  <pageSetup paperSize="9" scale="90" orientation="landscape" r:id="rId2"/>
  <customProperties>
    <customPr name="SheetId" r:id="rId3"/>
  </customProperties>
  <drawing r:id="rId4"/>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2:L43"/>
  <sheetViews>
    <sheetView topLeftCell="A4" workbookViewId="0">
      <selection activeCell="R115" sqref="R115"/>
    </sheetView>
  </sheetViews>
  <sheetFormatPr defaultColWidth="13.7109375" defaultRowHeight="12.75"/>
  <cols>
    <col min="1" max="10" width="13.7109375" style="214"/>
    <col min="11" max="11" width="22.42578125" style="214" customWidth="1"/>
    <col min="12" max="16384" width="13.7109375" style="214"/>
  </cols>
  <sheetData>
    <row r="2" spans="1:9" ht="20.25">
      <c r="A2" s="262" t="s">
        <v>332</v>
      </c>
      <c r="B2" s="259"/>
      <c r="C2" s="259"/>
      <c r="D2" s="259"/>
      <c r="E2" s="259"/>
      <c r="F2" s="259"/>
      <c r="G2" s="259"/>
      <c r="H2" s="259"/>
    </row>
    <row r="3" spans="1:9" ht="15" customHeight="1">
      <c r="A3" s="259"/>
      <c r="B3" s="259"/>
      <c r="C3" s="259"/>
      <c r="D3" s="259"/>
      <c r="E3" s="259"/>
      <c r="F3" s="259"/>
      <c r="G3" s="259"/>
      <c r="H3" s="259"/>
    </row>
    <row r="4" spans="1:9" ht="15" customHeight="1">
      <c r="A4" s="259"/>
      <c r="B4" s="259"/>
      <c r="C4" s="259"/>
      <c r="D4" s="259"/>
      <c r="E4" s="259"/>
      <c r="F4" s="259"/>
      <c r="G4" s="259"/>
      <c r="H4" s="259"/>
    </row>
    <row r="5" spans="1:9" ht="15" customHeight="1">
      <c r="A5" s="259"/>
      <c r="B5" s="259"/>
      <c r="C5" s="259"/>
      <c r="D5" s="259"/>
      <c r="E5" s="259"/>
      <c r="F5" s="259"/>
      <c r="G5" s="259"/>
      <c r="H5" s="259"/>
    </row>
    <row r="6" spans="1:9" ht="15" customHeight="1">
      <c r="A6" s="265" t="s">
        <v>219</v>
      </c>
      <c r="B6" s="379" t="str">
        <f>'Assignment To do'!B3</f>
        <v>The Schubert Superannuation Fund</v>
      </c>
      <c r="C6" s="265"/>
      <c r="D6" s="265"/>
      <c r="E6" s="265"/>
      <c r="H6" s="265" t="s">
        <v>220</v>
      </c>
      <c r="I6" s="235">
        <f>'Assignment To do'!I7</f>
        <v>43482</v>
      </c>
    </row>
    <row r="7" spans="1:9" ht="15" customHeight="1">
      <c r="A7" s="265" t="s">
        <v>223</v>
      </c>
      <c r="B7" s="379" t="str">
        <f>'Assignment To do'!B4</f>
        <v>2018 Year End</v>
      </c>
      <c r="C7" s="265"/>
      <c r="D7" s="265"/>
      <c r="E7" s="266"/>
      <c r="H7" s="265" t="s">
        <v>224</v>
      </c>
      <c r="I7" s="241" t="str">
        <f>'Assignment To do'!I8</f>
        <v>Kristy Gorgievski</v>
      </c>
    </row>
    <row r="8" spans="1:9" ht="15" customHeight="1">
      <c r="A8" s="265" t="s">
        <v>245</v>
      </c>
      <c r="B8" s="265" t="str">
        <f>+A2</f>
        <v>Investment Strategy</v>
      </c>
      <c r="C8" s="265"/>
      <c r="D8" s="265"/>
      <c r="E8" s="265"/>
      <c r="H8" s="265" t="s">
        <v>509</v>
      </c>
      <c r="I8" s="244">
        <f>'Assignment To do'!I9</f>
        <v>0</v>
      </c>
    </row>
    <row r="9" spans="1:9" ht="15" customHeight="1" thickBot="1">
      <c r="A9" s="223"/>
      <c r="B9" s="223"/>
      <c r="C9" s="223"/>
      <c r="D9" s="223"/>
      <c r="E9" s="223"/>
      <c r="F9" s="223"/>
      <c r="G9" s="223"/>
      <c r="H9" s="223"/>
      <c r="I9" s="223"/>
    </row>
    <row r="10" spans="1:9" ht="15" customHeight="1"/>
    <row r="11" spans="1:9" ht="15" customHeight="1">
      <c r="A11" s="611" t="s">
        <v>333</v>
      </c>
    </row>
    <row r="12" spans="1:9" ht="15" customHeight="1">
      <c r="A12" s="403"/>
    </row>
    <row r="13" spans="1:9" ht="15" customHeight="1">
      <c r="A13" s="1121" t="s">
        <v>334</v>
      </c>
      <c r="B13" s="1121"/>
      <c r="C13" s="1121"/>
      <c r="D13" s="1121"/>
      <c r="E13" s="1121"/>
      <c r="F13" s="1121"/>
      <c r="G13" s="1121"/>
      <c r="H13" s="1121"/>
    </row>
    <row r="14" spans="1:9" ht="15" customHeight="1"/>
    <row r="15" spans="1:9" ht="37.5" customHeight="1">
      <c r="A15" s="404"/>
      <c r="B15" s="405" t="s">
        <v>335</v>
      </c>
      <c r="C15" s="406" t="s">
        <v>336</v>
      </c>
      <c r="D15" s="405" t="s">
        <v>337</v>
      </c>
      <c r="E15" s="406" t="s">
        <v>338</v>
      </c>
      <c r="F15" s="405" t="s">
        <v>339</v>
      </c>
      <c r="G15" s="406" t="s">
        <v>340</v>
      </c>
      <c r="H15" s="407" t="s">
        <v>341</v>
      </c>
    </row>
    <row r="16" spans="1:9" ht="15" customHeight="1">
      <c r="A16" s="408"/>
      <c r="B16" s="409"/>
      <c r="C16" s="410"/>
      <c r="D16" s="224"/>
      <c r="E16" s="410"/>
      <c r="F16" s="224"/>
      <c r="G16" s="410"/>
      <c r="H16" s="411"/>
    </row>
    <row r="17" spans="1:12" s="218" customFormat="1" ht="15" customHeight="1">
      <c r="A17" s="412" t="s">
        <v>342</v>
      </c>
      <c r="B17" s="448">
        <v>9.5200000000000007E-2</v>
      </c>
      <c r="C17" s="449">
        <v>0</v>
      </c>
      <c r="D17" s="450">
        <v>0</v>
      </c>
      <c r="E17" s="449">
        <v>0</v>
      </c>
      <c r="F17" s="450">
        <v>0.90480000000000005</v>
      </c>
      <c r="G17" s="449">
        <v>0</v>
      </c>
      <c r="H17" s="451">
        <v>0</v>
      </c>
      <c r="I17" s="214"/>
      <c r="J17" s="214"/>
    </row>
    <row r="18" spans="1:12" ht="15" customHeight="1">
      <c r="A18" s="412"/>
      <c r="B18" s="413"/>
      <c r="C18" s="414"/>
      <c r="D18" s="415"/>
      <c r="E18" s="414"/>
      <c r="F18" s="415"/>
      <c r="G18" s="414"/>
      <c r="H18" s="416"/>
    </row>
    <row r="19" spans="1:12" ht="15" customHeight="1" thickBot="1">
      <c r="A19" s="417" t="s">
        <v>343</v>
      </c>
      <c r="B19" s="418">
        <f>SUM(B17:H17)</f>
        <v>1</v>
      </c>
      <c r="C19" s="415"/>
      <c r="D19" s="415"/>
      <c r="E19" s="415"/>
      <c r="F19" s="415"/>
      <c r="G19" s="415"/>
      <c r="H19" s="416"/>
    </row>
    <row r="20" spans="1:12" s="218" customFormat="1" ht="15" customHeight="1" thickTop="1">
      <c r="A20" s="214"/>
      <c r="B20" s="419" t="str">
        <f t="shared" ref="B20:H20" si="0">IF(B17&gt;=B23,IF(B17&lt;=B24,"OK","False"),"False")</f>
        <v>OK</v>
      </c>
      <c r="C20" s="419" t="str">
        <f t="shared" si="0"/>
        <v>OK</v>
      </c>
      <c r="D20" s="419" t="str">
        <f t="shared" si="0"/>
        <v>OK</v>
      </c>
      <c r="E20" s="419" t="str">
        <f t="shared" si="0"/>
        <v>OK</v>
      </c>
      <c r="F20" s="419" t="str">
        <f t="shared" si="0"/>
        <v>OK</v>
      </c>
      <c r="G20" s="419" t="str">
        <f t="shared" si="0"/>
        <v>OK</v>
      </c>
      <c r="H20" s="419" t="str">
        <f t="shared" si="0"/>
        <v>OK</v>
      </c>
      <c r="I20" s="214"/>
      <c r="J20" s="214"/>
    </row>
    <row r="21" spans="1:12" s="218" customFormat="1" ht="15" customHeight="1">
      <c r="A21" s="214"/>
      <c r="B21" s="217"/>
      <c r="C21" s="217"/>
      <c r="D21" s="217"/>
      <c r="E21" s="217"/>
      <c r="F21" s="217"/>
      <c r="G21" s="217"/>
      <c r="H21" s="217"/>
      <c r="I21" s="214"/>
      <c r="J21" s="214"/>
    </row>
    <row r="22" spans="1:12" s="218" customFormat="1" ht="15" customHeight="1">
      <c r="A22" s="896" t="s">
        <v>1008</v>
      </c>
      <c r="B22" s="896"/>
      <c r="C22" s="896"/>
      <c r="D22" s="214"/>
      <c r="E22" s="214"/>
      <c r="F22" s="214"/>
      <c r="G22" s="214"/>
      <c r="H22" s="214"/>
      <c r="I22" s="214"/>
      <c r="J22" s="214"/>
    </row>
    <row r="23" spans="1:12" s="218" customFormat="1" ht="15" customHeight="1">
      <c r="A23" s="216" t="s">
        <v>344</v>
      </c>
      <c r="B23" s="452">
        <v>0</v>
      </c>
      <c r="C23" s="452">
        <v>0</v>
      </c>
      <c r="D23" s="452">
        <v>0</v>
      </c>
      <c r="E23" s="452">
        <v>0</v>
      </c>
      <c r="F23" s="452">
        <v>0</v>
      </c>
      <c r="G23" s="452">
        <v>0</v>
      </c>
      <c r="H23" s="452">
        <v>0</v>
      </c>
      <c r="J23" s="214"/>
    </row>
    <row r="24" spans="1:12" s="218" customFormat="1" ht="15" customHeight="1">
      <c r="A24" s="216" t="s">
        <v>345</v>
      </c>
      <c r="B24" s="452">
        <v>0.5</v>
      </c>
      <c r="C24" s="452">
        <v>0.5</v>
      </c>
      <c r="D24" s="452">
        <v>0.5</v>
      </c>
      <c r="E24" s="452">
        <v>0</v>
      </c>
      <c r="F24" s="452">
        <v>1</v>
      </c>
      <c r="G24" s="452">
        <v>0</v>
      </c>
      <c r="H24" s="452">
        <v>0</v>
      </c>
      <c r="I24" s="214"/>
      <c r="J24" s="214"/>
    </row>
    <row r="25" spans="1:12" s="218" customFormat="1" ht="15" customHeight="1">
      <c r="A25" s="214" t="s">
        <v>346</v>
      </c>
      <c r="B25" s="214"/>
      <c r="C25" s="214"/>
      <c r="D25" s="214"/>
      <c r="E25" s="214"/>
      <c r="F25" s="214"/>
      <c r="G25" s="214"/>
      <c r="H25" s="214"/>
      <c r="I25" s="214"/>
      <c r="J25" s="214"/>
    </row>
    <row r="26" spans="1:12" s="218" customFormat="1" ht="15" customHeight="1">
      <c r="A26" s="214"/>
      <c r="B26" s="214"/>
      <c r="C26" s="214"/>
      <c r="D26" s="214"/>
      <c r="E26" s="214"/>
      <c r="F26" s="214"/>
      <c r="G26" s="214"/>
      <c r="H26" s="214"/>
      <c r="I26" s="214"/>
      <c r="J26" s="214"/>
    </row>
    <row r="27" spans="1:12" s="382" customFormat="1" ht="15" customHeight="1">
      <c r="A27" s="216" t="s">
        <v>347</v>
      </c>
      <c r="B27" s="214"/>
      <c r="C27" s="214"/>
      <c r="D27" s="214"/>
      <c r="E27" s="214"/>
      <c r="F27" s="214"/>
      <c r="G27" s="214"/>
      <c r="H27" s="214"/>
      <c r="I27" s="214"/>
      <c r="J27" s="214"/>
    </row>
    <row r="28" spans="1:12" s="380" customFormat="1" ht="15" customHeight="1">
      <c r="A28" s="420" t="s">
        <v>348</v>
      </c>
      <c r="B28" s="421"/>
      <c r="C28" s="421"/>
      <c r="D28" s="421"/>
      <c r="E28" s="421"/>
      <c r="F28" s="421"/>
      <c r="G28" s="421"/>
      <c r="H28" s="421"/>
      <c r="I28" s="421"/>
      <c r="J28" s="218"/>
    </row>
    <row r="29" spans="1:12" s="380" customFormat="1" ht="15" customHeight="1">
      <c r="A29" s="1122" t="s">
        <v>350</v>
      </c>
      <c r="B29" s="1122"/>
      <c r="C29" s="1122"/>
      <c r="D29" s="1122"/>
      <c r="E29" s="1122"/>
      <c r="F29" s="1122"/>
      <c r="G29" s="1122"/>
      <c r="H29" s="1122"/>
      <c r="I29" s="1122"/>
      <c r="J29" s="1122"/>
      <c r="K29" s="1122"/>
      <c r="L29" s="1122"/>
    </row>
    <row r="30" spans="1:12" s="380" customFormat="1" ht="15" customHeight="1">
      <c r="A30" s="422"/>
      <c r="B30" s="422"/>
      <c r="C30" s="422"/>
      <c r="D30" s="422"/>
      <c r="E30" s="422"/>
      <c r="F30" s="422"/>
      <c r="G30" s="422"/>
      <c r="H30" s="422"/>
      <c r="I30" s="422"/>
      <c r="J30" s="218"/>
    </row>
    <row r="31" spans="1:12" s="380" customFormat="1" ht="15" customHeight="1">
      <c r="A31" s="422"/>
      <c r="B31" s="422"/>
      <c r="C31" s="422"/>
      <c r="D31" s="422"/>
      <c r="E31" s="422"/>
      <c r="F31" s="422"/>
      <c r="G31" s="422"/>
      <c r="H31" s="422"/>
      <c r="I31" s="422"/>
      <c r="J31" s="218"/>
    </row>
    <row r="32" spans="1:12" s="380" customFormat="1" ht="15" customHeight="1">
      <c r="A32" s="422"/>
      <c r="B32" s="422"/>
      <c r="C32" s="422"/>
      <c r="D32" s="422"/>
      <c r="E32" s="422"/>
      <c r="F32" s="422"/>
      <c r="G32" s="422"/>
      <c r="H32" s="422"/>
      <c r="I32" s="422"/>
      <c r="J32" s="218"/>
    </row>
    <row r="33" spans="1:10" s="380" customFormat="1" ht="15" customHeight="1">
      <c r="A33" s="422"/>
      <c r="B33" s="422"/>
      <c r="C33" s="422"/>
      <c r="D33" s="422"/>
      <c r="E33" s="422"/>
      <c r="F33" s="422"/>
      <c r="G33" s="422"/>
      <c r="H33" s="422"/>
      <c r="I33" s="422"/>
      <c r="J33" s="218"/>
    </row>
    <row r="34" spans="1:10" ht="15" customHeight="1">
      <c r="A34" s="422"/>
      <c r="B34" s="422"/>
      <c r="C34" s="422"/>
      <c r="D34" s="422"/>
      <c r="E34" s="422"/>
      <c r="F34" s="422"/>
      <c r="G34" s="422"/>
      <c r="H34" s="422"/>
      <c r="I34" s="422"/>
      <c r="J34" s="218"/>
    </row>
    <row r="35" spans="1:10" ht="15" customHeight="1">
      <c r="A35" s="422"/>
      <c r="B35" s="422"/>
      <c r="C35" s="422"/>
      <c r="D35" s="422"/>
      <c r="E35" s="422"/>
      <c r="F35" s="422"/>
      <c r="G35" s="422"/>
      <c r="H35" s="422"/>
      <c r="I35" s="422"/>
      <c r="J35" s="218"/>
    </row>
    <row r="36" spans="1:10" ht="15" customHeight="1">
      <c r="A36" s="420"/>
      <c r="B36" s="421"/>
      <c r="C36" s="421"/>
      <c r="D36" s="421"/>
      <c r="E36" s="421"/>
      <c r="F36" s="421"/>
      <c r="G36" s="421"/>
      <c r="H36" s="421"/>
      <c r="I36" s="421"/>
      <c r="J36" s="218"/>
    </row>
    <row r="37" spans="1:10" ht="15" customHeight="1">
      <c r="A37" s="423" t="s">
        <v>349</v>
      </c>
      <c r="B37" s="423"/>
      <c r="C37" s="423"/>
      <c r="D37" s="423"/>
      <c r="E37" s="423"/>
      <c r="F37" s="423"/>
      <c r="G37" s="423"/>
      <c r="H37" s="423"/>
      <c r="I37" s="423"/>
      <c r="J37" s="382"/>
    </row>
    <row r="38" spans="1:10" ht="15" customHeight="1">
      <c r="A38" s="423" t="s">
        <v>350</v>
      </c>
      <c r="B38" s="423"/>
      <c r="C38" s="423"/>
      <c r="D38" s="423"/>
      <c r="E38" s="423"/>
      <c r="F38" s="423"/>
      <c r="G38" s="423"/>
      <c r="H38" s="423"/>
      <c r="I38" s="423"/>
      <c r="J38" s="380"/>
    </row>
    <row r="39" spans="1:10" ht="15" customHeight="1">
      <c r="A39" s="423" t="s">
        <v>351</v>
      </c>
      <c r="B39" s="423"/>
      <c r="C39" s="423"/>
      <c r="D39" s="423"/>
      <c r="E39" s="423"/>
      <c r="F39" s="423"/>
      <c r="G39" s="423"/>
      <c r="H39" s="423"/>
      <c r="I39" s="423"/>
      <c r="J39" s="380"/>
    </row>
    <row r="40" spans="1:10" ht="15" customHeight="1">
      <c r="A40" s="423" t="s">
        <v>352</v>
      </c>
      <c r="B40" s="423"/>
      <c r="C40" s="423"/>
      <c r="D40" s="423"/>
      <c r="E40" s="423"/>
      <c r="F40" s="423"/>
      <c r="G40" s="423"/>
      <c r="H40" s="423"/>
      <c r="I40" s="423"/>
      <c r="J40" s="380"/>
    </row>
    <row r="41" spans="1:10" ht="15" customHeight="1">
      <c r="A41" s="423" t="s">
        <v>353</v>
      </c>
      <c r="B41" s="423"/>
      <c r="C41" s="423"/>
      <c r="D41" s="423"/>
      <c r="E41" s="423"/>
      <c r="F41" s="423"/>
      <c r="G41" s="423"/>
      <c r="H41" s="423"/>
      <c r="I41" s="423"/>
      <c r="J41" s="380"/>
    </row>
    <row r="42" spans="1:10" ht="15" customHeight="1">
      <c r="A42" s="423" t="s">
        <v>354</v>
      </c>
      <c r="B42" s="423"/>
      <c r="C42" s="423"/>
      <c r="D42" s="423"/>
      <c r="E42" s="423"/>
      <c r="F42" s="423"/>
      <c r="G42" s="423"/>
      <c r="H42" s="423"/>
      <c r="I42" s="423"/>
      <c r="J42" s="380"/>
    </row>
    <row r="43" spans="1:10" ht="15" customHeight="1">
      <c r="A43" s="228"/>
      <c r="B43" s="380"/>
      <c r="C43" s="380"/>
      <c r="D43" s="380"/>
      <c r="E43" s="380"/>
      <c r="F43" s="380"/>
      <c r="G43" s="380"/>
      <c r="H43" s="380"/>
      <c r="I43" s="380"/>
      <c r="J43" s="380"/>
    </row>
  </sheetData>
  <mergeCells count="3">
    <mergeCell ref="A13:H13"/>
    <mergeCell ref="A22:C22"/>
    <mergeCell ref="A29:L29"/>
  </mergeCells>
  <dataValidations count="1">
    <dataValidation type="list" allowBlank="1" showInputMessage="1" showErrorMessage="1" sqref="A29" xr:uid="{00000000-0002-0000-0F00-000000000000}">
      <formula1>$A$37:$A$42</formula1>
    </dataValidation>
  </dataValidations>
  <hyperlinks>
    <hyperlink ref="A9" location="'Investment Summary'!A1" display="'Statement of Financial Position" xr:uid="{00000000-0004-0000-0F00-000000000000}"/>
    <hyperlink ref="A22" r:id="rId1" display="hownow://_r847020/" xr:uid="{C8376BB3-F7D3-43FF-8724-1F9C856C219F}"/>
  </hyperlinks>
  <pageMargins left="0.7" right="0.7" top="0.75" bottom="0.75" header="0.3" footer="0.3"/>
  <pageSetup paperSize="9" orientation="landscape" r:id="rId2"/>
  <customProperties>
    <customPr name="SheetId" r:id="rId3"/>
  </customProperties>
  <drawing r:id="rId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H205"/>
  <sheetViews>
    <sheetView workbookViewId="0">
      <selection activeCell="B2" sqref="B2"/>
    </sheetView>
  </sheetViews>
  <sheetFormatPr defaultRowHeight="15"/>
  <cols>
    <col min="3" max="3" width="9.140625" style="21"/>
  </cols>
  <sheetData>
    <row r="1" spans="1:8">
      <c r="A1" t="s">
        <v>66</v>
      </c>
      <c r="B1" t="s">
        <v>67</v>
      </c>
      <c r="C1" s="21" t="s">
        <v>3</v>
      </c>
      <c r="D1" t="s">
        <v>68</v>
      </c>
      <c r="E1" t="s">
        <v>69</v>
      </c>
      <c r="F1" t="s">
        <v>70</v>
      </c>
      <c r="G1" s="65" t="s">
        <v>71</v>
      </c>
      <c r="H1" s="65" t="s">
        <v>72</v>
      </c>
    </row>
    <row r="2" spans="1:8">
      <c r="A2" t="s">
        <v>207</v>
      </c>
      <c r="B2" t="s">
        <v>210</v>
      </c>
      <c r="D2" t="s">
        <v>211</v>
      </c>
      <c r="E2" s="229">
        <v>43035.387164351851</v>
      </c>
      <c r="F2" t="b">
        <v>0</v>
      </c>
      <c r="H2" t="s">
        <v>70</v>
      </c>
    </row>
    <row r="3" spans="1:8">
      <c r="A3" t="s">
        <v>207</v>
      </c>
      <c r="B3" t="s">
        <v>237</v>
      </c>
      <c r="D3" t="s">
        <v>211</v>
      </c>
      <c r="E3" s="229">
        <v>43035.387453703705</v>
      </c>
      <c r="F3" t="b">
        <v>0</v>
      </c>
      <c r="H3" t="s">
        <v>70</v>
      </c>
    </row>
    <row r="4" spans="1:8">
      <c r="A4" t="s">
        <v>207</v>
      </c>
      <c r="B4" t="s">
        <v>265</v>
      </c>
      <c r="D4" t="s">
        <v>211</v>
      </c>
      <c r="E4" s="229">
        <v>43035.38758101852</v>
      </c>
      <c r="F4" t="b">
        <v>0</v>
      </c>
      <c r="H4" t="s">
        <v>70</v>
      </c>
    </row>
    <row r="5" spans="1:8">
      <c r="A5" t="s">
        <v>207</v>
      </c>
      <c r="B5" t="s">
        <v>293</v>
      </c>
      <c r="D5" t="s">
        <v>211</v>
      </c>
      <c r="E5" s="229">
        <v>43035.387673611112</v>
      </c>
      <c r="F5" t="b">
        <v>0</v>
      </c>
      <c r="H5" t="s">
        <v>70</v>
      </c>
    </row>
    <row r="6" spans="1:8">
      <c r="A6" t="s">
        <v>207</v>
      </c>
      <c r="B6" t="s">
        <v>294</v>
      </c>
      <c r="D6" t="s">
        <v>211</v>
      </c>
      <c r="E6" s="229">
        <v>43035.387800925928</v>
      </c>
      <c r="F6" t="b">
        <v>0</v>
      </c>
      <c r="H6" t="s">
        <v>70</v>
      </c>
    </row>
    <row r="7" spans="1:8">
      <c r="A7" t="s">
        <v>207</v>
      </c>
      <c r="B7" t="s">
        <v>298</v>
      </c>
      <c r="D7" t="s">
        <v>211</v>
      </c>
      <c r="E7" s="229">
        <v>43035.387916666667</v>
      </c>
      <c r="F7" t="b">
        <v>0</v>
      </c>
      <c r="H7" t="s">
        <v>70</v>
      </c>
    </row>
    <row r="8" spans="1:8">
      <c r="A8" t="s">
        <v>207</v>
      </c>
      <c r="B8" t="s">
        <v>299</v>
      </c>
      <c r="D8" t="s">
        <v>211</v>
      </c>
      <c r="E8" s="229">
        <v>43035.39502314815</v>
      </c>
      <c r="F8" t="b">
        <v>0</v>
      </c>
      <c r="H8" t="s">
        <v>70</v>
      </c>
    </row>
    <row r="9" spans="1:8">
      <c r="A9" t="s">
        <v>207</v>
      </c>
      <c r="B9" t="s">
        <v>309</v>
      </c>
      <c r="D9" t="s">
        <v>211</v>
      </c>
      <c r="E9" s="229">
        <v>43035.395115740743</v>
      </c>
      <c r="F9" t="b">
        <v>0</v>
      </c>
      <c r="H9" t="s">
        <v>70</v>
      </c>
    </row>
    <row r="10" spans="1:8">
      <c r="A10" t="s">
        <v>207</v>
      </c>
      <c r="B10" t="s">
        <v>331</v>
      </c>
      <c r="D10" t="s">
        <v>211</v>
      </c>
      <c r="E10" s="229">
        <v>43035.395219907405</v>
      </c>
      <c r="F10" t="b">
        <v>0</v>
      </c>
      <c r="H10" t="s">
        <v>70</v>
      </c>
    </row>
    <row r="11" spans="1:8">
      <c r="A11" t="s">
        <v>207</v>
      </c>
      <c r="B11" t="s">
        <v>357</v>
      </c>
      <c r="D11" t="s">
        <v>211</v>
      </c>
      <c r="E11" s="229">
        <v>43035.396157407406</v>
      </c>
      <c r="F11" t="b">
        <v>0</v>
      </c>
      <c r="H11" t="s">
        <v>70</v>
      </c>
    </row>
    <row r="12" spans="1:8">
      <c r="A12" t="s">
        <v>207</v>
      </c>
      <c r="B12" t="s">
        <v>358</v>
      </c>
      <c r="D12" t="s">
        <v>211</v>
      </c>
      <c r="E12" s="229">
        <v>43035.396412037036</v>
      </c>
      <c r="F12" t="b">
        <v>0</v>
      </c>
      <c r="H12" t="s">
        <v>70</v>
      </c>
    </row>
    <row r="13" spans="1:8">
      <c r="A13" t="s">
        <v>207</v>
      </c>
      <c r="B13" t="s">
        <v>384</v>
      </c>
      <c r="D13" t="s">
        <v>211</v>
      </c>
      <c r="E13" s="229">
        <v>43035.396516203706</v>
      </c>
      <c r="F13" t="b">
        <v>0</v>
      </c>
      <c r="H13" t="s">
        <v>70</v>
      </c>
    </row>
    <row r="14" spans="1:8">
      <c r="A14" t="s">
        <v>207</v>
      </c>
      <c r="B14" t="s">
        <v>385</v>
      </c>
      <c r="D14" t="s">
        <v>211</v>
      </c>
      <c r="E14" s="229">
        <v>43035.396597222221</v>
      </c>
      <c r="F14" t="b">
        <v>0</v>
      </c>
      <c r="H14" t="s">
        <v>70</v>
      </c>
    </row>
    <row r="15" spans="1:8">
      <c r="A15" t="s">
        <v>207</v>
      </c>
      <c r="B15" t="s">
        <v>387</v>
      </c>
      <c r="D15" t="s">
        <v>211</v>
      </c>
      <c r="E15" s="229">
        <v>43035.39671296296</v>
      </c>
      <c r="F15" t="b">
        <v>0</v>
      </c>
      <c r="H15" t="s">
        <v>70</v>
      </c>
    </row>
    <row r="16" spans="1:8">
      <c r="A16" t="s">
        <v>207</v>
      </c>
      <c r="B16" t="s">
        <v>390</v>
      </c>
      <c r="D16" t="s">
        <v>211</v>
      </c>
      <c r="E16" s="229">
        <v>43035.396863425929</v>
      </c>
      <c r="F16" t="b">
        <v>0</v>
      </c>
      <c r="H16" t="s">
        <v>70</v>
      </c>
    </row>
    <row r="17" spans="1:8">
      <c r="A17" t="s">
        <v>861</v>
      </c>
      <c r="B17" t="s">
        <v>865</v>
      </c>
      <c r="D17" t="s">
        <v>552</v>
      </c>
      <c r="E17" s="229">
        <v>43515.638090277775</v>
      </c>
      <c r="F17" t="b">
        <v>0</v>
      </c>
      <c r="H17" t="s">
        <v>70</v>
      </c>
    </row>
    <row r="18" spans="1:8">
      <c r="A18" t="s">
        <v>877</v>
      </c>
      <c r="B18" t="s">
        <v>865</v>
      </c>
      <c r="D18" t="s">
        <v>552</v>
      </c>
      <c r="E18" s="229">
        <v>43515.650312500002</v>
      </c>
      <c r="F18" t="b">
        <v>0</v>
      </c>
      <c r="H18" t="s">
        <v>70</v>
      </c>
    </row>
    <row r="19" spans="1:8">
      <c r="A19" t="s">
        <v>861</v>
      </c>
      <c r="B19" t="s">
        <v>865</v>
      </c>
      <c r="C19" s="21" t="s">
        <v>31</v>
      </c>
      <c r="D19" t="s">
        <v>552</v>
      </c>
      <c r="E19" s="229">
        <v>43515.650879629633</v>
      </c>
      <c r="F19" t="b">
        <v>0</v>
      </c>
      <c r="H19" t="s">
        <v>878</v>
      </c>
    </row>
    <row r="20" spans="1:8">
      <c r="A20" t="s">
        <v>877</v>
      </c>
      <c r="B20" t="s">
        <v>865</v>
      </c>
      <c r="C20" s="21" t="s">
        <v>31</v>
      </c>
      <c r="D20" t="s">
        <v>552</v>
      </c>
      <c r="E20" s="229">
        <v>43515.650891203702</v>
      </c>
      <c r="F20" t="b">
        <v>0</v>
      </c>
      <c r="H20" t="s">
        <v>878</v>
      </c>
    </row>
    <row r="21" spans="1:8">
      <c r="A21" t="s">
        <v>861</v>
      </c>
      <c r="B21" t="s">
        <v>891</v>
      </c>
      <c r="D21" t="s">
        <v>552</v>
      </c>
      <c r="E21" s="229">
        <v>43515.652546296296</v>
      </c>
      <c r="F21" t="b">
        <v>0</v>
      </c>
      <c r="H21" t="s">
        <v>70</v>
      </c>
    </row>
    <row r="22" spans="1:8">
      <c r="A22" t="s">
        <v>877</v>
      </c>
      <c r="B22" t="s">
        <v>891</v>
      </c>
      <c r="D22" t="s">
        <v>552</v>
      </c>
      <c r="E22" s="229">
        <v>43515.655416666668</v>
      </c>
      <c r="F22" t="b">
        <v>0</v>
      </c>
      <c r="H22" t="s">
        <v>70</v>
      </c>
    </row>
    <row r="23" spans="1:8">
      <c r="A23" t="s">
        <v>877</v>
      </c>
      <c r="B23" t="s">
        <v>891</v>
      </c>
      <c r="D23" t="s">
        <v>552</v>
      </c>
      <c r="E23" s="229">
        <v>43515.655451388891</v>
      </c>
      <c r="F23" t="b">
        <v>0</v>
      </c>
      <c r="H23" t="s">
        <v>70</v>
      </c>
    </row>
    <row r="24" spans="1:8">
      <c r="A24" t="s">
        <v>861</v>
      </c>
      <c r="B24" t="s">
        <v>891</v>
      </c>
      <c r="C24" s="21" t="s">
        <v>31</v>
      </c>
      <c r="D24" t="s">
        <v>552</v>
      </c>
      <c r="E24" s="229">
        <v>43515.655555555553</v>
      </c>
      <c r="F24" t="b">
        <v>0</v>
      </c>
      <c r="H24" t="s">
        <v>878</v>
      </c>
    </row>
    <row r="25" spans="1:8">
      <c r="A25" t="s">
        <v>877</v>
      </c>
      <c r="B25" t="s">
        <v>891</v>
      </c>
      <c r="C25" s="21" t="s">
        <v>31</v>
      </c>
      <c r="D25" t="s">
        <v>552</v>
      </c>
      <c r="E25" s="229">
        <v>43515.65556712963</v>
      </c>
      <c r="F25" t="b">
        <v>0</v>
      </c>
      <c r="H25" t="s">
        <v>878</v>
      </c>
    </row>
    <row r="26" spans="1:8">
      <c r="A26" t="s">
        <v>877</v>
      </c>
      <c r="B26" t="s">
        <v>891</v>
      </c>
      <c r="C26" s="21" t="s">
        <v>31</v>
      </c>
      <c r="D26" t="s">
        <v>552</v>
      </c>
      <c r="E26" s="229">
        <v>43515.655578703707</v>
      </c>
      <c r="F26" t="b">
        <v>0</v>
      </c>
      <c r="H26" t="s">
        <v>878</v>
      </c>
    </row>
    <row r="27" spans="1:8">
      <c r="A27" t="s">
        <v>877</v>
      </c>
      <c r="B27" t="s">
        <v>865</v>
      </c>
      <c r="D27" t="s">
        <v>552</v>
      </c>
      <c r="E27" s="229">
        <v>43515.655659722222</v>
      </c>
      <c r="F27" t="b">
        <v>0</v>
      </c>
      <c r="H27" t="s">
        <v>70</v>
      </c>
    </row>
    <row r="28" spans="1:8">
      <c r="A28" t="s">
        <v>861</v>
      </c>
      <c r="B28" t="s">
        <v>865</v>
      </c>
      <c r="C28" s="21" t="s">
        <v>31</v>
      </c>
      <c r="D28" t="s">
        <v>552</v>
      </c>
      <c r="E28" s="229">
        <v>43515.655729166669</v>
      </c>
      <c r="F28" t="b">
        <v>0</v>
      </c>
      <c r="H28" t="s">
        <v>878</v>
      </c>
    </row>
    <row r="29" spans="1:8">
      <c r="A29" t="s">
        <v>877</v>
      </c>
      <c r="B29" t="s">
        <v>865</v>
      </c>
      <c r="C29" s="21" t="s">
        <v>31</v>
      </c>
      <c r="D29" t="s">
        <v>552</v>
      </c>
      <c r="E29" s="229">
        <v>43515.655740740738</v>
      </c>
      <c r="F29" t="b">
        <v>0</v>
      </c>
      <c r="H29" t="s">
        <v>878</v>
      </c>
    </row>
    <row r="30" spans="1:8">
      <c r="A30" t="s">
        <v>877</v>
      </c>
      <c r="B30" t="s">
        <v>865</v>
      </c>
      <c r="C30" s="21" t="s">
        <v>31</v>
      </c>
      <c r="D30" t="s">
        <v>552</v>
      </c>
      <c r="E30" s="229">
        <v>43515.655752314815</v>
      </c>
      <c r="F30" t="b">
        <v>0</v>
      </c>
      <c r="H30" t="s">
        <v>878</v>
      </c>
    </row>
    <row r="31" spans="1:8">
      <c r="A31" t="s">
        <v>877</v>
      </c>
      <c r="B31" t="s">
        <v>865</v>
      </c>
      <c r="D31" t="s">
        <v>552</v>
      </c>
      <c r="E31" s="229">
        <v>43515.657118055555</v>
      </c>
      <c r="F31" t="b">
        <v>0</v>
      </c>
      <c r="H31" t="s">
        <v>70</v>
      </c>
    </row>
    <row r="32" spans="1:8">
      <c r="A32" t="s">
        <v>877</v>
      </c>
      <c r="B32" t="s">
        <v>865</v>
      </c>
      <c r="D32" t="s">
        <v>552</v>
      </c>
      <c r="E32" s="229">
        <v>43515.657152777778</v>
      </c>
      <c r="F32" t="b">
        <v>0</v>
      </c>
      <c r="H32" t="s">
        <v>70</v>
      </c>
    </row>
    <row r="33" spans="1:8">
      <c r="A33" t="s">
        <v>861</v>
      </c>
      <c r="B33" t="s">
        <v>865</v>
      </c>
      <c r="C33" s="21" t="s">
        <v>31</v>
      </c>
      <c r="D33" t="s">
        <v>552</v>
      </c>
      <c r="E33" s="229">
        <v>43515.657187500001</v>
      </c>
      <c r="F33" t="b">
        <v>0</v>
      </c>
      <c r="H33" t="s">
        <v>878</v>
      </c>
    </row>
    <row r="34" spans="1:8">
      <c r="A34" t="s">
        <v>877</v>
      </c>
      <c r="B34" t="s">
        <v>865</v>
      </c>
      <c r="C34" s="21" t="s">
        <v>31</v>
      </c>
      <c r="D34" t="s">
        <v>552</v>
      </c>
      <c r="E34" s="229">
        <v>43515.657210648147</v>
      </c>
      <c r="F34" t="b">
        <v>0</v>
      </c>
      <c r="H34" t="s">
        <v>878</v>
      </c>
    </row>
    <row r="35" spans="1:8">
      <c r="A35" t="s">
        <v>877</v>
      </c>
      <c r="B35" t="s">
        <v>865</v>
      </c>
      <c r="C35" s="21" t="s">
        <v>31</v>
      </c>
      <c r="D35" t="s">
        <v>552</v>
      </c>
      <c r="E35" s="229">
        <v>43515.657222222224</v>
      </c>
      <c r="F35" t="b">
        <v>0</v>
      </c>
      <c r="H35" t="s">
        <v>878</v>
      </c>
    </row>
    <row r="36" spans="1:8">
      <c r="A36" t="s">
        <v>877</v>
      </c>
      <c r="B36" t="s">
        <v>865</v>
      </c>
      <c r="C36" s="21" t="s">
        <v>31</v>
      </c>
      <c r="D36" t="s">
        <v>552</v>
      </c>
      <c r="E36" s="229">
        <v>43515.657233796293</v>
      </c>
      <c r="F36" t="b">
        <v>0</v>
      </c>
      <c r="H36" t="s">
        <v>878</v>
      </c>
    </row>
    <row r="37" spans="1:8">
      <c r="A37" t="s">
        <v>877</v>
      </c>
      <c r="B37" t="s">
        <v>865</v>
      </c>
      <c r="C37" s="21" t="s">
        <v>31</v>
      </c>
      <c r="D37" t="s">
        <v>552</v>
      </c>
      <c r="E37" s="229">
        <v>43515.657256944447</v>
      </c>
      <c r="F37" t="b">
        <v>0</v>
      </c>
      <c r="H37" t="s">
        <v>878</v>
      </c>
    </row>
    <row r="38" spans="1:8">
      <c r="A38" t="s">
        <v>877</v>
      </c>
      <c r="B38" t="s">
        <v>865</v>
      </c>
      <c r="D38" t="s">
        <v>552</v>
      </c>
      <c r="E38" s="229">
        <v>43515.657604166663</v>
      </c>
      <c r="F38" t="b">
        <v>0</v>
      </c>
      <c r="H38" t="s">
        <v>70</v>
      </c>
    </row>
    <row r="39" spans="1:8">
      <c r="A39" t="s">
        <v>861</v>
      </c>
      <c r="B39" t="s">
        <v>865</v>
      </c>
      <c r="C39" s="21" t="s">
        <v>31</v>
      </c>
      <c r="D39" t="s">
        <v>552</v>
      </c>
      <c r="E39" s="229">
        <v>43515.657638888886</v>
      </c>
      <c r="F39" t="b">
        <v>0</v>
      </c>
      <c r="H39" t="s">
        <v>878</v>
      </c>
    </row>
    <row r="40" spans="1:8">
      <c r="A40" t="s">
        <v>877</v>
      </c>
      <c r="B40" t="s">
        <v>865</v>
      </c>
      <c r="C40" s="21" t="s">
        <v>31</v>
      </c>
      <c r="D40" t="s">
        <v>552</v>
      </c>
      <c r="E40" s="229">
        <v>43515.65766203704</v>
      </c>
      <c r="F40" t="b">
        <v>0</v>
      </c>
      <c r="H40" t="s">
        <v>878</v>
      </c>
    </row>
    <row r="41" spans="1:8">
      <c r="A41" t="s">
        <v>877</v>
      </c>
      <c r="B41" t="s">
        <v>865</v>
      </c>
      <c r="C41" s="21" t="s">
        <v>31</v>
      </c>
      <c r="D41" t="s">
        <v>552</v>
      </c>
      <c r="E41" s="229">
        <v>43515.657673611109</v>
      </c>
      <c r="F41" t="b">
        <v>0</v>
      </c>
      <c r="H41" t="s">
        <v>878</v>
      </c>
    </row>
    <row r="42" spans="1:8">
      <c r="A42" t="s">
        <v>877</v>
      </c>
      <c r="B42" t="s">
        <v>865</v>
      </c>
      <c r="C42" s="21" t="s">
        <v>31</v>
      </c>
      <c r="D42" t="s">
        <v>552</v>
      </c>
      <c r="E42" s="229">
        <v>43515.657685185186</v>
      </c>
      <c r="F42" t="b">
        <v>0</v>
      </c>
      <c r="H42" t="s">
        <v>878</v>
      </c>
    </row>
    <row r="43" spans="1:8">
      <c r="A43" t="s">
        <v>877</v>
      </c>
      <c r="B43" t="s">
        <v>865</v>
      </c>
      <c r="C43" s="21" t="s">
        <v>31</v>
      </c>
      <c r="D43" t="s">
        <v>552</v>
      </c>
      <c r="E43" s="229">
        <v>43515.657708333332</v>
      </c>
      <c r="F43" t="b">
        <v>0</v>
      </c>
      <c r="H43" t="s">
        <v>878</v>
      </c>
    </row>
    <row r="44" spans="1:8">
      <c r="A44" t="s">
        <v>877</v>
      </c>
      <c r="B44" t="s">
        <v>865</v>
      </c>
      <c r="C44" s="21" t="s">
        <v>31</v>
      </c>
      <c r="D44" t="s">
        <v>552</v>
      </c>
      <c r="E44" s="229">
        <v>43515.657719907409</v>
      </c>
      <c r="F44" t="b">
        <v>0</v>
      </c>
      <c r="H44" t="s">
        <v>878</v>
      </c>
    </row>
    <row r="45" spans="1:8">
      <c r="A45" t="s">
        <v>877</v>
      </c>
      <c r="B45" t="s">
        <v>865</v>
      </c>
      <c r="D45" t="s">
        <v>552</v>
      </c>
      <c r="E45" s="229">
        <v>43515.657789351855</v>
      </c>
      <c r="F45" t="b">
        <v>0</v>
      </c>
      <c r="H45" t="s">
        <v>70</v>
      </c>
    </row>
    <row r="46" spans="1:8">
      <c r="A46" t="s">
        <v>861</v>
      </c>
      <c r="B46" t="s">
        <v>865</v>
      </c>
      <c r="C46" s="21" t="s">
        <v>31</v>
      </c>
      <c r="D46" t="s">
        <v>552</v>
      </c>
      <c r="E46" s="229">
        <v>43515.657870370371</v>
      </c>
      <c r="F46" t="b">
        <v>0</v>
      </c>
      <c r="H46" t="s">
        <v>878</v>
      </c>
    </row>
    <row r="47" spans="1:8">
      <c r="A47" t="s">
        <v>877</v>
      </c>
      <c r="B47" t="s">
        <v>865</v>
      </c>
      <c r="C47" s="21" t="s">
        <v>31</v>
      </c>
      <c r="D47" t="s">
        <v>552</v>
      </c>
      <c r="E47" s="229">
        <v>43515.657881944448</v>
      </c>
      <c r="F47" t="b">
        <v>0</v>
      </c>
      <c r="H47" t="s">
        <v>878</v>
      </c>
    </row>
    <row r="48" spans="1:8">
      <c r="A48" t="s">
        <v>877</v>
      </c>
      <c r="B48" t="s">
        <v>865</v>
      </c>
      <c r="C48" s="21" t="s">
        <v>31</v>
      </c>
      <c r="D48" t="s">
        <v>552</v>
      </c>
      <c r="E48" s="229">
        <v>43515.657893518517</v>
      </c>
      <c r="F48" t="b">
        <v>0</v>
      </c>
      <c r="H48" t="s">
        <v>878</v>
      </c>
    </row>
    <row r="49" spans="1:8">
      <c r="A49" t="s">
        <v>877</v>
      </c>
      <c r="B49" t="s">
        <v>865</v>
      </c>
      <c r="C49" s="21" t="s">
        <v>31</v>
      </c>
      <c r="D49" t="s">
        <v>552</v>
      </c>
      <c r="E49" s="229">
        <v>43515.657916666663</v>
      </c>
      <c r="F49" t="b">
        <v>0</v>
      </c>
      <c r="H49" t="s">
        <v>878</v>
      </c>
    </row>
    <row r="50" spans="1:8">
      <c r="A50" t="s">
        <v>877</v>
      </c>
      <c r="B50" t="s">
        <v>865</v>
      </c>
      <c r="C50" s="21" t="s">
        <v>31</v>
      </c>
      <c r="D50" t="s">
        <v>552</v>
      </c>
      <c r="E50" s="229">
        <v>43515.65792824074</v>
      </c>
      <c r="F50" t="b">
        <v>0</v>
      </c>
      <c r="H50" t="s">
        <v>878</v>
      </c>
    </row>
    <row r="51" spans="1:8">
      <c r="A51" t="s">
        <v>877</v>
      </c>
      <c r="B51" t="s">
        <v>865</v>
      </c>
      <c r="C51" s="21" t="s">
        <v>31</v>
      </c>
      <c r="D51" t="s">
        <v>552</v>
      </c>
      <c r="E51" s="229">
        <v>43515.657939814817</v>
      </c>
      <c r="F51" t="b">
        <v>0</v>
      </c>
      <c r="H51" t="s">
        <v>878</v>
      </c>
    </row>
    <row r="52" spans="1:8">
      <c r="A52" t="s">
        <v>877</v>
      </c>
      <c r="B52" t="s">
        <v>865</v>
      </c>
      <c r="C52" s="21" t="s">
        <v>31</v>
      </c>
      <c r="D52" t="s">
        <v>552</v>
      </c>
      <c r="E52" s="229">
        <v>43515.657962962963</v>
      </c>
      <c r="F52" t="b">
        <v>0</v>
      </c>
      <c r="H52" t="s">
        <v>878</v>
      </c>
    </row>
    <row r="53" spans="1:8">
      <c r="A53" t="s">
        <v>877</v>
      </c>
      <c r="B53" t="s">
        <v>865</v>
      </c>
      <c r="D53" t="s">
        <v>552</v>
      </c>
      <c r="E53" s="229">
        <v>43515.658055555556</v>
      </c>
      <c r="F53" t="b">
        <v>0</v>
      </c>
      <c r="H53" t="s">
        <v>70</v>
      </c>
    </row>
    <row r="54" spans="1:8">
      <c r="A54" t="s">
        <v>877</v>
      </c>
      <c r="B54" t="s">
        <v>865</v>
      </c>
      <c r="D54" t="s">
        <v>552</v>
      </c>
      <c r="E54" s="229">
        <v>43515.658090277779</v>
      </c>
      <c r="F54" t="b">
        <v>0</v>
      </c>
      <c r="H54" t="s">
        <v>70</v>
      </c>
    </row>
    <row r="55" spans="1:8">
      <c r="A55" t="s">
        <v>877</v>
      </c>
      <c r="B55" t="s">
        <v>865</v>
      </c>
      <c r="D55" t="s">
        <v>552</v>
      </c>
      <c r="E55" s="229">
        <v>43515.658263888887</v>
      </c>
      <c r="F55" t="b">
        <v>0</v>
      </c>
      <c r="H55" t="s">
        <v>70</v>
      </c>
    </row>
    <row r="56" spans="1:8">
      <c r="A56" t="s">
        <v>877</v>
      </c>
      <c r="B56" t="s">
        <v>865</v>
      </c>
      <c r="D56" t="s">
        <v>552</v>
      </c>
      <c r="E56" s="229">
        <v>43515.658391203702</v>
      </c>
      <c r="F56" t="b">
        <v>0</v>
      </c>
      <c r="H56" t="s">
        <v>70</v>
      </c>
    </row>
    <row r="57" spans="1:8">
      <c r="A57" t="s">
        <v>861</v>
      </c>
      <c r="B57" t="s">
        <v>865</v>
      </c>
      <c r="C57" s="21" t="s">
        <v>31</v>
      </c>
      <c r="D57" t="s">
        <v>552</v>
      </c>
      <c r="E57" s="229">
        <v>43515.658483796295</v>
      </c>
      <c r="F57" t="b">
        <v>0</v>
      </c>
      <c r="H57" t="s">
        <v>878</v>
      </c>
    </row>
    <row r="58" spans="1:8">
      <c r="A58" t="s">
        <v>877</v>
      </c>
      <c r="B58" t="s">
        <v>865</v>
      </c>
      <c r="C58" s="21" t="s">
        <v>31</v>
      </c>
      <c r="D58" t="s">
        <v>552</v>
      </c>
      <c r="E58" s="229">
        <v>43515.658506944441</v>
      </c>
      <c r="F58" t="b">
        <v>0</v>
      </c>
      <c r="H58" t="s">
        <v>878</v>
      </c>
    </row>
    <row r="59" spans="1:8">
      <c r="A59" t="s">
        <v>877</v>
      </c>
      <c r="B59" t="s">
        <v>865</v>
      </c>
      <c r="C59" s="21" t="s">
        <v>31</v>
      </c>
      <c r="D59" t="s">
        <v>552</v>
      </c>
      <c r="E59" s="229">
        <v>43515.658518518518</v>
      </c>
      <c r="F59" t="b">
        <v>0</v>
      </c>
      <c r="H59" t="s">
        <v>878</v>
      </c>
    </row>
    <row r="60" spans="1:8">
      <c r="A60" t="s">
        <v>877</v>
      </c>
      <c r="B60" t="s">
        <v>865</v>
      </c>
      <c r="C60" s="21" t="s">
        <v>31</v>
      </c>
      <c r="D60" t="s">
        <v>552</v>
      </c>
      <c r="E60" s="229">
        <v>43515.658530092594</v>
      </c>
      <c r="F60" t="b">
        <v>0</v>
      </c>
      <c r="H60" t="s">
        <v>878</v>
      </c>
    </row>
    <row r="61" spans="1:8">
      <c r="A61" t="s">
        <v>877</v>
      </c>
      <c r="B61" t="s">
        <v>865</v>
      </c>
      <c r="C61" s="21" t="s">
        <v>31</v>
      </c>
      <c r="D61" t="s">
        <v>552</v>
      </c>
      <c r="E61" s="229">
        <v>43515.658553240741</v>
      </c>
      <c r="F61" t="b">
        <v>0</v>
      </c>
      <c r="H61" t="s">
        <v>878</v>
      </c>
    </row>
    <row r="62" spans="1:8">
      <c r="A62" t="s">
        <v>877</v>
      </c>
      <c r="B62" t="s">
        <v>865</v>
      </c>
      <c r="C62" s="21" t="s">
        <v>31</v>
      </c>
      <c r="D62" t="s">
        <v>552</v>
      </c>
      <c r="E62" s="229">
        <v>43515.658564814818</v>
      </c>
      <c r="F62" t="b">
        <v>0</v>
      </c>
      <c r="H62" t="s">
        <v>878</v>
      </c>
    </row>
    <row r="63" spans="1:8">
      <c r="A63" t="s">
        <v>877</v>
      </c>
      <c r="B63" t="s">
        <v>865</v>
      </c>
      <c r="C63" s="21" t="s">
        <v>31</v>
      </c>
      <c r="D63" t="s">
        <v>552</v>
      </c>
      <c r="E63" s="229">
        <v>43515.658587962964</v>
      </c>
      <c r="F63" t="b">
        <v>0</v>
      </c>
      <c r="H63" t="s">
        <v>878</v>
      </c>
    </row>
    <row r="64" spans="1:8">
      <c r="A64" t="s">
        <v>877</v>
      </c>
      <c r="B64" t="s">
        <v>865</v>
      </c>
      <c r="C64" s="21" t="s">
        <v>31</v>
      </c>
      <c r="D64" t="s">
        <v>552</v>
      </c>
      <c r="E64" s="229">
        <v>43515.658599537041</v>
      </c>
      <c r="F64" t="b">
        <v>0</v>
      </c>
      <c r="H64" t="s">
        <v>878</v>
      </c>
    </row>
    <row r="65" spans="1:8">
      <c r="A65" t="s">
        <v>877</v>
      </c>
      <c r="B65" t="s">
        <v>865</v>
      </c>
      <c r="C65" s="21" t="s">
        <v>31</v>
      </c>
      <c r="D65" t="s">
        <v>552</v>
      </c>
      <c r="E65" s="229">
        <v>43515.65861111111</v>
      </c>
      <c r="F65" t="b">
        <v>0</v>
      </c>
      <c r="H65" t="s">
        <v>878</v>
      </c>
    </row>
    <row r="66" spans="1:8">
      <c r="A66" t="s">
        <v>877</v>
      </c>
      <c r="B66" t="s">
        <v>865</v>
      </c>
      <c r="C66" s="21" t="s">
        <v>31</v>
      </c>
      <c r="D66" t="s">
        <v>552</v>
      </c>
      <c r="E66" s="229">
        <v>43515.658634259256</v>
      </c>
      <c r="F66" t="b">
        <v>0</v>
      </c>
      <c r="H66" t="s">
        <v>878</v>
      </c>
    </row>
    <row r="67" spans="1:8">
      <c r="A67" t="s">
        <v>877</v>
      </c>
      <c r="B67" t="s">
        <v>865</v>
      </c>
      <c r="C67" s="21" t="s">
        <v>31</v>
      </c>
      <c r="D67" t="s">
        <v>552</v>
      </c>
      <c r="E67" s="229">
        <v>43515.658645833333</v>
      </c>
      <c r="F67" t="b">
        <v>0</v>
      </c>
      <c r="H67" t="s">
        <v>878</v>
      </c>
    </row>
    <row r="68" spans="1:8">
      <c r="A68" t="s">
        <v>877</v>
      </c>
      <c r="B68" t="s">
        <v>865</v>
      </c>
      <c r="D68" t="s">
        <v>552</v>
      </c>
      <c r="E68" s="229">
        <v>43515.658750000002</v>
      </c>
      <c r="F68" t="b">
        <v>0</v>
      </c>
      <c r="H68" t="s">
        <v>70</v>
      </c>
    </row>
    <row r="69" spans="1:8">
      <c r="A69" t="s">
        <v>877</v>
      </c>
      <c r="B69" t="s">
        <v>865</v>
      </c>
      <c r="D69" t="s">
        <v>552</v>
      </c>
      <c r="E69" s="229">
        <v>43515.658784722225</v>
      </c>
      <c r="F69" t="b">
        <v>0</v>
      </c>
      <c r="H69" t="s">
        <v>70</v>
      </c>
    </row>
    <row r="70" spans="1:8">
      <c r="A70" t="s">
        <v>861</v>
      </c>
      <c r="B70" t="s">
        <v>865</v>
      </c>
      <c r="C70" s="21" t="s">
        <v>31</v>
      </c>
      <c r="D70" t="s">
        <v>552</v>
      </c>
      <c r="E70" s="229">
        <v>43515.658946759257</v>
      </c>
      <c r="F70" t="b">
        <v>0</v>
      </c>
      <c r="H70" t="s">
        <v>878</v>
      </c>
    </row>
    <row r="71" spans="1:8">
      <c r="A71" t="s">
        <v>877</v>
      </c>
      <c r="B71" t="s">
        <v>865</v>
      </c>
      <c r="C71" s="21" t="s">
        <v>31</v>
      </c>
      <c r="D71" t="s">
        <v>552</v>
      </c>
      <c r="E71" s="229">
        <v>43515.658958333333</v>
      </c>
      <c r="F71" t="b">
        <v>0</v>
      </c>
      <c r="H71" t="s">
        <v>878</v>
      </c>
    </row>
    <row r="72" spans="1:8">
      <c r="A72" t="s">
        <v>877</v>
      </c>
      <c r="B72" t="s">
        <v>865</v>
      </c>
      <c r="C72" s="21" t="s">
        <v>31</v>
      </c>
      <c r="D72" t="s">
        <v>552</v>
      </c>
      <c r="E72" s="229">
        <v>43515.65898148148</v>
      </c>
      <c r="F72" t="b">
        <v>0</v>
      </c>
      <c r="H72" t="s">
        <v>878</v>
      </c>
    </row>
    <row r="73" spans="1:8">
      <c r="A73" t="s">
        <v>877</v>
      </c>
      <c r="B73" t="s">
        <v>865</v>
      </c>
      <c r="C73" s="21" t="s">
        <v>31</v>
      </c>
      <c r="D73" t="s">
        <v>552</v>
      </c>
      <c r="E73" s="229">
        <v>43515.658993055556</v>
      </c>
      <c r="F73" t="b">
        <v>0</v>
      </c>
      <c r="H73" t="s">
        <v>878</v>
      </c>
    </row>
    <row r="74" spans="1:8">
      <c r="A74" t="s">
        <v>877</v>
      </c>
      <c r="B74" t="s">
        <v>865</v>
      </c>
      <c r="C74" s="21" t="s">
        <v>31</v>
      </c>
      <c r="D74" t="s">
        <v>552</v>
      </c>
      <c r="E74" s="229">
        <v>43515.659016203703</v>
      </c>
      <c r="F74" t="b">
        <v>0</v>
      </c>
      <c r="H74" t="s">
        <v>878</v>
      </c>
    </row>
    <row r="75" spans="1:8">
      <c r="A75" t="s">
        <v>877</v>
      </c>
      <c r="B75" t="s">
        <v>865</v>
      </c>
      <c r="C75" s="21" t="s">
        <v>31</v>
      </c>
      <c r="D75" t="s">
        <v>552</v>
      </c>
      <c r="E75" s="229">
        <v>43515.659039351849</v>
      </c>
      <c r="F75" t="b">
        <v>0</v>
      </c>
      <c r="H75" t="s">
        <v>878</v>
      </c>
    </row>
    <row r="76" spans="1:8">
      <c r="A76" t="s">
        <v>877</v>
      </c>
      <c r="B76" t="s">
        <v>865</v>
      </c>
      <c r="C76" s="21" t="s">
        <v>31</v>
      </c>
      <c r="D76" t="s">
        <v>552</v>
      </c>
      <c r="E76" s="229">
        <v>43515.659050925926</v>
      </c>
      <c r="F76" t="b">
        <v>0</v>
      </c>
      <c r="H76" t="s">
        <v>878</v>
      </c>
    </row>
    <row r="77" spans="1:8">
      <c r="A77" t="s">
        <v>877</v>
      </c>
      <c r="B77" t="s">
        <v>865</v>
      </c>
      <c r="C77" s="21" t="s">
        <v>31</v>
      </c>
      <c r="D77" t="s">
        <v>552</v>
      </c>
      <c r="E77" s="229">
        <v>43515.659074074072</v>
      </c>
      <c r="F77" t="b">
        <v>0</v>
      </c>
      <c r="H77" t="s">
        <v>878</v>
      </c>
    </row>
    <row r="78" spans="1:8">
      <c r="A78" t="s">
        <v>877</v>
      </c>
      <c r="B78" t="s">
        <v>865</v>
      </c>
      <c r="C78" s="21" t="s">
        <v>31</v>
      </c>
      <c r="D78" t="s">
        <v>552</v>
      </c>
      <c r="E78" s="229">
        <v>43515.659085648149</v>
      </c>
      <c r="F78" t="b">
        <v>0</v>
      </c>
      <c r="H78" t="s">
        <v>878</v>
      </c>
    </row>
    <row r="79" spans="1:8">
      <c r="A79" t="s">
        <v>877</v>
      </c>
      <c r="B79" t="s">
        <v>865</v>
      </c>
      <c r="C79" s="21" t="s">
        <v>31</v>
      </c>
      <c r="D79" t="s">
        <v>552</v>
      </c>
      <c r="E79" s="229">
        <v>43515.659108796295</v>
      </c>
      <c r="F79" t="b">
        <v>0</v>
      </c>
      <c r="H79" t="s">
        <v>878</v>
      </c>
    </row>
    <row r="80" spans="1:8">
      <c r="A80" t="s">
        <v>877</v>
      </c>
      <c r="B80" t="s">
        <v>865</v>
      </c>
      <c r="C80" s="21" t="s">
        <v>31</v>
      </c>
      <c r="D80" t="s">
        <v>552</v>
      </c>
      <c r="E80" s="229">
        <v>43515.659131944441</v>
      </c>
      <c r="F80" t="b">
        <v>0</v>
      </c>
      <c r="H80" t="s">
        <v>878</v>
      </c>
    </row>
    <row r="81" spans="1:8">
      <c r="A81" t="s">
        <v>877</v>
      </c>
      <c r="B81" t="s">
        <v>865</v>
      </c>
      <c r="C81" s="21" t="s">
        <v>31</v>
      </c>
      <c r="D81" t="s">
        <v>552</v>
      </c>
      <c r="E81" s="229">
        <v>43515.659143518518</v>
      </c>
      <c r="F81" t="b">
        <v>0</v>
      </c>
      <c r="H81" t="s">
        <v>878</v>
      </c>
    </row>
    <row r="82" spans="1:8">
      <c r="A82" t="s">
        <v>877</v>
      </c>
      <c r="B82" t="s">
        <v>865</v>
      </c>
      <c r="C82" s="21" t="s">
        <v>31</v>
      </c>
      <c r="D82" t="s">
        <v>552</v>
      </c>
      <c r="E82" s="229">
        <v>43515.659166666665</v>
      </c>
      <c r="F82" t="b">
        <v>0</v>
      </c>
      <c r="H82" t="s">
        <v>878</v>
      </c>
    </row>
    <row r="83" spans="1:8">
      <c r="A83" t="s">
        <v>877</v>
      </c>
      <c r="B83" t="s">
        <v>331</v>
      </c>
      <c r="D83" t="s">
        <v>552</v>
      </c>
      <c r="E83" s="229">
        <v>43515.659259259257</v>
      </c>
      <c r="F83" t="b">
        <v>0</v>
      </c>
      <c r="H83" t="s">
        <v>70</v>
      </c>
    </row>
    <row r="84" spans="1:8">
      <c r="A84" t="s">
        <v>207</v>
      </c>
      <c r="B84" t="s">
        <v>331</v>
      </c>
      <c r="C84" s="21" t="s">
        <v>33</v>
      </c>
      <c r="D84" t="s">
        <v>552</v>
      </c>
      <c r="E84" s="229">
        <v>43515.659317129626</v>
      </c>
      <c r="F84" t="b">
        <v>0</v>
      </c>
      <c r="H84" t="s">
        <v>878</v>
      </c>
    </row>
    <row r="85" spans="1:8">
      <c r="A85" t="s">
        <v>877</v>
      </c>
      <c r="B85" t="s">
        <v>331</v>
      </c>
      <c r="C85" s="21" t="s">
        <v>33</v>
      </c>
      <c r="D85" t="s">
        <v>552</v>
      </c>
      <c r="E85" s="229">
        <v>43515.65934027778</v>
      </c>
      <c r="F85" t="b">
        <v>0</v>
      </c>
      <c r="H85" t="s">
        <v>878</v>
      </c>
    </row>
    <row r="86" spans="1:8">
      <c r="A86" t="s">
        <v>207</v>
      </c>
      <c r="B86" t="s">
        <v>331</v>
      </c>
      <c r="C86" s="21" t="s">
        <v>96</v>
      </c>
      <c r="D86" t="s">
        <v>552</v>
      </c>
      <c r="E86" s="229">
        <v>43515.659386574072</v>
      </c>
      <c r="F86" t="b">
        <v>0</v>
      </c>
      <c r="H86" t="s">
        <v>878</v>
      </c>
    </row>
    <row r="87" spans="1:8">
      <c r="A87" t="s">
        <v>877</v>
      </c>
      <c r="B87" t="s">
        <v>331</v>
      </c>
      <c r="C87" s="21" t="s">
        <v>96</v>
      </c>
      <c r="D87" t="s">
        <v>552</v>
      </c>
      <c r="E87" s="229">
        <v>43515.659398148149</v>
      </c>
      <c r="F87" t="b">
        <v>0</v>
      </c>
      <c r="H87" t="s">
        <v>878</v>
      </c>
    </row>
    <row r="88" spans="1:8">
      <c r="A88" t="s">
        <v>877</v>
      </c>
      <c r="B88" t="s">
        <v>331</v>
      </c>
      <c r="D88" t="s">
        <v>552</v>
      </c>
      <c r="E88" s="229">
        <v>43515.659467592595</v>
      </c>
      <c r="F88" t="b">
        <v>0</v>
      </c>
      <c r="H88" t="s">
        <v>70</v>
      </c>
    </row>
    <row r="89" spans="1:8">
      <c r="A89" t="s">
        <v>207</v>
      </c>
      <c r="B89" t="s">
        <v>331</v>
      </c>
      <c r="C89" s="21" t="s">
        <v>96</v>
      </c>
      <c r="D89" t="s">
        <v>552</v>
      </c>
      <c r="E89" s="229">
        <v>43515.659513888888</v>
      </c>
      <c r="F89" t="b">
        <v>0</v>
      </c>
      <c r="H89" t="s">
        <v>878</v>
      </c>
    </row>
    <row r="90" spans="1:8">
      <c r="A90" t="s">
        <v>877</v>
      </c>
      <c r="B90" t="s">
        <v>331</v>
      </c>
      <c r="C90" s="21" t="s">
        <v>96</v>
      </c>
      <c r="D90" t="s">
        <v>552</v>
      </c>
      <c r="E90" s="229">
        <v>43515.659525462965</v>
      </c>
      <c r="F90" t="b">
        <v>0</v>
      </c>
      <c r="H90" t="s">
        <v>878</v>
      </c>
    </row>
    <row r="91" spans="1:8">
      <c r="A91" t="s">
        <v>877</v>
      </c>
      <c r="B91" t="s">
        <v>331</v>
      </c>
      <c r="C91" s="21" t="s">
        <v>96</v>
      </c>
      <c r="D91" t="s">
        <v>552</v>
      </c>
      <c r="E91" s="229">
        <v>43515.659537037034</v>
      </c>
      <c r="F91" t="b">
        <v>0</v>
      </c>
      <c r="H91" t="s">
        <v>878</v>
      </c>
    </row>
    <row r="92" spans="1:8">
      <c r="A92" t="s">
        <v>897</v>
      </c>
      <c r="B92" t="s">
        <v>899</v>
      </c>
      <c r="D92" t="s">
        <v>552</v>
      </c>
      <c r="E92" s="229">
        <v>43515.660046296296</v>
      </c>
      <c r="F92" t="b">
        <v>0</v>
      </c>
      <c r="H92" t="s">
        <v>70</v>
      </c>
    </row>
    <row r="93" spans="1:8">
      <c r="A93" t="s">
        <v>897</v>
      </c>
      <c r="B93" t="s">
        <v>902</v>
      </c>
      <c r="D93" t="s">
        <v>552</v>
      </c>
      <c r="E93" s="229">
        <v>43515.660081018519</v>
      </c>
      <c r="F93" t="b">
        <v>0</v>
      </c>
      <c r="H93" t="s">
        <v>70</v>
      </c>
    </row>
    <row r="94" spans="1:8">
      <c r="A94" t="s">
        <v>897</v>
      </c>
      <c r="B94" t="s">
        <v>899</v>
      </c>
      <c r="D94" t="s">
        <v>552</v>
      </c>
      <c r="E94" s="229">
        <v>43515.660451388889</v>
      </c>
      <c r="F94" t="b">
        <v>0</v>
      </c>
      <c r="G94" t="s">
        <v>904</v>
      </c>
      <c r="H94" t="s">
        <v>903</v>
      </c>
    </row>
    <row r="95" spans="1:8">
      <c r="A95" t="s">
        <v>897</v>
      </c>
      <c r="B95" t="s">
        <v>902</v>
      </c>
      <c r="D95" t="s">
        <v>552</v>
      </c>
      <c r="E95" s="229">
        <v>43515.660532407404</v>
      </c>
      <c r="F95" t="b">
        <v>0</v>
      </c>
      <c r="G95" t="s">
        <v>904</v>
      </c>
      <c r="H95" t="s">
        <v>903</v>
      </c>
    </row>
    <row r="96" spans="1:8">
      <c r="A96" t="s">
        <v>897</v>
      </c>
      <c r="B96" t="s">
        <v>899</v>
      </c>
      <c r="C96" s="21" t="s">
        <v>31</v>
      </c>
      <c r="D96" t="s">
        <v>552</v>
      </c>
      <c r="E96" s="229">
        <v>43515.660671296297</v>
      </c>
      <c r="F96" t="b">
        <v>0</v>
      </c>
      <c r="H96" t="s">
        <v>878</v>
      </c>
    </row>
    <row r="97" spans="1:8">
      <c r="A97" t="s">
        <v>897</v>
      </c>
      <c r="B97" t="s">
        <v>902</v>
      </c>
      <c r="C97" s="21" t="s">
        <v>31</v>
      </c>
      <c r="D97" t="s">
        <v>552</v>
      </c>
      <c r="E97" s="229">
        <v>43515.660729166666</v>
      </c>
      <c r="F97" t="b">
        <v>0</v>
      </c>
      <c r="H97" t="s">
        <v>878</v>
      </c>
    </row>
    <row r="98" spans="1:8">
      <c r="A98" t="s">
        <v>897</v>
      </c>
      <c r="B98" t="s">
        <v>906</v>
      </c>
      <c r="D98" t="s">
        <v>552</v>
      </c>
      <c r="E98" s="229">
        <v>43515.663460648146</v>
      </c>
      <c r="F98" t="b">
        <v>0</v>
      </c>
      <c r="H98" t="s">
        <v>70</v>
      </c>
    </row>
    <row r="99" spans="1:8">
      <c r="A99" t="s">
        <v>897</v>
      </c>
      <c r="B99" t="s">
        <v>906</v>
      </c>
      <c r="C99" s="21" t="s">
        <v>31</v>
      </c>
      <c r="D99" t="s">
        <v>552</v>
      </c>
      <c r="E99" s="229">
        <v>43515.663587962961</v>
      </c>
      <c r="F99" t="b">
        <v>0</v>
      </c>
      <c r="H99" t="s">
        <v>878</v>
      </c>
    </row>
    <row r="100" spans="1:8">
      <c r="A100" t="s">
        <v>861</v>
      </c>
      <c r="B100" t="s">
        <v>952</v>
      </c>
      <c r="D100" t="s">
        <v>552</v>
      </c>
      <c r="E100" s="229">
        <v>43515.670995370368</v>
      </c>
      <c r="F100" t="b">
        <v>0</v>
      </c>
      <c r="H100" t="s">
        <v>70</v>
      </c>
    </row>
    <row r="101" spans="1:8">
      <c r="A101" t="s">
        <v>861</v>
      </c>
      <c r="B101" t="s">
        <v>969</v>
      </c>
      <c r="D101" t="s">
        <v>552</v>
      </c>
      <c r="E101" s="229">
        <v>43544.644490740742</v>
      </c>
      <c r="F101" t="b">
        <v>0</v>
      </c>
      <c r="H101" t="s">
        <v>70</v>
      </c>
    </row>
    <row r="102" spans="1:8">
      <c r="A102" t="s">
        <v>877</v>
      </c>
      <c r="B102" t="s">
        <v>969</v>
      </c>
      <c r="D102" t="s">
        <v>552</v>
      </c>
      <c r="E102" s="229">
        <v>43544.653923611113</v>
      </c>
      <c r="F102" t="b">
        <v>0</v>
      </c>
      <c r="H102" t="s">
        <v>70</v>
      </c>
    </row>
    <row r="103" spans="1:8">
      <c r="A103" t="s">
        <v>861</v>
      </c>
      <c r="B103" t="s">
        <v>969</v>
      </c>
      <c r="C103" s="21" t="s">
        <v>31</v>
      </c>
      <c r="D103" t="s">
        <v>552</v>
      </c>
      <c r="E103" s="229">
        <v>43544.654004629629</v>
      </c>
      <c r="F103" t="b">
        <v>0</v>
      </c>
      <c r="H103" t="s">
        <v>878</v>
      </c>
    </row>
    <row r="104" spans="1:8">
      <c r="A104" t="s">
        <v>877</v>
      </c>
      <c r="B104" t="s">
        <v>969</v>
      </c>
      <c r="C104" s="21" t="s">
        <v>31</v>
      </c>
      <c r="D104" t="s">
        <v>552</v>
      </c>
      <c r="E104" s="229">
        <v>43544.654027777775</v>
      </c>
      <c r="F104" t="b">
        <v>0</v>
      </c>
      <c r="H104" t="s">
        <v>878</v>
      </c>
    </row>
    <row r="105" spans="1:8">
      <c r="A105" t="s">
        <v>877</v>
      </c>
      <c r="B105" t="s">
        <v>969</v>
      </c>
      <c r="D105" t="s">
        <v>552</v>
      </c>
      <c r="E105" s="229">
        <v>43544.654085648152</v>
      </c>
      <c r="F105" t="b">
        <v>0</v>
      </c>
      <c r="H105" t="s">
        <v>70</v>
      </c>
    </row>
    <row r="106" spans="1:8">
      <c r="A106" t="s">
        <v>861</v>
      </c>
      <c r="B106" t="s">
        <v>969</v>
      </c>
      <c r="C106" s="21" t="s">
        <v>31</v>
      </c>
      <c r="D106" t="s">
        <v>552</v>
      </c>
      <c r="E106" s="229">
        <v>43544.654189814813</v>
      </c>
      <c r="F106" t="b">
        <v>0</v>
      </c>
      <c r="H106" t="s">
        <v>878</v>
      </c>
    </row>
    <row r="107" spans="1:8">
      <c r="A107" t="s">
        <v>877</v>
      </c>
      <c r="B107" t="s">
        <v>969</v>
      </c>
      <c r="C107" s="21" t="s">
        <v>31</v>
      </c>
      <c r="D107" t="s">
        <v>552</v>
      </c>
      <c r="E107" s="229">
        <v>43544.65420138889</v>
      </c>
      <c r="F107" t="b">
        <v>0</v>
      </c>
      <c r="H107" t="s">
        <v>878</v>
      </c>
    </row>
    <row r="108" spans="1:8">
      <c r="A108" t="s">
        <v>877</v>
      </c>
      <c r="B108" t="s">
        <v>969</v>
      </c>
      <c r="C108" s="21" t="s">
        <v>31</v>
      </c>
      <c r="D108" t="s">
        <v>552</v>
      </c>
      <c r="E108" s="229">
        <v>43544.654224537036</v>
      </c>
      <c r="F108" t="b">
        <v>0</v>
      </c>
      <c r="H108" t="s">
        <v>878</v>
      </c>
    </row>
    <row r="109" spans="1:8">
      <c r="A109" t="s">
        <v>861</v>
      </c>
      <c r="B109" t="s">
        <v>989</v>
      </c>
      <c r="D109" t="s">
        <v>552</v>
      </c>
      <c r="E109" s="229">
        <v>43544.659097222226</v>
      </c>
      <c r="F109" t="b">
        <v>0</v>
      </c>
      <c r="H109" t="s">
        <v>70</v>
      </c>
    </row>
    <row r="110" spans="1:8">
      <c r="A110" t="s">
        <v>877</v>
      </c>
      <c r="B110" t="s">
        <v>865</v>
      </c>
      <c r="D110" t="s">
        <v>552</v>
      </c>
      <c r="E110" s="229">
        <v>43544.674004629633</v>
      </c>
      <c r="F110" t="b">
        <v>0</v>
      </c>
      <c r="H110" t="s">
        <v>70</v>
      </c>
    </row>
    <row r="111" spans="1:8">
      <c r="A111" t="s">
        <v>207</v>
      </c>
      <c r="B111" t="s">
        <v>331</v>
      </c>
      <c r="C111" s="21" t="s">
        <v>31</v>
      </c>
      <c r="D111" t="s">
        <v>552</v>
      </c>
      <c r="E111" s="229">
        <v>43544.676145833335</v>
      </c>
      <c r="F111" t="b">
        <v>0</v>
      </c>
      <c r="H111" t="s">
        <v>878</v>
      </c>
    </row>
    <row r="112" spans="1:8">
      <c r="A112" t="s">
        <v>877</v>
      </c>
      <c r="B112" t="s">
        <v>331</v>
      </c>
      <c r="C112" s="21" t="s">
        <v>31</v>
      </c>
      <c r="D112" t="s">
        <v>552</v>
      </c>
      <c r="E112" s="229">
        <v>43544.676168981481</v>
      </c>
      <c r="F112" t="b">
        <v>0</v>
      </c>
      <c r="H112" t="s">
        <v>878</v>
      </c>
    </row>
    <row r="113" spans="1:8">
      <c r="A113" t="s">
        <v>877</v>
      </c>
      <c r="B113" t="s">
        <v>331</v>
      </c>
      <c r="C113" s="21" t="s">
        <v>31</v>
      </c>
      <c r="D113" t="s">
        <v>552</v>
      </c>
      <c r="E113" s="229">
        <v>43544.676192129627</v>
      </c>
      <c r="F113" t="b">
        <v>0</v>
      </c>
      <c r="H113" t="s">
        <v>878</v>
      </c>
    </row>
    <row r="114" spans="1:8">
      <c r="A114" t="s">
        <v>877</v>
      </c>
      <c r="B114" t="s">
        <v>331</v>
      </c>
      <c r="D114" t="s">
        <v>552</v>
      </c>
      <c r="E114" s="229">
        <v>43544.676377314812</v>
      </c>
      <c r="F114" t="b">
        <v>0</v>
      </c>
      <c r="H114" t="s">
        <v>70</v>
      </c>
    </row>
    <row r="115" spans="1:8">
      <c r="A115" t="s">
        <v>207</v>
      </c>
      <c r="B115" t="s">
        <v>331</v>
      </c>
      <c r="C115" s="21" t="s">
        <v>31</v>
      </c>
      <c r="D115" t="s">
        <v>552</v>
      </c>
      <c r="E115" s="229">
        <v>43544.676469907405</v>
      </c>
      <c r="F115" t="b">
        <v>0</v>
      </c>
      <c r="H115" t="s">
        <v>878</v>
      </c>
    </row>
    <row r="116" spans="1:8">
      <c r="A116" t="s">
        <v>877</v>
      </c>
      <c r="B116" t="s">
        <v>331</v>
      </c>
      <c r="C116" s="21" t="s">
        <v>31</v>
      </c>
      <c r="D116" t="s">
        <v>552</v>
      </c>
      <c r="E116" s="229">
        <v>43544.676493055558</v>
      </c>
      <c r="F116" t="b">
        <v>0</v>
      </c>
      <c r="H116" t="s">
        <v>878</v>
      </c>
    </row>
    <row r="117" spans="1:8">
      <c r="A117" t="s">
        <v>877</v>
      </c>
      <c r="B117" t="s">
        <v>331</v>
      </c>
      <c r="C117" s="21" t="s">
        <v>31</v>
      </c>
      <c r="D117" t="s">
        <v>552</v>
      </c>
      <c r="E117" s="229">
        <v>43544.676504629628</v>
      </c>
      <c r="F117" t="b">
        <v>0</v>
      </c>
      <c r="H117" t="s">
        <v>878</v>
      </c>
    </row>
    <row r="118" spans="1:8">
      <c r="A118" t="s">
        <v>877</v>
      </c>
      <c r="B118" t="s">
        <v>331</v>
      </c>
      <c r="C118" s="21" t="s">
        <v>31</v>
      </c>
      <c r="D118" t="s">
        <v>552</v>
      </c>
      <c r="E118" s="229">
        <v>43544.676527777781</v>
      </c>
      <c r="F118" t="b">
        <v>0</v>
      </c>
      <c r="H118" t="s">
        <v>878</v>
      </c>
    </row>
    <row r="119" spans="1:8">
      <c r="A119" t="s">
        <v>861</v>
      </c>
      <c r="B119" t="s">
        <v>952</v>
      </c>
      <c r="C119" s="21" t="s">
        <v>31</v>
      </c>
      <c r="D119" t="s">
        <v>552</v>
      </c>
      <c r="E119" s="229">
        <v>43544.676608796297</v>
      </c>
      <c r="F119" t="b">
        <v>0</v>
      </c>
      <c r="H119" t="s">
        <v>878</v>
      </c>
    </row>
    <row r="120" spans="1:8">
      <c r="A120" t="s">
        <v>897</v>
      </c>
      <c r="B120" t="s">
        <v>998</v>
      </c>
      <c r="D120" t="s">
        <v>552</v>
      </c>
      <c r="E120" s="229">
        <v>43544.67690972222</v>
      </c>
      <c r="F120" t="b">
        <v>0</v>
      </c>
      <c r="H120" t="s">
        <v>70</v>
      </c>
    </row>
    <row r="121" spans="1:8">
      <c r="A121" t="s">
        <v>897</v>
      </c>
      <c r="B121" t="s">
        <v>998</v>
      </c>
      <c r="C121" s="21" t="s">
        <v>31</v>
      </c>
      <c r="D121" t="s">
        <v>552</v>
      </c>
      <c r="E121" s="229">
        <v>43544.677002314813</v>
      </c>
      <c r="F121" t="b">
        <v>0</v>
      </c>
      <c r="H121" t="s">
        <v>878</v>
      </c>
    </row>
    <row r="122" spans="1:8">
      <c r="A122" t="s">
        <v>897</v>
      </c>
      <c r="B122" t="s">
        <v>1000</v>
      </c>
      <c r="D122" t="s">
        <v>552</v>
      </c>
      <c r="E122" s="229">
        <v>43544.677488425928</v>
      </c>
      <c r="F122" t="b">
        <v>0</v>
      </c>
      <c r="H122" t="s">
        <v>70</v>
      </c>
    </row>
    <row r="123" spans="1:8">
      <c r="A123" t="s">
        <v>897</v>
      </c>
      <c r="B123" t="s">
        <v>1003</v>
      </c>
      <c r="D123" t="s">
        <v>552</v>
      </c>
      <c r="E123" s="229">
        <v>43544.677569444444</v>
      </c>
      <c r="F123" t="b">
        <v>0</v>
      </c>
      <c r="H123" t="s">
        <v>70</v>
      </c>
    </row>
    <row r="124" spans="1:8">
      <c r="A124" t="s">
        <v>897</v>
      </c>
      <c r="B124" t="s">
        <v>1003</v>
      </c>
      <c r="C124" s="21" t="s">
        <v>31</v>
      </c>
      <c r="D124" t="s">
        <v>552</v>
      </c>
      <c r="E124" s="229">
        <v>43544.67765046296</v>
      </c>
      <c r="F124" t="b">
        <v>0</v>
      </c>
      <c r="H124" t="s">
        <v>878</v>
      </c>
    </row>
    <row r="125" spans="1:8">
      <c r="A125" t="s">
        <v>897</v>
      </c>
      <c r="B125" t="s">
        <v>1005</v>
      </c>
      <c r="D125" t="s">
        <v>552</v>
      </c>
      <c r="E125" s="229">
        <v>43544.677708333336</v>
      </c>
      <c r="F125" t="b">
        <v>0</v>
      </c>
      <c r="H125" t="s">
        <v>70</v>
      </c>
    </row>
    <row r="126" spans="1:8">
      <c r="A126" t="s">
        <v>897</v>
      </c>
      <c r="B126" t="s">
        <v>1005</v>
      </c>
      <c r="C126" s="21" t="s">
        <v>31</v>
      </c>
      <c r="D126" t="s">
        <v>552</v>
      </c>
      <c r="E126" s="229">
        <v>43544.677777777775</v>
      </c>
      <c r="F126" t="b">
        <v>0</v>
      </c>
      <c r="H126" t="s">
        <v>878</v>
      </c>
    </row>
    <row r="127" spans="1:8">
      <c r="A127" t="s">
        <v>897</v>
      </c>
      <c r="B127" t="s">
        <v>1007</v>
      </c>
      <c r="D127" t="s">
        <v>552</v>
      </c>
      <c r="E127" s="229">
        <v>43544.677835648145</v>
      </c>
      <c r="F127" t="b">
        <v>0</v>
      </c>
      <c r="H127" t="s">
        <v>70</v>
      </c>
    </row>
    <row r="128" spans="1:8">
      <c r="A128" t="s">
        <v>897</v>
      </c>
      <c r="B128" t="s">
        <v>1007</v>
      </c>
      <c r="C128" s="21" t="s">
        <v>31</v>
      </c>
      <c r="D128" t="s">
        <v>552</v>
      </c>
      <c r="E128" s="229">
        <v>43544.677928240744</v>
      </c>
      <c r="F128" t="b">
        <v>0</v>
      </c>
      <c r="H128" t="s">
        <v>878</v>
      </c>
    </row>
    <row r="129" spans="1:8">
      <c r="A129" t="s">
        <v>877</v>
      </c>
      <c r="B129" t="s">
        <v>384</v>
      </c>
      <c r="D129" t="s">
        <v>552</v>
      </c>
      <c r="E129" s="229">
        <v>43544.690474537034</v>
      </c>
      <c r="F129" t="b">
        <v>0</v>
      </c>
      <c r="H129" t="s">
        <v>70</v>
      </c>
    </row>
    <row r="130" spans="1:8">
      <c r="A130" t="s">
        <v>877</v>
      </c>
      <c r="B130" t="s">
        <v>865</v>
      </c>
      <c r="D130" t="s">
        <v>552</v>
      </c>
      <c r="E130" s="229">
        <v>43544.690567129626</v>
      </c>
      <c r="F130" t="b">
        <v>0</v>
      </c>
      <c r="H130" t="s">
        <v>70</v>
      </c>
    </row>
    <row r="131" spans="1:8">
      <c r="A131" t="s">
        <v>877</v>
      </c>
      <c r="B131" t="s">
        <v>865</v>
      </c>
      <c r="D131" t="s">
        <v>552</v>
      </c>
      <c r="E131" s="229">
        <v>43544.690659722219</v>
      </c>
      <c r="F131" t="b">
        <v>0</v>
      </c>
      <c r="H131" t="s">
        <v>70</v>
      </c>
    </row>
    <row r="132" spans="1:8">
      <c r="A132" t="s">
        <v>861</v>
      </c>
      <c r="B132" t="s">
        <v>865</v>
      </c>
      <c r="C132" s="21" t="s">
        <v>31</v>
      </c>
      <c r="D132" t="s">
        <v>552</v>
      </c>
      <c r="E132" s="229">
        <v>43544.690752314818</v>
      </c>
      <c r="F132" t="b">
        <v>0</v>
      </c>
      <c r="H132" t="s">
        <v>878</v>
      </c>
    </row>
    <row r="133" spans="1:8">
      <c r="A133" t="s">
        <v>877</v>
      </c>
      <c r="B133" t="s">
        <v>865</v>
      </c>
      <c r="C133" s="21" t="s">
        <v>31</v>
      </c>
      <c r="D133" t="s">
        <v>552</v>
      </c>
      <c r="E133" s="229">
        <v>43544.690763888888</v>
      </c>
      <c r="F133" t="b">
        <v>0</v>
      </c>
      <c r="H133" t="s">
        <v>878</v>
      </c>
    </row>
    <row r="134" spans="1:8">
      <c r="A134" t="s">
        <v>877</v>
      </c>
      <c r="B134" t="s">
        <v>865</v>
      </c>
      <c r="C134" s="21" t="s">
        <v>31</v>
      </c>
      <c r="D134" t="s">
        <v>552</v>
      </c>
      <c r="E134" s="229">
        <v>43544.690775462965</v>
      </c>
      <c r="F134" t="b">
        <v>0</v>
      </c>
      <c r="H134" t="s">
        <v>878</v>
      </c>
    </row>
    <row r="135" spans="1:8">
      <c r="A135" t="s">
        <v>877</v>
      </c>
      <c r="B135" t="s">
        <v>865</v>
      </c>
      <c r="C135" s="21" t="s">
        <v>31</v>
      </c>
      <c r="D135" t="s">
        <v>552</v>
      </c>
      <c r="E135" s="229">
        <v>43544.690787037034</v>
      </c>
      <c r="F135" t="b">
        <v>0</v>
      </c>
      <c r="H135" t="s">
        <v>878</v>
      </c>
    </row>
    <row r="136" spans="1:8">
      <c r="A136" t="s">
        <v>877</v>
      </c>
      <c r="B136" t="s">
        <v>865</v>
      </c>
      <c r="C136" s="21" t="s">
        <v>31</v>
      </c>
      <c r="D136" t="s">
        <v>552</v>
      </c>
      <c r="E136" s="229">
        <v>43544.690810185188</v>
      </c>
      <c r="F136" t="b">
        <v>0</v>
      </c>
      <c r="H136" t="s">
        <v>878</v>
      </c>
    </row>
    <row r="137" spans="1:8">
      <c r="A137" t="s">
        <v>877</v>
      </c>
      <c r="B137" t="s">
        <v>865</v>
      </c>
      <c r="C137" s="21" t="s">
        <v>31</v>
      </c>
      <c r="D137" t="s">
        <v>552</v>
      </c>
      <c r="E137" s="229">
        <v>43544.690821759257</v>
      </c>
      <c r="F137" t="b">
        <v>0</v>
      </c>
      <c r="H137" t="s">
        <v>878</v>
      </c>
    </row>
    <row r="138" spans="1:8">
      <c r="A138" t="s">
        <v>877</v>
      </c>
      <c r="B138" t="s">
        <v>865</v>
      </c>
      <c r="C138" s="21" t="s">
        <v>31</v>
      </c>
      <c r="D138" t="s">
        <v>552</v>
      </c>
      <c r="E138" s="229">
        <v>43544.690844907411</v>
      </c>
      <c r="F138" t="b">
        <v>0</v>
      </c>
      <c r="H138" t="s">
        <v>878</v>
      </c>
    </row>
    <row r="139" spans="1:8">
      <c r="A139" t="s">
        <v>877</v>
      </c>
      <c r="B139" t="s">
        <v>865</v>
      </c>
      <c r="C139" s="21" t="s">
        <v>31</v>
      </c>
      <c r="D139" t="s">
        <v>552</v>
      </c>
      <c r="E139" s="229">
        <v>43544.69085648148</v>
      </c>
      <c r="F139" t="b">
        <v>0</v>
      </c>
      <c r="H139" t="s">
        <v>878</v>
      </c>
    </row>
    <row r="140" spans="1:8">
      <c r="A140" t="s">
        <v>877</v>
      </c>
      <c r="B140" t="s">
        <v>865</v>
      </c>
      <c r="C140" s="21" t="s">
        <v>31</v>
      </c>
      <c r="D140" t="s">
        <v>552</v>
      </c>
      <c r="E140" s="229">
        <v>43544.690868055557</v>
      </c>
      <c r="F140" t="b">
        <v>0</v>
      </c>
      <c r="H140" t="s">
        <v>878</v>
      </c>
    </row>
    <row r="141" spans="1:8">
      <c r="A141" t="s">
        <v>877</v>
      </c>
      <c r="B141" t="s">
        <v>865</v>
      </c>
      <c r="C141" s="21" t="s">
        <v>31</v>
      </c>
      <c r="D141" t="s">
        <v>552</v>
      </c>
      <c r="E141" s="229">
        <v>43544.690891203703</v>
      </c>
      <c r="F141" t="b">
        <v>0</v>
      </c>
      <c r="H141" t="s">
        <v>878</v>
      </c>
    </row>
    <row r="142" spans="1:8">
      <c r="A142" t="s">
        <v>877</v>
      </c>
      <c r="B142" t="s">
        <v>865</v>
      </c>
      <c r="C142" s="21" t="s">
        <v>31</v>
      </c>
      <c r="D142" t="s">
        <v>552</v>
      </c>
      <c r="E142" s="229">
        <v>43544.69090277778</v>
      </c>
      <c r="F142" t="b">
        <v>0</v>
      </c>
      <c r="H142" t="s">
        <v>878</v>
      </c>
    </row>
    <row r="143" spans="1:8">
      <c r="A143" t="s">
        <v>877</v>
      </c>
      <c r="B143" t="s">
        <v>865</v>
      </c>
      <c r="C143" s="21" t="s">
        <v>31</v>
      </c>
      <c r="D143" t="s">
        <v>552</v>
      </c>
      <c r="E143" s="229">
        <v>43544.690925925926</v>
      </c>
      <c r="F143" t="b">
        <v>0</v>
      </c>
      <c r="H143" t="s">
        <v>878</v>
      </c>
    </row>
    <row r="144" spans="1:8">
      <c r="A144" t="s">
        <v>877</v>
      </c>
      <c r="B144" t="s">
        <v>865</v>
      </c>
      <c r="C144" s="21" t="s">
        <v>31</v>
      </c>
      <c r="D144" t="s">
        <v>552</v>
      </c>
      <c r="E144" s="229">
        <v>43544.690937500003</v>
      </c>
      <c r="F144" t="b">
        <v>0</v>
      </c>
      <c r="H144" t="s">
        <v>878</v>
      </c>
    </row>
    <row r="145" spans="1:8">
      <c r="A145" t="s">
        <v>877</v>
      </c>
      <c r="B145" t="s">
        <v>865</v>
      </c>
      <c r="C145" s="21" t="s">
        <v>31</v>
      </c>
      <c r="D145" t="s">
        <v>552</v>
      </c>
      <c r="E145" s="229">
        <v>43544.690949074073</v>
      </c>
      <c r="F145" t="b">
        <v>0</v>
      </c>
      <c r="H145" t="s">
        <v>878</v>
      </c>
    </row>
    <row r="146" spans="1:8">
      <c r="A146" t="s">
        <v>877</v>
      </c>
      <c r="B146" t="s">
        <v>865</v>
      </c>
      <c r="C146" s="21" t="s">
        <v>31</v>
      </c>
      <c r="D146" t="s">
        <v>552</v>
      </c>
      <c r="E146" s="229">
        <v>43544.690972222219</v>
      </c>
      <c r="F146" t="b">
        <v>0</v>
      </c>
      <c r="H146" t="s">
        <v>878</v>
      </c>
    </row>
    <row r="147" spans="1:8">
      <c r="A147" t="s">
        <v>877</v>
      </c>
      <c r="B147" t="s">
        <v>865</v>
      </c>
      <c r="C147" s="21" t="s">
        <v>31</v>
      </c>
      <c r="D147" t="s">
        <v>552</v>
      </c>
      <c r="E147" s="229">
        <v>43544.690983796296</v>
      </c>
      <c r="F147" t="b">
        <v>0</v>
      </c>
      <c r="H147" t="s">
        <v>878</v>
      </c>
    </row>
    <row r="148" spans="1:8">
      <c r="A148" t="s">
        <v>861</v>
      </c>
      <c r="B148" t="s">
        <v>969</v>
      </c>
      <c r="C148" s="21" t="s">
        <v>37</v>
      </c>
      <c r="D148" t="s">
        <v>1041</v>
      </c>
      <c r="E148" s="229">
        <v>43545.75403935185</v>
      </c>
      <c r="F148" t="b">
        <v>0</v>
      </c>
      <c r="H148" t="s">
        <v>878</v>
      </c>
    </row>
    <row r="149" spans="1:8">
      <c r="A149" t="s">
        <v>877</v>
      </c>
      <c r="B149" t="s">
        <v>969</v>
      </c>
      <c r="C149" s="21" t="s">
        <v>37</v>
      </c>
      <c r="D149" t="s">
        <v>1041</v>
      </c>
      <c r="E149" s="229">
        <v>43545.754062499997</v>
      </c>
      <c r="F149" t="b">
        <v>0</v>
      </c>
      <c r="H149" t="s">
        <v>878</v>
      </c>
    </row>
    <row r="150" spans="1:8">
      <c r="A150" t="s">
        <v>877</v>
      </c>
      <c r="B150" t="s">
        <v>969</v>
      </c>
      <c r="C150" s="21" t="s">
        <v>37</v>
      </c>
      <c r="D150" t="s">
        <v>1041</v>
      </c>
      <c r="E150" s="229">
        <v>43545.75408564815</v>
      </c>
      <c r="F150" t="b">
        <v>0</v>
      </c>
      <c r="H150" t="s">
        <v>878</v>
      </c>
    </row>
    <row r="151" spans="1:8">
      <c r="A151" t="s">
        <v>897</v>
      </c>
      <c r="B151" t="s">
        <v>906</v>
      </c>
      <c r="C151" s="21" t="s">
        <v>37</v>
      </c>
      <c r="D151" t="s">
        <v>1041</v>
      </c>
      <c r="E151" s="229">
        <v>43545.754942129628</v>
      </c>
      <c r="F151" t="b">
        <v>0</v>
      </c>
      <c r="H151" t="s">
        <v>878</v>
      </c>
    </row>
    <row r="152" spans="1:8">
      <c r="A152" t="s">
        <v>861</v>
      </c>
      <c r="B152" t="s">
        <v>865</v>
      </c>
      <c r="C152" s="21" t="s">
        <v>35</v>
      </c>
      <c r="D152" t="s">
        <v>1041</v>
      </c>
      <c r="E152" s="229">
        <v>43545.75508101852</v>
      </c>
      <c r="F152" t="b">
        <v>0</v>
      </c>
      <c r="H152" t="s">
        <v>878</v>
      </c>
    </row>
    <row r="153" spans="1:8">
      <c r="A153" t="s">
        <v>877</v>
      </c>
      <c r="B153" t="s">
        <v>865</v>
      </c>
      <c r="C153" s="21" t="s">
        <v>35</v>
      </c>
      <c r="D153" t="s">
        <v>1041</v>
      </c>
      <c r="E153" s="229">
        <v>43545.755104166667</v>
      </c>
      <c r="F153" t="b">
        <v>0</v>
      </c>
      <c r="H153" t="s">
        <v>878</v>
      </c>
    </row>
    <row r="154" spans="1:8">
      <c r="A154" t="s">
        <v>877</v>
      </c>
      <c r="B154" t="s">
        <v>865</v>
      </c>
      <c r="C154" s="21" t="s">
        <v>35</v>
      </c>
      <c r="D154" t="s">
        <v>1041</v>
      </c>
      <c r="E154" s="229">
        <v>43545.755115740743</v>
      </c>
      <c r="F154" t="b">
        <v>0</v>
      </c>
      <c r="H154" t="s">
        <v>878</v>
      </c>
    </row>
    <row r="155" spans="1:8">
      <c r="A155" t="s">
        <v>877</v>
      </c>
      <c r="B155" t="s">
        <v>865</v>
      </c>
      <c r="C155" s="21" t="s">
        <v>35</v>
      </c>
      <c r="D155" t="s">
        <v>1041</v>
      </c>
      <c r="E155" s="229">
        <v>43545.75513888889</v>
      </c>
      <c r="F155" t="b">
        <v>0</v>
      </c>
      <c r="H155" t="s">
        <v>878</v>
      </c>
    </row>
    <row r="156" spans="1:8">
      <c r="A156" t="s">
        <v>877</v>
      </c>
      <c r="B156" t="s">
        <v>865</v>
      </c>
      <c r="C156" s="21" t="s">
        <v>35</v>
      </c>
      <c r="D156" t="s">
        <v>1041</v>
      </c>
      <c r="E156" s="229">
        <v>43545.755162037036</v>
      </c>
      <c r="F156" t="b">
        <v>0</v>
      </c>
      <c r="H156" t="s">
        <v>878</v>
      </c>
    </row>
    <row r="157" spans="1:8">
      <c r="A157" t="s">
        <v>877</v>
      </c>
      <c r="B157" t="s">
        <v>865</v>
      </c>
      <c r="C157" s="21" t="s">
        <v>35</v>
      </c>
      <c r="D157" t="s">
        <v>1041</v>
      </c>
      <c r="E157" s="229">
        <v>43545.755185185182</v>
      </c>
      <c r="F157" t="b">
        <v>0</v>
      </c>
      <c r="H157" t="s">
        <v>878</v>
      </c>
    </row>
    <row r="158" spans="1:8">
      <c r="A158" t="s">
        <v>877</v>
      </c>
      <c r="B158" t="s">
        <v>865</v>
      </c>
      <c r="C158" s="21" t="s">
        <v>35</v>
      </c>
      <c r="D158" t="s">
        <v>1041</v>
      </c>
      <c r="E158" s="229">
        <v>43545.755208333336</v>
      </c>
      <c r="F158" t="b">
        <v>0</v>
      </c>
      <c r="H158" t="s">
        <v>878</v>
      </c>
    </row>
    <row r="159" spans="1:8">
      <c r="A159" t="s">
        <v>877</v>
      </c>
      <c r="B159" t="s">
        <v>865</v>
      </c>
      <c r="C159" s="21" t="s">
        <v>35</v>
      </c>
      <c r="D159" t="s">
        <v>1041</v>
      </c>
      <c r="E159" s="229">
        <v>43545.755231481482</v>
      </c>
      <c r="F159" t="b">
        <v>0</v>
      </c>
      <c r="H159" t="s">
        <v>878</v>
      </c>
    </row>
    <row r="160" spans="1:8">
      <c r="A160" t="s">
        <v>877</v>
      </c>
      <c r="B160" t="s">
        <v>865</v>
      </c>
      <c r="C160" s="21" t="s">
        <v>35</v>
      </c>
      <c r="D160" t="s">
        <v>1041</v>
      </c>
      <c r="E160" s="229">
        <v>43545.755254629628</v>
      </c>
      <c r="F160" t="b">
        <v>0</v>
      </c>
      <c r="H160" t="s">
        <v>878</v>
      </c>
    </row>
    <row r="161" spans="1:8">
      <c r="A161" t="s">
        <v>877</v>
      </c>
      <c r="B161" t="s">
        <v>865</v>
      </c>
      <c r="C161" s="21" t="s">
        <v>35</v>
      </c>
      <c r="D161" t="s">
        <v>1041</v>
      </c>
      <c r="E161" s="229">
        <v>43545.755277777775</v>
      </c>
      <c r="F161" t="b">
        <v>0</v>
      </c>
      <c r="H161" t="s">
        <v>878</v>
      </c>
    </row>
    <row r="162" spans="1:8">
      <c r="A162" t="s">
        <v>877</v>
      </c>
      <c r="B162" t="s">
        <v>865</v>
      </c>
      <c r="C162" s="21" t="s">
        <v>35</v>
      </c>
      <c r="D162" t="s">
        <v>1041</v>
      </c>
      <c r="E162" s="229">
        <v>43545.755300925928</v>
      </c>
      <c r="F162" t="b">
        <v>0</v>
      </c>
      <c r="H162" t="s">
        <v>878</v>
      </c>
    </row>
    <row r="163" spans="1:8">
      <c r="A163" t="s">
        <v>877</v>
      </c>
      <c r="B163" t="s">
        <v>865</v>
      </c>
      <c r="C163" s="21" t="s">
        <v>35</v>
      </c>
      <c r="D163" t="s">
        <v>1041</v>
      </c>
      <c r="E163" s="229">
        <v>43545.755324074074</v>
      </c>
      <c r="F163" t="b">
        <v>0</v>
      </c>
      <c r="H163" t="s">
        <v>878</v>
      </c>
    </row>
    <row r="164" spans="1:8">
      <c r="A164" t="s">
        <v>877</v>
      </c>
      <c r="B164" t="s">
        <v>865</v>
      </c>
      <c r="C164" s="21" t="s">
        <v>35</v>
      </c>
      <c r="D164" t="s">
        <v>1041</v>
      </c>
      <c r="E164" s="229">
        <v>43545.755347222221</v>
      </c>
      <c r="F164" t="b">
        <v>0</v>
      </c>
      <c r="H164" t="s">
        <v>878</v>
      </c>
    </row>
    <row r="165" spans="1:8">
      <c r="A165" t="s">
        <v>877</v>
      </c>
      <c r="B165" t="s">
        <v>865</v>
      </c>
      <c r="C165" s="21" t="s">
        <v>35</v>
      </c>
      <c r="D165" t="s">
        <v>1041</v>
      </c>
      <c r="E165" s="229">
        <v>43545.755370370367</v>
      </c>
      <c r="F165" t="b">
        <v>0</v>
      </c>
      <c r="H165" t="s">
        <v>878</v>
      </c>
    </row>
    <row r="166" spans="1:8">
      <c r="A166" t="s">
        <v>877</v>
      </c>
      <c r="B166" t="s">
        <v>865</v>
      </c>
      <c r="C166" s="21" t="s">
        <v>35</v>
      </c>
      <c r="D166" t="s">
        <v>1041</v>
      </c>
      <c r="E166" s="229">
        <v>43545.755393518521</v>
      </c>
      <c r="F166" t="b">
        <v>0</v>
      </c>
      <c r="H166" t="s">
        <v>878</v>
      </c>
    </row>
    <row r="167" spans="1:8">
      <c r="A167" t="s">
        <v>877</v>
      </c>
      <c r="B167" t="s">
        <v>865</v>
      </c>
      <c r="C167" s="21" t="s">
        <v>35</v>
      </c>
      <c r="D167" t="s">
        <v>1041</v>
      </c>
      <c r="E167" s="229">
        <v>43545.755416666667</v>
      </c>
      <c r="F167" t="b">
        <v>0</v>
      </c>
      <c r="H167" t="s">
        <v>878</v>
      </c>
    </row>
    <row r="168" spans="1:8">
      <c r="A168" t="s">
        <v>861</v>
      </c>
      <c r="B168" t="s">
        <v>891</v>
      </c>
      <c r="C168" s="21" t="s">
        <v>37</v>
      </c>
      <c r="D168" t="s">
        <v>1041</v>
      </c>
      <c r="E168" s="229">
        <v>43545.756273148145</v>
      </c>
      <c r="F168" t="b">
        <v>0</v>
      </c>
      <c r="H168" t="s">
        <v>878</v>
      </c>
    </row>
    <row r="169" spans="1:8">
      <c r="A169" t="s">
        <v>877</v>
      </c>
      <c r="B169" t="s">
        <v>891</v>
      </c>
      <c r="C169" s="21" t="s">
        <v>37</v>
      </c>
      <c r="D169" t="s">
        <v>1041</v>
      </c>
      <c r="E169" s="229">
        <v>43545.756307870368</v>
      </c>
      <c r="F169" t="b">
        <v>0</v>
      </c>
      <c r="H169" t="s">
        <v>878</v>
      </c>
    </row>
    <row r="170" spans="1:8">
      <c r="A170" t="s">
        <v>877</v>
      </c>
      <c r="B170" t="s">
        <v>891</v>
      </c>
      <c r="C170" s="21" t="s">
        <v>37</v>
      </c>
      <c r="D170" t="s">
        <v>1041</v>
      </c>
      <c r="E170" s="229">
        <v>43545.756331018521</v>
      </c>
      <c r="F170" t="b">
        <v>0</v>
      </c>
      <c r="H170" t="s">
        <v>878</v>
      </c>
    </row>
    <row r="171" spans="1:8">
      <c r="A171" t="s">
        <v>207</v>
      </c>
      <c r="B171" t="s">
        <v>331</v>
      </c>
      <c r="C171" s="21" t="s">
        <v>35</v>
      </c>
      <c r="D171" t="s">
        <v>1041</v>
      </c>
      <c r="E171" s="229">
        <v>43545.757118055553</v>
      </c>
      <c r="F171" t="b">
        <v>0</v>
      </c>
      <c r="H171" t="s">
        <v>878</v>
      </c>
    </row>
    <row r="172" spans="1:8">
      <c r="A172" t="s">
        <v>877</v>
      </c>
      <c r="B172" t="s">
        <v>331</v>
      </c>
      <c r="C172" s="21" t="s">
        <v>35</v>
      </c>
      <c r="D172" t="s">
        <v>1041</v>
      </c>
      <c r="E172" s="229">
        <v>43545.757141203707</v>
      </c>
      <c r="F172" t="b">
        <v>0</v>
      </c>
      <c r="H172" t="s">
        <v>878</v>
      </c>
    </row>
    <row r="173" spans="1:8">
      <c r="A173" t="s">
        <v>877</v>
      </c>
      <c r="B173" t="s">
        <v>331</v>
      </c>
      <c r="C173" s="21" t="s">
        <v>35</v>
      </c>
      <c r="D173" t="s">
        <v>1041</v>
      </c>
      <c r="E173" s="229">
        <v>43545.757164351853</v>
      </c>
      <c r="F173" t="b">
        <v>0</v>
      </c>
      <c r="H173" t="s">
        <v>878</v>
      </c>
    </row>
    <row r="174" spans="1:8">
      <c r="A174" t="s">
        <v>877</v>
      </c>
      <c r="B174" t="s">
        <v>331</v>
      </c>
      <c r="C174" s="21" t="s">
        <v>35</v>
      </c>
      <c r="D174" t="s">
        <v>1041</v>
      </c>
      <c r="E174" s="229">
        <v>43545.757187499999</v>
      </c>
      <c r="F174" t="b">
        <v>0</v>
      </c>
      <c r="H174" t="s">
        <v>878</v>
      </c>
    </row>
    <row r="175" spans="1:8">
      <c r="A175" t="s">
        <v>861</v>
      </c>
      <c r="B175" t="s">
        <v>952</v>
      </c>
      <c r="C175" s="21" t="s">
        <v>37</v>
      </c>
      <c r="D175" t="s">
        <v>1041</v>
      </c>
      <c r="E175" s="229">
        <v>43545.757395833331</v>
      </c>
      <c r="F175" t="b">
        <v>0</v>
      </c>
      <c r="H175" t="s">
        <v>878</v>
      </c>
    </row>
    <row r="176" spans="1:8">
      <c r="A176" t="s">
        <v>897</v>
      </c>
      <c r="B176" t="s">
        <v>899</v>
      </c>
      <c r="C176" s="21" t="s">
        <v>37</v>
      </c>
      <c r="D176" t="s">
        <v>1041</v>
      </c>
      <c r="E176" s="229">
        <v>43545.757708333331</v>
      </c>
      <c r="F176" t="b">
        <v>0</v>
      </c>
      <c r="H176" t="s">
        <v>878</v>
      </c>
    </row>
    <row r="177" spans="1:8">
      <c r="A177" t="s">
        <v>897</v>
      </c>
      <c r="B177" t="s">
        <v>902</v>
      </c>
      <c r="C177" s="21" t="s">
        <v>37</v>
      </c>
      <c r="D177" t="s">
        <v>1041</v>
      </c>
      <c r="E177" s="229">
        <v>43545.757800925923</v>
      </c>
      <c r="F177" t="b">
        <v>0</v>
      </c>
      <c r="H177" t="s">
        <v>878</v>
      </c>
    </row>
    <row r="178" spans="1:8">
      <c r="A178" t="s">
        <v>897</v>
      </c>
      <c r="B178" t="s">
        <v>1003</v>
      </c>
      <c r="C178" s="21" t="s">
        <v>35</v>
      </c>
      <c r="D178" t="s">
        <v>1041</v>
      </c>
      <c r="E178" s="229">
        <v>43545.759131944447</v>
      </c>
      <c r="F178" t="b">
        <v>0</v>
      </c>
      <c r="H178" t="s">
        <v>878</v>
      </c>
    </row>
    <row r="179" spans="1:8">
      <c r="A179" t="s">
        <v>897</v>
      </c>
      <c r="B179" t="s">
        <v>1007</v>
      </c>
      <c r="C179" s="21" t="s">
        <v>37</v>
      </c>
      <c r="D179" t="s">
        <v>1041</v>
      </c>
      <c r="E179" s="229">
        <v>43545.759247685186</v>
      </c>
      <c r="F179" t="b">
        <v>0</v>
      </c>
      <c r="H179" t="s">
        <v>878</v>
      </c>
    </row>
    <row r="180" spans="1:8">
      <c r="A180" t="s">
        <v>897</v>
      </c>
      <c r="B180" t="s">
        <v>1005</v>
      </c>
      <c r="C180" s="21" t="s">
        <v>37</v>
      </c>
      <c r="D180" t="s">
        <v>1041</v>
      </c>
      <c r="E180" s="229">
        <v>43545.759328703702</v>
      </c>
      <c r="F180" t="b">
        <v>0</v>
      </c>
      <c r="H180" t="s">
        <v>878</v>
      </c>
    </row>
    <row r="181" spans="1:8">
      <c r="A181" t="s">
        <v>207</v>
      </c>
      <c r="B181" t="s">
        <v>331</v>
      </c>
      <c r="C181" s="21" t="s">
        <v>36</v>
      </c>
      <c r="D181" t="s">
        <v>552</v>
      </c>
      <c r="E181" s="229">
        <v>43546.421365740738</v>
      </c>
      <c r="F181" t="b">
        <v>0</v>
      </c>
      <c r="H181" t="s">
        <v>878</v>
      </c>
    </row>
    <row r="182" spans="1:8">
      <c r="A182" t="s">
        <v>877</v>
      </c>
      <c r="B182" t="s">
        <v>331</v>
      </c>
      <c r="C182" s="21" t="s">
        <v>36</v>
      </c>
      <c r="D182" t="s">
        <v>552</v>
      </c>
      <c r="E182" s="229">
        <v>43546.421377314815</v>
      </c>
      <c r="F182" t="b">
        <v>0</v>
      </c>
      <c r="H182" t="s">
        <v>878</v>
      </c>
    </row>
    <row r="183" spans="1:8">
      <c r="A183" t="s">
        <v>877</v>
      </c>
      <c r="B183" t="s">
        <v>331</v>
      </c>
      <c r="C183" s="21" t="s">
        <v>36</v>
      </c>
      <c r="D183" t="s">
        <v>552</v>
      </c>
      <c r="E183" s="229">
        <v>43546.421388888892</v>
      </c>
      <c r="F183" t="b">
        <v>0</v>
      </c>
      <c r="H183" t="s">
        <v>878</v>
      </c>
    </row>
    <row r="184" spans="1:8">
      <c r="A184" t="s">
        <v>877</v>
      </c>
      <c r="B184" t="s">
        <v>331</v>
      </c>
      <c r="C184" s="21" t="s">
        <v>36</v>
      </c>
      <c r="D184" t="s">
        <v>552</v>
      </c>
      <c r="E184" s="229">
        <v>43546.421400462961</v>
      </c>
      <c r="F184" t="b">
        <v>0</v>
      </c>
      <c r="H184" t="s">
        <v>878</v>
      </c>
    </row>
    <row r="185" spans="1:8">
      <c r="A185" t="s">
        <v>861</v>
      </c>
      <c r="B185" t="s">
        <v>865</v>
      </c>
      <c r="C185" s="21" t="s">
        <v>36</v>
      </c>
      <c r="D185" t="s">
        <v>552</v>
      </c>
      <c r="E185" s="229">
        <v>43546.648321759261</v>
      </c>
      <c r="F185" t="b">
        <v>0</v>
      </c>
      <c r="H185" t="s">
        <v>878</v>
      </c>
    </row>
    <row r="186" spans="1:8">
      <c r="A186" t="s">
        <v>877</v>
      </c>
      <c r="B186" t="s">
        <v>865</v>
      </c>
      <c r="C186" s="21" t="s">
        <v>36</v>
      </c>
      <c r="D186" t="s">
        <v>552</v>
      </c>
      <c r="E186" s="229">
        <v>43546.648333333331</v>
      </c>
      <c r="F186" t="b">
        <v>0</v>
      </c>
      <c r="H186" t="s">
        <v>878</v>
      </c>
    </row>
    <row r="187" spans="1:8">
      <c r="A187" t="s">
        <v>877</v>
      </c>
      <c r="B187" t="s">
        <v>865</v>
      </c>
      <c r="C187" s="21" t="s">
        <v>36</v>
      </c>
      <c r="D187" t="s">
        <v>552</v>
      </c>
      <c r="E187" s="229">
        <v>43546.648356481484</v>
      </c>
      <c r="F187" t="b">
        <v>0</v>
      </c>
      <c r="H187" t="s">
        <v>878</v>
      </c>
    </row>
    <row r="188" spans="1:8">
      <c r="A188" t="s">
        <v>877</v>
      </c>
      <c r="B188" t="s">
        <v>865</v>
      </c>
      <c r="C188" s="21" t="s">
        <v>36</v>
      </c>
      <c r="D188" t="s">
        <v>552</v>
      </c>
      <c r="E188" s="229">
        <v>43546.648368055554</v>
      </c>
      <c r="F188" t="b">
        <v>0</v>
      </c>
      <c r="H188" t="s">
        <v>878</v>
      </c>
    </row>
    <row r="189" spans="1:8">
      <c r="A189" t="s">
        <v>877</v>
      </c>
      <c r="B189" t="s">
        <v>865</v>
      </c>
      <c r="C189" s="21" t="s">
        <v>36</v>
      </c>
      <c r="D189" t="s">
        <v>552</v>
      </c>
      <c r="E189" s="229">
        <v>43546.648379629631</v>
      </c>
      <c r="F189" t="b">
        <v>0</v>
      </c>
      <c r="H189" t="s">
        <v>878</v>
      </c>
    </row>
    <row r="190" spans="1:8">
      <c r="A190" t="s">
        <v>877</v>
      </c>
      <c r="B190" t="s">
        <v>865</v>
      </c>
      <c r="C190" s="21" t="s">
        <v>36</v>
      </c>
      <c r="D190" t="s">
        <v>552</v>
      </c>
      <c r="E190" s="229">
        <v>43546.648402777777</v>
      </c>
      <c r="F190" t="b">
        <v>0</v>
      </c>
      <c r="H190" t="s">
        <v>878</v>
      </c>
    </row>
    <row r="191" spans="1:8">
      <c r="A191" t="s">
        <v>877</v>
      </c>
      <c r="B191" t="s">
        <v>865</v>
      </c>
      <c r="C191" s="21" t="s">
        <v>36</v>
      </c>
      <c r="D191" t="s">
        <v>552</v>
      </c>
      <c r="E191" s="229">
        <v>43546.648414351854</v>
      </c>
      <c r="F191" t="b">
        <v>0</v>
      </c>
      <c r="H191" t="s">
        <v>878</v>
      </c>
    </row>
    <row r="192" spans="1:8">
      <c r="A192" t="s">
        <v>877</v>
      </c>
      <c r="B192" t="s">
        <v>865</v>
      </c>
      <c r="C192" s="21" t="s">
        <v>36</v>
      </c>
      <c r="D192" t="s">
        <v>552</v>
      </c>
      <c r="E192" s="229">
        <v>43546.648425925923</v>
      </c>
      <c r="F192" t="b">
        <v>0</v>
      </c>
      <c r="H192" t="s">
        <v>878</v>
      </c>
    </row>
    <row r="193" spans="1:8">
      <c r="A193" t="s">
        <v>877</v>
      </c>
      <c r="B193" t="s">
        <v>865</v>
      </c>
      <c r="C193" s="21" t="s">
        <v>36</v>
      </c>
      <c r="D193" t="s">
        <v>552</v>
      </c>
      <c r="E193" s="229">
        <v>43546.6484375</v>
      </c>
      <c r="F193" t="b">
        <v>0</v>
      </c>
      <c r="H193" t="s">
        <v>878</v>
      </c>
    </row>
    <row r="194" spans="1:8">
      <c r="A194" t="s">
        <v>877</v>
      </c>
      <c r="B194" t="s">
        <v>865</v>
      </c>
      <c r="C194" s="21" t="s">
        <v>36</v>
      </c>
      <c r="D194" t="s">
        <v>552</v>
      </c>
      <c r="E194" s="229">
        <v>43546.648460648146</v>
      </c>
      <c r="F194" t="b">
        <v>0</v>
      </c>
      <c r="H194" t="s">
        <v>878</v>
      </c>
    </row>
    <row r="195" spans="1:8">
      <c r="A195" t="s">
        <v>877</v>
      </c>
      <c r="B195" t="s">
        <v>865</v>
      </c>
      <c r="C195" s="21" t="s">
        <v>36</v>
      </c>
      <c r="D195" t="s">
        <v>552</v>
      </c>
      <c r="E195" s="229">
        <v>43546.648472222223</v>
      </c>
      <c r="F195" t="b">
        <v>0</v>
      </c>
      <c r="H195" t="s">
        <v>878</v>
      </c>
    </row>
    <row r="196" spans="1:8">
      <c r="A196" t="s">
        <v>877</v>
      </c>
      <c r="B196" t="s">
        <v>865</v>
      </c>
      <c r="C196" s="21" t="s">
        <v>36</v>
      </c>
      <c r="D196" t="s">
        <v>552</v>
      </c>
      <c r="E196" s="229">
        <v>43546.6484837963</v>
      </c>
      <c r="F196" t="b">
        <v>0</v>
      </c>
      <c r="H196" t="s">
        <v>878</v>
      </c>
    </row>
    <row r="197" spans="1:8">
      <c r="A197" t="s">
        <v>877</v>
      </c>
      <c r="B197" t="s">
        <v>865</v>
      </c>
      <c r="C197" s="21" t="s">
        <v>36</v>
      </c>
      <c r="D197" t="s">
        <v>552</v>
      </c>
      <c r="E197" s="229">
        <v>43546.648495370369</v>
      </c>
      <c r="F197" t="b">
        <v>0</v>
      </c>
      <c r="H197" t="s">
        <v>878</v>
      </c>
    </row>
    <row r="198" spans="1:8">
      <c r="A198" t="s">
        <v>877</v>
      </c>
      <c r="B198" t="s">
        <v>865</v>
      </c>
      <c r="C198" s="21" t="s">
        <v>36</v>
      </c>
      <c r="D198" t="s">
        <v>552</v>
      </c>
      <c r="E198" s="229">
        <v>43546.648518518516</v>
      </c>
      <c r="F198" t="b">
        <v>0</v>
      </c>
      <c r="H198" t="s">
        <v>878</v>
      </c>
    </row>
    <row r="199" spans="1:8">
      <c r="A199" t="s">
        <v>877</v>
      </c>
      <c r="B199" t="s">
        <v>865</v>
      </c>
      <c r="C199" s="21" t="s">
        <v>36</v>
      </c>
      <c r="D199" t="s">
        <v>552</v>
      </c>
      <c r="E199" s="229">
        <v>43546.648530092592</v>
      </c>
      <c r="F199" t="b">
        <v>0</v>
      </c>
      <c r="H199" t="s">
        <v>878</v>
      </c>
    </row>
    <row r="200" spans="1:8">
      <c r="A200" t="s">
        <v>877</v>
      </c>
      <c r="B200" t="s">
        <v>865</v>
      </c>
      <c r="C200" s="21" t="s">
        <v>36</v>
      </c>
      <c r="D200" t="s">
        <v>552</v>
      </c>
      <c r="E200" s="229">
        <v>43546.648541666669</v>
      </c>
      <c r="F200" t="b">
        <v>0</v>
      </c>
      <c r="H200" t="s">
        <v>878</v>
      </c>
    </row>
    <row r="201" spans="1:8">
      <c r="A201" t="s">
        <v>861</v>
      </c>
      <c r="B201" t="s">
        <v>1084</v>
      </c>
      <c r="D201" t="s">
        <v>552</v>
      </c>
      <c r="E201" s="229">
        <v>43546.648668981485</v>
      </c>
      <c r="F201" t="b">
        <v>0</v>
      </c>
      <c r="H201" t="s">
        <v>70</v>
      </c>
    </row>
    <row r="202" spans="1:8">
      <c r="A202" t="s">
        <v>861</v>
      </c>
      <c r="B202" t="s">
        <v>1084</v>
      </c>
      <c r="C202" s="21" t="s">
        <v>31</v>
      </c>
      <c r="D202" t="s">
        <v>552</v>
      </c>
      <c r="E202" s="229">
        <v>43546.649143518516</v>
      </c>
      <c r="F202" t="b">
        <v>0</v>
      </c>
      <c r="H202" t="s">
        <v>878</v>
      </c>
    </row>
    <row r="203" spans="1:8">
      <c r="A203" t="s">
        <v>897</v>
      </c>
      <c r="B203" t="s">
        <v>1091</v>
      </c>
      <c r="D203" t="s">
        <v>552</v>
      </c>
      <c r="E203" s="229">
        <v>43546.651863425926</v>
      </c>
      <c r="F203" t="b">
        <v>0</v>
      </c>
      <c r="H203" t="s">
        <v>70</v>
      </c>
    </row>
    <row r="204" spans="1:8">
      <c r="A204" t="s">
        <v>897</v>
      </c>
      <c r="B204" t="s">
        <v>1091</v>
      </c>
      <c r="C204" s="21" t="s">
        <v>31</v>
      </c>
      <c r="D204" t="s">
        <v>552</v>
      </c>
      <c r="E204" s="229">
        <v>43546.651990740742</v>
      </c>
      <c r="F204" t="b">
        <v>0</v>
      </c>
      <c r="H204" t="s">
        <v>878</v>
      </c>
    </row>
    <row r="205" spans="1:8">
      <c r="A205" t="s">
        <v>897</v>
      </c>
      <c r="B205" t="s">
        <v>1003</v>
      </c>
      <c r="C205" s="21" t="s">
        <v>36</v>
      </c>
      <c r="D205" t="s">
        <v>552</v>
      </c>
      <c r="E205" s="229">
        <v>43546.659895833334</v>
      </c>
      <c r="F205" t="b">
        <v>0</v>
      </c>
      <c r="H205" t="s">
        <v>878</v>
      </c>
    </row>
  </sheetData>
  <pageMargins left="0.7" right="0.7" top="0.75" bottom="0.75" header="0.3" footer="0.3"/>
  <customProperties>
    <customPr name="SheetId" r:id="rId1"/>
  </customPropertie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2:L69"/>
  <sheetViews>
    <sheetView workbookViewId="0">
      <selection activeCell="R115" sqref="R115"/>
    </sheetView>
  </sheetViews>
  <sheetFormatPr defaultColWidth="13.7109375" defaultRowHeight="12.75"/>
  <cols>
    <col min="1" max="1" width="13.7109375" style="214"/>
    <col min="2" max="2" width="6.28515625" style="214" customWidth="1"/>
    <col min="3" max="3" width="16.140625" style="214" customWidth="1"/>
    <col min="4" max="6" width="14.85546875" style="214" customWidth="1"/>
    <col min="7" max="7" width="2.7109375" style="214" customWidth="1"/>
    <col min="8" max="8" width="16.28515625" style="214" customWidth="1"/>
    <col min="9" max="12" width="14.85546875" style="214" customWidth="1"/>
    <col min="13" max="16384" width="13.7109375" style="214"/>
  </cols>
  <sheetData>
    <row r="2" spans="1:12" ht="20.25">
      <c r="A2" s="262" t="s">
        <v>359</v>
      </c>
      <c r="B2" s="259"/>
      <c r="C2" s="259"/>
      <c r="D2" s="259"/>
      <c r="E2" s="259"/>
    </row>
    <row r="3" spans="1:12" ht="15" customHeight="1">
      <c r="A3" s="259"/>
      <c r="B3" s="259"/>
      <c r="C3" s="259"/>
      <c r="D3" s="259"/>
      <c r="E3" s="259"/>
    </row>
    <row r="4" spans="1:12" ht="15" customHeight="1">
      <c r="A4" s="259"/>
      <c r="B4" s="259"/>
      <c r="C4" s="259"/>
      <c r="D4" s="259"/>
      <c r="E4" s="259"/>
    </row>
    <row r="5" spans="1:12" ht="15" customHeight="1">
      <c r="A5" s="259"/>
      <c r="B5" s="259"/>
      <c r="C5" s="259"/>
      <c r="D5" s="259"/>
      <c r="E5" s="259"/>
    </row>
    <row r="6" spans="1:12" ht="15" customHeight="1">
      <c r="A6" s="265" t="s">
        <v>219</v>
      </c>
      <c r="B6" s="379" t="str">
        <f>'Assignment To do'!B3</f>
        <v>The Schubert Superannuation Fund</v>
      </c>
      <c r="C6" s="265"/>
      <c r="D6" s="265"/>
      <c r="K6" s="265" t="s">
        <v>220</v>
      </c>
      <c r="L6" s="235">
        <f>'Assignment To do'!I7</f>
        <v>43482</v>
      </c>
    </row>
    <row r="7" spans="1:12" ht="15" customHeight="1">
      <c r="A7" s="265" t="s">
        <v>223</v>
      </c>
      <c r="B7" s="379" t="str">
        <f>'Assignment To do'!B4</f>
        <v>2018 Year End</v>
      </c>
      <c r="C7" s="265"/>
      <c r="D7" s="265"/>
      <c r="K7" s="265" t="s">
        <v>224</v>
      </c>
      <c r="L7" s="437" t="str">
        <f>'Assignment To do'!I8</f>
        <v>Kristy Gorgievski</v>
      </c>
    </row>
    <row r="8" spans="1:12" ht="15" customHeight="1">
      <c r="A8" s="265" t="s">
        <v>245</v>
      </c>
      <c r="B8" s="265" t="str">
        <f>A2</f>
        <v>Property Revaluations</v>
      </c>
      <c r="C8" s="265"/>
      <c r="D8" s="265"/>
      <c r="K8" s="265" t="s">
        <v>468</v>
      </c>
      <c r="L8" s="244">
        <f>'Assignment To do'!I9</f>
        <v>0</v>
      </c>
    </row>
    <row r="9" spans="1:12" ht="15" customHeight="1" thickBot="1">
      <c r="A9" s="223"/>
      <c r="B9" s="223"/>
      <c r="C9" s="223"/>
      <c r="D9" s="223"/>
      <c r="E9" s="223"/>
      <c r="F9" s="223"/>
      <c r="G9" s="223"/>
      <c r="H9" s="223"/>
      <c r="I9" s="223"/>
      <c r="J9" s="223"/>
      <c r="K9" s="223"/>
      <c r="L9" s="223"/>
    </row>
    <row r="10" spans="1:12" ht="15" customHeight="1"/>
    <row r="11" spans="1:12" ht="15" customHeight="1">
      <c r="A11" s="216" t="s">
        <v>360</v>
      </c>
      <c r="C11" s="440" t="s">
        <v>361</v>
      </c>
      <c r="D11" s="440"/>
      <c r="E11" s="440"/>
      <c r="F11" s="440"/>
    </row>
    <row r="12" spans="1:12" ht="15" customHeight="1">
      <c r="L12" s="222"/>
    </row>
    <row r="13" spans="1:12" ht="15" customHeight="1">
      <c r="C13" s="1123" t="s">
        <v>1009</v>
      </c>
      <c r="D13" s="1123"/>
      <c r="E13" s="1123"/>
      <c r="F13" s="1123"/>
      <c r="G13" s="424"/>
      <c r="H13" s="1123" t="s">
        <v>1010</v>
      </c>
      <c r="I13" s="1123"/>
      <c r="J13" s="1123"/>
      <c r="K13" s="1123"/>
      <c r="L13" s="424"/>
    </row>
    <row r="14" spans="1:12" ht="15" customHeight="1">
      <c r="G14" s="222"/>
      <c r="L14" s="222"/>
    </row>
    <row r="15" spans="1:12" ht="15" customHeight="1">
      <c r="A15" s="216" t="s">
        <v>362</v>
      </c>
      <c r="B15" s="216"/>
      <c r="C15" s="453">
        <v>568920</v>
      </c>
      <c r="D15" s="425"/>
      <c r="E15" s="426"/>
      <c r="G15" s="427"/>
      <c r="H15" s="453">
        <v>285375.65000000002</v>
      </c>
      <c r="I15" s="428"/>
      <c r="K15" s="426"/>
      <c r="L15" s="222"/>
    </row>
    <row r="16" spans="1:12" ht="15" customHeight="1">
      <c r="G16" s="222"/>
      <c r="L16" s="222"/>
    </row>
    <row r="17" spans="1:12" ht="15" customHeight="1">
      <c r="A17" s="216" t="s">
        <v>363</v>
      </c>
      <c r="G17" s="222"/>
      <c r="L17" s="222"/>
    </row>
    <row r="18" spans="1:12" ht="15" customHeight="1">
      <c r="A18" s="214" t="s">
        <v>220</v>
      </c>
      <c r="C18" s="454">
        <v>43256</v>
      </c>
      <c r="E18" s="429"/>
      <c r="G18" s="429"/>
      <c r="H18" s="454">
        <v>43258</v>
      </c>
      <c r="K18" s="429"/>
      <c r="L18" s="222"/>
    </row>
    <row r="19" spans="1:12" ht="15" customHeight="1">
      <c r="A19" s="214" t="s">
        <v>364</v>
      </c>
      <c r="C19" s="455">
        <v>715000</v>
      </c>
      <c r="D19" s="430"/>
      <c r="E19" s="431"/>
      <c r="G19" s="431"/>
      <c r="H19" s="456">
        <v>320000</v>
      </c>
      <c r="I19" s="432"/>
      <c r="K19" s="431"/>
      <c r="L19" s="222"/>
    </row>
    <row r="20" spans="1:12" ht="15" customHeight="1">
      <c r="A20" s="214" t="s">
        <v>365</v>
      </c>
      <c r="C20" s="883" t="s">
        <v>1011</v>
      </c>
      <c r="D20" s="883"/>
      <c r="E20" s="883"/>
      <c r="F20" s="883"/>
      <c r="G20" s="433"/>
      <c r="H20" s="883" t="s">
        <v>1012</v>
      </c>
      <c r="I20" s="883"/>
      <c r="J20" s="883"/>
      <c r="K20" s="883"/>
      <c r="L20" s="440"/>
    </row>
    <row r="21" spans="1:12" ht="15" customHeight="1">
      <c r="G21" s="222"/>
      <c r="L21" s="222"/>
    </row>
    <row r="22" spans="1:12" ht="15" customHeight="1">
      <c r="A22" s="216" t="s">
        <v>366</v>
      </c>
      <c r="G22" s="222"/>
      <c r="L22" s="222"/>
    </row>
    <row r="23" spans="1:12" ht="15" customHeight="1">
      <c r="A23" s="214" t="s">
        <v>367</v>
      </c>
      <c r="C23" s="453" t="s">
        <v>506</v>
      </c>
      <c r="D23" s="439"/>
      <c r="E23" s="439"/>
      <c r="F23" s="439"/>
      <c r="G23" s="433"/>
      <c r="H23" s="453" t="str">
        <f>C23</f>
        <v>Completed by the Audit Assistant</v>
      </c>
      <c r="I23" s="439"/>
      <c r="J23" s="439"/>
      <c r="K23" s="439"/>
    </row>
    <row r="24" spans="1:12" ht="15" customHeight="1">
      <c r="G24" s="222"/>
      <c r="L24" s="222"/>
    </row>
    <row r="25" spans="1:12" ht="15" hidden="1" customHeight="1">
      <c r="A25" s="216" t="s">
        <v>366</v>
      </c>
      <c r="G25" s="222"/>
      <c r="L25" s="222"/>
    </row>
    <row r="26" spans="1:12" ht="15" hidden="1" customHeight="1">
      <c r="A26" s="434" t="s">
        <v>392</v>
      </c>
      <c r="L26" s="222"/>
    </row>
    <row r="27" spans="1:12" ht="15" hidden="1" customHeight="1">
      <c r="A27" s="216" t="s">
        <v>368</v>
      </c>
      <c r="C27" s="214" t="s">
        <v>369</v>
      </c>
      <c r="D27" s="216" t="s">
        <v>370</v>
      </c>
      <c r="E27" s="214" t="s">
        <v>371</v>
      </c>
      <c r="L27" s="222"/>
    </row>
    <row r="28" spans="1:12" ht="15" hidden="1" customHeight="1">
      <c r="A28" s="216" t="s">
        <v>107</v>
      </c>
      <c r="C28" s="214" t="s">
        <v>372</v>
      </c>
      <c r="D28" s="216" t="s">
        <v>373</v>
      </c>
      <c r="E28" s="214" t="s">
        <v>393</v>
      </c>
    </row>
    <row r="29" spans="1:12" ht="15" customHeight="1"/>
    <row r="30" spans="1:12" ht="15" customHeight="1">
      <c r="A30" s="214" t="s">
        <v>374</v>
      </c>
    </row>
    <row r="31" spans="1:12" ht="15" customHeight="1">
      <c r="A31" s="214" t="s">
        <v>375</v>
      </c>
    </row>
    <row r="32" spans="1:12" ht="15" customHeight="1">
      <c r="A32" s="214" t="s">
        <v>376</v>
      </c>
    </row>
    <row r="33" spans="1:1" ht="15" customHeight="1"/>
    <row r="34" spans="1:1" ht="15" customHeight="1">
      <c r="A34" s="214" t="s">
        <v>377</v>
      </c>
    </row>
    <row r="35" spans="1:1" ht="15" customHeight="1">
      <c r="A35" s="214" t="s">
        <v>378</v>
      </c>
    </row>
    <row r="36" spans="1:1" ht="15" customHeight="1">
      <c r="A36" s="214" t="s">
        <v>379</v>
      </c>
    </row>
    <row r="37" spans="1:1" ht="15" customHeight="1">
      <c r="A37" s="214" t="s">
        <v>380</v>
      </c>
    </row>
    <row r="38" spans="1:1" ht="15" customHeight="1">
      <c r="A38" s="214" t="s">
        <v>381</v>
      </c>
    </row>
    <row r="39" spans="1:1" ht="15" customHeight="1"/>
    <row r="40" spans="1:1" ht="15" customHeight="1"/>
    <row r="41" spans="1:1" ht="15" customHeight="1"/>
    <row r="42" spans="1:1" ht="15" customHeight="1"/>
    <row r="43" spans="1:1" ht="15" customHeight="1"/>
    <row r="44" spans="1:1" ht="15" customHeight="1"/>
    <row r="45" spans="1:1" ht="15" customHeight="1"/>
    <row r="46" spans="1:1" ht="15" customHeight="1"/>
    <row r="47" spans="1:1" ht="15" customHeight="1"/>
    <row r="48" spans="1:1" ht="15" customHeight="1"/>
    <row r="49" ht="15" customHeight="1"/>
    <row r="50" ht="15" customHeight="1"/>
    <row r="51" ht="15" customHeight="1"/>
    <row r="52" ht="15" customHeight="1"/>
    <row r="53" ht="15" customHeight="1"/>
    <row r="54" ht="15" customHeight="1"/>
    <row r="55" ht="15" customHeight="1"/>
    <row r="56" ht="15" customHeight="1"/>
    <row r="57" ht="15" customHeight="1"/>
    <row r="58" ht="15" customHeight="1"/>
    <row r="59" ht="15" customHeight="1"/>
    <row r="60" ht="15" customHeight="1"/>
    <row r="61" ht="15" customHeight="1"/>
    <row r="62" ht="15" customHeight="1"/>
    <row r="63" ht="15" customHeight="1"/>
    <row r="64" ht="15" customHeight="1"/>
    <row r="65" ht="15" customHeight="1"/>
    <row r="66" ht="15" customHeight="1"/>
    <row r="67" ht="15" customHeight="1"/>
    <row r="68" ht="15" customHeight="1"/>
    <row r="69" ht="15" customHeight="1"/>
  </sheetData>
  <mergeCells count="4">
    <mergeCell ref="C13:F13"/>
    <mergeCell ref="H13:K13"/>
    <mergeCell ref="C20:F20"/>
    <mergeCell ref="H20:K20"/>
  </mergeCells>
  <hyperlinks>
    <hyperlink ref="C20" r:id="rId1" display="hownow://_r816320/" xr:uid="{1E3FEF7A-B3AB-413E-A036-F4D3192B8FDB}"/>
    <hyperlink ref="H20" r:id="rId2" display="hownow://_r816325/" xr:uid="{382F2D2A-A5DC-42B9-8414-731949C68FF9}"/>
  </hyperlinks>
  <pageMargins left="0.7" right="0.7" top="0.75" bottom="0.75" header="0.3" footer="0.3"/>
  <pageSetup paperSize="9" orientation="portrait" r:id="rId3"/>
  <customProperties>
    <customPr name="SheetId" r:id="rId4"/>
  </customProperties>
  <drawing r:id="rId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822612-1275-4472-B3C3-FFB236BD4311}">
  <sheetPr>
    <pageSetUpPr fitToPage="1"/>
  </sheetPr>
  <dimension ref="A1:Z275"/>
  <sheetViews>
    <sheetView showGridLines="0" topLeftCell="B73" zoomScaleNormal="100" workbookViewId="0">
      <selection activeCell="R115" sqref="R115"/>
    </sheetView>
  </sheetViews>
  <sheetFormatPr defaultRowHeight="15"/>
  <cols>
    <col min="1" max="1" width="3.7109375" style="74" customWidth="1"/>
    <col min="2" max="2" width="2.42578125" style="74" customWidth="1"/>
    <col min="3" max="4" width="15.7109375" style="74" customWidth="1"/>
    <col min="5" max="15" width="13.7109375" style="74" customWidth="1"/>
    <col min="16" max="17" width="15.7109375" style="74" customWidth="1"/>
    <col min="18" max="21" width="13.5703125" style="74" hidden="1" customWidth="1"/>
    <col min="22" max="22" width="3.7109375" style="74" customWidth="1"/>
    <col min="23" max="23" width="3.85546875" style="74" customWidth="1"/>
    <col min="24" max="25" width="15.7109375" style="74" customWidth="1"/>
    <col min="26" max="16384" width="9.140625" style="74"/>
  </cols>
  <sheetData>
    <row r="1" spans="2:25" ht="9" customHeight="1">
      <c r="B1" s="1109" t="e">
        <f>Index!#REF!</f>
        <v>#REF!</v>
      </c>
      <c r="C1" s="1109"/>
      <c r="D1" s="1109"/>
      <c r="E1" s="1109"/>
      <c r="F1" s="34"/>
      <c r="G1" s="34"/>
      <c r="H1" s="34"/>
      <c r="I1" s="34"/>
      <c r="J1" s="34"/>
      <c r="K1" s="34"/>
      <c r="L1" s="34"/>
      <c r="M1" s="34"/>
      <c r="N1" s="34"/>
      <c r="O1" s="34"/>
      <c r="P1" s="34"/>
      <c r="Q1" s="34"/>
      <c r="R1" s="34"/>
      <c r="S1" s="34"/>
      <c r="T1" s="34"/>
      <c r="U1" s="34"/>
      <c r="V1" s="34"/>
    </row>
    <row r="2" spans="2:25" ht="24.95" customHeight="1">
      <c r="B2" s="1109"/>
      <c r="C2" s="1109"/>
      <c r="D2" s="1109"/>
      <c r="E2" s="1109"/>
      <c r="F2" s="34"/>
      <c r="G2" s="34"/>
      <c r="H2" s="34"/>
      <c r="I2" s="34"/>
      <c r="J2" s="34"/>
      <c r="K2" s="34"/>
      <c r="L2" s="34"/>
      <c r="M2" s="34"/>
      <c r="N2" s="34"/>
      <c r="O2" s="34"/>
      <c r="P2" s="683" t="s">
        <v>36</v>
      </c>
      <c r="Q2" s="684" t="s">
        <v>773</v>
      </c>
      <c r="R2" s="684"/>
      <c r="S2" s="684"/>
      <c r="T2" s="684"/>
      <c r="U2" s="684"/>
    </row>
    <row r="3" spans="2:25" ht="10.5" customHeight="1">
      <c r="B3" s="1110"/>
      <c r="C3" s="1110"/>
      <c r="D3" s="1110"/>
      <c r="E3" s="1110"/>
      <c r="F3" s="36"/>
      <c r="G3" s="36"/>
      <c r="H3" s="36"/>
      <c r="I3" s="36"/>
      <c r="J3" s="36"/>
      <c r="K3" s="36"/>
      <c r="L3" s="36"/>
      <c r="M3" s="36"/>
      <c r="N3" s="36"/>
      <c r="O3" s="36"/>
      <c r="P3" s="36"/>
      <c r="Q3" s="36"/>
      <c r="R3" s="36"/>
      <c r="S3" s="36"/>
      <c r="T3" s="36"/>
      <c r="U3" s="36"/>
      <c r="V3" s="36"/>
    </row>
    <row r="4" spans="2:25" ht="12" customHeight="1"/>
    <row r="5" spans="2:25" ht="24.95" customHeight="1">
      <c r="B5" s="1111" t="str">
        <f ca="1">_xll.NamedRange("Cl_Name","Client Name")</f>
        <v>The Schubert Superannuation Fund</v>
      </c>
      <c r="C5" s="1111"/>
      <c r="D5" s="1111"/>
      <c r="E5" s="1111"/>
      <c r="F5" s="1125"/>
      <c r="G5" s="1125"/>
      <c r="H5" s="685"/>
      <c r="I5" s="685"/>
      <c r="J5" s="685"/>
      <c r="K5" s="686"/>
      <c r="L5" s="687"/>
      <c r="M5" s="687"/>
      <c r="N5" s="687"/>
      <c r="O5" s="688" t="s">
        <v>774</v>
      </c>
      <c r="P5" s="1112" t="s">
        <v>772</v>
      </c>
      <c r="Q5" s="1112"/>
      <c r="R5" s="1112"/>
      <c r="S5" s="1112"/>
      <c r="T5" s="1112"/>
      <c r="U5" s="1112"/>
      <c r="V5" s="1112"/>
    </row>
    <row r="6" spans="2:25" ht="24.95" customHeight="1">
      <c r="B6" s="1111" t="str">
        <f ca="1">_xll.NamedRange("Cl_Code","Client Code")</f>
        <v>Client Code</v>
      </c>
      <c r="C6" s="1111"/>
      <c r="D6" s="1111"/>
      <c r="E6" s="1111"/>
      <c r="F6" s="689"/>
      <c r="G6" s="689"/>
      <c r="H6" s="685"/>
      <c r="I6" s="685"/>
      <c r="J6" s="685"/>
      <c r="K6" s="686"/>
      <c r="L6" s="687"/>
      <c r="M6" s="687"/>
      <c r="N6" s="687"/>
      <c r="O6" s="688" t="s">
        <v>775</v>
      </c>
      <c r="P6" s="690"/>
      <c r="Q6" s="1130"/>
      <c r="R6" s="1131"/>
      <c r="S6" s="1131"/>
      <c r="T6" s="1131"/>
      <c r="U6" s="1131"/>
      <c r="V6" s="1132"/>
      <c r="Y6" s="691"/>
    </row>
    <row r="7" spans="2:25" ht="24.95" customHeight="1">
      <c r="B7" s="1115">
        <f ca="1">_xll.NamedRange("PeriodEndDate")</f>
        <v>43281</v>
      </c>
      <c r="C7" s="1115"/>
      <c r="D7" s="1115"/>
      <c r="E7" s="1115"/>
      <c r="F7" s="1125"/>
      <c r="G7" s="1125"/>
      <c r="K7" s="686"/>
      <c r="L7" s="687"/>
      <c r="M7" s="687"/>
      <c r="N7" s="687"/>
      <c r="O7" s="688" t="s">
        <v>776</v>
      </c>
      <c r="P7" s="692" t="str">
        <f ca="1">_xll.NamedRange("Firm_Preparer","")</f>
        <v/>
      </c>
      <c r="Q7" s="1113" t="str">
        <f ca="1">_xll.NamedRange("Firm_PreparerDate","")</f>
        <v/>
      </c>
      <c r="R7" s="1126"/>
      <c r="S7" s="1126"/>
      <c r="T7" s="1126"/>
      <c r="U7" s="1126"/>
      <c r="V7" s="1127"/>
    </row>
    <row r="8" spans="2:25" ht="24.95" customHeight="1">
      <c r="F8" s="1125"/>
      <c r="G8" s="1125"/>
      <c r="K8" s="686"/>
      <c r="L8" s="693"/>
      <c r="M8" s="693"/>
      <c r="N8" s="693"/>
      <c r="O8" s="688" t="s">
        <v>777</v>
      </c>
      <c r="P8" s="692" t="str">
        <f ca="1">_xll.NamedRange("Firm_Reviewer","")</f>
        <v/>
      </c>
      <c r="Q8" s="1113" t="str">
        <f ca="1">_xll.NamedRange("Firm_ReviewerDate","")</f>
        <v/>
      </c>
      <c r="R8" s="1126"/>
      <c r="S8" s="1126"/>
      <c r="T8" s="1126"/>
      <c r="U8" s="1126"/>
      <c r="V8" s="1127"/>
    </row>
    <row r="9" spans="2:25" ht="7.5" customHeight="1"/>
    <row r="10" spans="2:25" ht="17.25" customHeight="1">
      <c r="B10" s="1128" t="s">
        <v>778</v>
      </c>
      <c r="C10" s="1129"/>
      <c r="D10" s="1129"/>
      <c r="E10" s="1129"/>
      <c r="F10" s="1129"/>
      <c r="G10" s="1129"/>
      <c r="H10" s="1129"/>
      <c r="I10" s="1129"/>
      <c r="J10" s="1129"/>
      <c r="K10" s="1129"/>
      <c r="L10" s="1129"/>
      <c r="M10" s="1129"/>
      <c r="N10" s="1129"/>
      <c r="O10" s="1129"/>
      <c r="P10" s="1129"/>
      <c r="Q10" s="1129"/>
      <c r="R10" s="1129"/>
      <c r="S10" s="1129"/>
      <c r="T10" s="1129"/>
      <c r="U10" s="1129"/>
      <c r="V10" s="1129"/>
    </row>
    <row r="11" spans="2:25" ht="17.25" customHeight="1">
      <c r="B11" s="1138" t="s">
        <v>779</v>
      </c>
      <c r="C11" s="1139"/>
      <c r="D11" s="1139"/>
      <c r="E11" s="1139"/>
      <c r="F11" s="1139"/>
      <c r="G11" s="1139"/>
      <c r="H11" s="1139"/>
      <c r="I11" s="1139"/>
      <c r="J11" s="1139"/>
      <c r="K11" s="1139"/>
      <c r="L11" s="1139"/>
      <c r="M11" s="1139"/>
      <c r="N11" s="1139"/>
      <c r="O11" s="1139"/>
      <c r="P11" s="1139"/>
      <c r="Q11" s="1139"/>
      <c r="R11" s="1139"/>
      <c r="S11" s="1139"/>
      <c r="T11" s="1139"/>
      <c r="U11" s="1139"/>
      <c r="V11" s="1139"/>
    </row>
    <row r="12" spans="2:25" ht="7.5" customHeight="1"/>
    <row r="13" spans="2:25" ht="18.75" customHeight="1">
      <c r="B13" s="1140" t="s">
        <v>780</v>
      </c>
      <c r="C13" s="1140"/>
      <c r="D13" s="1140"/>
      <c r="E13" s="34"/>
      <c r="F13" s="34"/>
      <c r="G13" s="34"/>
      <c r="H13" s="34"/>
      <c r="I13" s="34"/>
      <c r="J13" s="34"/>
      <c r="K13" s="34"/>
      <c r="L13" s="34"/>
      <c r="M13" s="34"/>
      <c r="N13" s="34"/>
      <c r="O13" s="34"/>
      <c r="P13" s="34"/>
      <c r="Q13" s="34"/>
      <c r="R13" s="34"/>
      <c r="S13" s="34"/>
      <c r="T13" s="34"/>
      <c r="U13" s="34"/>
    </row>
    <row r="14" spans="2:25" ht="7.5" customHeight="1">
      <c r="B14" s="695"/>
      <c r="C14" s="696"/>
      <c r="D14" s="696"/>
      <c r="E14" s="696"/>
      <c r="F14" s="696"/>
      <c r="G14" s="696"/>
      <c r="H14" s="696"/>
      <c r="I14" s="696"/>
      <c r="J14" s="696"/>
      <c r="K14" s="696"/>
      <c r="L14" s="696"/>
      <c r="M14" s="696"/>
      <c r="N14" s="696"/>
      <c r="O14" s="696"/>
      <c r="P14" s="696"/>
      <c r="Q14" s="696"/>
      <c r="R14" s="696"/>
      <c r="S14" s="696"/>
      <c r="T14" s="696"/>
      <c r="U14" s="696"/>
      <c r="V14" s="697"/>
    </row>
    <row r="15" spans="2:25" ht="22.5" customHeight="1">
      <c r="B15" s="33"/>
      <c r="C15" s="1141" t="s">
        <v>781</v>
      </c>
      <c r="D15" s="1142"/>
      <c r="E15" s="1142"/>
      <c r="F15" s="1142"/>
      <c r="G15" s="1142"/>
      <c r="H15" s="1142"/>
      <c r="I15" s="1142"/>
      <c r="J15" s="1142"/>
      <c r="K15" s="1142"/>
      <c r="L15" s="1142"/>
      <c r="M15" s="1142"/>
      <c r="N15" s="1142"/>
      <c r="O15" s="1142"/>
      <c r="P15" s="1143"/>
      <c r="Q15" s="698"/>
      <c r="R15" s="698"/>
      <c r="S15" s="698"/>
      <c r="T15" s="698"/>
      <c r="U15" s="698"/>
      <c r="V15" s="699"/>
    </row>
    <row r="16" spans="2:25" ht="22.5" customHeight="1">
      <c r="B16" s="33"/>
      <c r="C16" s="1141" t="s">
        <v>782</v>
      </c>
      <c r="D16" s="1142"/>
      <c r="E16" s="1142"/>
      <c r="F16" s="1142"/>
      <c r="G16" s="1142"/>
      <c r="H16" s="1142"/>
      <c r="I16" s="1142"/>
      <c r="J16" s="1142"/>
      <c r="K16" s="1142"/>
      <c r="L16" s="1142"/>
      <c r="M16" s="1142"/>
      <c r="N16" s="1142"/>
      <c r="O16" s="1142"/>
      <c r="P16" s="1143"/>
      <c r="Q16" s="698"/>
      <c r="R16" s="698"/>
      <c r="S16" s="698"/>
      <c r="T16" s="698"/>
      <c r="U16" s="698"/>
      <c r="V16" s="699"/>
    </row>
    <row r="17" spans="1:25" ht="22.5" customHeight="1">
      <c r="B17" s="33"/>
      <c r="C17" s="1144" t="s">
        <v>783</v>
      </c>
      <c r="D17" s="1145"/>
      <c r="E17" s="1145"/>
      <c r="F17" s="1145"/>
      <c r="G17" s="1145"/>
      <c r="H17" s="1145"/>
      <c r="I17" s="1145"/>
      <c r="J17" s="1145"/>
      <c r="K17" s="1145"/>
      <c r="L17" s="1145"/>
      <c r="M17" s="1145"/>
      <c r="N17" s="1145"/>
      <c r="O17" s="1145"/>
      <c r="P17" s="1146"/>
      <c r="Q17" s="698"/>
      <c r="R17" s="698"/>
      <c r="S17" s="698"/>
      <c r="T17" s="698"/>
      <c r="U17" s="698"/>
      <c r="V17" s="699"/>
    </row>
    <row r="18" spans="1:25" ht="7.5" customHeight="1">
      <c r="B18" s="35"/>
      <c r="C18" s="36"/>
      <c r="D18" s="36"/>
      <c r="E18" s="36"/>
      <c r="F18" s="36"/>
      <c r="G18" s="36"/>
      <c r="H18" s="36"/>
      <c r="I18" s="36"/>
      <c r="J18" s="36"/>
      <c r="K18" s="36"/>
      <c r="L18" s="36"/>
      <c r="M18" s="36"/>
      <c r="N18" s="36"/>
      <c r="O18" s="36"/>
      <c r="P18" s="36"/>
      <c r="Q18" s="36"/>
      <c r="R18" s="36"/>
      <c r="S18" s="36"/>
      <c r="T18" s="36"/>
      <c r="U18" s="36"/>
      <c r="V18" s="37"/>
    </row>
    <row r="19" spans="1:25" ht="7.5" customHeight="1">
      <c r="B19" s="34"/>
      <c r="C19" s="34"/>
      <c r="D19" s="34"/>
      <c r="E19" s="34"/>
      <c r="F19" s="34"/>
      <c r="G19" s="34"/>
      <c r="H19" s="34"/>
      <c r="I19" s="34"/>
      <c r="J19" s="34"/>
      <c r="K19" s="34"/>
      <c r="L19" s="34"/>
      <c r="M19" s="34"/>
      <c r="N19" s="34"/>
      <c r="O19" s="34"/>
      <c r="P19" s="34"/>
      <c r="Q19" s="34"/>
      <c r="R19" s="34"/>
      <c r="S19" s="34"/>
      <c r="T19" s="34"/>
      <c r="U19" s="34"/>
      <c r="V19" s="34"/>
    </row>
    <row r="20" spans="1:25" ht="18.75" customHeight="1">
      <c r="A20" s="700" t="s">
        <v>111</v>
      </c>
      <c r="B20" s="1140" t="s">
        <v>784</v>
      </c>
      <c r="C20" s="1140"/>
      <c r="D20" s="1140"/>
      <c r="E20" s="34"/>
      <c r="F20" s="34"/>
      <c r="G20" s="34"/>
      <c r="H20" s="34"/>
      <c r="I20" s="34"/>
      <c r="J20" s="34"/>
      <c r="K20" s="34"/>
      <c r="L20" s="34"/>
      <c r="M20" s="34"/>
      <c r="N20" s="34"/>
      <c r="O20" s="34"/>
      <c r="P20" s="34"/>
      <c r="Q20" s="34"/>
      <c r="R20" s="34"/>
      <c r="S20" s="34"/>
      <c r="T20" s="34"/>
      <c r="U20" s="34"/>
    </row>
    <row r="21" spans="1:25" ht="7.5" customHeight="1">
      <c r="B21" s="695"/>
      <c r="C21" s="696"/>
      <c r="D21" s="696"/>
      <c r="E21" s="696"/>
      <c r="F21" s="696"/>
      <c r="G21" s="696"/>
      <c r="H21" s="696"/>
      <c r="I21" s="696"/>
      <c r="J21" s="696"/>
      <c r="K21" s="696"/>
      <c r="L21" s="696"/>
      <c r="M21" s="696"/>
      <c r="N21" s="696"/>
      <c r="O21" s="696"/>
      <c r="P21" s="696"/>
      <c r="Q21" s="696"/>
      <c r="R21" s="696"/>
      <c r="S21" s="696"/>
      <c r="T21" s="696"/>
      <c r="U21" s="696"/>
      <c r="V21" s="697"/>
    </row>
    <row r="22" spans="1:25" ht="30" customHeight="1">
      <c r="B22" s="33"/>
      <c r="C22" s="34"/>
      <c r="D22" s="34"/>
      <c r="E22" s="34"/>
      <c r="F22" s="1106" t="str">
        <f>IF($F$71="Enter rental property name", "Property 1",$F$71)</f>
        <v>18 South Heron Road, Old Bar</v>
      </c>
      <c r="G22" s="1133"/>
      <c r="H22" s="1133"/>
      <c r="I22" s="1107"/>
      <c r="J22" s="1106" t="str">
        <f>IF($F$143="Enter rental property name", "Property 2",$F$143)</f>
        <v>28 Greygum Road, TAREE NSW 2430</v>
      </c>
      <c r="K22" s="1133"/>
      <c r="L22" s="1133"/>
      <c r="M22" s="1107"/>
      <c r="N22" s="1106" t="str">
        <f>IF($F$216="Enter rental property name", "Property 3",$F$216)</f>
        <v>Property 3</v>
      </c>
      <c r="O22" s="1133"/>
      <c r="P22" s="1133"/>
      <c r="Q22" s="1107"/>
      <c r="R22" s="1106" t="s">
        <v>121</v>
      </c>
      <c r="S22" s="1133"/>
      <c r="T22" s="1133"/>
      <c r="U22" s="1107"/>
      <c r="V22" s="699"/>
    </row>
    <row r="23" spans="1:25" ht="7.5" customHeight="1">
      <c r="B23" s="33"/>
      <c r="C23" s="34"/>
      <c r="D23" s="34"/>
      <c r="E23" s="34"/>
      <c r="F23" s="34"/>
      <c r="G23" s="34"/>
      <c r="H23" s="34"/>
      <c r="I23" s="34"/>
      <c r="J23" s="34"/>
      <c r="K23" s="34"/>
      <c r="L23" s="34"/>
      <c r="M23" s="34"/>
      <c r="N23" s="34"/>
      <c r="O23" s="34"/>
      <c r="P23" s="34"/>
      <c r="Q23" s="34"/>
      <c r="R23" s="34"/>
      <c r="S23" s="34"/>
      <c r="T23" s="34"/>
      <c r="U23" s="34"/>
      <c r="V23" s="699"/>
    </row>
    <row r="24" spans="1:25" ht="60" customHeight="1">
      <c r="B24" s="33"/>
      <c r="C24" s="34"/>
      <c r="D24" s="34"/>
      <c r="E24" s="34"/>
      <c r="F24" s="701" t="s">
        <v>785</v>
      </c>
      <c r="G24" s="702" t="s">
        <v>786</v>
      </c>
      <c r="H24" s="702" t="s">
        <v>787</v>
      </c>
      <c r="I24" s="703" t="s">
        <v>788</v>
      </c>
      <c r="J24" s="701" t="s">
        <v>785</v>
      </c>
      <c r="K24" s="702" t="s">
        <v>786</v>
      </c>
      <c r="L24" s="702" t="s">
        <v>787</v>
      </c>
      <c r="M24" s="703" t="s">
        <v>788</v>
      </c>
      <c r="N24" s="701" t="s">
        <v>785</v>
      </c>
      <c r="O24" s="702" t="s">
        <v>786</v>
      </c>
      <c r="P24" s="702" t="s">
        <v>787</v>
      </c>
      <c r="Q24" s="703" t="s">
        <v>788</v>
      </c>
      <c r="R24" s="701" t="s">
        <v>785</v>
      </c>
      <c r="S24" s="702" t="s">
        <v>786</v>
      </c>
      <c r="T24" s="702" t="s">
        <v>787</v>
      </c>
      <c r="U24" s="703" t="s">
        <v>788</v>
      </c>
      <c r="V24" s="699"/>
      <c r="X24" s="1134" t="s">
        <v>789</v>
      </c>
      <c r="Y24" s="1135"/>
    </row>
    <row r="25" spans="1:25" ht="7.5" customHeight="1">
      <c r="B25" s="33"/>
      <c r="C25" s="34"/>
      <c r="D25" s="34"/>
      <c r="E25" s="34"/>
      <c r="F25" s="34"/>
      <c r="I25" s="34"/>
      <c r="J25" s="34"/>
      <c r="M25" s="34"/>
      <c r="N25" s="34"/>
      <c r="Q25" s="34"/>
      <c r="R25" s="34"/>
      <c r="S25" s="34"/>
      <c r="T25" s="34"/>
      <c r="U25" s="34"/>
      <c r="V25" s="699"/>
    </row>
    <row r="26" spans="1:25" ht="17.25" customHeight="1">
      <c r="B26" s="33"/>
      <c r="C26" s="1136" t="s">
        <v>790</v>
      </c>
      <c r="D26" s="1137"/>
      <c r="E26" s="1137"/>
      <c r="F26" s="704">
        <f>$Q$79</f>
        <v>18870</v>
      </c>
      <c r="G26" s="705"/>
      <c r="H26" s="704">
        <f>SUM(($G$64*F26),G26)</f>
        <v>0</v>
      </c>
      <c r="I26" s="705"/>
      <c r="J26" s="704">
        <f>$Q$151</f>
        <v>17430</v>
      </c>
      <c r="K26" s="705"/>
      <c r="L26" s="704">
        <f>SUM(($G$136*J26),K26)</f>
        <v>17430</v>
      </c>
      <c r="M26" s="705"/>
      <c r="N26" s="704">
        <f>$Q$224</f>
        <v>0</v>
      </c>
      <c r="O26" s="705"/>
      <c r="P26" s="704">
        <f>SUM(($G$209*N26),O26)</f>
        <v>0</v>
      </c>
      <c r="Q26" s="705"/>
      <c r="R26" s="704">
        <f>SUM(F26,J26,N26)</f>
        <v>36300</v>
      </c>
      <c r="S26" s="704">
        <f t="shared" ref="S26:U28" si="0">SUM(G26,K26,O26)</f>
        <v>0</v>
      </c>
      <c r="T26" s="704">
        <f t="shared" si="0"/>
        <v>17430</v>
      </c>
      <c r="U26" s="704">
        <f>SUM(I26,M26,Q26)</f>
        <v>0</v>
      </c>
      <c r="V26" s="699"/>
      <c r="X26" s="706"/>
      <c r="Y26" s="706"/>
    </row>
    <row r="27" spans="1:25" ht="17.25" customHeight="1">
      <c r="B27" s="33"/>
      <c r="C27" s="1136" t="s">
        <v>791</v>
      </c>
      <c r="D27" s="1137"/>
      <c r="E27" s="1137"/>
      <c r="F27" s="704">
        <f>$Q$100</f>
        <v>25000</v>
      </c>
      <c r="G27" s="705"/>
      <c r="H27" s="704">
        <f>SUM(($G$64*F27),G27)</f>
        <v>0</v>
      </c>
      <c r="I27" s="705"/>
      <c r="J27" s="704">
        <f>$Q$172</f>
        <v>0</v>
      </c>
      <c r="K27" s="705"/>
      <c r="L27" s="704">
        <f>SUM(($G$136*J27),K27)</f>
        <v>0</v>
      </c>
      <c r="M27" s="705"/>
      <c r="N27" s="704">
        <f>$Q$245</f>
        <v>0</v>
      </c>
      <c r="O27" s="705"/>
      <c r="P27" s="704">
        <f>SUM(($G$209*N27),O27)</f>
        <v>0</v>
      </c>
      <c r="Q27" s="705"/>
      <c r="R27" s="704">
        <f t="shared" ref="R27" si="1">SUM(F27,J27,N27)</f>
        <v>25000</v>
      </c>
      <c r="S27" s="704">
        <f t="shared" si="0"/>
        <v>0</v>
      </c>
      <c r="T27" s="704">
        <f t="shared" si="0"/>
        <v>0</v>
      </c>
      <c r="U27" s="704">
        <f t="shared" si="0"/>
        <v>0</v>
      </c>
      <c r="V27" s="699"/>
      <c r="X27" s="706"/>
      <c r="Y27" s="706"/>
    </row>
    <row r="28" spans="1:25" ht="17.25" customHeight="1">
      <c r="B28" s="33"/>
      <c r="C28" s="1136" t="s">
        <v>792</v>
      </c>
      <c r="D28" s="1137"/>
      <c r="E28" s="1137"/>
      <c r="F28" s="704">
        <f>SUM($Q$80,$Q$101)</f>
        <v>0</v>
      </c>
      <c r="G28" s="705"/>
      <c r="H28" s="704">
        <f>SUM(($G$64*F28),G28)</f>
        <v>0</v>
      </c>
      <c r="I28" s="705"/>
      <c r="J28" s="704">
        <f>SUM($Q$152,$Q$173)</f>
        <v>2156.44</v>
      </c>
      <c r="K28" s="705"/>
      <c r="L28" s="704">
        <f>SUM(($G$136*J28),K28)</f>
        <v>2156.44</v>
      </c>
      <c r="M28" s="705"/>
      <c r="N28" s="704">
        <f>SUM($Q$225,$Q$246)</f>
        <v>0</v>
      </c>
      <c r="O28" s="705"/>
      <c r="P28" s="704">
        <f>SUM(($G$209*N28),O28)</f>
        <v>0</v>
      </c>
      <c r="Q28" s="705"/>
      <c r="R28" s="704">
        <f>SUM(F28,J28,N28)</f>
        <v>2156.44</v>
      </c>
      <c r="S28" s="704">
        <f t="shared" si="0"/>
        <v>0</v>
      </c>
      <c r="T28" s="704">
        <f t="shared" si="0"/>
        <v>2156.44</v>
      </c>
      <c r="U28" s="704">
        <f t="shared" si="0"/>
        <v>0</v>
      </c>
      <c r="V28" s="699"/>
      <c r="X28" s="706"/>
      <c r="Y28" s="706"/>
    </row>
    <row r="29" spans="1:25" ht="17.25" customHeight="1">
      <c r="B29" s="33"/>
      <c r="C29" s="1147" t="s">
        <v>793</v>
      </c>
      <c r="D29" s="1137"/>
      <c r="E29" s="1137"/>
      <c r="F29" s="707">
        <f t="shared" ref="F29:U29" si="2">SUM(F26:F28)</f>
        <v>43870</v>
      </c>
      <c r="G29" s="707">
        <f t="shared" si="2"/>
        <v>0</v>
      </c>
      <c r="H29" s="707">
        <f t="shared" si="2"/>
        <v>0</v>
      </c>
      <c r="I29" s="707">
        <f t="shared" si="2"/>
        <v>0</v>
      </c>
      <c r="J29" s="707">
        <f t="shared" si="2"/>
        <v>19586.439999999999</v>
      </c>
      <c r="K29" s="707">
        <f t="shared" si="2"/>
        <v>0</v>
      </c>
      <c r="L29" s="707">
        <f t="shared" si="2"/>
        <v>19586.439999999999</v>
      </c>
      <c r="M29" s="707">
        <f t="shared" si="2"/>
        <v>0</v>
      </c>
      <c r="N29" s="707">
        <f t="shared" si="2"/>
        <v>0</v>
      </c>
      <c r="O29" s="707">
        <f t="shared" si="2"/>
        <v>0</v>
      </c>
      <c r="P29" s="707">
        <f t="shared" si="2"/>
        <v>0</v>
      </c>
      <c r="Q29" s="707">
        <f t="shared" si="2"/>
        <v>0</v>
      </c>
      <c r="R29" s="707">
        <f t="shared" si="2"/>
        <v>63456.44</v>
      </c>
      <c r="S29" s="707">
        <f t="shared" si="2"/>
        <v>0</v>
      </c>
      <c r="T29" s="707">
        <f t="shared" si="2"/>
        <v>19586.439999999999</v>
      </c>
      <c r="U29" s="707">
        <f t="shared" si="2"/>
        <v>0</v>
      </c>
      <c r="V29" s="699"/>
      <c r="X29" s="706"/>
      <c r="Y29" s="706"/>
    </row>
    <row r="30" spans="1:25" ht="17.25" customHeight="1">
      <c r="B30" s="33"/>
      <c r="C30" s="1147" t="s">
        <v>794</v>
      </c>
      <c r="D30" s="1137"/>
      <c r="E30" s="1137"/>
      <c r="F30" s="34"/>
      <c r="I30" s="34"/>
      <c r="J30" s="34"/>
      <c r="M30" s="34"/>
      <c r="N30" s="34"/>
      <c r="Q30" s="34"/>
      <c r="R30" s="34"/>
      <c r="U30" s="34"/>
      <c r="V30" s="699"/>
      <c r="X30" s="706"/>
      <c r="Y30" s="706"/>
    </row>
    <row r="31" spans="1:25" ht="17.25" customHeight="1">
      <c r="B31" s="33"/>
      <c r="C31" s="1136" t="s">
        <v>795</v>
      </c>
      <c r="D31" s="1137"/>
      <c r="E31" s="1137"/>
      <c r="F31" s="704">
        <f>$Q$103</f>
        <v>0</v>
      </c>
      <c r="G31" s="705"/>
      <c r="H31" s="704">
        <f t="shared" ref="H31:H50" si="3">SUM(($G$64*F31),G31)</f>
        <v>0</v>
      </c>
      <c r="I31" s="705"/>
      <c r="J31" s="704">
        <f>$Q$175</f>
        <v>0</v>
      </c>
      <c r="K31" s="705"/>
      <c r="L31" s="704">
        <f t="shared" ref="L31:L50" si="4">SUM(($G$136*J31),K31)</f>
        <v>0</v>
      </c>
      <c r="M31" s="705"/>
      <c r="N31" s="704">
        <f>$Q$248</f>
        <v>0</v>
      </c>
      <c r="O31" s="705"/>
      <c r="P31" s="704">
        <f t="shared" ref="P31:P50" si="5">SUM(($G$209*N31),O31)</f>
        <v>0</v>
      </c>
      <c r="Q31" s="705"/>
      <c r="R31" s="704">
        <f>SUM(F31,J31,N31)</f>
        <v>0</v>
      </c>
      <c r="S31" s="704">
        <f t="shared" ref="S31:T46" si="6">SUM(G31,K31,O31)</f>
        <v>0</v>
      </c>
      <c r="T31" s="704">
        <f>SUM(H31,L31,P31)</f>
        <v>0</v>
      </c>
      <c r="U31" s="704">
        <f t="shared" ref="U31:U50" si="7">SUM(I31,M31,Q31)</f>
        <v>0</v>
      </c>
      <c r="V31" s="699"/>
      <c r="X31" s="706"/>
      <c r="Y31" s="706"/>
    </row>
    <row r="32" spans="1:25" ht="17.25" customHeight="1">
      <c r="B32" s="33"/>
      <c r="C32" s="1136" t="s">
        <v>796</v>
      </c>
      <c r="D32" s="1137"/>
      <c r="E32" s="1137"/>
      <c r="F32" s="704">
        <f>Q104</f>
        <v>0</v>
      </c>
      <c r="G32" s="705"/>
      <c r="H32" s="704">
        <f t="shared" si="3"/>
        <v>0</v>
      </c>
      <c r="I32" s="705"/>
      <c r="J32" s="704">
        <f>$Q$176</f>
        <v>0</v>
      </c>
      <c r="K32" s="705"/>
      <c r="L32" s="704">
        <f t="shared" si="4"/>
        <v>0</v>
      </c>
      <c r="M32" s="705"/>
      <c r="N32" s="704">
        <f>$Q$249</f>
        <v>0</v>
      </c>
      <c r="O32" s="705"/>
      <c r="P32" s="704">
        <f t="shared" si="5"/>
        <v>0</v>
      </c>
      <c r="Q32" s="705"/>
      <c r="R32" s="704">
        <f t="shared" ref="R32:T50" si="8">SUM(F32,J32,N32)</f>
        <v>0</v>
      </c>
      <c r="S32" s="704">
        <f t="shared" si="6"/>
        <v>0</v>
      </c>
      <c r="T32" s="704">
        <f t="shared" si="6"/>
        <v>0</v>
      </c>
      <c r="U32" s="704">
        <f t="shared" si="7"/>
        <v>0</v>
      </c>
      <c r="V32" s="699"/>
      <c r="X32" s="706"/>
      <c r="Y32" s="706"/>
    </row>
    <row r="33" spans="2:25" ht="17.25" customHeight="1">
      <c r="B33" s="33"/>
      <c r="C33" s="1136" t="s">
        <v>797</v>
      </c>
      <c r="D33" s="1137"/>
      <c r="E33" s="1137"/>
      <c r="F33" s="704">
        <f>SUM($Q$105,$Q$84)</f>
        <v>0</v>
      </c>
      <c r="G33" s="705"/>
      <c r="H33" s="704">
        <f t="shared" si="3"/>
        <v>0</v>
      </c>
      <c r="I33" s="705"/>
      <c r="J33" s="704">
        <f>SUM($Q$156,$Q$177)</f>
        <v>0</v>
      </c>
      <c r="K33" s="705"/>
      <c r="L33" s="704">
        <f t="shared" si="4"/>
        <v>0</v>
      </c>
      <c r="M33" s="705"/>
      <c r="N33" s="704">
        <f>SUM($Q$229,$Q$250)</f>
        <v>0</v>
      </c>
      <c r="O33" s="705"/>
      <c r="P33" s="704">
        <f t="shared" si="5"/>
        <v>0</v>
      </c>
      <c r="Q33" s="705"/>
      <c r="R33" s="704">
        <f t="shared" si="8"/>
        <v>0</v>
      </c>
      <c r="S33" s="704">
        <f t="shared" si="6"/>
        <v>0</v>
      </c>
      <c r="T33" s="704">
        <f t="shared" si="6"/>
        <v>0</v>
      </c>
      <c r="U33" s="704">
        <f t="shared" si="7"/>
        <v>0</v>
      </c>
      <c r="V33" s="699"/>
      <c r="X33" s="706"/>
      <c r="Y33" s="706"/>
    </row>
    <row r="34" spans="2:25" ht="17.25" customHeight="1">
      <c r="B34" s="33"/>
      <c r="C34" s="1136" t="s">
        <v>798</v>
      </c>
      <c r="D34" s="1137"/>
      <c r="E34" s="1137"/>
      <c r="F34" s="704">
        <f>$Q$106</f>
        <v>0</v>
      </c>
      <c r="G34" s="705"/>
      <c r="H34" s="704">
        <f t="shared" si="3"/>
        <v>0</v>
      </c>
      <c r="I34" s="705"/>
      <c r="J34" s="704">
        <f>$Q$178</f>
        <v>0</v>
      </c>
      <c r="K34" s="705"/>
      <c r="L34" s="704">
        <f t="shared" si="4"/>
        <v>0</v>
      </c>
      <c r="M34" s="705"/>
      <c r="N34" s="704">
        <f>$Q$251</f>
        <v>0</v>
      </c>
      <c r="O34" s="705"/>
      <c r="P34" s="704">
        <f t="shared" si="5"/>
        <v>0</v>
      </c>
      <c r="Q34" s="705"/>
      <c r="R34" s="704">
        <f t="shared" si="8"/>
        <v>0</v>
      </c>
      <c r="S34" s="704">
        <f t="shared" si="6"/>
        <v>0</v>
      </c>
      <c r="T34" s="704">
        <f t="shared" si="6"/>
        <v>0</v>
      </c>
      <c r="U34" s="704">
        <f t="shared" si="7"/>
        <v>0</v>
      </c>
      <c r="V34" s="699"/>
      <c r="X34" s="706"/>
      <c r="Y34" s="706"/>
    </row>
    <row r="35" spans="2:25" ht="17.25" customHeight="1">
      <c r="B35" s="33"/>
      <c r="C35" s="1136" t="s">
        <v>799</v>
      </c>
      <c r="D35" s="1137"/>
      <c r="E35" s="1137"/>
      <c r="F35" s="704">
        <f>SUM($Q$85,$Q$107)</f>
        <v>0</v>
      </c>
      <c r="G35" s="705"/>
      <c r="H35" s="704">
        <f t="shared" si="3"/>
        <v>0</v>
      </c>
      <c r="I35" s="705"/>
      <c r="J35" s="704">
        <f>SUM($Q$157,$Q$179)</f>
        <v>0</v>
      </c>
      <c r="K35" s="705"/>
      <c r="L35" s="704">
        <f t="shared" si="4"/>
        <v>0</v>
      </c>
      <c r="M35" s="705"/>
      <c r="N35" s="704">
        <f>SUM($Q$230,$Q$252)</f>
        <v>0</v>
      </c>
      <c r="O35" s="705"/>
      <c r="P35" s="704">
        <f t="shared" si="5"/>
        <v>0</v>
      </c>
      <c r="Q35" s="705"/>
      <c r="R35" s="704">
        <f t="shared" si="8"/>
        <v>0</v>
      </c>
      <c r="S35" s="704">
        <f t="shared" si="6"/>
        <v>0</v>
      </c>
      <c r="T35" s="704">
        <f t="shared" si="6"/>
        <v>0</v>
      </c>
      <c r="U35" s="704">
        <f t="shared" si="7"/>
        <v>0</v>
      </c>
      <c r="V35" s="699"/>
      <c r="X35" s="706"/>
      <c r="Y35" s="706"/>
    </row>
    <row r="36" spans="2:25" ht="17.25" customHeight="1">
      <c r="B36" s="33"/>
      <c r="C36" s="1136" t="s">
        <v>800</v>
      </c>
      <c r="D36" s="1137"/>
      <c r="E36" s="1137"/>
      <c r="F36" s="704">
        <f>SUM($Q$86,$Q$108)</f>
        <v>1802.92</v>
      </c>
      <c r="G36" s="705"/>
      <c r="H36" s="704">
        <f>SUM(($G$64*F36),G36)</f>
        <v>0</v>
      </c>
      <c r="I36" s="705"/>
      <c r="J36" s="704">
        <f>SUM($Q$158,$Q$180)</f>
        <v>1423.94</v>
      </c>
      <c r="K36" s="705"/>
      <c r="L36" s="704">
        <f t="shared" si="4"/>
        <v>1423.94</v>
      </c>
      <c r="M36" s="705"/>
      <c r="N36" s="704">
        <f>SUM($Q$231,$Q$253)</f>
        <v>0</v>
      </c>
      <c r="O36" s="705"/>
      <c r="P36" s="704">
        <f t="shared" si="5"/>
        <v>0</v>
      </c>
      <c r="Q36" s="705"/>
      <c r="R36" s="704">
        <f t="shared" si="8"/>
        <v>3226.86</v>
      </c>
      <c r="S36" s="704">
        <f t="shared" si="6"/>
        <v>0</v>
      </c>
      <c r="T36" s="704">
        <f t="shared" si="6"/>
        <v>1423.94</v>
      </c>
      <c r="U36" s="704">
        <f t="shared" si="7"/>
        <v>0</v>
      </c>
      <c r="V36" s="699"/>
      <c r="X36" s="706"/>
      <c r="Y36" s="706"/>
    </row>
    <row r="37" spans="2:25" ht="17.25" customHeight="1">
      <c r="B37" s="33"/>
      <c r="C37" s="1136" t="s">
        <v>801</v>
      </c>
      <c r="D37" s="1137"/>
      <c r="E37" s="1137"/>
      <c r="F37" s="704">
        <f>$Q$109</f>
        <v>1369</v>
      </c>
      <c r="G37" s="705"/>
      <c r="H37" s="704">
        <f t="shared" si="3"/>
        <v>0</v>
      </c>
      <c r="I37" s="705"/>
      <c r="J37" s="704">
        <f>$Q$181</f>
        <v>0</v>
      </c>
      <c r="K37" s="705"/>
      <c r="L37" s="704">
        <f t="shared" si="4"/>
        <v>0</v>
      </c>
      <c r="M37" s="705"/>
      <c r="N37" s="704">
        <f>$Q$254</f>
        <v>0</v>
      </c>
      <c r="O37" s="705"/>
      <c r="P37" s="704">
        <f t="shared" si="5"/>
        <v>0</v>
      </c>
      <c r="Q37" s="705"/>
      <c r="R37" s="704">
        <f t="shared" si="8"/>
        <v>1369</v>
      </c>
      <c r="S37" s="704">
        <f t="shared" si="6"/>
        <v>0</v>
      </c>
      <c r="T37" s="704">
        <f t="shared" si="6"/>
        <v>0</v>
      </c>
      <c r="U37" s="704">
        <f t="shared" si="7"/>
        <v>0</v>
      </c>
      <c r="V37" s="699"/>
      <c r="X37" s="706"/>
      <c r="Y37" s="706"/>
    </row>
    <row r="38" spans="2:25" ht="17.25" customHeight="1">
      <c r="B38" s="33"/>
      <c r="C38" s="1136" t="s">
        <v>802</v>
      </c>
      <c r="D38" s="1137"/>
      <c r="E38" s="1137"/>
      <c r="F38" s="704">
        <f>SUM($Q$87,$Q$110)</f>
        <v>0</v>
      </c>
      <c r="G38" s="705"/>
      <c r="H38" s="704">
        <f t="shared" si="3"/>
        <v>0</v>
      </c>
      <c r="I38" s="705"/>
      <c r="J38" s="704">
        <f>SUM($Q$159,$Q$182)</f>
        <v>0</v>
      </c>
      <c r="K38" s="705"/>
      <c r="L38" s="704">
        <f t="shared" si="4"/>
        <v>0</v>
      </c>
      <c r="M38" s="705"/>
      <c r="N38" s="704">
        <f>SUM($Q$232,$Q$255)</f>
        <v>0</v>
      </c>
      <c r="O38" s="705"/>
      <c r="P38" s="704">
        <f t="shared" si="5"/>
        <v>0</v>
      </c>
      <c r="Q38" s="705"/>
      <c r="R38" s="704">
        <f t="shared" si="8"/>
        <v>0</v>
      </c>
      <c r="S38" s="704">
        <f t="shared" si="6"/>
        <v>0</v>
      </c>
      <c r="T38" s="704">
        <f t="shared" si="6"/>
        <v>0</v>
      </c>
      <c r="U38" s="704">
        <f t="shared" si="7"/>
        <v>0</v>
      </c>
      <c r="V38" s="699"/>
      <c r="X38" s="706"/>
      <c r="Y38" s="706"/>
    </row>
    <row r="39" spans="2:25" ht="17.25" customHeight="1">
      <c r="B39" s="33"/>
      <c r="C39" s="1136" t="s">
        <v>803</v>
      </c>
      <c r="D39" s="1137"/>
      <c r="E39" s="1137"/>
      <c r="F39" s="704">
        <f>SUM($Q$88,$Q$111)</f>
        <v>1510.16</v>
      </c>
      <c r="G39" s="705"/>
      <c r="H39" s="704">
        <f t="shared" si="3"/>
        <v>0</v>
      </c>
      <c r="I39" s="705"/>
      <c r="J39" s="704">
        <f>SUM($Q$160,$Q$183)</f>
        <v>835.75</v>
      </c>
      <c r="K39" s="705"/>
      <c r="L39" s="704">
        <f t="shared" si="4"/>
        <v>835.75</v>
      </c>
      <c r="M39" s="705"/>
      <c r="N39" s="704">
        <f>SUM($Q$233,$Q$256)</f>
        <v>0</v>
      </c>
      <c r="O39" s="705"/>
      <c r="P39" s="704">
        <f t="shared" si="5"/>
        <v>0</v>
      </c>
      <c r="Q39" s="705"/>
      <c r="R39" s="704">
        <f t="shared" si="8"/>
        <v>2345.91</v>
      </c>
      <c r="S39" s="704">
        <f t="shared" si="6"/>
        <v>0</v>
      </c>
      <c r="T39" s="704">
        <f t="shared" si="6"/>
        <v>835.75</v>
      </c>
      <c r="U39" s="704">
        <f t="shared" si="7"/>
        <v>0</v>
      </c>
      <c r="V39" s="699"/>
      <c r="X39" s="706"/>
      <c r="Y39" s="706"/>
    </row>
    <row r="40" spans="2:25" ht="17.25" customHeight="1">
      <c r="B40" s="33"/>
      <c r="C40" s="1136" t="s">
        <v>804</v>
      </c>
      <c r="D40" s="1137"/>
      <c r="E40" s="1137"/>
      <c r="F40" s="704">
        <f>$Q$112</f>
        <v>0</v>
      </c>
      <c r="G40" s="705"/>
      <c r="H40" s="704">
        <f t="shared" si="3"/>
        <v>0</v>
      </c>
      <c r="I40" s="705"/>
      <c r="J40" s="704">
        <f>$Q$184</f>
        <v>0</v>
      </c>
      <c r="K40" s="705"/>
      <c r="L40" s="704">
        <f t="shared" si="4"/>
        <v>0</v>
      </c>
      <c r="M40" s="705"/>
      <c r="N40" s="704">
        <f>$Q$257</f>
        <v>0</v>
      </c>
      <c r="O40" s="705"/>
      <c r="P40" s="704">
        <f t="shared" si="5"/>
        <v>0</v>
      </c>
      <c r="Q40" s="705"/>
      <c r="R40" s="704">
        <f t="shared" si="8"/>
        <v>0</v>
      </c>
      <c r="S40" s="704">
        <f t="shared" si="6"/>
        <v>0</v>
      </c>
      <c r="T40" s="704">
        <f t="shared" si="6"/>
        <v>0</v>
      </c>
      <c r="U40" s="704">
        <f t="shared" si="7"/>
        <v>0</v>
      </c>
      <c r="V40" s="699"/>
      <c r="X40" s="706"/>
      <c r="Y40" s="706"/>
    </row>
    <row r="41" spans="2:25" ht="17.25" customHeight="1">
      <c r="B41" s="33"/>
      <c r="C41" s="1136" t="s">
        <v>805</v>
      </c>
      <c r="D41" s="1137"/>
      <c r="E41" s="1137"/>
      <c r="F41" s="704">
        <f>SUM($Q$89,$Q$113)</f>
        <v>0</v>
      </c>
      <c r="G41" s="705"/>
      <c r="H41" s="704">
        <f t="shared" si="3"/>
        <v>0</v>
      </c>
      <c r="I41" s="705"/>
      <c r="J41" s="704">
        <f>SUM($Q$161,$Q$185)</f>
        <v>0</v>
      </c>
      <c r="K41" s="705"/>
      <c r="L41" s="704">
        <f t="shared" si="4"/>
        <v>0</v>
      </c>
      <c r="M41" s="705"/>
      <c r="N41" s="704">
        <f>SUM($Q$234,$Q$258)</f>
        <v>0</v>
      </c>
      <c r="O41" s="705"/>
      <c r="P41" s="704">
        <f t="shared" si="5"/>
        <v>0</v>
      </c>
      <c r="Q41" s="705"/>
      <c r="R41" s="704">
        <f t="shared" si="8"/>
        <v>0</v>
      </c>
      <c r="S41" s="704">
        <f t="shared" si="6"/>
        <v>0</v>
      </c>
      <c r="T41" s="704">
        <f t="shared" si="6"/>
        <v>0</v>
      </c>
      <c r="U41" s="704">
        <f t="shared" si="7"/>
        <v>0</v>
      </c>
      <c r="V41" s="699"/>
      <c r="X41" s="706"/>
      <c r="Y41" s="706"/>
    </row>
    <row r="42" spans="2:25" ht="17.25" customHeight="1">
      <c r="B42" s="33"/>
      <c r="C42" s="1136" t="s">
        <v>806</v>
      </c>
      <c r="D42" s="1137"/>
      <c r="E42" s="1137"/>
      <c r="F42" s="704">
        <f>SUM($Q$90,$Q$114)</f>
        <v>0</v>
      </c>
      <c r="G42" s="705"/>
      <c r="H42" s="704">
        <f t="shared" si="3"/>
        <v>0</v>
      </c>
      <c r="I42" s="705"/>
      <c r="J42" s="704">
        <f>SUM($Q$162,$Q$186)</f>
        <v>0</v>
      </c>
      <c r="K42" s="705"/>
      <c r="L42" s="704">
        <f t="shared" si="4"/>
        <v>0</v>
      </c>
      <c r="M42" s="705"/>
      <c r="N42" s="704">
        <f>SUM($Q$235,$Q$259)</f>
        <v>0</v>
      </c>
      <c r="O42" s="705"/>
      <c r="P42" s="704">
        <f t="shared" si="5"/>
        <v>0</v>
      </c>
      <c r="Q42" s="705"/>
      <c r="R42" s="704">
        <f t="shared" si="8"/>
        <v>0</v>
      </c>
      <c r="S42" s="704">
        <f t="shared" si="6"/>
        <v>0</v>
      </c>
      <c r="T42" s="704">
        <f t="shared" si="6"/>
        <v>0</v>
      </c>
      <c r="U42" s="704">
        <f t="shared" si="7"/>
        <v>0</v>
      </c>
      <c r="V42" s="699"/>
      <c r="X42" s="706"/>
      <c r="Y42" s="706"/>
    </row>
    <row r="43" spans="2:25" ht="17.25" customHeight="1">
      <c r="B43" s="33"/>
      <c r="C43" s="1136" t="s">
        <v>807</v>
      </c>
      <c r="D43" s="1137"/>
      <c r="E43" s="1137"/>
      <c r="F43" s="704">
        <f>SUM($Q$91,$Q$115)</f>
        <v>0</v>
      </c>
      <c r="G43" s="705"/>
      <c r="H43" s="704">
        <f t="shared" si="3"/>
        <v>0</v>
      </c>
      <c r="I43" s="705"/>
      <c r="J43" s="704">
        <f>SUM($Q$163,$Q$187)</f>
        <v>0</v>
      </c>
      <c r="K43" s="705"/>
      <c r="L43" s="704">
        <f t="shared" si="4"/>
        <v>0</v>
      </c>
      <c r="M43" s="705"/>
      <c r="N43" s="704">
        <f>SUM($Q$236,$Q$260)</f>
        <v>0</v>
      </c>
      <c r="O43" s="705"/>
      <c r="P43" s="704">
        <f t="shared" si="5"/>
        <v>0</v>
      </c>
      <c r="Q43" s="705"/>
      <c r="R43" s="704">
        <f t="shared" si="8"/>
        <v>0</v>
      </c>
      <c r="S43" s="704">
        <f t="shared" si="6"/>
        <v>0</v>
      </c>
      <c r="T43" s="704">
        <f t="shared" si="6"/>
        <v>0</v>
      </c>
      <c r="U43" s="704">
        <f t="shared" si="7"/>
        <v>0</v>
      </c>
      <c r="V43" s="699"/>
      <c r="X43" s="706"/>
      <c r="Y43" s="706"/>
    </row>
    <row r="44" spans="2:25" ht="17.25" customHeight="1">
      <c r="B44" s="33"/>
      <c r="C44" s="1136" t="s">
        <v>808</v>
      </c>
      <c r="D44" s="1137"/>
      <c r="E44" s="1137"/>
      <c r="F44" s="704">
        <f>SUM($Q$82,$Q$83,$Q$116)</f>
        <v>1456.5900000000001</v>
      </c>
      <c r="G44" s="705"/>
      <c r="H44" s="704">
        <f t="shared" si="3"/>
        <v>0</v>
      </c>
      <c r="I44" s="705"/>
      <c r="J44" s="704">
        <f>SUM($Q$154,$Q$155,$Q$188)</f>
        <v>1541.8400000000001</v>
      </c>
      <c r="K44" s="705"/>
      <c r="L44" s="704">
        <f t="shared" si="4"/>
        <v>1541.8400000000001</v>
      </c>
      <c r="M44" s="705"/>
      <c r="N44" s="704">
        <f>SUM($Q$227:$Q$228,$Q$261)</f>
        <v>0</v>
      </c>
      <c r="O44" s="705"/>
      <c r="P44" s="704">
        <f t="shared" si="5"/>
        <v>0</v>
      </c>
      <c r="Q44" s="705"/>
      <c r="R44" s="704">
        <f t="shared" si="8"/>
        <v>2998.4300000000003</v>
      </c>
      <c r="S44" s="704">
        <f t="shared" si="6"/>
        <v>0</v>
      </c>
      <c r="T44" s="704">
        <f t="shared" si="6"/>
        <v>1541.8400000000001</v>
      </c>
      <c r="U44" s="704">
        <f t="shared" si="7"/>
        <v>0</v>
      </c>
      <c r="V44" s="699"/>
      <c r="X44" s="706"/>
      <c r="Y44" s="706"/>
    </row>
    <row r="45" spans="2:25" ht="17.25" customHeight="1">
      <c r="B45" s="33"/>
      <c r="C45" s="1136" t="s">
        <v>809</v>
      </c>
      <c r="D45" s="1137"/>
      <c r="E45" s="1137"/>
      <c r="F45" s="704">
        <f>SUM($Q$92,$Q$117,$Q$118,$Q$119)</f>
        <v>594.4</v>
      </c>
      <c r="G45" s="705"/>
      <c r="H45" s="704">
        <f t="shared" si="3"/>
        <v>0</v>
      </c>
      <c r="I45" s="705"/>
      <c r="J45" s="704">
        <f>SUM($Q$164,$Q$189:$Q$191)</f>
        <v>1673.6</v>
      </c>
      <c r="K45" s="705"/>
      <c r="L45" s="704">
        <f t="shared" si="4"/>
        <v>1673.6</v>
      </c>
      <c r="M45" s="705"/>
      <c r="N45" s="704">
        <f>SUM($Q$237,$Q$262:$Q$264)</f>
        <v>0</v>
      </c>
      <c r="O45" s="705"/>
      <c r="P45" s="704">
        <f t="shared" si="5"/>
        <v>0</v>
      </c>
      <c r="Q45" s="705"/>
      <c r="R45" s="704">
        <f t="shared" si="8"/>
        <v>2268</v>
      </c>
      <c r="S45" s="704">
        <f t="shared" si="6"/>
        <v>0</v>
      </c>
      <c r="T45" s="704">
        <f t="shared" si="6"/>
        <v>1673.6</v>
      </c>
      <c r="U45" s="704">
        <f t="shared" si="7"/>
        <v>0</v>
      </c>
      <c r="V45" s="699"/>
      <c r="X45" s="706"/>
      <c r="Y45" s="706"/>
    </row>
    <row r="46" spans="2:25" ht="17.25" customHeight="1">
      <c r="B46" s="33"/>
      <c r="C46" s="1136" t="s">
        <v>810</v>
      </c>
      <c r="D46" s="1137"/>
      <c r="E46" s="1137"/>
      <c r="F46" s="704">
        <f>$Q$120</f>
        <v>2278</v>
      </c>
      <c r="G46" s="705"/>
      <c r="H46" s="704">
        <f t="shared" si="3"/>
        <v>0</v>
      </c>
      <c r="I46" s="705"/>
      <c r="J46" s="704">
        <f>SUM($Q$192)</f>
        <v>0</v>
      </c>
      <c r="K46" s="705"/>
      <c r="L46" s="704">
        <f t="shared" si="4"/>
        <v>0</v>
      </c>
      <c r="M46" s="705"/>
      <c r="N46" s="704">
        <f>$Q$265</f>
        <v>0</v>
      </c>
      <c r="O46" s="705"/>
      <c r="P46" s="704">
        <f t="shared" si="5"/>
        <v>0</v>
      </c>
      <c r="Q46" s="705"/>
      <c r="R46" s="704">
        <f t="shared" si="8"/>
        <v>2278</v>
      </c>
      <c r="S46" s="704">
        <f t="shared" si="6"/>
        <v>0</v>
      </c>
      <c r="T46" s="704">
        <f t="shared" si="6"/>
        <v>0</v>
      </c>
      <c r="U46" s="704">
        <f t="shared" si="7"/>
        <v>0</v>
      </c>
      <c r="V46" s="699"/>
      <c r="X46" s="706"/>
      <c r="Y46" s="706"/>
    </row>
    <row r="47" spans="2:25" ht="17.25" customHeight="1">
      <c r="B47" s="33"/>
      <c r="C47" s="1136" t="s">
        <v>811</v>
      </c>
      <c r="D47" s="1137"/>
      <c r="E47" s="1137"/>
      <c r="F47" s="704">
        <f>SUM($Q$93,$Q$121)</f>
        <v>0</v>
      </c>
      <c r="G47" s="705"/>
      <c r="H47" s="704">
        <f t="shared" si="3"/>
        <v>0</v>
      </c>
      <c r="I47" s="705"/>
      <c r="J47" s="704">
        <f>SUM($Q$165,$Q$193)</f>
        <v>0</v>
      </c>
      <c r="K47" s="705"/>
      <c r="L47" s="704">
        <f t="shared" si="4"/>
        <v>0</v>
      </c>
      <c r="M47" s="705"/>
      <c r="N47" s="704">
        <f>SUM($Q$238,$Q$266)</f>
        <v>0</v>
      </c>
      <c r="O47" s="705"/>
      <c r="P47" s="704">
        <f t="shared" si="5"/>
        <v>0</v>
      </c>
      <c r="Q47" s="705"/>
      <c r="R47" s="704">
        <f t="shared" si="8"/>
        <v>0</v>
      </c>
      <c r="S47" s="704">
        <f t="shared" si="8"/>
        <v>0</v>
      </c>
      <c r="T47" s="704">
        <f t="shared" si="8"/>
        <v>0</v>
      </c>
      <c r="U47" s="704">
        <f t="shared" si="7"/>
        <v>0</v>
      </c>
      <c r="V47" s="699"/>
      <c r="X47" s="706"/>
      <c r="Y47" s="706"/>
    </row>
    <row r="48" spans="2:25" ht="17.25" customHeight="1">
      <c r="B48" s="33"/>
      <c r="C48" s="1136" t="s">
        <v>812</v>
      </c>
      <c r="D48" s="1137"/>
      <c r="E48" s="1137"/>
      <c r="F48" s="704">
        <f>$Q$122</f>
        <v>0</v>
      </c>
      <c r="G48" s="705"/>
      <c r="H48" s="704">
        <f t="shared" si="3"/>
        <v>0</v>
      </c>
      <c r="I48" s="705"/>
      <c r="J48" s="704">
        <f>$Q$194</f>
        <v>0</v>
      </c>
      <c r="K48" s="705"/>
      <c r="L48" s="704">
        <f t="shared" si="4"/>
        <v>0</v>
      </c>
      <c r="M48" s="705"/>
      <c r="N48" s="704">
        <f>$Q$267</f>
        <v>0</v>
      </c>
      <c r="O48" s="705"/>
      <c r="P48" s="704">
        <f t="shared" si="5"/>
        <v>0</v>
      </c>
      <c r="Q48" s="705"/>
      <c r="R48" s="704">
        <f t="shared" si="8"/>
        <v>0</v>
      </c>
      <c r="S48" s="704">
        <f t="shared" si="8"/>
        <v>0</v>
      </c>
      <c r="T48" s="704">
        <f t="shared" si="8"/>
        <v>0</v>
      </c>
      <c r="U48" s="704">
        <f t="shared" si="7"/>
        <v>0</v>
      </c>
      <c r="V48" s="699"/>
      <c r="X48" s="706"/>
      <c r="Y48" s="706"/>
    </row>
    <row r="49" spans="1:25" ht="17.25" customHeight="1">
      <c r="B49" s="33"/>
      <c r="C49" s="1136" t="s">
        <v>813</v>
      </c>
      <c r="D49" s="1137"/>
      <c r="E49" s="1137"/>
      <c r="F49" s="704">
        <f>SUM($Q$123,$Q$95)</f>
        <v>3694.33</v>
      </c>
      <c r="G49" s="705"/>
      <c r="H49" s="704">
        <f t="shared" si="3"/>
        <v>0</v>
      </c>
      <c r="I49" s="705"/>
      <c r="J49" s="704">
        <f>SUM($Q$167,$Q$196)</f>
        <v>3451.4800000000005</v>
      </c>
      <c r="K49" s="705"/>
      <c r="L49" s="704">
        <f t="shared" si="4"/>
        <v>3451.4800000000005</v>
      </c>
      <c r="M49" s="705"/>
      <c r="N49" s="704">
        <f>SUM($Q$240,$Q$268)</f>
        <v>0</v>
      </c>
      <c r="O49" s="705"/>
      <c r="P49" s="704">
        <f t="shared" si="5"/>
        <v>0</v>
      </c>
      <c r="Q49" s="705"/>
      <c r="R49" s="704">
        <f t="shared" si="8"/>
        <v>7145.81</v>
      </c>
      <c r="S49" s="704">
        <f t="shared" si="8"/>
        <v>0</v>
      </c>
      <c r="T49" s="704">
        <f t="shared" si="8"/>
        <v>3451.4800000000005</v>
      </c>
      <c r="U49" s="704">
        <f t="shared" si="7"/>
        <v>0</v>
      </c>
      <c r="V49" s="699"/>
      <c r="X49" s="706"/>
      <c r="Y49" s="706"/>
    </row>
    <row r="50" spans="1:25" ht="17.25" customHeight="1">
      <c r="B50" s="33"/>
      <c r="C50" s="1136" t="s">
        <v>814</v>
      </c>
      <c r="D50" s="1137"/>
      <c r="E50" s="1137"/>
      <c r="F50" s="704">
        <f>SUM($Q$94,$Q$124,$Q$125,$Q$126)</f>
        <v>850</v>
      </c>
      <c r="G50" s="705"/>
      <c r="H50" s="704">
        <f t="shared" si="3"/>
        <v>0</v>
      </c>
      <c r="I50" s="705"/>
      <c r="J50" s="704">
        <f>SUM($Q$166,$Q$197:$Q$199)</f>
        <v>80</v>
      </c>
      <c r="K50" s="705"/>
      <c r="L50" s="704">
        <f t="shared" si="4"/>
        <v>80</v>
      </c>
      <c r="M50" s="705"/>
      <c r="N50" s="704">
        <f>SUM(Q$239,Q$269:$Q$271)</f>
        <v>0</v>
      </c>
      <c r="O50" s="705"/>
      <c r="P50" s="704">
        <f t="shared" si="5"/>
        <v>0</v>
      </c>
      <c r="Q50" s="705"/>
      <c r="R50" s="704">
        <f t="shared" si="8"/>
        <v>930</v>
      </c>
      <c r="S50" s="704">
        <f t="shared" si="8"/>
        <v>0</v>
      </c>
      <c r="T50" s="704">
        <f t="shared" si="8"/>
        <v>80</v>
      </c>
      <c r="U50" s="704">
        <f t="shared" si="7"/>
        <v>0</v>
      </c>
      <c r="V50" s="699"/>
      <c r="X50" s="706"/>
      <c r="Y50" s="706"/>
    </row>
    <row r="51" spans="1:25" ht="17.25" customHeight="1">
      <c r="B51" s="33"/>
      <c r="C51" s="1147" t="s">
        <v>815</v>
      </c>
      <c r="D51" s="1137"/>
      <c r="E51" s="1137"/>
      <c r="F51" s="707">
        <f>SUM(F31:F50)</f>
        <v>13555.4</v>
      </c>
      <c r="G51" s="707">
        <f t="shared" ref="G51:U51" si="9">SUM(G31:G50)</f>
        <v>0</v>
      </c>
      <c r="H51" s="707">
        <f t="shared" si="9"/>
        <v>0</v>
      </c>
      <c r="I51" s="707">
        <f t="shared" si="9"/>
        <v>0</v>
      </c>
      <c r="J51" s="707">
        <f t="shared" si="9"/>
        <v>9006.61</v>
      </c>
      <c r="K51" s="707">
        <f t="shared" si="9"/>
        <v>0</v>
      </c>
      <c r="L51" s="707">
        <f t="shared" si="9"/>
        <v>9006.61</v>
      </c>
      <c r="M51" s="707">
        <f t="shared" si="9"/>
        <v>0</v>
      </c>
      <c r="N51" s="707">
        <f t="shared" si="9"/>
        <v>0</v>
      </c>
      <c r="O51" s="707">
        <f t="shared" si="9"/>
        <v>0</v>
      </c>
      <c r="P51" s="707">
        <f t="shared" si="9"/>
        <v>0</v>
      </c>
      <c r="Q51" s="707">
        <f t="shared" si="9"/>
        <v>0</v>
      </c>
      <c r="R51" s="707">
        <f>SUM(R31:R50)</f>
        <v>22562.010000000002</v>
      </c>
      <c r="S51" s="707">
        <f t="shared" si="9"/>
        <v>0</v>
      </c>
      <c r="T51" s="707">
        <f t="shared" si="9"/>
        <v>9006.61</v>
      </c>
      <c r="U51" s="707">
        <f t="shared" si="9"/>
        <v>0</v>
      </c>
      <c r="V51" s="699"/>
      <c r="X51" s="706"/>
      <c r="Y51" s="706"/>
    </row>
    <row r="52" spans="1:25" ht="17.25" customHeight="1">
      <c r="B52" s="33"/>
      <c r="C52" s="1147" t="s">
        <v>816</v>
      </c>
      <c r="D52" s="1137"/>
      <c r="E52" s="1137"/>
      <c r="F52" s="704">
        <f>$F$29-$F$51</f>
        <v>30314.6</v>
      </c>
      <c r="G52" s="704">
        <f t="shared" ref="G52:U52" si="10">G29-G51</f>
        <v>0</v>
      </c>
      <c r="H52" s="704">
        <f t="shared" si="10"/>
        <v>0</v>
      </c>
      <c r="I52" s="704">
        <f t="shared" si="10"/>
        <v>0</v>
      </c>
      <c r="J52" s="704">
        <f t="shared" si="10"/>
        <v>10579.829999999998</v>
      </c>
      <c r="K52" s="704">
        <f t="shared" si="10"/>
        <v>0</v>
      </c>
      <c r="L52" s="704">
        <f t="shared" si="10"/>
        <v>10579.829999999998</v>
      </c>
      <c r="M52" s="704">
        <f t="shared" si="10"/>
        <v>0</v>
      </c>
      <c r="N52" s="704">
        <f t="shared" si="10"/>
        <v>0</v>
      </c>
      <c r="O52" s="704">
        <f t="shared" si="10"/>
        <v>0</v>
      </c>
      <c r="P52" s="704">
        <f t="shared" si="10"/>
        <v>0</v>
      </c>
      <c r="Q52" s="704">
        <f t="shared" si="10"/>
        <v>0</v>
      </c>
      <c r="R52" s="704">
        <f>R29-R51</f>
        <v>40894.43</v>
      </c>
      <c r="S52" s="704">
        <f t="shared" si="10"/>
        <v>0</v>
      </c>
      <c r="T52" s="704">
        <f t="shared" si="10"/>
        <v>10579.829999999998</v>
      </c>
      <c r="U52" s="704">
        <f t="shared" si="10"/>
        <v>0</v>
      </c>
      <c r="V52" s="699"/>
      <c r="X52" s="706"/>
      <c r="Y52" s="706"/>
    </row>
    <row r="53" spans="1:25" ht="7.5" customHeight="1">
      <c r="B53" s="33"/>
      <c r="C53" s="1147"/>
      <c r="D53" s="1137"/>
      <c r="E53" s="1137"/>
      <c r="F53" s="708"/>
      <c r="G53" s="708"/>
      <c r="H53" s="708"/>
      <c r="I53" s="708"/>
      <c r="J53" s="708"/>
      <c r="K53" s="708"/>
      <c r="L53" s="708"/>
      <c r="M53" s="708"/>
      <c r="N53" s="708"/>
      <c r="O53" s="708"/>
      <c r="P53" s="708"/>
      <c r="Q53" s="708"/>
      <c r="R53" s="708"/>
      <c r="S53" s="708"/>
      <c r="T53" s="708"/>
      <c r="U53" s="708"/>
      <c r="V53" s="699"/>
    </row>
    <row r="54" spans="1:25" ht="17.25" customHeight="1">
      <c r="B54" s="33"/>
      <c r="C54" s="1147" t="s">
        <v>817</v>
      </c>
      <c r="D54" s="1137"/>
      <c r="E54" s="1137"/>
      <c r="F54" s="704">
        <f>M68-SUM(N68:P68)</f>
        <v>0</v>
      </c>
      <c r="G54" s="34"/>
      <c r="H54" s="34"/>
      <c r="I54" s="705"/>
      <c r="J54" s="704">
        <f>M140-SUM(N140:P140)</f>
        <v>0</v>
      </c>
      <c r="K54" s="34"/>
      <c r="L54" s="34"/>
      <c r="M54" s="705"/>
      <c r="N54" s="704">
        <f>M213-SUM(N213:P213)</f>
        <v>0</v>
      </c>
      <c r="O54" s="34"/>
      <c r="P54" s="34"/>
      <c r="Q54" s="705"/>
      <c r="R54" s="704">
        <f>SUM($F$54,$J$54,$N$54)</f>
        <v>0</v>
      </c>
      <c r="S54" s="34"/>
      <c r="T54" s="34"/>
      <c r="U54" s="705">
        <f>SUM($I$54,$M$54,$Q$54)</f>
        <v>0</v>
      </c>
      <c r="V54" s="699"/>
      <c r="X54" s="706"/>
      <c r="Y54" s="706"/>
    </row>
    <row r="55" spans="1:25" ht="7.5" customHeight="1">
      <c r="B55" s="33"/>
      <c r="C55" s="1147"/>
      <c r="D55" s="1137"/>
      <c r="E55" s="1137"/>
      <c r="F55" s="708"/>
      <c r="G55" s="708"/>
      <c r="H55" s="708"/>
      <c r="I55" s="708"/>
      <c r="J55" s="708"/>
      <c r="K55" s="708"/>
      <c r="L55" s="708"/>
      <c r="M55" s="708"/>
      <c r="N55" s="708"/>
      <c r="O55" s="708"/>
      <c r="P55" s="708"/>
      <c r="Q55" s="708"/>
      <c r="R55" s="708"/>
      <c r="S55" s="708"/>
      <c r="T55" s="708"/>
      <c r="U55" s="708"/>
      <c r="V55" s="699"/>
    </row>
    <row r="56" spans="1:25" ht="17.25" customHeight="1">
      <c r="B56" s="33"/>
      <c r="C56" s="1147" t="s">
        <v>818</v>
      </c>
      <c r="D56" s="1137"/>
      <c r="E56" s="1137"/>
      <c r="F56" s="707">
        <f>SUM($F$52,$F$54)</f>
        <v>30314.6</v>
      </c>
      <c r="G56" s="707">
        <f t="shared" ref="G56" si="11">SUM(G52,G54)</f>
        <v>0</v>
      </c>
      <c r="H56" s="707">
        <f>SUM(H52,H54)</f>
        <v>0</v>
      </c>
      <c r="I56" s="707">
        <f t="shared" ref="I56" si="12">SUM(I52,I54)</f>
        <v>0</v>
      </c>
      <c r="J56" s="707">
        <f>SUM(J52,J54)</f>
        <v>10579.829999999998</v>
      </c>
      <c r="K56" s="707">
        <f t="shared" ref="K56" si="13">SUM(K52,K54)</f>
        <v>0</v>
      </c>
      <c r="L56" s="707">
        <f>SUM(L52,L54)</f>
        <v>10579.829999999998</v>
      </c>
      <c r="M56" s="707">
        <f t="shared" ref="M56" si="14">SUM(M52,M54)</f>
        <v>0</v>
      </c>
      <c r="N56" s="707">
        <f>SUM(N52,N54)</f>
        <v>0</v>
      </c>
      <c r="O56" s="707">
        <f t="shared" ref="O56" si="15">SUM(O52,O54)</f>
        <v>0</v>
      </c>
      <c r="P56" s="707">
        <f>SUM(P52,P54)</f>
        <v>0</v>
      </c>
      <c r="Q56" s="707">
        <f t="shared" ref="Q56" si="16">SUM(Q52,Q54)</f>
        <v>0</v>
      </c>
      <c r="R56" s="707">
        <f>SUM(R52,R54)</f>
        <v>40894.43</v>
      </c>
      <c r="S56" s="707">
        <f>SUM(S52,S54)</f>
        <v>0</v>
      </c>
      <c r="T56" s="707">
        <f>SUM(T52,T54)</f>
        <v>10579.829999999998</v>
      </c>
      <c r="U56" s="707">
        <f>SUM(U52,U54)</f>
        <v>0</v>
      </c>
      <c r="V56" s="699"/>
      <c r="X56" s="706"/>
      <c r="Y56" s="706"/>
    </row>
    <row r="57" spans="1:25" ht="7.5" customHeight="1">
      <c r="B57" s="35"/>
      <c r="C57" s="709"/>
      <c r="D57" s="709"/>
      <c r="E57" s="709"/>
      <c r="F57" s="709"/>
      <c r="G57" s="36"/>
      <c r="H57" s="36"/>
      <c r="I57" s="36"/>
      <c r="J57" s="36"/>
      <c r="K57" s="36"/>
      <c r="L57" s="36"/>
      <c r="M57" s="36"/>
      <c r="N57" s="36"/>
      <c r="O57" s="36"/>
      <c r="P57" s="36"/>
      <c r="Q57" s="36"/>
      <c r="R57" s="36"/>
      <c r="S57" s="36"/>
      <c r="T57" s="36"/>
      <c r="U57" s="36"/>
      <c r="V57" s="37"/>
    </row>
    <row r="58" spans="1:25" ht="7.5" customHeight="1">
      <c r="C58" s="34"/>
      <c r="D58" s="34"/>
      <c r="E58" s="34"/>
      <c r="F58" s="34"/>
      <c r="G58" s="34"/>
      <c r="H58" s="34"/>
      <c r="I58" s="34"/>
      <c r="J58" s="34"/>
      <c r="K58" s="34"/>
      <c r="L58" s="34"/>
      <c r="M58" s="34"/>
      <c r="N58" s="34"/>
      <c r="O58" s="34"/>
      <c r="P58" s="34"/>
      <c r="Q58" s="34"/>
      <c r="R58" s="34"/>
      <c r="S58" s="34"/>
      <c r="T58" s="34"/>
      <c r="U58" s="34"/>
    </row>
    <row r="59" spans="1:25" ht="18.75" customHeight="1">
      <c r="A59" s="700" t="s">
        <v>111</v>
      </c>
      <c r="B59" s="1140" t="s">
        <v>819</v>
      </c>
      <c r="C59" s="1140"/>
      <c r="D59" s="1140"/>
      <c r="E59" s="1140"/>
      <c r="F59" s="1158" t="s">
        <v>600</v>
      </c>
      <c r="G59" s="1142"/>
      <c r="H59" s="1142"/>
      <c r="I59" s="685"/>
      <c r="J59" s="685"/>
      <c r="K59" s="685"/>
      <c r="L59" s="685"/>
      <c r="M59" s="685"/>
      <c r="N59" s="685"/>
      <c r="O59" s="685"/>
      <c r="P59" s="685"/>
      <c r="Q59" s="685"/>
      <c r="R59" s="685"/>
      <c r="S59" s="685"/>
      <c r="T59" s="685"/>
      <c r="U59" s="685"/>
    </row>
    <row r="60" spans="1:25" ht="7.5" hidden="1" customHeight="1">
      <c r="B60" s="695"/>
      <c r="C60" s="696"/>
      <c r="D60" s="696"/>
      <c r="E60" s="696"/>
      <c r="F60" s="696"/>
      <c r="G60" s="696"/>
      <c r="H60" s="696"/>
      <c r="I60" s="696"/>
      <c r="J60" s="696"/>
      <c r="K60" s="696"/>
      <c r="L60" s="696"/>
      <c r="M60" s="696"/>
      <c r="N60" s="696"/>
      <c r="O60" s="696"/>
      <c r="P60" s="696"/>
      <c r="Q60" s="696"/>
      <c r="R60" s="696"/>
      <c r="S60" s="696"/>
      <c r="T60" s="696"/>
      <c r="U60" s="696"/>
      <c r="V60" s="697"/>
    </row>
    <row r="61" spans="1:25" ht="24.95" hidden="1" customHeight="1">
      <c r="B61" s="33"/>
      <c r="C61" s="36"/>
      <c r="D61" s="36"/>
      <c r="E61" s="36"/>
      <c r="F61" s="36"/>
      <c r="G61" s="36"/>
      <c r="H61" s="1159" t="s">
        <v>821</v>
      </c>
      <c r="I61" s="1160"/>
      <c r="J61" s="1160"/>
      <c r="K61" s="1160"/>
      <c r="L61" s="1160"/>
      <c r="M61" s="1148" t="s">
        <v>822</v>
      </c>
      <c r="N61" s="1149"/>
      <c r="O61" s="1149"/>
      <c r="P61" s="1149"/>
      <c r="Q61" s="1150"/>
      <c r="V61" s="699"/>
    </row>
    <row r="62" spans="1:25" ht="45" hidden="1" customHeight="1">
      <c r="B62" s="33"/>
      <c r="C62" s="1151" t="str">
        <f>IF(E73="","",E73)</f>
        <v>18 South Heron Road, Old Bar NSW 2430, Australia</v>
      </c>
      <c r="D62" s="1152"/>
      <c r="E62" s="1152"/>
      <c r="F62" s="710"/>
      <c r="G62" s="702" t="s">
        <v>823</v>
      </c>
      <c r="H62" s="701" t="s">
        <v>654</v>
      </c>
      <c r="I62" s="702" t="s">
        <v>386</v>
      </c>
      <c r="J62" s="702" t="s">
        <v>810</v>
      </c>
      <c r="K62" s="702" t="s">
        <v>824</v>
      </c>
      <c r="L62" s="711" t="s">
        <v>825</v>
      </c>
      <c r="M62" s="702" t="s">
        <v>654</v>
      </c>
      <c r="N62" s="702" t="s">
        <v>386</v>
      </c>
      <c r="O62" s="712" t="s">
        <v>810</v>
      </c>
      <c r="P62" s="712" t="s">
        <v>824</v>
      </c>
      <c r="Q62" s="703" t="s">
        <v>826</v>
      </c>
      <c r="V62" s="699"/>
      <c r="X62" s="1134" t="s">
        <v>789</v>
      </c>
      <c r="Y62" s="1135"/>
    </row>
    <row r="63" spans="1:25" ht="7.5" hidden="1" customHeight="1">
      <c r="B63" s="33"/>
      <c r="C63" s="713"/>
      <c r="D63" s="713"/>
      <c r="E63" s="713"/>
      <c r="F63" s="713"/>
      <c r="G63" s="714"/>
      <c r="H63" s="714"/>
      <c r="I63" s="714"/>
      <c r="J63" s="714"/>
      <c r="K63" s="714"/>
      <c r="L63" s="714"/>
      <c r="M63" s="714"/>
      <c r="N63" s="715" t="s">
        <v>827</v>
      </c>
      <c r="Q63" s="714"/>
      <c r="V63" s="699"/>
    </row>
    <row r="64" spans="1:25" ht="17.25" hidden="1" customHeight="1">
      <c r="B64" s="33"/>
      <c r="C64" s="1153" t="str">
        <f ca="1">$B$5</f>
        <v>The Schubert Superannuation Fund</v>
      </c>
      <c r="D64" s="1153"/>
      <c r="E64" s="1153"/>
      <c r="F64" s="716"/>
      <c r="G64" s="717"/>
      <c r="H64" s="704">
        <f>IF(G64="",0,SUM($Q$79,$Q$80,$Q$100,$Q$101)*G64)</f>
        <v>0</v>
      </c>
      <c r="I64" s="704">
        <f>IF(G64="",0,$Q$112*G64)</f>
        <v>0</v>
      </c>
      <c r="J64" s="704">
        <f>IF(G64="",0,$Q$120*G64)</f>
        <v>0</v>
      </c>
      <c r="K64" s="704">
        <f>IF(G64="",0,(SUM(($Q$82:$Q$95),($Q$103:$Q$126))-$Q$112-$Q$120)*G64)</f>
        <v>0</v>
      </c>
      <c r="L64" s="704">
        <f>H64-SUM(I64:K64)</f>
        <v>0</v>
      </c>
      <c r="M64" s="704">
        <f>$G$29</f>
        <v>0</v>
      </c>
      <c r="N64" s="704">
        <f>$G$40</f>
        <v>0</v>
      </c>
      <c r="O64" s="704">
        <f>$G$46</f>
        <v>0</v>
      </c>
      <c r="P64" s="704">
        <f>$G$51-$G$40-$G$46</f>
        <v>0</v>
      </c>
      <c r="Q64" s="704">
        <f>SUM(L64:M64)-SUM(N64:P64)</f>
        <v>0</v>
      </c>
      <c r="V64" s="699"/>
      <c r="X64" s="706"/>
      <c r="Y64" s="706"/>
    </row>
    <row r="65" spans="1:25" ht="17.25" hidden="1" customHeight="1">
      <c r="B65" s="33"/>
      <c r="C65" s="1154" t="s">
        <v>828</v>
      </c>
      <c r="D65" s="1154"/>
      <c r="E65" s="1154"/>
      <c r="F65" s="716"/>
      <c r="G65" s="717"/>
      <c r="H65" s="704">
        <f>IF(G65="",0,SUM($Q$79,$Q$80,$Q$100,$Q$101)*G65)</f>
        <v>0</v>
      </c>
      <c r="I65" s="704">
        <f>IF(G65="",0,$Q$112*G65)</f>
        <v>0</v>
      </c>
      <c r="J65" s="704">
        <f>IF(G65="",0,$Q$120*G65)</f>
        <v>0</v>
      </c>
      <c r="K65" s="704">
        <f>IF(G65="",0,(SUM(($Q$82:$Q$95),($Q$103:$Q$126))-$Q$112-$Q$120)*G65)</f>
        <v>0</v>
      </c>
      <c r="L65" s="704">
        <f>H65-SUM(I65:K65)</f>
        <v>0</v>
      </c>
      <c r="M65" s="718"/>
      <c r="N65" s="718"/>
      <c r="O65" s="718"/>
      <c r="P65" s="718"/>
      <c r="Q65" s="704">
        <f>SUM(L65:M65)-SUM(N65:P65)</f>
        <v>0</v>
      </c>
      <c r="V65" s="699"/>
      <c r="X65" s="706"/>
      <c r="Y65" s="706"/>
    </row>
    <row r="66" spans="1:25" ht="17.25" hidden="1" customHeight="1">
      <c r="B66" s="33"/>
      <c r="C66" s="1154" t="s">
        <v>828</v>
      </c>
      <c r="D66" s="1154"/>
      <c r="E66" s="1154"/>
      <c r="F66" s="716"/>
      <c r="G66" s="717"/>
      <c r="H66" s="704">
        <f>IF(G66="",0,SUM($Q$79,$Q$80,$Q$100,$Q$101)*G66)</f>
        <v>0</v>
      </c>
      <c r="I66" s="704">
        <f>IF(G66="",0,$Q$112*G66)</f>
        <v>0</v>
      </c>
      <c r="J66" s="704">
        <f>IF(G66="",0,$Q$120*G66)</f>
        <v>0</v>
      </c>
      <c r="K66" s="704">
        <f>IF(G66="",0,(SUM(($Q$82:$Q$95),($Q$103:$Q$126))-$Q$112-$Q$120)*G66)</f>
        <v>0</v>
      </c>
      <c r="L66" s="704">
        <f>H66-SUM(I66:K66)</f>
        <v>0</v>
      </c>
      <c r="M66" s="718"/>
      <c r="N66" s="718"/>
      <c r="O66" s="718"/>
      <c r="P66" s="718"/>
      <c r="Q66" s="704">
        <f>SUM(L66:M66)-SUM(N66:P66)</f>
        <v>0</v>
      </c>
      <c r="V66" s="699"/>
      <c r="X66" s="706"/>
      <c r="Y66" s="706"/>
    </row>
    <row r="67" spans="1:25" ht="17.25" hidden="1" customHeight="1">
      <c r="B67" s="33"/>
      <c r="C67" s="1154" t="s">
        <v>828</v>
      </c>
      <c r="D67" s="1154"/>
      <c r="E67" s="1154"/>
      <c r="F67" s="716"/>
      <c r="G67" s="717"/>
      <c r="H67" s="704">
        <f>IF(G67="",0,SUM($Q$79,$Q$80,$Q$100,$Q$101)*G67)</f>
        <v>0</v>
      </c>
      <c r="I67" s="704">
        <f>IF(G67="",0,$Q$112*G67)</f>
        <v>0</v>
      </c>
      <c r="J67" s="704">
        <f>IF(G67="",0,$Q$120*G67)</f>
        <v>0</v>
      </c>
      <c r="K67" s="704">
        <f>IF(G67="",0,(SUM(($Q$82:$Q$95),($Q$103:$Q$126))-$Q$112-$Q$120)*G67)</f>
        <v>0</v>
      </c>
      <c r="L67" s="704">
        <f>H67-SUM(I67:K67)</f>
        <v>0</v>
      </c>
      <c r="M67" s="718"/>
      <c r="N67" s="718"/>
      <c r="O67" s="718"/>
      <c r="P67" s="718"/>
      <c r="Q67" s="704">
        <f>SUM(L67:M67)-SUM(N67:P67)</f>
        <v>0</v>
      </c>
      <c r="V67" s="699"/>
      <c r="X67" s="706"/>
      <c r="Y67" s="706"/>
    </row>
    <row r="68" spans="1:25" ht="17.25" hidden="1" customHeight="1">
      <c r="B68" s="33"/>
      <c r="C68" s="34"/>
      <c r="D68" s="34"/>
      <c r="E68" s="34"/>
      <c r="F68" s="34"/>
      <c r="G68" s="719">
        <f>IF(SUM(G64:G67)=0,0,SUM(G64:G67))</f>
        <v>0</v>
      </c>
      <c r="H68" s="707">
        <f t="shared" ref="H68" si="17">SUM(H64:H67)</f>
        <v>0</v>
      </c>
      <c r="I68" s="707">
        <f t="shared" ref="I68:O68" si="18">SUM(I64:I67)</f>
        <v>0</v>
      </c>
      <c r="J68" s="707">
        <f t="shared" si="18"/>
        <v>0</v>
      </c>
      <c r="K68" s="707">
        <f t="shared" si="18"/>
        <v>0</v>
      </c>
      <c r="L68" s="707">
        <f t="shared" si="18"/>
        <v>0</v>
      </c>
      <c r="M68" s="707">
        <f>SUM(M64:M67)</f>
        <v>0</v>
      </c>
      <c r="N68" s="707">
        <f t="shared" si="18"/>
        <v>0</v>
      </c>
      <c r="O68" s="707">
        <f t="shared" si="18"/>
        <v>0</v>
      </c>
      <c r="P68" s="707">
        <f>SUM(P64:P67)</f>
        <v>0</v>
      </c>
      <c r="Q68" s="707">
        <f>SUM(Q64:Q67)</f>
        <v>0</v>
      </c>
      <c r="V68" s="699"/>
      <c r="X68" s="706"/>
      <c r="Y68" s="706"/>
    </row>
    <row r="69" spans="1:25" ht="7.5" hidden="1" customHeight="1">
      <c r="B69" s="35"/>
      <c r="C69" s="36"/>
      <c r="D69" s="36"/>
      <c r="E69" s="36"/>
      <c r="F69" s="36"/>
      <c r="G69" s="36"/>
      <c r="H69" s="36"/>
      <c r="I69" s="36"/>
      <c r="J69" s="36"/>
      <c r="K69" s="36"/>
      <c r="L69" s="36"/>
      <c r="M69" s="36"/>
      <c r="N69" s="36"/>
      <c r="O69" s="36"/>
      <c r="P69" s="36"/>
      <c r="Q69" s="36"/>
      <c r="R69" s="36"/>
      <c r="S69" s="36"/>
      <c r="T69" s="36"/>
      <c r="U69" s="36"/>
      <c r="V69" s="37"/>
      <c r="X69" s="720"/>
      <c r="Y69" s="720"/>
    </row>
    <row r="70" spans="1:25" ht="7.5" customHeight="1">
      <c r="C70" s="34"/>
      <c r="D70" s="34"/>
      <c r="E70" s="34"/>
      <c r="F70" s="34"/>
      <c r="G70" s="34"/>
      <c r="H70" s="34"/>
      <c r="I70" s="34"/>
      <c r="J70" s="34"/>
      <c r="K70" s="34"/>
      <c r="L70" s="34"/>
      <c r="M70" s="34"/>
      <c r="N70" s="34"/>
      <c r="O70" s="34"/>
      <c r="P70" s="34"/>
      <c r="Q70" s="34"/>
      <c r="R70" s="34"/>
      <c r="S70" s="34"/>
      <c r="T70" s="34"/>
      <c r="U70" s="34"/>
      <c r="X70" s="720"/>
      <c r="Y70" s="720"/>
    </row>
    <row r="71" spans="1:25" ht="18.75" customHeight="1">
      <c r="A71" s="700" t="s">
        <v>111</v>
      </c>
      <c r="B71" s="1140" t="s">
        <v>829</v>
      </c>
      <c r="C71" s="1140"/>
      <c r="D71" s="1140"/>
      <c r="E71" s="1140"/>
      <c r="F71" s="1155" t="str">
        <f>F59</f>
        <v>18 South Heron Road, Old Bar</v>
      </c>
      <c r="G71" s="1156"/>
      <c r="H71" s="1157"/>
      <c r="J71" s="685"/>
      <c r="K71" s="685"/>
      <c r="L71" s="685"/>
      <c r="M71" s="685"/>
      <c r="N71" s="685"/>
      <c r="O71" s="685"/>
      <c r="P71" s="685"/>
      <c r="Q71" s="685"/>
      <c r="R71" s="685"/>
      <c r="S71" s="685"/>
      <c r="T71" s="685"/>
      <c r="U71" s="685"/>
    </row>
    <row r="72" spans="1:25" ht="7.5" customHeight="1">
      <c r="B72" s="721"/>
      <c r="C72" s="189"/>
      <c r="D72" s="189"/>
      <c r="E72" s="189"/>
      <c r="F72" s="189"/>
      <c r="G72" s="189"/>
      <c r="H72" s="189"/>
      <c r="I72" s="189"/>
      <c r="J72" s="189"/>
      <c r="K72" s="189"/>
      <c r="L72" s="189"/>
      <c r="M72" s="189"/>
      <c r="N72" s="189"/>
      <c r="O72" s="189"/>
      <c r="P72" s="189"/>
      <c r="Q72" s="189"/>
      <c r="R72" s="189"/>
      <c r="S72" s="189"/>
      <c r="T72" s="189"/>
      <c r="U72" s="189"/>
      <c r="V72" s="722"/>
    </row>
    <row r="73" spans="1:25" ht="17.25" customHeight="1">
      <c r="B73" s="33"/>
      <c r="C73" s="1161" t="s">
        <v>830</v>
      </c>
      <c r="D73" s="1161"/>
      <c r="E73" s="1162" t="s">
        <v>866</v>
      </c>
      <c r="F73" s="1162"/>
      <c r="G73" s="1162"/>
      <c r="H73" s="1162"/>
      <c r="I73" s="1162"/>
      <c r="J73" s="1162"/>
      <c r="K73" s="1162"/>
      <c r="L73" s="1162"/>
      <c r="M73" s="1162"/>
      <c r="N73" s="724"/>
      <c r="O73" s="724"/>
      <c r="P73" s="724"/>
      <c r="Q73" s="724"/>
      <c r="R73" s="724"/>
      <c r="S73" s="724"/>
      <c r="T73" s="724"/>
      <c r="U73" s="724"/>
      <c r="V73" s="699"/>
      <c r="X73" s="720"/>
      <c r="Y73" s="720"/>
    </row>
    <row r="74" spans="1:25" ht="17.25" customHeight="1">
      <c r="B74" s="33"/>
      <c r="C74" s="1161" t="s">
        <v>831</v>
      </c>
      <c r="D74" s="1161"/>
      <c r="E74" s="725"/>
      <c r="F74" s="34"/>
      <c r="G74" s="34"/>
      <c r="H74" s="34"/>
      <c r="I74" s="34"/>
      <c r="J74" s="34"/>
      <c r="K74" s="34"/>
      <c r="L74" s="34"/>
      <c r="M74" s="34"/>
      <c r="N74" s="34"/>
      <c r="O74" s="34"/>
      <c r="P74" s="34"/>
      <c r="Q74" s="34"/>
      <c r="R74" s="34"/>
      <c r="S74" s="34"/>
      <c r="T74" s="34"/>
      <c r="U74" s="34"/>
      <c r="V74" s="699"/>
    </row>
    <row r="75" spans="1:25" ht="17.25" customHeight="1">
      <c r="B75" s="33"/>
      <c r="C75" s="1161" t="s">
        <v>832</v>
      </c>
      <c r="D75" s="1161"/>
      <c r="E75" s="726">
        <v>52</v>
      </c>
      <c r="F75" s="34"/>
      <c r="G75" s="1163"/>
      <c r="H75" s="1163"/>
      <c r="I75" s="1163"/>
      <c r="J75" s="1163"/>
      <c r="K75" s="1163"/>
      <c r="L75" s="1163"/>
      <c r="M75" s="724"/>
      <c r="N75" s="724"/>
      <c r="O75" s="724"/>
      <c r="P75" s="724"/>
      <c r="Q75" s="34"/>
      <c r="V75" s="699"/>
    </row>
    <row r="76" spans="1:25" ht="7.5" customHeight="1">
      <c r="B76" s="33"/>
      <c r="C76" s="36"/>
      <c r="D76" s="36"/>
      <c r="E76" s="36"/>
      <c r="F76" s="36"/>
      <c r="G76" s="36"/>
      <c r="H76" s="36"/>
      <c r="I76" s="36"/>
      <c r="J76" s="36"/>
      <c r="K76" s="36"/>
      <c r="L76" s="36"/>
      <c r="M76" s="36"/>
      <c r="N76" s="36"/>
      <c r="O76" s="36"/>
      <c r="P76" s="36"/>
      <c r="Q76" s="36"/>
      <c r="V76" s="699"/>
    </row>
    <row r="77" spans="1:25" ht="30" customHeight="1">
      <c r="B77" s="33"/>
      <c r="C77" s="1106" t="s">
        <v>833</v>
      </c>
      <c r="D77" s="1133"/>
      <c r="E77" s="702" t="s">
        <v>834</v>
      </c>
      <c r="F77" s="702" t="s">
        <v>835</v>
      </c>
      <c r="G77" s="702" t="s">
        <v>836</v>
      </c>
      <c r="H77" s="702" t="s">
        <v>837</v>
      </c>
      <c r="I77" s="702" t="s">
        <v>838</v>
      </c>
      <c r="J77" s="702" t="s">
        <v>839</v>
      </c>
      <c r="K77" s="702" t="s">
        <v>840</v>
      </c>
      <c r="L77" s="702" t="s">
        <v>841</v>
      </c>
      <c r="M77" s="702" t="s">
        <v>842</v>
      </c>
      <c r="N77" s="702" t="s">
        <v>843</v>
      </c>
      <c r="O77" s="702" t="s">
        <v>844</v>
      </c>
      <c r="P77" s="702" t="s">
        <v>845</v>
      </c>
      <c r="Q77" s="703" t="s">
        <v>121</v>
      </c>
      <c r="V77" s="699"/>
      <c r="X77" s="1134" t="s">
        <v>789</v>
      </c>
      <c r="Y77" s="1135"/>
    </row>
    <row r="78" spans="1:25" ht="7.5" customHeight="1">
      <c r="B78" s="33"/>
      <c r="C78" s="714"/>
      <c r="D78" s="714"/>
      <c r="E78" s="714"/>
      <c r="F78" s="714"/>
      <c r="G78" s="714"/>
      <c r="H78" s="714"/>
      <c r="I78" s="714"/>
      <c r="J78" s="714"/>
      <c r="K78" s="714"/>
      <c r="L78" s="714"/>
      <c r="M78" s="714"/>
      <c r="N78" s="714"/>
      <c r="O78" s="714"/>
      <c r="P78" s="714"/>
      <c r="Q78" s="714"/>
      <c r="V78" s="699"/>
    </row>
    <row r="79" spans="1:25" ht="17.25" customHeight="1">
      <c r="B79" s="33"/>
      <c r="C79" s="1161" t="s">
        <v>846</v>
      </c>
      <c r="D79" s="1161"/>
      <c r="E79" s="718"/>
      <c r="F79" s="718"/>
      <c r="G79" s="718"/>
      <c r="H79" s="718"/>
      <c r="I79" s="718"/>
      <c r="J79" s="718"/>
      <c r="K79" s="718"/>
      <c r="L79" s="718"/>
      <c r="M79" s="718"/>
      <c r="N79" s="718"/>
      <c r="O79" s="718"/>
      <c r="P79" s="718">
        <v>18870</v>
      </c>
      <c r="Q79" s="704">
        <f>SUM(E79:P79)</f>
        <v>18870</v>
      </c>
      <c r="V79" s="699"/>
      <c r="X79" s="732" t="s">
        <v>876</v>
      </c>
      <c r="Y79" s="706"/>
    </row>
    <row r="80" spans="1:25" ht="17.25" hidden="1" customHeight="1">
      <c r="B80" s="33"/>
      <c r="C80" s="1161" t="s">
        <v>792</v>
      </c>
      <c r="D80" s="1161"/>
      <c r="E80" s="718"/>
      <c r="F80" s="718"/>
      <c r="G80" s="718"/>
      <c r="H80" s="718"/>
      <c r="I80" s="718"/>
      <c r="J80" s="718"/>
      <c r="K80" s="718"/>
      <c r="L80" s="718"/>
      <c r="M80" s="718"/>
      <c r="N80" s="718"/>
      <c r="O80" s="718"/>
      <c r="P80" s="718"/>
      <c r="Q80" s="704">
        <f>SUM(E80:P80)</f>
        <v>0</v>
      </c>
      <c r="V80" s="699"/>
      <c r="X80" s="706"/>
      <c r="Y80" s="706"/>
    </row>
    <row r="81" spans="2:25" ht="7.5" customHeight="1">
      <c r="B81" s="33"/>
      <c r="C81" s="727"/>
      <c r="D81" s="728"/>
      <c r="E81" s="728"/>
      <c r="F81" s="728"/>
      <c r="G81" s="728"/>
      <c r="H81" s="728"/>
      <c r="I81" s="728"/>
      <c r="J81" s="728"/>
      <c r="K81" s="728"/>
      <c r="L81" s="728"/>
      <c r="M81" s="728"/>
      <c r="N81" s="728"/>
      <c r="O81" s="728"/>
      <c r="P81" s="728"/>
      <c r="Q81" s="728"/>
      <c r="V81" s="699"/>
      <c r="X81" s="720"/>
      <c r="Y81" s="720"/>
    </row>
    <row r="82" spans="2:25" ht="17.25" customHeight="1">
      <c r="B82" s="33"/>
      <c r="C82" s="1161" t="s">
        <v>847</v>
      </c>
      <c r="D82" s="1161"/>
      <c r="E82" s="718"/>
      <c r="F82" s="718"/>
      <c r="G82" s="718"/>
      <c r="H82" s="718"/>
      <c r="I82" s="718"/>
      <c r="J82" s="718"/>
      <c r="K82" s="718"/>
      <c r="L82" s="718"/>
      <c r="M82" s="718"/>
      <c r="N82" s="718"/>
      <c r="O82" s="718"/>
      <c r="P82" s="718">
        <f>1320.9+135.69</f>
        <v>1456.5900000000001</v>
      </c>
      <c r="Q82" s="704">
        <f>SUM(E82:P82)</f>
        <v>1456.5900000000001</v>
      </c>
      <c r="V82" s="699"/>
      <c r="X82" s="706"/>
      <c r="Y82" s="706"/>
    </row>
    <row r="83" spans="2:25" ht="17.25" hidden="1" customHeight="1">
      <c r="B83" s="33"/>
      <c r="C83" s="1161" t="s">
        <v>848</v>
      </c>
      <c r="D83" s="1161"/>
      <c r="E83" s="718"/>
      <c r="F83" s="718"/>
      <c r="G83" s="718"/>
      <c r="H83" s="718"/>
      <c r="I83" s="718"/>
      <c r="J83" s="718"/>
      <c r="K83" s="718"/>
      <c r="L83" s="718"/>
      <c r="M83" s="718"/>
      <c r="N83" s="718"/>
      <c r="O83" s="718"/>
      <c r="P83" s="718"/>
      <c r="Q83" s="704">
        <f t="shared" ref="Q83:Q95" si="19">SUM(E83:P83)</f>
        <v>0</v>
      </c>
      <c r="V83" s="699"/>
      <c r="X83" s="706"/>
      <c r="Y83" s="706"/>
    </row>
    <row r="84" spans="2:25" ht="17.25" hidden="1" customHeight="1">
      <c r="B84" s="33"/>
      <c r="C84" s="1161" t="s">
        <v>797</v>
      </c>
      <c r="D84" s="1161"/>
      <c r="E84" s="718"/>
      <c r="F84" s="718"/>
      <c r="G84" s="718"/>
      <c r="H84" s="718"/>
      <c r="I84" s="718"/>
      <c r="J84" s="718"/>
      <c r="K84" s="718"/>
      <c r="L84" s="718"/>
      <c r="M84" s="718"/>
      <c r="N84" s="718"/>
      <c r="O84" s="718"/>
      <c r="P84" s="718"/>
      <c r="Q84" s="704">
        <f t="shared" si="19"/>
        <v>0</v>
      </c>
      <c r="V84" s="699"/>
      <c r="X84" s="706"/>
      <c r="Y84" s="706"/>
    </row>
    <row r="85" spans="2:25" ht="17.25" hidden="1" customHeight="1">
      <c r="B85" s="33"/>
      <c r="C85" s="1161" t="s">
        <v>799</v>
      </c>
      <c r="D85" s="1161"/>
      <c r="E85" s="718"/>
      <c r="F85" s="718"/>
      <c r="G85" s="718"/>
      <c r="H85" s="718"/>
      <c r="I85" s="718"/>
      <c r="J85" s="718"/>
      <c r="K85" s="718"/>
      <c r="L85" s="718"/>
      <c r="M85" s="718"/>
      <c r="N85" s="718"/>
      <c r="O85" s="718"/>
      <c r="P85" s="718"/>
      <c r="Q85" s="704">
        <f t="shared" si="19"/>
        <v>0</v>
      </c>
      <c r="V85" s="699"/>
      <c r="X85" s="706"/>
      <c r="Y85" s="706"/>
    </row>
    <row r="86" spans="2:25" ht="17.25" customHeight="1">
      <c r="B86" s="33"/>
      <c r="C86" s="1161" t="s">
        <v>800</v>
      </c>
      <c r="D86" s="1161"/>
      <c r="E86" s="718"/>
      <c r="F86" s="718"/>
      <c r="G86" s="718"/>
      <c r="H86" s="718"/>
      <c r="I86" s="718"/>
      <c r="J86" s="718"/>
      <c r="K86" s="718"/>
      <c r="L86" s="718"/>
      <c r="M86" s="718"/>
      <c r="N86" s="718"/>
      <c r="O86" s="718"/>
      <c r="P86" s="718">
        <v>1350</v>
      </c>
      <c r="Q86" s="704">
        <f t="shared" si="19"/>
        <v>1350</v>
      </c>
      <c r="V86" s="699"/>
      <c r="X86" s="706"/>
      <c r="Y86" s="706"/>
    </row>
    <row r="87" spans="2:25" ht="17.25" hidden="1" customHeight="1">
      <c r="B87" s="33"/>
      <c r="C87" s="1161" t="s">
        <v>802</v>
      </c>
      <c r="D87" s="1161"/>
      <c r="E87" s="718"/>
      <c r="F87" s="718"/>
      <c r="G87" s="718"/>
      <c r="H87" s="718"/>
      <c r="I87" s="718"/>
      <c r="J87" s="718"/>
      <c r="K87" s="718"/>
      <c r="L87" s="718"/>
      <c r="M87" s="718"/>
      <c r="N87" s="718"/>
      <c r="O87" s="718"/>
      <c r="P87" s="718"/>
      <c r="Q87" s="704">
        <f t="shared" si="19"/>
        <v>0</v>
      </c>
      <c r="V87" s="699"/>
      <c r="X87" s="706"/>
      <c r="Y87" s="706"/>
    </row>
    <row r="88" spans="2:25" ht="17.25" hidden="1" customHeight="1">
      <c r="B88" s="33"/>
      <c r="C88" s="1161" t="s">
        <v>803</v>
      </c>
      <c r="D88" s="1161"/>
      <c r="E88" s="718"/>
      <c r="F88" s="718"/>
      <c r="G88" s="718"/>
      <c r="H88" s="718"/>
      <c r="I88" s="718"/>
      <c r="J88" s="718"/>
      <c r="K88" s="718"/>
      <c r="L88" s="718"/>
      <c r="M88" s="718"/>
      <c r="N88" s="718"/>
      <c r="O88" s="718"/>
      <c r="P88" s="718"/>
      <c r="Q88" s="704">
        <f t="shared" si="19"/>
        <v>0</v>
      </c>
      <c r="V88" s="699"/>
      <c r="X88" s="706"/>
      <c r="Y88" s="706"/>
    </row>
    <row r="89" spans="2:25" ht="17.25" hidden="1" customHeight="1">
      <c r="B89" s="33"/>
      <c r="C89" s="1161" t="s">
        <v>805</v>
      </c>
      <c r="D89" s="1161"/>
      <c r="E89" s="718"/>
      <c r="F89" s="718"/>
      <c r="G89" s="718"/>
      <c r="H89" s="718"/>
      <c r="I89" s="718"/>
      <c r="J89" s="718"/>
      <c r="K89" s="718"/>
      <c r="L89" s="718"/>
      <c r="M89" s="718"/>
      <c r="N89" s="718"/>
      <c r="O89" s="718"/>
      <c r="P89" s="718"/>
      <c r="Q89" s="704">
        <f t="shared" si="19"/>
        <v>0</v>
      </c>
      <c r="V89" s="699"/>
      <c r="X89" s="706"/>
      <c r="Y89" s="706"/>
    </row>
    <row r="90" spans="2:25" ht="17.25" hidden="1" customHeight="1">
      <c r="B90" s="33"/>
      <c r="C90" s="1161" t="s">
        <v>806</v>
      </c>
      <c r="D90" s="1161"/>
      <c r="E90" s="718"/>
      <c r="F90" s="718"/>
      <c r="G90" s="718"/>
      <c r="H90" s="718"/>
      <c r="I90" s="718"/>
      <c r="J90" s="718"/>
      <c r="K90" s="718"/>
      <c r="L90" s="718"/>
      <c r="M90" s="718"/>
      <c r="N90" s="718"/>
      <c r="O90" s="718"/>
      <c r="P90" s="718"/>
      <c r="Q90" s="704">
        <f t="shared" si="19"/>
        <v>0</v>
      </c>
      <c r="V90" s="699"/>
      <c r="X90" s="706"/>
      <c r="Y90" s="706"/>
    </row>
    <row r="91" spans="2:25" ht="17.25" hidden="1" customHeight="1">
      <c r="B91" s="33"/>
      <c r="C91" s="1161" t="s">
        <v>807</v>
      </c>
      <c r="D91" s="1161"/>
      <c r="E91" s="718"/>
      <c r="F91" s="718"/>
      <c r="G91" s="718"/>
      <c r="H91" s="718"/>
      <c r="I91" s="718"/>
      <c r="J91" s="718"/>
      <c r="K91" s="718"/>
      <c r="L91" s="718"/>
      <c r="M91" s="718"/>
      <c r="N91" s="718"/>
      <c r="O91" s="718"/>
      <c r="P91" s="718"/>
      <c r="Q91" s="704">
        <f t="shared" si="19"/>
        <v>0</v>
      </c>
      <c r="V91" s="699"/>
      <c r="X91" s="706"/>
      <c r="Y91" s="706"/>
    </row>
    <row r="92" spans="2:25" ht="17.25" customHeight="1">
      <c r="B92" s="33"/>
      <c r="C92" s="1161" t="s">
        <v>809</v>
      </c>
      <c r="D92" s="1161"/>
      <c r="E92" s="718"/>
      <c r="F92" s="718"/>
      <c r="G92" s="718"/>
      <c r="H92" s="718"/>
      <c r="I92" s="718"/>
      <c r="J92" s="718"/>
      <c r="K92" s="718"/>
      <c r="L92" s="718"/>
      <c r="M92" s="718"/>
      <c r="N92" s="718"/>
      <c r="O92" s="718"/>
      <c r="P92" s="718">
        <f>202.4+220</f>
        <v>422.4</v>
      </c>
      <c r="Q92" s="704">
        <f t="shared" si="19"/>
        <v>422.4</v>
      </c>
      <c r="V92" s="699"/>
      <c r="X92" s="706"/>
      <c r="Y92" s="706"/>
    </row>
    <row r="93" spans="2:25" ht="17.25" hidden="1" customHeight="1">
      <c r="B93" s="33"/>
      <c r="C93" s="1161" t="s">
        <v>849</v>
      </c>
      <c r="D93" s="1161"/>
      <c r="E93" s="718"/>
      <c r="F93" s="718"/>
      <c r="G93" s="718"/>
      <c r="H93" s="718"/>
      <c r="I93" s="718"/>
      <c r="J93" s="718"/>
      <c r="K93" s="718"/>
      <c r="L93" s="718"/>
      <c r="M93" s="718"/>
      <c r="N93" s="718"/>
      <c r="O93" s="718"/>
      <c r="P93" s="718"/>
      <c r="Q93" s="704">
        <f t="shared" si="19"/>
        <v>0</v>
      </c>
      <c r="V93" s="699"/>
      <c r="X93" s="706"/>
      <c r="Y93" s="706"/>
    </row>
    <row r="94" spans="2:25" ht="17.25" customHeight="1">
      <c r="B94" s="33"/>
      <c r="C94" s="1161" t="s">
        <v>850</v>
      </c>
      <c r="D94" s="1161"/>
      <c r="E94" s="718"/>
      <c r="F94" s="718"/>
      <c r="G94" s="718"/>
      <c r="H94" s="718"/>
      <c r="I94" s="718"/>
      <c r="J94" s="718"/>
      <c r="K94" s="718"/>
      <c r="L94" s="718"/>
      <c r="M94" s="718"/>
      <c r="N94" s="718"/>
      <c r="O94" s="718"/>
      <c r="P94" s="718">
        <f>99+36</f>
        <v>135</v>
      </c>
      <c r="Q94" s="704">
        <f t="shared" si="19"/>
        <v>135</v>
      </c>
      <c r="V94" s="699"/>
      <c r="X94" s="706"/>
      <c r="Y94" s="706"/>
    </row>
    <row r="95" spans="2:25" ht="17.25" customHeight="1">
      <c r="B95" s="33"/>
      <c r="C95" s="1161" t="s">
        <v>813</v>
      </c>
      <c r="D95" s="1161"/>
      <c r="E95" s="718"/>
      <c r="F95" s="718"/>
      <c r="G95" s="718"/>
      <c r="H95" s="718"/>
      <c r="I95" s="718"/>
      <c r="J95" s="718"/>
      <c r="K95" s="718"/>
      <c r="L95" s="718"/>
      <c r="M95" s="718"/>
      <c r="N95" s="718"/>
      <c r="O95" s="718"/>
      <c r="P95" s="718">
        <v>2594.88</v>
      </c>
      <c r="Q95" s="704">
        <f t="shared" si="19"/>
        <v>2594.88</v>
      </c>
      <c r="V95" s="699"/>
      <c r="X95" s="706"/>
      <c r="Y95" s="706"/>
    </row>
    <row r="96" spans="2:25" ht="17.25" customHeight="1">
      <c r="B96" s="33"/>
      <c r="C96" s="1164" t="s">
        <v>851</v>
      </c>
      <c r="D96" s="1164"/>
      <c r="E96" s="704">
        <f t="shared" ref="E96:Q96" si="20">SUM(E79:E80)-SUM(E82:E95)</f>
        <v>0</v>
      </c>
      <c r="F96" s="704">
        <f t="shared" si="20"/>
        <v>0</v>
      </c>
      <c r="G96" s="704">
        <f t="shared" si="20"/>
        <v>0</v>
      </c>
      <c r="H96" s="704">
        <f t="shared" si="20"/>
        <v>0</v>
      </c>
      <c r="I96" s="704">
        <f t="shared" si="20"/>
        <v>0</v>
      </c>
      <c r="J96" s="704">
        <f t="shared" si="20"/>
        <v>0</v>
      </c>
      <c r="K96" s="704">
        <f t="shared" si="20"/>
        <v>0</v>
      </c>
      <c r="L96" s="704">
        <f t="shared" si="20"/>
        <v>0</v>
      </c>
      <c r="M96" s="704">
        <f t="shared" si="20"/>
        <v>0</v>
      </c>
      <c r="N96" s="704">
        <f t="shared" si="20"/>
        <v>0</v>
      </c>
      <c r="O96" s="704">
        <f t="shared" si="20"/>
        <v>0</v>
      </c>
      <c r="P96" s="704">
        <f t="shared" si="20"/>
        <v>12911.13</v>
      </c>
      <c r="Q96" s="704">
        <f t="shared" si="20"/>
        <v>12911.13</v>
      </c>
      <c r="V96" s="699"/>
      <c r="X96" s="706"/>
      <c r="Y96" s="706"/>
    </row>
    <row r="97" spans="2:26" ht="7.5" customHeight="1">
      <c r="B97" s="33"/>
      <c r="C97" s="708"/>
      <c r="D97" s="708"/>
      <c r="E97" s="708"/>
      <c r="F97" s="708"/>
      <c r="G97" s="708"/>
      <c r="H97" s="708"/>
      <c r="I97" s="708"/>
      <c r="J97" s="708"/>
      <c r="K97" s="708"/>
      <c r="L97" s="708"/>
      <c r="M97" s="708"/>
      <c r="N97" s="708"/>
      <c r="O97" s="708"/>
      <c r="P97" s="708"/>
      <c r="Q97" s="708"/>
      <c r="V97" s="699"/>
    </row>
    <row r="98" spans="2:26" ht="30" customHeight="1">
      <c r="B98" s="33"/>
      <c r="C98" s="1106" t="s">
        <v>852</v>
      </c>
      <c r="D98" s="1133"/>
      <c r="E98" s="702" t="s">
        <v>834</v>
      </c>
      <c r="F98" s="702" t="s">
        <v>835</v>
      </c>
      <c r="G98" s="702" t="s">
        <v>836</v>
      </c>
      <c r="H98" s="702" t="s">
        <v>837</v>
      </c>
      <c r="I98" s="702" t="s">
        <v>838</v>
      </c>
      <c r="J98" s="702" t="s">
        <v>839</v>
      </c>
      <c r="K98" s="702" t="s">
        <v>840</v>
      </c>
      <c r="L98" s="702" t="s">
        <v>841</v>
      </c>
      <c r="M98" s="702" t="s">
        <v>842</v>
      </c>
      <c r="N98" s="702" t="s">
        <v>843</v>
      </c>
      <c r="O98" s="702" t="s">
        <v>844</v>
      </c>
      <c r="P98" s="702" t="s">
        <v>845</v>
      </c>
      <c r="Q98" s="703" t="s">
        <v>121</v>
      </c>
      <c r="V98" s="699"/>
      <c r="X98" s="1134" t="s">
        <v>789</v>
      </c>
      <c r="Y98" s="1135"/>
    </row>
    <row r="99" spans="2:26" ht="7.5" customHeight="1">
      <c r="B99" s="33"/>
      <c r="C99" s="714"/>
      <c r="D99" s="714"/>
      <c r="E99" s="714"/>
      <c r="F99" s="714"/>
      <c r="G99" s="714"/>
      <c r="H99" s="714"/>
      <c r="I99" s="714"/>
      <c r="J99" s="714"/>
      <c r="K99" s="714"/>
      <c r="L99" s="714"/>
      <c r="M99" s="714"/>
      <c r="N99" s="714"/>
      <c r="O99" s="714"/>
      <c r="P99" s="714"/>
      <c r="Q99" s="714"/>
      <c r="V99" s="699"/>
    </row>
    <row r="100" spans="2:26" ht="17.25" customHeight="1">
      <c r="B100" s="33"/>
      <c r="C100" s="1161" t="s">
        <v>853</v>
      </c>
      <c r="D100" s="1161"/>
      <c r="E100" s="718"/>
      <c r="F100" s="718"/>
      <c r="G100" s="718"/>
      <c r="H100" s="718"/>
      <c r="I100" s="718"/>
      <c r="J100" s="718"/>
      <c r="K100" s="718"/>
      <c r="L100" s="718"/>
      <c r="M100" s="718"/>
      <c r="N100" s="718"/>
      <c r="O100" s="718"/>
      <c r="P100" s="718">
        <f>12000*3+1000-12000</f>
        <v>25000</v>
      </c>
      <c r="Q100" s="704">
        <f>SUM(E100:P100)</f>
        <v>25000</v>
      </c>
      <c r="V100" s="699"/>
      <c r="X100" s="706"/>
      <c r="Y100" s="706"/>
    </row>
    <row r="101" spans="2:26" ht="17.25" customHeight="1">
      <c r="B101" s="33"/>
      <c r="C101" s="1161" t="s">
        <v>792</v>
      </c>
      <c r="D101" s="1161"/>
      <c r="E101" s="718"/>
      <c r="F101" s="718"/>
      <c r="G101" s="718"/>
      <c r="H101" s="718"/>
      <c r="I101" s="718"/>
      <c r="J101" s="718"/>
      <c r="K101" s="718"/>
      <c r="L101" s="718"/>
      <c r="M101" s="718"/>
      <c r="N101" s="718"/>
      <c r="O101" s="718"/>
      <c r="P101" s="718"/>
      <c r="Q101" s="704">
        <f>SUM(E101:P101)</f>
        <v>0</v>
      </c>
      <c r="V101" s="699"/>
      <c r="X101" s="706"/>
      <c r="Y101" s="706"/>
    </row>
    <row r="102" spans="2:26" ht="7.5" customHeight="1">
      <c r="B102" s="33"/>
      <c r="C102" s="727"/>
      <c r="D102" s="728"/>
      <c r="E102" s="708"/>
      <c r="F102" s="708"/>
      <c r="G102" s="708"/>
      <c r="H102" s="708"/>
      <c r="I102" s="708"/>
      <c r="J102" s="708"/>
      <c r="K102" s="708"/>
      <c r="L102" s="708"/>
      <c r="M102" s="708"/>
      <c r="N102" s="708"/>
      <c r="O102" s="708"/>
      <c r="P102" s="708"/>
      <c r="Q102" s="708"/>
      <c r="V102" s="699"/>
    </row>
    <row r="103" spans="2:26" ht="17.25" hidden="1" customHeight="1">
      <c r="B103" s="33"/>
      <c r="C103" s="1161" t="s">
        <v>795</v>
      </c>
      <c r="D103" s="1161"/>
      <c r="E103" s="718"/>
      <c r="F103" s="718"/>
      <c r="G103" s="718"/>
      <c r="H103" s="718"/>
      <c r="I103" s="718"/>
      <c r="J103" s="718"/>
      <c r="K103" s="718"/>
      <c r="L103" s="718"/>
      <c r="M103" s="718"/>
      <c r="N103" s="718"/>
      <c r="O103" s="718"/>
      <c r="P103" s="718"/>
      <c r="Q103" s="704">
        <f t="shared" ref="Q103:Q126" si="21">SUM(E103:P103)</f>
        <v>0</v>
      </c>
      <c r="V103" s="699"/>
      <c r="X103" s="706"/>
      <c r="Y103" s="706"/>
    </row>
    <row r="104" spans="2:26" ht="17.25" hidden="1" customHeight="1">
      <c r="B104" s="33"/>
      <c r="C104" s="1161" t="s">
        <v>796</v>
      </c>
      <c r="D104" s="1161"/>
      <c r="E104" s="718"/>
      <c r="F104" s="718"/>
      <c r="G104" s="718"/>
      <c r="H104" s="718"/>
      <c r="I104" s="718"/>
      <c r="J104" s="718"/>
      <c r="K104" s="718"/>
      <c r="L104" s="718"/>
      <c r="M104" s="718"/>
      <c r="N104" s="718"/>
      <c r="O104" s="718"/>
      <c r="P104" s="718"/>
      <c r="Q104" s="704">
        <f t="shared" si="21"/>
        <v>0</v>
      </c>
      <c r="V104" s="699"/>
      <c r="X104" s="706"/>
      <c r="Y104" s="706"/>
    </row>
    <row r="105" spans="2:26" ht="17.25" hidden="1" customHeight="1">
      <c r="B105" s="33"/>
      <c r="C105" s="1161" t="s">
        <v>797</v>
      </c>
      <c r="D105" s="1161"/>
      <c r="E105" s="718"/>
      <c r="F105" s="718"/>
      <c r="G105" s="718"/>
      <c r="H105" s="718"/>
      <c r="I105" s="718"/>
      <c r="J105" s="718"/>
      <c r="K105" s="718"/>
      <c r="L105" s="718"/>
      <c r="M105" s="718"/>
      <c r="N105" s="718"/>
      <c r="O105" s="718"/>
      <c r="P105" s="718"/>
      <c r="Q105" s="704">
        <f t="shared" si="21"/>
        <v>0</v>
      </c>
      <c r="V105" s="699"/>
      <c r="X105" s="706"/>
      <c r="Y105" s="706"/>
    </row>
    <row r="106" spans="2:26" ht="17.25" hidden="1" customHeight="1">
      <c r="B106" s="33"/>
      <c r="C106" s="1161" t="s">
        <v>798</v>
      </c>
      <c r="D106" s="1161"/>
      <c r="E106" s="718"/>
      <c r="F106" s="718"/>
      <c r="G106" s="718"/>
      <c r="H106" s="718"/>
      <c r="I106" s="718"/>
      <c r="J106" s="718"/>
      <c r="K106" s="718"/>
      <c r="L106" s="718"/>
      <c r="M106" s="718"/>
      <c r="N106" s="718"/>
      <c r="O106" s="718"/>
      <c r="P106" s="718"/>
      <c r="Q106" s="704">
        <f t="shared" si="21"/>
        <v>0</v>
      </c>
      <c r="V106" s="699"/>
      <c r="X106" s="706"/>
      <c r="Y106" s="706"/>
    </row>
    <row r="107" spans="2:26" ht="17.25" hidden="1" customHeight="1">
      <c r="B107" s="33"/>
      <c r="C107" s="1161" t="s">
        <v>799</v>
      </c>
      <c r="D107" s="1161"/>
      <c r="E107" s="718"/>
      <c r="F107" s="718"/>
      <c r="G107" s="718"/>
      <c r="H107" s="718"/>
      <c r="I107" s="718"/>
      <c r="J107" s="718"/>
      <c r="K107" s="718"/>
      <c r="L107" s="718"/>
      <c r="M107" s="718"/>
      <c r="N107" s="718"/>
      <c r="O107" s="718"/>
      <c r="P107" s="718"/>
      <c r="Q107" s="704">
        <f t="shared" si="21"/>
        <v>0</v>
      </c>
      <c r="V107" s="699"/>
      <c r="X107" s="706"/>
      <c r="Y107" s="706"/>
    </row>
    <row r="108" spans="2:26" ht="17.25" customHeight="1">
      <c r="B108" s="33"/>
      <c r="C108" s="1161" t="s">
        <v>800</v>
      </c>
      <c r="D108" s="1161"/>
      <c r="E108" s="718"/>
      <c r="F108" s="718"/>
      <c r="G108" s="718"/>
      <c r="H108" s="718"/>
      <c r="I108" s="718"/>
      <c r="J108" s="718"/>
      <c r="K108" s="718"/>
      <c r="L108" s="718"/>
      <c r="M108" s="718"/>
      <c r="N108" s="718"/>
      <c r="O108" s="718"/>
      <c r="P108" s="718">
        <v>452.92</v>
      </c>
      <c r="Q108" s="704">
        <f t="shared" si="21"/>
        <v>452.92</v>
      </c>
      <c r="V108" s="699"/>
      <c r="X108" s="1124" t="s">
        <v>870</v>
      </c>
      <c r="Y108" s="1124"/>
      <c r="Z108" s="74" t="s">
        <v>869</v>
      </c>
    </row>
    <row r="109" spans="2:26" ht="17.25" customHeight="1">
      <c r="B109" s="33"/>
      <c r="C109" s="1161" t="s">
        <v>801</v>
      </c>
      <c r="D109" s="1161"/>
      <c r="E109" s="718"/>
      <c r="F109" s="718"/>
      <c r="G109" s="718"/>
      <c r="H109" s="718"/>
      <c r="I109" s="718"/>
      <c r="J109" s="718"/>
      <c r="K109" s="718"/>
      <c r="L109" s="718"/>
      <c r="M109" s="718"/>
      <c r="N109" s="718"/>
      <c r="O109" s="718"/>
      <c r="P109" s="718">
        <v>1369</v>
      </c>
      <c r="Q109" s="704">
        <f t="shared" si="21"/>
        <v>1369</v>
      </c>
      <c r="V109" s="699"/>
      <c r="X109" s="732" t="s">
        <v>1016</v>
      </c>
      <c r="Y109" s="706"/>
      <c r="Z109" s="74" t="s">
        <v>1015</v>
      </c>
    </row>
    <row r="110" spans="2:26" ht="17.25" hidden="1" customHeight="1">
      <c r="B110" s="33"/>
      <c r="C110" s="1161" t="s">
        <v>802</v>
      </c>
      <c r="D110" s="1161"/>
      <c r="E110" s="718"/>
      <c r="F110" s="718"/>
      <c r="G110" s="718"/>
      <c r="H110" s="718"/>
      <c r="I110" s="718"/>
      <c r="J110" s="718"/>
      <c r="K110" s="718"/>
      <c r="L110" s="718"/>
      <c r="M110" s="718"/>
      <c r="N110" s="718"/>
      <c r="O110" s="718"/>
      <c r="P110" s="718"/>
      <c r="Q110" s="704">
        <f t="shared" si="21"/>
        <v>0</v>
      </c>
      <c r="V110" s="699"/>
      <c r="X110" s="706"/>
      <c r="Y110" s="706"/>
    </row>
    <row r="111" spans="2:26" ht="17.25" customHeight="1">
      <c r="B111" s="33"/>
      <c r="C111" s="1161" t="s">
        <v>803</v>
      </c>
      <c r="D111" s="1161"/>
      <c r="E111" s="718"/>
      <c r="F111" s="718"/>
      <c r="G111" s="718"/>
      <c r="H111" s="718"/>
      <c r="I111" s="718"/>
      <c r="J111" s="718"/>
      <c r="K111" s="718"/>
      <c r="L111" s="718"/>
      <c r="M111" s="718"/>
      <c r="N111" s="718"/>
      <c r="O111" s="718"/>
      <c r="P111" s="718">
        <v>1510.16</v>
      </c>
      <c r="Q111" s="704">
        <f t="shared" si="21"/>
        <v>1510.16</v>
      </c>
      <c r="V111" s="699"/>
      <c r="X111" s="1124" t="s">
        <v>871</v>
      </c>
      <c r="Y111" s="1124"/>
    </row>
    <row r="112" spans="2:26" ht="17.25" hidden="1" customHeight="1">
      <c r="B112" s="33"/>
      <c r="C112" s="1161" t="s">
        <v>804</v>
      </c>
      <c r="D112" s="1161"/>
      <c r="E112" s="718"/>
      <c r="F112" s="718"/>
      <c r="G112" s="718"/>
      <c r="H112" s="718"/>
      <c r="I112" s="718"/>
      <c r="J112" s="718"/>
      <c r="K112" s="718"/>
      <c r="L112" s="718"/>
      <c r="M112" s="718"/>
      <c r="N112" s="718"/>
      <c r="O112" s="718"/>
      <c r="P112" s="718"/>
      <c r="Q112" s="704">
        <f t="shared" si="21"/>
        <v>0</v>
      </c>
      <c r="V112" s="699"/>
      <c r="X112" s="706"/>
      <c r="Y112" s="706"/>
    </row>
    <row r="113" spans="2:26" ht="17.25" hidden="1" customHeight="1">
      <c r="B113" s="33"/>
      <c r="C113" s="1161" t="s">
        <v>805</v>
      </c>
      <c r="D113" s="1161"/>
      <c r="E113" s="718"/>
      <c r="F113" s="718"/>
      <c r="G113" s="718"/>
      <c r="H113" s="718"/>
      <c r="I113" s="718"/>
      <c r="J113" s="718"/>
      <c r="K113" s="718"/>
      <c r="L113" s="718"/>
      <c r="M113" s="718"/>
      <c r="N113" s="718"/>
      <c r="O113" s="718"/>
      <c r="P113" s="718"/>
      <c r="Q113" s="704">
        <f t="shared" si="21"/>
        <v>0</v>
      </c>
      <c r="V113" s="699"/>
      <c r="X113" s="706"/>
      <c r="Y113" s="706"/>
    </row>
    <row r="114" spans="2:26" ht="17.25" hidden="1" customHeight="1">
      <c r="B114" s="33"/>
      <c r="C114" s="1161" t="s">
        <v>806</v>
      </c>
      <c r="D114" s="1161"/>
      <c r="E114" s="718"/>
      <c r="F114" s="718"/>
      <c r="G114" s="718"/>
      <c r="H114" s="718"/>
      <c r="I114" s="718"/>
      <c r="J114" s="718"/>
      <c r="K114" s="718"/>
      <c r="L114" s="718"/>
      <c r="M114" s="718"/>
      <c r="N114" s="718"/>
      <c r="O114" s="718"/>
      <c r="P114" s="718"/>
      <c r="Q114" s="704">
        <f t="shared" si="21"/>
        <v>0</v>
      </c>
      <c r="V114" s="699"/>
      <c r="X114" s="706"/>
      <c r="Y114" s="706"/>
    </row>
    <row r="115" spans="2:26" ht="17.25" hidden="1" customHeight="1">
      <c r="B115" s="33"/>
      <c r="C115" s="1161" t="s">
        <v>807</v>
      </c>
      <c r="D115" s="1161"/>
      <c r="E115" s="718"/>
      <c r="F115" s="718"/>
      <c r="G115" s="718"/>
      <c r="H115" s="718"/>
      <c r="I115" s="718"/>
      <c r="J115" s="718"/>
      <c r="K115" s="718"/>
      <c r="L115" s="718"/>
      <c r="M115" s="718"/>
      <c r="N115" s="718"/>
      <c r="O115" s="718"/>
      <c r="P115" s="718"/>
      <c r="Q115" s="704">
        <f t="shared" si="21"/>
        <v>0</v>
      </c>
      <c r="V115" s="699"/>
      <c r="X115" s="706"/>
      <c r="Y115" s="706"/>
    </row>
    <row r="116" spans="2:26" ht="17.25" hidden="1" customHeight="1">
      <c r="B116" s="33"/>
      <c r="C116" s="1161" t="s">
        <v>847</v>
      </c>
      <c r="D116" s="1161"/>
      <c r="E116" s="718"/>
      <c r="F116" s="718"/>
      <c r="G116" s="718"/>
      <c r="H116" s="718"/>
      <c r="I116" s="718"/>
      <c r="J116" s="718"/>
      <c r="K116" s="718"/>
      <c r="L116" s="718"/>
      <c r="M116" s="718"/>
      <c r="N116" s="718"/>
      <c r="O116" s="718"/>
      <c r="P116" s="718"/>
      <c r="Q116" s="704">
        <f t="shared" si="21"/>
        <v>0</v>
      </c>
      <c r="V116" s="699"/>
      <c r="X116" s="706"/>
      <c r="Y116" s="706"/>
    </row>
    <row r="117" spans="2:26" ht="17.25" customHeight="1">
      <c r="B117" s="33"/>
      <c r="C117" s="1161" t="s">
        <v>809</v>
      </c>
      <c r="D117" s="1161"/>
      <c r="E117" s="718"/>
      <c r="F117" s="718"/>
      <c r="G117" s="718"/>
      <c r="H117" s="718"/>
      <c r="I117" s="718"/>
      <c r="J117" s="718"/>
      <c r="K117" s="718"/>
      <c r="L117" s="718"/>
      <c r="M117" s="718"/>
      <c r="N117" s="718"/>
      <c r="O117" s="718"/>
      <c r="P117" s="718">
        <f>86+86</f>
        <v>172</v>
      </c>
      <c r="Q117" s="704">
        <f t="shared" si="21"/>
        <v>172</v>
      </c>
      <c r="V117" s="699"/>
      <c r="X117" s="1124" t="s">
        <v>874</v>
      </c>
      <c r="Y117" s="1124"/>
    </row>
    <row r="118" spans="2:26" ht="17.25" hidden="1" customHeight="1">
      <c r="B118" s="33"/>
      <c r="C118" s="1162" t="s">
        <v>854</v>
      </c>
      <c r="D118" s="1162"/>
      <c r="E118" s="718"/>
      <c r="F118" s="718"/>
      <c r="G118" s="718"/>
      <c r="H118" s="718"/>
      <c r="I118" s="718"/>
      <c r="J118" s="718"/>
      <c r="K118" s="718"/>
      <c r="L118" s="718"/>
      <c r="M118" s="718"/>
      <c r="N118" s="718"/>
      <c r="O118" s="718"/>
      <c r="P118" s="718"/>
      <c r="Q118" s="704">
        <f t="shared" si="21"/>
        <v>0</v>
      </c>
      <c r="V118" s="699"/>
      <c r="X118" s="706"/>
      <c r="Y118" s="706"/>
    </row>
    <row r="119" spans="2:26" ht="17.25" hidden="1" customHeight="1">
      <c r="B119" s="33"/>
      <c r="C119" s="1162" t="s">
        <v>854</v>
      </c>
      <c r="D119" s="1162"/>
      <c r="E119" s="718"/>
      <c r="F119" s="718"/>
      <c r="G119" s="718"/>
      <c r="H119" s="718"/>
      <c r="I119" s="718"/>
      <c r="J119" s="718"/>
      <c r="K119" s="718"/>
      <c r="L119" s="718"/>
      <c r="M119" s="718"/>
      <c r="N119" s="718"/>
      <c r="O119" s="718"/>
      <c r="P119" s="718"/>
      <c r="Q119" s="704">
        <f t="shared" si="21"/>
        <v>0</v>
      </c>
      <c r="V119" s="699"/>
      <c r="X119" s="706"/>
      <c r="Y119" s="706"/>
    </row>
    <row r="120" spans="2:26" ht="17.25" customHeight="1">
      <c r="B120" s="33"/>
      <c r="C120" s="1161" t="s">
        <v>810</v>
      </c>
      <c r="D120" s="1161"/>
      <c r="E120" s="718"/>
      <c r="F120" s="718"/>
      <c r="G120" s="718"/>
      <c r="H120" s="718"/>
      <c r="I120" s="718"/>
      <c r="J120" s="718"/>
      <c r="K120" s="718"/>
      <c r="L120" s="718"/>
      <c r="M120" s="718"/>
      <c r="N120" s="718"/>
      <c r="O120" s="718"/>
      <c r="P120" s="718">
        <v>2278</v>
      </c>
      <c r="Q120" s="704">
        <f t="shared" si="21"/>
        <v>2278</v>
      </c>
      <c r="V120" s="699"/>
      <c r="X120" s="732" t="s">
        <v>1016</v>
      </c>
      <c r="Y120" s="706"/>
      <c r="Z120" s="74" t="s">
        <v>1015</v>
      </c>
    </row>
    <row r="121" spans="2:26" ht="17.25" hidden="1" customHeight="1">
      <c r="B121" s="33"/>
      <c r="C121" s="1161" t="s">
        <v>811</v>
      </c>
      <c r="D121" s="1161"/>
      <c r="E121" s="718"/>
      <c r="F121" s="718"/>
      <c r="G121" s="718"/>
      <c r="H121" s="718"/>
      <c r="I121" s="718"/>
      <c r="J121" s="718"/>
      <c r="K121" s="718"/>
      <c r="L121" s="718"/>
      <c r="M121" s="718"/>
      <c r="N121" s="718"/>
      <c r="O121" s="718"/>
      <c r="P121" s="718"/>
      <c r="Q121" s="704">
        <f t="shared" si="21"/>
        <v>0</v>
      </c>
      <c r="V121" s="699"/>
      <c r="X121" s="706"/>
      <c r="Y121" s="706"/>
    </row>
    <row r="122" spans="2:26" ht="17.25" hidden="1" customHeight="1">
      <c r="B122" s="33"/>
      <c r="C122" s="1161" t="s">
        <v>812</v>
      </c>
      <c r="D122" s="1161"/>
      <c r="E122" s="718"/>
      <c r="F122" s="718"/>
      <c r="G122" s="718"/>
      <c r="H122" s="718"/>
      <c r="I122" s="718"/>
      <c r="J122" s="718"/>
      <c r="K122" s="718"/>
      <c r="L122" s="718"/>
      <c r="M122" s="718"/>
      <c r="N122" s="718"/>
      <c r="O122" s="718"/>
      <c r="P122" s="718"/>
      <c r="Q122" s="704">
        <f t="shared" si="21"/>
        <v>0</v>
      </c>
      <c r="V122" s="699"/>
      <c r="X122" s="706"/>
      <c r="Y122" s="706"/>
    </row>
    <row r="123" spans="2:26" ht="17.25" customHeight="1">
      <c r="B123" s="33"/>
      <c r="C123" s="1161" t="s">
        <v>813</v>
      </c>
      <c r="D123" s="1161"/>
      <c r="E123" s="718"/>
      <c r="F123" s="718"/>
      <c r="G123" s="718"/>
      <c r="H123" s="718"/>
      <c r="I123" s="718"/>
      <c r="J123" s="718"/>
      <c r="K123" s="718"/>
      <c r="L123" s="718"/>
      <c r="M123" s="718"/>
      <c r="N123" s="718"/>
      <c r="O123" s="718"/>
      <c r="P123" s="718">
        <f>419.66+679.79</f>
        <v>1099.45</v>
      </c>
      <c r="Q123" s="704">
        <f t="shared" si="21"/>
        <v>1099.45</v>
      </c>
      <c r="V123" s="699"/>
      <c r="X123" s="1124" t="s">
        <v>873</v>
      </c>
      <c r="Y123" s="1124"/>
      <c r="Z123" s="74" t="s">
        <v>872</v>
      </c>
    </row>
    <row r="124" spans="2:26" ht="17.25" hidden="1" customHeight="1">
      <c r="B124" s="33"/>
      <c r="C124" s="1161" t="s">
        <v>814</v>
      </c>
      <c r="D124" s="1161"/>
      <c r="E124" s="718"/>
      <c r="F124" s="718"/>
      <c r="G124" s="718"/>
      <c r="H124" s="718"/>
      <c r="I124" s="718"/>
      <c r="J124" s="718"/>
      <c r="K124" s="718"/>
      <c r="L124" s="718"/>
      <c r="M124" s="718"/>
      <c r="N124" s="718"/>
      <c r="O124" s="718"/>
      <c r="P124" s="718"/>
      <c r="Q124" s="704">
        <f t="shared" si="21"/>
        <v>0</v>
      </c>
      <c r="V124" s="699"/>
      <c r="X124" s="706"/>
      <c r="Y124" s="706"/>
    </row>
    <row r="125" spans="2:26" ht="17.25" customHeight="1">
      <c r="B125" s="33"/>
      <c r="C125" s="1162" t="s">
        <v>910</v>
      </c>
      <c r="D125" s="1162"/>
      <c r="E125" s="718"/>
      <c r="F125" s="718"/>
      <c r="G125" s="718"/>
      <c r="H125" s="718"/>
      <c r="I125" s="718"/>
      <c r="J125" s="718"/>
      <c r="K125" s="718"/>
      <c r="L125" s="718"/>
      <c r="M125" s="718"/>
      <c r="N125" s="718"/>
      <c r="O125" s="718"/>
      <c r="P125" s="718">
        <v>715</v>
      </c>
      <c r="Q125" s="704">
        <f t="shared" si="21"/>
        <v>715</v>
      </c>
      <c r="V125" s="699"/>
      <c r="X125" s="732" t="s">
        <v>909</v>
      </c>
      <c r="Y125" s="706"/>
    </row>
    <row r="126" spans="2:26" ht="17.25" hidden="1" customHeight="1">
      <c r="B126" s="33"/>
      <c r="C126" s="1162" t="s">
        <v>855</v>
      </c>
      <c r="D126" s="1162"/>
      <c r="E126" s="718"/>
      <c r="F126" s="718"/>
      <c r="G126" s="718"/>
      <c r="H126" s="718"/>
      <c r="I126" s="718"/>
      <c r="J126" s="718"/>
      <c r="K126" s="718"/>
      <c r="L126" s="718"/>
      <c r="M126" s="718"/>
      <c r="N126" s="718"/>
      <c r="O126" s="718"/>
      <c r="P126" s="718"/>
      <c r="Q126" s="704">
        <f t="shared" si="21"/>
        <v>0</v>
      </c>
      <c r="V126" s="699"/>
      <c r="X126" s="706"/>
      <c r="Y126" s="706"/>
    </row>
    <row r="127" spans="2:26" ht="17.25" customHeight="1">
      <c r="B127" s="33"/>
      <c r="C127" s="1164" t="s">
        <v>851</v>
      </c>
      <c r="D127" s="1164"/>
      <c r="E127" s="730">
        <f>SUM(E100:E101)-SUM(E103:E126)</f>
        <v>0</v>
      </c>
      <c r="F127" s="730">
        <f t="shared" ref="F127:Q127" si="22">SUM(F100:F101)-SUM(F103:F126)</f>
        <v>0</v>
      </c>
      <c r="G127" s="730">
        <f t="shared" si="22"/>
        <v>0</v>
      </c>
      <c r="H127" s="730">
        <f t="shared" si="22"/>
        <v>0</v>
      </c>
      <c r="I127" s="730">
        <f t="shared" si="22"/>
        <v>0</v>
      </c>
      <c r="J127" s="730">
        <f t="shared" si="22"/>
        <v>0</v>
      </c>
      <c r="K127" s="730">
        <f t="shared" si="22"/>
        <v>0</v>
      </c>
      <c r="L127" s="730">
        <f t="shared" si="22"/>
        <v>0</v>
      </c>
      <c r="M127" s="730">
        <f t="shared" si="22"/>
        <v>0</v>
      </c>
      <c r="N127" s="730">
        <f t="shared" si="22"/>
        <v>0</v>
      </c>
      <c r="O127" s="730">
        <f t="shared" si="22"/>
        <v>0</v>
      </c>
      <c r="P127" s="730">
        <f>SUM(P100:P101)-SUM(P103:P126)</f>
        <v>17403.47</v>
      </c>
      <c r="Q127" s="730">
        <f t="shared" si="22"/>
        <v>17403.47</v>
      </c>
      <c r="V127" s="699"/>
      <c r="X127" s="706"/>
      <c r="Y127" s="706"/>
    </row>
    <row r="128" spans="2:26" ht="17.25" customHeight="1">
      <c r="B128" s="33"/>
      <c r="C128" s="1164" t="s">
        <v>856</v>
      </c>
      <c r="D128" s="1164"/>
      <c r="E128" s="731">
        <f t="shared" ref="E128:Q128" si="23">E96+E127</f>
        <v>0</v>
      </c>
      <c r="F128" s="731">
        <f t="shared" si="23"/>
        <v>0</v>
      </c>
      <c r="G128" s="731">
        <f t="shared" si="23"/>
        <v>0</v>
      </c>
      <c r="H128" s="731">
        <f t="shared" si="23"/>
        <v>0</v>
      </c>
      <c r="I128" s="731">
        <f t="shared" si="23"/>
        <v>0</v>
      </c>
      <c r="J128" s="731">
        <f t="shared" si="23"/>
        <v>0</v>
      </c>
      <c r="K128" s="731">
        <f t="shared" si="23"/>
        <v>0</v>
      </c>
      <c r="L128" s="731">
        <f t="shared" si="23"/>
        <v>0</v>
      </c>
      <c r="M128" s="731">
        <f t="shared" si="23"/>
        <v>0</v>
      </c>
      <c r="N128" s="731">
        <f t="shared" si="23"/>
        <v>0</v>
      </c>
      <c r="O128" s="731">
        <f t="shared" si="23"/>
        <v>0</v>
      </c>
      <c r="P128" s="731">
        <f t="shared" si="23"/>
        <v>30314.6</v>
      </c>
      <c r="Q128" s="731">
        <f t="shared" si="23"/>
        <v>30314.6</v>
      </c>
      <c r="V128" s="699"/>
      <c r="X128" s="706"/>
      <c r="Y128" s="706"/>
    </row>
    <row r="129" spans="1:25" ht="7.5" customHeight="1">
      <c r="B129" s="35"/>
      <c r="C129" s="36"/>
      <c r="D129" s="36"/>
      <c r="E129" s="36"/>
      <c r="F129" s="36"/>
      <c r="G129" s="36"/>
      <c r="H129" s="36"/>
      <c r="I129" s="36"/>
      <c r="J129" s="36"/>
      <c r="K129" s="36"/>
      <c r="L129" s="36"/>
      <c r="M129" s="36"/>
      <c r="N129" s="36"/>
      <c r="O129" s="36"/>
      <c r="P129" s="36"/>
      <c r="Q129" s="36"/>
      <c r="R129" s="36"/>
      <c r="S129" s="36"/>
      <c r="T129" s="36"/>
      <c r="U129" s="36"/>
      <c r="V129" s="37"/>
    </row>
    <row r="130" spans="1:25" ht="7.5" customHeight="1">
      <c r="C130" s="34"/>
      <c r="D130" s="34"/>
      <c r="E130" s="34"/>
      <c r="F130" s="34"/>
      <c r="G130" s="34"/>
      <c r="H130" s="34"/>
      <c r="I130" s="34"/>
      <c r="J130" s="34"/>
      <c r="K130" s="34"/>
      <c r="L130" s="34"/>
      <c r="M130" s="34"/>
      <c r="N130" s="34"/>
      <c r="O130" s="34"/>
      <c r="P130" s="34"/>
      <c r="Q130" s="34"/>
      <c r="R130" s="34"/>
      <c r="S130" s="34"/>
      <c r="T130" s="34"/>
      <c r="U130" s="34"/>
    </row>
    <row r="131" spans="1:25" ht="18.600000000000001" customHeight="1">
      <c r="A131" s="700" t="s">
        <v>111</v>
      </c>
      <c r="B131" s="1140" t="s">
        <v>857</v>
      </c>
      <c r="C131" s="1140"/>
      <c r="D131" s="1140"/>
      <c r="E131" s="1140"/>
      <c r="F131" s="1158" t="s">
        <v>867</v>
      </c>
      <c r="G131" s="1165"/>
      <c r="H131" s="1165"/>
      <c r="I131" s="685"/>
      <c r="J131" s="685"/>
      <c r="K131" s="685"/>
      <c r="L131" s="685"/>
      <c r="M131" s="685"/>
      <c r="N131" s="685"/>
      <c r="O131" s="685"/>
      <c r="P131" s="685"/>
      <c r="Q131" s="685"/>
      <c r="R131" s="685"/>
      <c r="S131" s="685"/>
      <c r="T131" s="685"/>
      <c r="U131" s="685"/>
    </row>
    <row r="132" spans="1:25" ht="7.5" hidden="1" customHeight="1">
      <c r="B132" s="695"/>
      <c r="C132" s="696"/>
      <c r="D132" s="696"/>
      <c r="E132" s="696"/>
      <c r="F132" s="696"/>
      <c r="G132" s="696"/>
      <c r="H132" s="696"/>
      <c r="I132" s="696"/>
      <c r="J132" s="696"/>
      <c r="K132" s="696"/>
      <c r="L132" s="696"/>
      <c r="M132" s="696"/>
      <c r="N132" s="696"/>
      <c r="O132" s="696"/>
      <c r="P132" s="696"/>
      <c r="Q132" s="696"/>
      <c r="R132" s="696"/>
      <c r="S132" s="696"/>
      <c r="T132" s="696"/>
      <c r="U132" s="696"/>
      <c r="V132" s="697"/>
    </row>
    <row r="133" spans="1:25" ht="24.95" hidden="1" customHeight="1">
      <c r="B133" s="33"/>
      <c r="C133" s="36"/>
      <c r="D133" s="36"/>
      <c r="E133" s="36"/>
      <c r="F133" s="36"/>
      <c r="G133" s="36"/>
      <c r="H133" s="1106" t="s">
        <v>821</v>
      </c>
      <c r="I133" s="1133"/>
      <c r="J133" s="1133"/>
      <c r="K133" s="1133"/>
      <c r="L133" s="1166"/>
      <c r="M133" s="1148" t="s">
        <v>822</v>
      </c>
      <c r="N133" s="1149"/>
      <c r="O133" s="1149"/>
      <c r="P133" s="1149"/>
      <c r="Q133" s="1150"/>
      <c r="V133" s="699"/>
    </row>
    <row r="134" spans="1:25" ht="45" hidden="1" customHeight="1">
      <c r="B134" s="33"/>
      <c r="C134" s="1151" t="str">
        <f>IF(E145="","",E145)</f>
        <v>28 Greygum Road, TAREE NSW 2430</v>
      </c>
      <c r="D134" s="1152"/>
      <c r="E134" s="1152"/>
      <c r="F134" s="710"/>
      <c r="G134" s="702" t="s">
        <v>823</v>
      </c>
      <c r="H134" s="701" t="s">
        <v>654</v>
      </c>
      <c r="I134" s="702" t="s">
        <v>386</v>
      </c>
      <c r="J134" s="702" t="s">
        <v>810</v>
      </c>
      <c r="K134" s="702" t="s">
        <v>824</v>
      </c>
      <c r="L134" s="711" t="s">
        <v>825</v>
      </c>
      <c r="M134" s="702" t="s">
        <v>654</v>
      </c>
      <c r="N134" s="702" t="s">
        <v>386</v>
      </c>
      <c r="O134" s="712" t="s">
        <v>810</v>
      </c>
      <c r="P134" s="712" t="s">
        <v>824</v>
      </c>
      <c r="Q134" s="703" t="s">
        <v>826</v>
      </c>
      <c r="V134" s="699"/>
      <c r="X134" s="1134" t="s">
        <v>789</v>
      </c>
      <c r="Y134" s="1135"/>
    </row>
    <row r="135" spans="1:25" ht="7.15" hidden="1" customHeight="1">
      <c r="B135" s="33"/>
      <c r="C135" s="713"/>
      <c r="D135" s="713"/>
      <c r="E135" s="713"/>
      <c r="F135" s="713"/>
      <c r="G135" s="714"/>
      <c r="H135" s="714"/>
      <c r="I135" s="714"/>
      <c r="J135" s="714"/>
      <c r="K135" s="714"/>
      <c r="L135" s="714"/>
      <c r="M135" s="714"/>
      <c r="N135" s="715" t="s">
        <v>827</v>
      </c>
      <c r="Q135" s="714"/>
      <c r="V135" s="699"/>
    </row>
    <row r="136" spans="1:25" ht="16.899999999999999" hidden="1" customHeight="1">
      <c r="B136" s="33"/>
      <c r="C136" s="1153" t="str">
        <f ca="1">$B$5</f>
        <v>The Schubert Superannuation Fund</v>
      </c>
      <c r="D136" s="1153"/>
      <c r="E136" s="1153"/>
      <c r="F136" s="716"/>
      <c r="G136" s="717">
        <v>1</v>
      </c>
      <c r="H136" s="704">
        <f>IF(G136="",0,SUM($Q$151,$Q$152,$Q$172,$Q$173)*G136)</f>
        <v>19586.439999999999</v>
      </c>
      <c r="I136" s="704">
        <f>IF(G136="",0,$Q$184*G136)</f>
        <v>0</v>
      </c>
      <c r="J136" s="704">
        <f>IF(G136="",0,$Q$192*G136)</f>
        <v>0</v>
      </c>
      <c r="K136" s="704">
        <f>IF(G136="",0,(SUM(($Q$154:$Q$167),($Q$175:$Q$199))-$Q$184-$Q$192)*G136)</f>
        <v>9721.6099999999988</v>
      </c>
      <c r="L136" s="704">
        <f>H136-SUM(I136:K136)</f>
        <v>9864.83</v>
      </c>
      <c r="M136" s="704">
        <f>$K$29</f>
        <v>0</v>
      </c>
      <c r="N136" s="704">
        <f>$K$40</f>
        <v>0</v>
      </c>
      <c r="O136" s="704">
        <f>$K$46</f>
        <v>0</v>
      </c>
      <c r="P136" s="704">
        <f>$K$51-$K$40-$K$46</f>
        <v>0</v>
      </c>
      <c r="Q136" s="704">
        <f>SUM(L136:M136)-SUM(N136:P136)</f>
        <v>9864.83</v>
      </c>
      <c r="V136" s="699"/>
      <c r="X136" s="706"/>
      <c r="Y136" s="706"/>
    </row>
    <row r="137" spans="1:25" ht="16.899999999999999" hidden="1" customHeight="1">
      <c r="B137" s="33"/>
      <c r="C137" s="1154" t="s">
        <v>828</v>
      </c>
      <c r="D137" s="1154"/>
      <c r="E137" s="1154"/>
      <c r="F137" s="716"/>
      <c r="G137" s="717"/>
      <c r="H137" s="704">
        <f t="shared" ref="H137:H139" si="24">IF(G137="",0,SUM($Q$151,$Q$152,$Q$172,$Q$173)*G137)</f>
        <v>0</v>
      </c>
      <c r="I137" s="704">
        <f t="shared" ref="I137:I139" si="25">IF(G137="",0,$Q$184*G137)</f>
        <v>0</v>
      </c>
      <c r="J137" s="704">
        <f t="shared" ref="J137:J139" si="26">IF(G137="",0,$Q$192*G137)</f>
        <v>0</v>
      </c>
      <c r="K137" s="704">
        <f>IF(G137="",0,(SUM(($Q$154:$Q$167),($Q$175:$Q$199))-$Q$184-$Q$192)*G137)</f>
        <v>0</v>
      </c>
      <c r="L137" s="704">
        <f>H137-SUM(I137:K137)</f>
        <v>0</v>
      </c>
      <c r="M137" s="718"/>
      <c r="N137" s="718"/>
      <c r="O137" s="718"/>
      <c r="P137" s="718"/>
      <c r="Q137" s="704">
        <f>SUM(L137:M137)-SUM(N137:P137)</f>
        <v>0</v>
      </c>
      <c r="V137" s="699"/>
      <c r="X137" s="706"/>
      <c r="Y137" s="706"/>
    </row>
    <row r="138" spans="1:25" ht="16.899999999999999" hidden="1" customHeight="1">
      <c r="B138" s="33"/>
      <c r="C138" s="1154" t="s">
        <v>828</v>
      </c>
      <c r="D138" s="1154"/>
      <c r="E138" s="1154"/>
      <c r="F138" s="716"/>
      <c r="G138" s="717"/>
      <c r="H138" s="704">
        <f t="shared" si="24"/>
        <v>0</v>
      </c>
      <c r="I138" s="704">
        <f t="shared" si="25"/>
        <v>0</v>
      </c>
      <c r="J138" s="704">
        <f t="shared" si="26"/>
        <v>0</v>
      </c>
      <c r="K138" s="704">
        <f>IF(G138="",0,(SUM(($Q$154:$Q$167),($Q$175:$Q$199))-$Q$184-$Q$192)*G138)</f>
        <v>0</v>
      </c>
      <c r="L138" s="704">
        <f>H138-SUM(I138:K138)</f>
        <v>0</v>
      </c>
      <c r="M138" s="718"/>
      <c r="N138" s="718"/>
      <c r="O138" s="718"/>
      <c r="P138" s="718"/>
      <c r="Q138" s="704">
        <f>SUM(L138:M138)-SUM(N138:P138)</f>
        <v>0</v>
      </c>
      <c r="V138" s="699"/>
      <c r="X138" s="706"/>
      <c r="Y138" s="706"/>
    </row>
    <row r="139" spans="1:25" ht="16.899999999999999" hidden="1" customHeight="1">
      <c r="B139" s="33"/>
      <c r="C139" s="1154" t="s">
        <v>828</v>
      </c>
      <c r="D139" s="1154"/>
      <c r="E139" s="1154"/>
      <c r="F139" s="716"/>
      <c r="G139" s="717"/>
      <c r="H139" s="704">
        <f t="shared" si="24"/>
        <v>0</v>
      </c>
      <c r="I139" s="704">
        <f t="shared" si="25"/>
        <v>0</v>
      </c>
      <c r="J139" s="704">
        <f t="shared" si="26"/>
        <v>0</v>
      </c>
      <c r="K139" s="704">
        <f>IF(G139="",0,(SUM(($Q$154:$Q$167),($Q$175:$Q$199))-$Q$184-$Q$192)*G139)</f>
        <v>0</v>
      </c>
      <c r="L139" s="704">
        <f>H139-SUM(I139:K139)</f>
        <v>0</v>
      </c>
      <c r="M139" s="718"/>
      <c r="N139" s="718"/>
      <c r="O139" s="718"/>
      <c r="P139" s="718"/>
      <c r="Q139" s="704">
        <f>SUM(L139:M139)-SUM(N139:P139)</f>
        <v>0</v>
      </c>
      <c r="V139" s="699"/>
      <c r="X139" s="706"/>
      <c r="Y139" s="706"/>
    </row>
    <row r="140" spans="1:25" ht="16.899999999999999" hidden="1" customHeight="1">
      <c r="B140" s="33"/>
      <c r="C140" s="34"/>
      <c r="D140" s="34"/>
      <c r="E140" s="34"/>
      <c r="F140" s="34"/>
      <c r="G140" s="719">
        <f>IF(SUM(G136:G139)=0,0,SUM(G136:G139))</f>
        <v>1</v>
      </c>
      <c r="H140" s="707">
        <f t="shared" ref="H140" si="27">SUM(H136:H139)</f>
        <v>19586.439999999999</v>
      </c>
      <c r="I140" s="707">
        <f t="shared" ref="I140:O140" si="28">SUM(I136:I139)</f>
        <v>0</v>
      </c>
      <c r="J140" s="707">
        <f t="shared" si="28"/>
        <v>0</v>
      </c>
      <c r="K140" s="707">
        <f t="shared" si="28"/>
        <v>9721.6099999999988</v>
      </c>
      <c r="L140" s="707">
        <f t="shared" si="28"/>
        <v>9864.83</v>
      </c>
      <c r="M140" s="707">
        <f t="shared" si="28"/>
        <v>0</v>
      </c>
      <c r="N140" s="707">
        <f t="shared" si="28"/>
        <v>0</v>
      </c>
      <c r="O140" s="707">
        <f t="shared" si="28"/>
        <v>0</v>
      </c>
      <c r="P140" s="707">
        <f>SUM(P136:P139)</f>
        <v>0</v>
      </c>
      <c r="Q140" s="707">
        <f>SUM(Q136:Q139)</f>
        <v>9864.83</v>
      </c>
      <c r="V140" s="699"/>
      <c r="X140" s="706"/>
      <c r="Y140" s="706"/>
    </row>
    <row r="141" spans="1:25" ht="7.5" hidden="1" customHeight="1">
      <c r="B141" s="35"/>
      <c r="C141" s="36"/>
      <c r="D141" s="36"/>
      <c r="E141" s="36"/>
      <c r="F141" s="36"/>
      <c r="G141" s="36"/>
      <c r="H141" s="36"/>
      <c r="I141" s="36"/>
      <c r="J141" s="36"/>
      <c r="K141" s="36"/>
      <c r="L141" s="36"/>
      <c r="M141" s="36"/>
      <c r="N141" s="36"/>
      <c r="O141" s="36"/>
      <c r="P141" s="36"/>
      <c r="Q141" s="36"/>
      <c r="R141" s="36"/>
      <c r="S141" s="36"/>
      <c r="T141" s="36"/>
      <c r="U141" s="36"/>
      <c r="V141" s="37"/>
      <c r="X141" s="720"/>
      <c r="Y141" s="720"/>
    </row>
    <row r="142" spans="1:25" ht="7.5" customHeight="1">
      <c r="C142" s="34"/>
      <c r="D142" s="34"/>
      <c r="E142" s="34"/>
      <c r="F142" s="34"/>
      <c r="G142" s="34"/>
      <c r="H142" s="34"/>
      <c r="I142" s="34"/>
      <c r="J142" s="34"/>
      <c r="K142" s="34"/>
      <c r="L142" s="34"/>
      <c r="M142" s="34"/>
      <c r="N142" s="34"/>
      <c r="O142" s="34"/>
      <c r="P142" s="34"/>
      <c r="Q142" s="34"/>
      <c r="R142" s="34"/>
      <c r="S142" s="34"/>
      <c r="T142" s="34"/>
      <c r="U142" s="34"/>
      <c r="X142" s="720"/>
      <c r="Y142" s="720"/>
    </row>
    <row r="143" spans="1:25" ht="18.75" customHeight="1">
      <c r="A143" s="700" t="s">
        <v>111</v>
      </c>
      <c r="B143" s="1140" t="s">
        <v>858</v>
      </c>
      <c r="C143" s="1140"/>
      <c r="D143" s="1140"/>
      <c r="E143" s="1140"/>
      <c r="F143" s="1155" t="str">
        <f>F131</f>
        <v>28 Greygum Road, TAREE NSW 2430</v>
      </c>
      <c r="G143" s="1156"/>
      <c r="H143" s="1157"/>
      <c r="J143" s="685"/>
      <c r="K143" s="685"/>
      <c r="L143" s="685"/>
      <c r="M143" s="685"/>
      <c r="N143" s="685"/>
      <c r="O143" s="685"/>
      <c r="P143" s="685"/>
      <c r="Q143" s="685"/>
      <c r="R143" s="685"/>
      <c r="S143" s="685"/>
      <c r="T143" s="685"/>
      <c r="U143" s="685"/>
    </row>
    <row r="144" spans="1:25" ht="7.5" customHeight="1">
      <c r="B144" s="721"/>
      <c r="C144" s="189"/>
      <c r="D144" s="189"/>
      <c r="E144" s="189"/>
      <c r="F144" s="189"/>
      <c r="G144" s="189"/>
      <c r="H144" s="189"/>
      <c r="I144" s="189"/>
      <c r="J144" s="189"/>
      <c r="K144" s="189"/>
      <c r="L144" s="189"/>
      <c r="M144" s="189"/>
      <c r="N144" s="189"/>
      <c r="O144" s="189"/>
      <c r="P144" s="189"/>
      <c r="Q144" s="189"/>
      <c r="R144" s="189"/>
      <c r="S144" s="189"/>
      <c r="T144" s="189"/>
      <c r="U144" s="189"/>
      <c r="V144" s="722"/>
    </row>
    <row r="145" spans="2:25" ht="17.25" customHeight="1">
      <c r="B145" s="33"/>
      <c r="C145" s="1161" t="s">
        <v>830</v>
      </c>
      <c r="D145" s="1161"/>
      <c r="E145" s="1162" t="s">
        <v>867</v>
      </c>
      <c r="F145" s="1162"/>
      <c r="G145" s="1162"/>
      <c r="H145" s="1162"/>
      <c r="I145" s="1162"/>
      <c r="J145" s="1162"/>
      <c r="K145" s="1162"/>
      <c r="L145" s="1162"/>
      <c r="M145" s="1162"/>
      <c r="N145" s="724"/>
      <c r="O145" s="724"/>
      <c r="P145" s="724"/>
      <c r="Q145" s="724"/>
      <c r="R145" s="724"/>
      <c r="S145" s="724"/>
      <c r="T145" s="724"/>
      <c r="U145" s="724"/>
      <c r="V145" s="699"/>
      <c r="X145" s="720"/>
      <c r="Y145" s="720"/>
    </row>
    <row r="146" spans="2:25" ht="17.25" customHeight="1">
      <c r="B146" s="33"/>
      <c r="C146" s="1161" t="s">
        <v>831</v>
      </c>
      <c r="D146" s="1161"/>
      <c r="E146" s="725"/>
      <c r="F146" s="34"/>
      <c r="G146" s="34"/>
      <c r="H146" s="34"/>
      <c r="I146" s="34"/>
      <c r="J146" s="34"/>
      <c r="K146" s="34"/>
      <c r="L146" s="34"/>
      <c r="M146" s="34"/>
      <c r="N146" s="34"/>
      <c r="O146" s="34"/>
      <c r="P146" s="34"/>
      <c r="Q146" s="34"/>
      <c r="R146" s="34"/>
      <c r="S146" s="34"/>
      <c r="T146" s="34"/>
      <c r="U146" s="34"/>
      <c r="V146" s="699"/>
    </row>
    <row r="147" spans="2:25" ht="17.25" customHeight="1">
      <c r="B147" s="33"/>
      <c r="C147" s="1161" t="s">
        <v>832</v>
      </c>
      <c r="D147" s="1161"/>
      <c r="E147" s="726">
        <v>52</v>
      </c>
      <c r="F147" s="34"/>
      <c r="G147" s="1163"/>
      <c r="H147" s="1163"/>
      <c r="I147" s="1163"/>
      <c r="J147" s="1163"/>
      <c r="K147" s="1163"/>
      <c r="L147" s="1163"/>
      <c r="M147" s="724"/>
      <c r="N147" s="724"/>
      <c r="O147" s="724"/>
      <c r="P147" s="724"/>
      <c r="Q147" s="34"/>
      <c r="V147" s="699"/>
    </row>
    <row r="148" spans="2:25" ht="7.5" customHeight="1">
      <c r="B148" s="33"/>
      <c r="C148" s="36"/>
      <c r="D148" s="36"/>
      <c r="E148" s="36"/>
      <c r="F148" s="36"/>
      <c r="G148" s="36"/>
      <c r="H148" s="36"/>
      <c r="I148" s="36"/>
      <c r="J148" s="36"/>
      <c r="K148" s="36"/>
      <c r="L148" s="36"/>
      <c r="M148" s="36"/>
      <c r="N148" s="36"/>
      <c r="O148" s="36"/>
      <c r="P148" s="36"/>
      <c r="Q148" s="36"/>
      <c r="V148" s="699"/>
    </row>
    <row r="149" spans="2:25" ht="30" customHeight="1">
      <c r="B149" s="33"/>
      <c r="C149" s="1106" t="s">
        <v>833</v>
      </c>
      <c r="D149" s="1133"/>
      <c r="E149" s="702" t="s">
        <v>834</v>
      </c>
      <c r="F149" s="702" t="s">
        <v>835</v>
      </c>
      <c r="G149" s="702" t="s">
        <v>836</v>
      </c>
      <c r="H149" s="702" t="s">
        <v>837</v>
      </c>
      <c r="I149" s="702" t="s">
        <v>838</v>
      </c>
      <c r="J149" s="702" t="s">
        <v>839</v>
      </c>
      <c r="K149" s="702" t="s">
        <v>840</v>
      </c>
      <c r="L149" s="702" t="s">
        <v>841</v>
      </c>
      <c r="M149" s="702" t="s">
        <v>842</v>
      </c>
      <c r="N149" s="702" t="s">
        <v>843</v>
      </c>
      <c r="O149" s="702" t="s">
        <v>844</v>
      </c>
      <c r="P149" s="702" t="s">
        <v>845</v>
      </c>
      <c r="Q149" s="703" t="s">
        <v>121</v>
      </c>
      <c r="V149" s="699"/>
      <c r="X149" s="1134" t="s">
        <v>789</v>
      </c>
      <c r="Y149" s="1135"/>
    </row>
    <row r="150" spans="2:25" ht="7.5" customHeight="1">
      <c r="B150" s="33"/>
      <c r="C150" s="714"/>
      <c r="D150" s="714"/>
      <c r="E150" s="714"/>
      <c r="F150" s="714"/>
      <c r="G150" s="714"/>
      <c r="H150" s="714"/>
      <c r="I150" s="714"/>
      <c r="J150" s="714"/>
      <c r="K150" s="714"/>
      <c r="L150" s="714"/>
      <c r="M150" s="714"/>
      <c r="N150" s="714"/>
      <c r="O150" s="714"/>
      <c r="P150" s="714"/>
      <c r="Q150" s="714"/>
      <c r="V150" s="699"/>
    </row>
    <row r="151" spans="2:25" ht="17.25" customHeight="1">
      <c r="B151" s="33"/>
      <c r="C151" s="1161" t="s">
        <v>846</v>
      </c>
      <c r="D151" s="1161"/>
      <c r="E151" s="718"/>
      <c r="F151" s="718"/>
      <c r="G151" s="718"/>
      <c r="H151" s="718"/>
      <c r="I151" s="718"/>
      <c r="J151" s="718"/>
      <c r="K151" s="718"/>
      <c r="L151" s="718"/>
      <c r="M151" s="718"/>
      <c r="N151" s="718"/>
      <c r="O151" s="718"/>
      <c r="P151" s="718">
        <v>17430</v>
      </c>
      <c r="Q151" s="704">
        <f>SUM(E151:P151)</f>
        <v>17430</v>
      </c>
      <c r="V151" s="699"/>
      <c r="X151" s="732" t="s">
        <v>875</v>
      </c>
      <c r="Y151" s="733"/>
    </row>
    <row r="152" spans="2:25" ht="17.25" customHeight="1">
      <c r="B152" s="33"/>
      <c r="C152" s="1161" t="s">
        <v>792</v>
      </c>
      <c r="D152" s="1161"/>
      <c r="E152" s="718"/>
      <c r="F152" s="718"/>
      <c r="G152" s="718"/>
      <c r="H152" s="718"/>
      <c r="I152" s="718"/>
      <c r="J152" s="718"/>
      <c r="K152" s="718"/>
      <c r="L152" s="718"/>
      <c r="M152" s="718"/>
      <c r="N152" s="718"/>
      <c r="O152" s="718"/>
      <c r="P152" s="718">
        <v>2156.44</v>
      </c>
      <c r="Q152" s="704">
        <f>SUM(E152:P152)</f>
        <v>2156.44</v>
      </c>
      <c r="V152" s="699"/>
      <c r="X152" s="706"/>
      <c r="Y152" s="706"/>
    </row>
    <row r="153" spans="2:25" ht="7.5" customHeight="1">
      <c r="B153" s="33"/>
      <c r="C153" s="727"/>
      <c r="D153" s="728"/>
      <c r="E153" s="728"/>
      <c r="F153" s="728"/>
      <c r="G153" s="728"/>
      <c r="H153" s="728"/>
      <c r="I153" s="728"/>
      <c r="J153" s="728"/>
      <c r="K153" s="728"/>
      <c r="L153" s="728"/>
      <c r="M153" s="728"/>
      <c r="N153" s="728"/>
      <c r="O153" s="728"/>
      <c r="P153" s="728"/>
      <c r="Q153" s="728"/>
      <c r="V153" s="699"/>
      <c r="X153" s="720"/>
      <c r="Y153" s="720"/>
    </row>
    <row r="154" spans="2:25" ht="17.25" customHeight="1">
      <c r="B154" s="33"/>
      <c r="C154" s="1161" t="s">
        <v>847</v>
      </c>
      <c r="D154" s="1161"/>
      <c r="E154" s="718"/>
      <c r="F154" s="718"/>
      <c r="G154" s="718"/>
      <c r="H154" s="718"/>
      <c r="I154" s="718"/>
      <c r="J154" s="718"/>
      <c r="K154" s="718"/>
      <c r="L154" s="718"/>
      <c r="M154" s="718"/>
      <c r="N154" s="718"/>
      <c r="O154" s="718"/>
      <c r="P154" s="718">
        <f>1394.4+147.44</f>
        <v>1541.8400000000001</v>
      </c>
      <c r="Q154" s="704">
        <f>SUM(E154:P154)</f>
        <v>1541.8400000000001</v>
      </c>
      <c r="V154" s="699"/>
      <c r="X154" s="706"/>
      <c r="Y154" s="706"/>
    </row>
    <row r="155" spans="2:25" ht="17.25" hidden="1" customHeight="1">
      <c r="B155" s="33"/>
      <c r="C155" s="1161" t="s">
        <v>848</v>
      </c>
      <c r="D155" s="1161"/>
      <c r="E155" s="718"/>
      <c r="F155" s="718"/>
      <c r="G155" s="718"/>
      <c r="H155" s="718"/>
      <c r="I155" s="718"/>
      <c r="J155" s="718"/>
      <c r="K155" s="718"/>
      <c r="L155" s="718"/>
      <c r="M155" s="718"/>
      <c r="N155" s="718"/>
      <c r="O155" s="718"/>
      <c r="P155" s="718"/>
      <c r="Q155" s="704">
        <f t="shared" ref="Q155:Q167" si="29">SUM(E155:P155)</f>
        <v>0</v>
      </c>
      <c r="V155" s="699"/>
      <c r="X155" s="706"/>
      <c r="Y155" s="706"/>
    </row>
    <row r="156" spans="2:25" ht="17.25" hidden="1" customHeight="1">
      <c r="B156" s="33"/>
      <c r="C156" s="1161" t="s">
        <v>797</v>
      </c>
      <c r="D156" s="1161"/>
      <c r="E156" s="718"/>
      <c r="F156" s="718"/>
      <c r="G156" s="718"/>
      <c r="H156" s="718"/>
      <c r="I156" s="718"/>
      <c r="J156" s="718"/>
      <c r="K156" s="718"/>
      <c r="L156" s="718"/>
      <c r="M156" s="718"/>
      <c r="N156" s="718"/>
      <c r="O156" s="718"/>
      <c r="P156" s="718"/>
      <c r="Q156" s="704">
        <f t="shared" si="29"/>
        <v>0</v>
      </c>
      <c r="V156" s="699"/>
      <c r="X156" s="706"/>
      <c r="Y156" s="706"/>
    </row>
    <row r="157" spans="2:25" ht="17.25" hidden="1" customHeight="1">
      <c r="B157" s="33"/>
      <c r="C157" s="1161" t="s">
        <v>799</v>
      </c>
      <c r="D157" s="1161"/>
      <c r="E157" s="718"/>
      <c r="F157" s="718"/>
      <c r="G157" s="718"/>
      <c r="H157" s="718"/>
      <c r="I157" s="718"/>
      <c r="J157" s="718"/>
      <c r="K157" s="718"/>
      <c r="L157" s="718"/>
      <c r="M157" s="718"/>
      <c r="N157" s="718"/>
      <c r="O157" s="718"/>
      <c r="P157" s="718"/>
      <c r="Q157" s="704">
        <f t="shared" si="29"/>
        <v>0</v>
      </c>
      <c r="V157" s="699"/>
      <c r="X157" s="706"/>
      <c r="Y157" s="706"/>
    </row>
    <row r="158" spans="2:25" ht="17.25" customHeight="1">
      <c r="B158" s="33"/>
      <c r="C158" s="1161" t="s">
        <v>800</v>
      </c>
      <c r="D158" s="1161"/>
      <c r="E158" s="718"/>
      <c r="F158" s="718"/>
      <c r="G158" s="718"/>
      <c r="H158" s="718"/>
      <c r="I158" s="718"/>
      <c r="J158" s="718"/>
      <c r="K158" s="718"/>
      <c r="L158" s="718"/>
      <c r="M158" s="718"/>
      <c r="N158" s="718"/>
      <c r="O158" s="718"/>
      <c r="P158" s="718">
        <v>1065</v>
      </c>
      <c r="Q158" s="704">
        <f t="shared" si="29"/>
        <v>1065</v>
      </c>
      <c r="V158" s="699"/>
      <c r="X158" s="706"/>
      <c r="Y158" s="706"/>
    </row>
    <row r="159" spans="2:25" ht="17.25" hidden="1" customHeight="1">
      <c r="B159" s="33"/>
      <c r="C159" s="1161" t="s">
        <v>802</v>
      </c>
      <c r="D159" s="1161"/>
      <c r="E159" s="718"/>
      <c r="F159" s="718"/>
      <c r="G159" s="718"/>
      <c r="H159" s="718"/>
      <c r="I159" s="718"/>
      <c r="J159" s="718"/>
      <c r="K159" s="718"/>
      <c r="L159" s="718"/>
      <c r="M159" s="718"/>
      <c r="N159" s="718"/>
      <c r="O159" s="718"/>
      <c r="P159" s="718"/>
      <c r="Q159" s="704">
        <f t="shared" si="29"/>
        <v>0</v>
      </c>
      <c r="V159" s="699"/>
      <c r="X159" s="706"/>
      <c r="Y159" s="706"/>
    </row>
    <row r="160" spans="2:25" ht="17.25" hidden="1" customHeight="1">
      <c r="B160" s="33"/>
      <c r="C160" s="1161" t="s">
        <v>803</v>
      </c>
      <c r="D160" s="1161"/>
      <c r="E160" s="718"/>
      <c r="F160" s="718"/>
      <c r="G160" s="718"/>
      <c r="H160" s="718"/>
      <c r="I160" s="718"/>
      <c r="J160" s="718"/>
      <c r="K160" s="718"/>
      <c r="L160" s="718"/>
      <c r="M160" s="718"/>
      <c r="N160" s="718"/>
      <c r="O160" s="718"/>
      <c r="P160" s="718"/>
      <c r="Q160" s="704">
        <f t="shared" si="29"/>
        <v>0</v>
      </c>
      <c r="V160" s="699"/>
      <c r="X160" s="706"/>
      <c r="Y160" s="706"/>
    </row>
    <row r="161" spans="2:25" ht="17.25" hidden="1" customHeight="1">
      <c r="B161" s="33"/>
      <c r="C161" s="1161" t="s">
        <v>805</v>
      </c>
      <c r="D161" s="1161"/>
      <c r="E161" s="718"/>
      <c r="F161" s="718"/>
      <c r="G161" s="718"/>
      <c r="H161" s="718"/>
      <c r="I161" s="718"/>
      <c r="J161" s="718"/>
      <c r="K161" s="718"/>
      <c r="L161" s="718"/>
      <c r="M161" s="718"/>
      <c r="N161" s="718"/>
      <c r="O161" s="718"/>
      <c r="P161" s="718"/>
      <c r="Q161" s="704">
        <f t="shared" si="29"/>
        <v>0</v>
      </c>
      <c r="V161" s="699"/>
      <c r="X161" s="706"/>
      <c r="Y161" s="706"/>
    </row>
    <row r="162" spans="2:25" ht="17.25" hidden="1" customHeight="1">
      <c r="B162" s="33"/>
      <c r="C162" s="1161" t="s">
        <v>806</v>
      </c>
      <c r="D162" s="1161"/>
      <c r="E162" s="718"/>
      <c r="F162" s="718"/>
      <c r="G162" s="718"/>
      <c r="H162" s="718"/>
      <c r="I162" s="718"/>
      <c r="J162" s="718"/>
      <c r="K162" s="718"/>
      <c r="L162" s="718"/>
      <c r="M162" s="718"/>
      <c r="N162" s="718"/>
      <c r="O162" s="718"/>
      <c r="P162" s="718"/>
      <c r="Q162" s="704">
        <f t="shared" si="29"/>
        <v>0</v>
      </c>
      <c r="V162" s="699"/>
      <c r="X162" s="706"/>
      <c r="Y162" s="706"/>
    </row>
    <row r="163" spans="2:25" ht="17.25" hidden="1" customHeight="1">
      <c r="B163" s="33"/>
      <c r="C163" s="1161" t="s">
        <v>807</v>
      </c>
      <c r="D163" s="1161"/>
      <c r="E163" s="718"/>
      <c r="F163" s="718"/>
      <c r="G163" s="718"/>
      <c r="H163" s="718"/>
      <c r="I163" s="718"/>
      <c r="J163" s="718"/>
      <c r="K163" s="718"/>
      <c r="L163" s="718"/>
      <c r="M163" s="718"/>
      <c r="N163" s="718"/>
      <c r="O163" s="718"/>
      <c r="P163" s="718"/>
      <c r="Q163" s="704">
        <f t="shared" si="29"/>
        <v>0</v>
      </c>
      <c r="V163" s="699"/>
      <c r="X163" s="706"/>
      <c r="Y163" s="706"/>
    </row>
    <row r="164" spans="2:25" ht="17.25" customHeight="1">
      <c r="B164" s="33"/>
      <c r="C164" s="1161" t="s">
        <v>809</v>
      </c>
      <c r="D164" s="1161"/>
      <c r="E164" s="718"/>
      <c r="F164" s="718"/>
      <c r="G164" s="718"/>
      <c r="H164" s="718"/>
      <c r="I164" s="718"/>
      <c r="J164" s="718"/>
      <c r="K164" s="718"/>
      <c r="L164" s="718"/>
      <c r="M164" s="718"/>
      <c r="N164" s="718"/>
      <c r="O164" s="718"/>
      <c r="P164" s="718">
        <f>117.1+1556.5</f>
        <v>1673.6</v>
      </c>
      <c r="Q164" s="704">
        <f t="shared" si="29"/>
        <v>1673.6</v>
      </c>
      <c r="V164" s="699"/>
      <c r="X164" s="706"/>
      <c r="Y164" s="706"/>
    </row>
    <row r="165" spans="2:25" ht="17.25" hidden="1" customHeight="1">
      <c r="B165" s="33"/>
      <c r="C165" s="1161" t="s">
        <v>849</v>
      </c>
      <c r="D165" s="1161"/>
      <c r="E165" s="718"/>
      <c r="F165" s="718"/>
      <c r="G165" s="718"/>
      <c r="H165" s="718"/>
      <c r="I165" s="718"/>
      <c r="J165" s="718"/>
      <c r="K165" s="718"/>
      <c r="L165" s="718"/>
      <c r="M165" s="718"/>
      <c r="N165" s="718"/>
      <c r="O165" s="718"/>
      <c r="P165" s="718"/>
      <c r="Q165" s="704">
        <f t="shared" si="29"/>
        <v>0</v>
      </c>
      <c r="V165" s="699"/>
      <c r="X165" s="706"/>
      <c r="Y165" s="706"/>
    </row>
    <row r="166" spans="2:25" ht="17.25" customHeight="1">
      <c r="B166" s="33"/>
      <c r="C166" s="1161" t="s">
        <v>850</v>
      </c>
      <c r="D166" s="1161"/>
      <c r="E166" s="718"/>
      <c r="F166" s="718"/>
      <c r="G166" s="718"/>
      <c r="H166" s="718"/>
      <c r="I166" s="718"/>
      <c r="J166" s="718"/>
      <c r="K166" s="718"/>
      <c r="L166" s="718"/>
      <c r="M166" s="718"/>
      <c r="N166" s="718"/>
      <c r="O166" s="718"/>
      <c r="P166" s="718">
        <f>36+44</f>
        <v>80</v>
      </c>
      <c r="Q166" s="704">
        <f t="shared" si="29"/>
        <v>80</v>
      </c>
      <c r="V166" s="699"/>
      <c r="X166" s="706"/>
      <c r="Y166" s="706"/>
    </row>
    <row r="167" spans="2:25" ht="17.25" customHeight="1">
      <c r="B167" s="33"/>
      <c r="C167" s="1161" t="s">
        <v>813</v>
      </c>
      <c r="D167" s="1161"/>
      <c r="E167" s="718"/>
      <c r="F167" s="718"/>
      <c r="G167" s="718"/>
      <c r="H167" s="718"/>
      <c r="I167" s="718"/>
      <c r="J167" s="718"/>
      <c r="K167" s="718"/>
      <c r="L167" s="718"/>
      <c r="M167" s="718"/>
      <c r="N167" s="718"/>
      <c r="O167" s="718"/>
      <c r="P167" s="718">
        <v>2601.5100000000002</v>
      </c>
      <c r="Q167" s="704">
        <f t="shared" si="29"/>
        <v>2601.5100000000002</v>
      </c>
      <c r="V167" s="699"/>
      <c r="X167" s="706"/>
      <c r="Y167" s="706"/>
    </row>
    <row r="168" spans="2:25" ht="17.25" customHeight="1">
      <c r="B168" s="33"/>
      <c r="C168" s="1164" t="s">
        <v>851</v>
      </c>
      <c r="D168" s="1164"/>
      <c r="E168" s="704">
        <f>SUM(E151:E152)-SUM(E154:E167)</f>
        <v>0</v>
      </c>
      <c r="F168" s="704">
        <f t="shared" ref="F168:Q168" si="30">SUM(F151:F152)-SUM(F154:F167)</f>
        <v>0</v>
      </c>
      <c r="G168" s="704">
        <f t="shared" si="30"/>
        <v>0</v>
      </c>
      <c r="H168" s="704">
        <f t="shared" si="30"/>
        <v>0</v>
      </c>
      <c r="I168" s="704">
        <f t="shared" si="30"/>
        <v>0</v>
      </c>
      <c r="J168" s="704">
        <f t="shared" si="30"/>
        <v>0</v>
      </c>
      <c r="K168" s="704">
        <f t="shared" si="30"/>
        <v>0</v>
      </c>
      <c r="L168" s="704">
        <f t="shared" si="30"/>
        <v>0</v>
      </c>
      <c r="M168" s="704">
        <f t="shared" si="30"/>
        <v>0</v>
      </c>
      <c r="N168" s="704">
        <f t="shared" si="30"/>
        <v>0</v>
      </c>
      <c r="O168" s="704">
        <f t="shared" si="30"/>
        <v>0</v>
      </c>
      <c r="P168" s="704">
        <f t="shared" si="30"/>
        <v>12624.489999999998</v>
      </c>
      <c r="Q168" s="704">
        <f t="shared" si="30"/>
        <v>12624.489999999998</v>
      </c>
      <c r="V168" s="699"/>
      <c r="X168" s="706"/>
      <c r="Y168" s="706"/>
    </row>
    <row r="169" spans="2:25" ht="7.5" customHeight="1">
      <c r="B169" s="33"/>
      <c r="C169" s="708"/>
      <c r="D169" s="708"/>
      <c r="E169" s="708"/>
      <c r="F169" s="708"/>
      <c r="G169" s="708"/>
      <c r="H169" s="708"/>
      <c r="I169" s="708"/>
      <c r="J169" s="708"/>
      <c r="K169" s="708"/>
      <c r="L169" s="708"/>
      <c r="M169" s="708"/>
      <c r="N169" s="708"/>
      <c r="O169" s="708"/>
      <c r="P169" s="708"/>
      <c r="Q169" s="708"/>
      <c r="V169" s="699"/>
    </row>
    <row r="170" spans="2:25" ht="30" customHeight="1">
      <c r="B170" s="33"/>
      <c r="C170" s="1106" t="s">
        <v>852</v>
      </c>
      <c r="D170" s="1133"/>
      <c r="E170" s="702" t="s">
        <v>834</v>
      </c>
      <c r="F170" s="702" t="s">
        <v>835</v>
      </c>
      <c r="G170" s="702" t="s">
        <v>836</v>
      </c>
      <c r="H170" s="702" t="s">
        <v>837</v>
      </c>
      <c r="I170" s="702" t="s">
        <v>838</v>
      </c>
      <c r="J170" s="702" t="s">
        <v>839</v>
      </c>
      <c r="K170" s="702" t="s">
        <v>840</v>
      </c>
      <c r="L170" s="702" t="s">
        <v>841</v>
      </c>
      <c r="M170" s="702" t="s">
        <v>842</v>
      </c>
      <c r="N170" s="702" t="s">
        <v>843</v>
      </c>
      <c r="O170" s="702" t="s">
        <v>844</v>
      </c>
      <c r="P170" s="702" t="s">
        <v>845</v>
      </c>
      <c r="Q170" s="703" t="s">
        <v>121</v>
      </c>
      <c r="V170" s="699"/>
      <c r="X170" s="1134" t="s">
        <v>789</v>
      </c>
      <c r="Y170" s="1135"/>
    </row>
    <row r="171" spans="2:25" ht="7.5" customHeight="1">
      <c r="B171" s="33"/>
      <c r="C171" s="714"/>
      <c r="D171" s="714"/>
      <c r="E171" s="714"/>
      <c r="F171" s="714"/>
      <c r="G171" s="714"/>
      <c r="H171" s="714"/>
      <c r="I171" s="714"/>
      <c r="J171" s="714"/>
      <c r="K171" s="714"/>
      <c r="L171" s="714"/>
      <c r="M171" s="714"/>
      <c r="N171" s="714"/>
      <c r="O171" s="714"/>
      <c r="P171" s="714"/>
      <c r="Q171" s="714"/>
      <c r="V171" s="699"/>
    </row>
    <row r="172" spans="2:25" ht="17.25" hidden="1" customHeight="1">
      <c r="B172" s="33"/>
      <c r="C172" s="1161" t="s">
        <v>853</v>
      </c>
      <c r="D172" s="1161"/>
      <c r="E172" s="718"/>
      <c r="F172" s="718"/>
      <c r="G172" s="718"/>
      <c r="H172" s="718"/>
      <c r="I172" s="718"/>
      <c r="J172" s="718"/>
      <c r="K172" s="718"/>
      <c r="L172" s="718"/>
      <c r="M172" s="718"/>
      <c r="N172" s="718"/>
      <c r="O172" s="718"/>
      <c r="P172" s="718"/>
      <c r="Q172" s="704">
        <f>SUM(E172:P172)</f>
        <v>0</v>
      </c>
      <c r="V172" s="699"/>
      <c r="X172" s="706"/>
      <c r="Y172" s="706"/>
    </row>
    <row r="173" spans="2:25" ht="17.25" hidden="1" customHeight="1">
      <c r="B173" s="33"/>
      <c r="C173" s="1161" t="s">
        <v>792</v>
      </c>
      <c r="D173" s="1161"/>
      <c r="E173" s="718"/>
      <c r="F173" s="718"/>
      <c r="G173" s="718"/>
      <c r="H173" s="718"/>
      <c r="I173" s="718"/>
      <c r="J173" s="718"/>
      <c r="K173" s="718"/>
      <c r="L173" s="718"/>
      <c r="M173" s="718"/>
      <c r="N173" s="718"/>
      <c r="O173" s="718"/>
      <c r="P173" s="718"/>
      <c r="Q173" s="704">
        <f>SUM(E173:P173)</f>
        <v>0</v>
      </c>
      <c r="V173" s="699"/>
      <c r="X173" s="706"/>
      <c r="Y173" s="706"/>
    </row>
    <row r="174" spans="2:25" ht="7.5" hidden="1" customHeight="1">
      <c r="B174" s="33"/>
      <c r="C174" s="727"/>
      <c r="D174" s="728"/>
      <c r="E174" s="708"/>
      <c r="F174" s="708"/>
      <c r="G174" s="708"/>
      <c r="H174" s="708"/>
      <c r="I174" s="708"/>
      <c r="J174" s="708"/>
      <c r="K174" s="708"/>
      <c r="L174" s="708"/>
      <c r="M174" s="708"/>
      <c r="N174" s="708"/>
      <c r="O174" s="708"/>
      <c r="P174" s="708"/>
      <c r="Q174" s="708"/>
      <c r="V174" s="699"/>
    </row>
    <row r="175" spans="2:25" ht="17.25" hidden="1" customHeight="1">
      <c r="B175" s="33"/>
      <c r="C175" s="1161" t="s">
        <v>795</v>
      </c>
      <c r="D175" s="1161"/>
      <c r="E175" s="718"/>
      <c r="F175" s="718"/>
      <c r="G175" s="718"/>
      <c r="H175" s="718"/>
      <c r="I175" s="718"/>
      <c r="J175" s="718"/>
      <c r="K175" s="718"/>
      <c r="L175" s="718"/>
      <c r="M175" s="718"/>
      <c r="N175" s="718"/>
      <c r="O175" s="718"/>
      <c r="P175" s="718"/>
      <c r="Q175" s="704">
        <f t="shared" ref="Q175:Q199" si="31">SUM(E175:P175)</f>
        <v>0</v>
      </c>
      <c r="V175" s="699"/>
      <c r="X175" s="706"/>
      <c r="Y175" s="706"/>
    </row>
    <row r="176" spans="2:25" ht="17.25" hidden="1" customHeight="1">
      <c r="B176" s="33"/>
      <c r="C176" s="1161" t="s">
        <v>796</v>
      </c>
      <c r="D176" s="1161"/>
      <c r="E176" s="718"/>
      <c r="F176" s="718"/>
      <c r="G176" s="718"/>
      <c r="H176" s="718"/>
      <c r="I176" s="718"/>
      <c r="J176" s="718"/>
      <c r="K176" s="718"/>
      <c r="L176" s="718"/>
      <c r="M176" s="718"/>
      <c r="N176" s="718"/>
      <c r="O176" s="718"/>
      <c r="P176" s="718"/>
      <c r="Q176" s="704">
        <f t="shared" si="31"/>
        <v>0</v>
      </c>
      <c r="V176" s="699"/>
      <c r="X176" s="706"/>
      <c r="Y176" s="706"/>
    </row>
    <row r="177" spans="2:26" ht="17.25" hidden="1" customHeight="1">
      <c r="B177" s="33"/>
      <c r="C177" s="1161" t="s">
        <v>797</v>
      </c>
      <c r="D177" s="1161"/>
      <c r="E177" s="718"/>
      <c r="F177" s="718"/>
      <c r="G177" s="718"/>
      <c r="H177" s="718"/>
      <c r="I177" s="718"/>
      <c r="J177" s="718"/>
      <c r="K177" s="718"/>
      <c r="L177" s="718"/>
      <c r="M177" s="718"/>
      <c r="N177" s="718"/>
      <c r="O177" s="718"/>
      <c r="P177" s="718"/>
      <c r="Q177" s="704">
        <f t="shared" si="31"/>
        <v>0</v>
      </c>
      <c r="V177" s="699"/>
      <c r="X177" s="706"/>
      <c r="Y177" s="706"/>
    </row>
    <row r="178" spans="2:26" ht="17.25" hidden="1" customHeight="1">
      <c r="B178" s="33"/>
      <c r="C178" s="1161" t="s">
        <v>798</v>
      </c>
      <c r="D178" s="1161"/>
      <c r="E178" s="718"/>
      <c r="F178" s="718"/>
      <c r="G178" s="718"/>
      <c r="H178" s="718"/>
      <c r="I178" s="718"/>
      <c r="J178" s="718"/>
      <c r="K178" s="718"/>
      <c r="L178" s="718"/>
      <c r="M178" s="718"/>
      <c r="N178" s="718"/>
      <c r="O178" s="718"/>
      <c r="P178" s="718"/>
      <c r="Q178" s="704">
        <f t="shared" si="31"/>
        <v>0</v>
      </c>
      <c r="V178" s="699"/>
      <c r="X178" s="706"/>
      <c r="Y178" s="706"/>
    </row>
    <row r="179" spans="2:26" ht="17.25" hidden="1" customHeight="1">
      <c r="B179" s="33"/>
      <c r="C179" s="1161" t="s">
        <v>799</v>
      </c>
      <c r="D179" s="1161"/>
      <c r="E179" s="718"/>
      <c r="F179" s="718"/>
      <c r="G179" s="718"/>
      <c r="H179" s="718"/>
      <c r="I179" s="718"/>
      <c r="J179" s="718"/>
      <c r="K179" s="718"/>
      <c r="L179" s="718"/>
      <c r="M179" s="718"/>
      <c r="N179" s="718"/>
      <c r="O179" s="718"/>
      <c r="P179" s="718"/>
      <c r="Q179" s="704">
        <f t="shared" si="31"/>
        <v>0</v>
      </c>
      <c r="V179" s="699"/>
      <c r="X179" s="706"/>
      <c r="Y179" s="706"/>
    </row>
    <row r="180" spans="2:26" ht="17.25" customHeight="1">
      <c r="B180" s="33"/>
      <c r="C180" s="1161" t="s">
        <v>800</v>
      </c>
      <c r="D180" s="1161"/>
      <c r="E180" s="718"/>
      <c r="F180" s="718"/>
      <c r="G180" s="718"/>
      <c r="H180" s="718"/>
      <c r="I180" s="718"/>
      <c r="J180" s="718"/>
      <c r="K180" s="718"/>
      <c r="L180" s="718"/>
      <c r="M180" s="718"/>
      <c r="N180" s="718"/>
      <c r="O180" s="718"/>
      <c r="P180" s="718">
        <v>358.94</v>
      </c>
      <c r="Q180" s="704">
        <f t="shared" si="31"/>
        <v>358.94</v>
      </c>
      <c r="V180" s="699"/>
      <c r="X180" s="1124" t="s">
        <v>870</v>
      </c>
      <c r="Y180" s="1124"/>
      <c r="Z180" s="74" t="s">
        <v>868</v>
      </c>
    </row>
    <row r="181" spans="2:26" ht="17.25" hidden="1" customHeight="1">
      <c r="B181" s="33"/>
      <c r="C181" s="1161" t="s">
        <v>801</v>
      </c>
      <c r="D181" s="1161"/>
      <c r="E181" s="718"/>
      <c r="F181" s="718"/>
      <c r="G181" s="718"/>
      <c r="H181" s="718"/>
      <c r="I181" s="718"/>
      <c r="J181" s="718"/>
      <c r="K181" s="718"/>
      <c r="L181" s="718"/>
      <c r="M181" s="718"/>
      <c r="N181" s="718"/>
      <c r="O181" s="718"/>
      <c r="P181" s="718"/>
      <c r="Q181" s="704">
        <f t="shared" si="31"/>
        <v>0</v>
      </c>
      <c r="V181" s="699"/>
      <c r="X181" s="706"/>
      <c r="Y181" s="706"/>
    </row>
    <row r="182" spans="2:26" ht="17.25" hidden="1" customHeight="1">
      <c r="B182" s="33"/>
      <c r="C182" s="1161" t="s">
        <v>802</v>
      </c>
      <c r="D182" s="1161"/>
      <c r="E182" s="718"/>
      <c r="F182" s="718"/>
      <c r="G182" s="718"/>
      <c r="H182" s="718"/>
      <c r="I182" s="718"/>
      <c r="J182" s="718"/>
      <c r="K182" s="718"/>
      <c r="L182" s="718"/>
      <c r="M182" s="718"/>
      <c r="N182" s="718"/>
      <c r="O182" s="718"/>
      <c r="P182" s="718"/>
      <c r="Q182" s="704">
        <f t="shared" si="31"/>
        <v>0</v>
      </c>
      <c r="V182" s="699"/>
      <c r="X182" s="706"/>
      <c r="Y182" s="706"/>
    </row>
    <row r="183" spans="2:26" ht="17.25" customHeight="1">
      <c r="B183" s="33"/>
      <c r="C183" s="1161" t="s">
        <v>803</v>
      </c>
      <c r="D183" s="1161"/>
      <c r="E183" s="718"/>
      <c r="F183" s="718"/>
      <c r="G183" s="718"/>
      <c r="H183" s="718"/>
      <c r="I183" s="718"/>
      <c r="J183" s="718"/>
      <c r="K183" s="718"/>
      <c r="L183" s="718"/>
      <c r="M183" s="718"/>
      <c r="N183" s="718"/>
      <c r="O183" s="718"/>
      <c r="P183" s="802">
        <v>835.75</v>
      </c>
      <c r="Q183" s="704">
        <f t="shared" si="31"/>
        <v>835.75</v>
      </c>
      <c r="V183" s="699"/>
      <c r="X183" s="1124" t="s">
        <v>1093</v>
      </c>
      <c r="Y183" s="1124"/>
    </row>
    <row r="184" spans="2:26" ht="17.25" hidden="1" customHeight="1">
      <c r="B184" s="33"/>
      <c r="C184" s="1161" t="s">
        <v>804</v>
      </c>
      <c r="D184" s="1161"/>
      <c r="E184" s="718"/>
      <c r="F184" s="718"/>
      <c r="G184" s="718"/>
      <c r="H184" s="718"/>
      <c r="I184" s="718"/>
      <c r="J184" s="718"/>
      <c r="K184" s="718"/>
      <c r="L184" s="718"/>
      <c r="M184" s="718"/>
      <c r="N184" s="718"/>
      <c r="O184" s="718"/>
      <c r="P184" s="718"/>
      <c r="Q184" s="704">
        <f t="shared" si="31"/>
        <v>0</v>
      </c>
      <c r="V184" s="699"/>
      <c r="X184" s="706"/>
      <c r="Y184" s="706"/>
    </row>
    <row r="185" spans="2:26" ht="17.25" hidden="1" customHeight="1">
      <c r="B185" s="33"/>
      <c r="C185" s="1161" t="s">
        <v>805</v>
      </c>
      <c r="D185" s="1161"/>
      <c r="E185" s="718"/>
      <c r="F185" s="718"/>
      <c r="G185" s="718"/>
      <c r="H185" s="718"/>
      <c r="I185" s="718"/>
      <c r="J185" s="718"/>
      <c r="K185" s="718"/>
      <c r="L185" s="718"/>
      <c r="M185" s="718"/>
      <c r="N185" s="718"/>
      <c r="O185" s="718"/>
      <c r="P185" s="718"/>
      <c r="Q185" s="704">
        <f t="shared" si="31"/>
        <v>0</v>
      </c>
      <c r="V185" s="699"/>
      <c r="X185" s="706"/>
      <c r="Y185" s="706"/>
    </row>
    <row r="186" spans="2:26" ht="17.25" hidden="1" customHeight="1">
      <c r="B186" s="33"/>
      <c r="C186" s="1161" t="s">
        <v>806</v>
      </c>
      <c r="D186" s="1161"/>
      <c r="E186" s="718"/>
      <c r="F186" s="718"/>
      <c r="G186" s="718"/>
      <c r="H186" s="718"/>
      <c r="I186" s="718"/>
      <c r="J186" s="718"/>
      <c r="K186" s="718"/>
      <c r="L186" s="718"/>
      <c r="M186" s="718"/>
      <c r="N186" s="718"/>
      <c r="O186" s="718"/>
      <c r="P186" s="718"/>
      <c r="Q186" s="704">
        <f t="shared" si="31"/>
        <v>0</v>
      </c>
      <c r="V186" s="699"/>
      <c r="X186" s="706"/>
      <c r="Y186" s="706"/>
    </row>
    <row r="187" spans="2:26" ht="17.25" hidden="1" customHeight="1">
      <c r="B187" s="33"/>
      <c r="C187" s="1161" t="s">
        <v>807</v>
      </c>
      <c r="D187" s="1161"/>
      <c r="E187" s="718"/>
      <c r="F187" s="718"/>
      <c r="G187" s="718"/>
      <c r="H187" s="718"/>
      <c r="I187" s="718"/>
      <c r="J187" s="718"/>
      <c r="K187" s="718"/>
      <c r="L187" s="718"/>
      <c r="M187" s="718"/>
      <c r="N187" s="718"/>
      <c r="O187" s="718"/>
      <c r="P187" s="718"/>
      <c r="Q187" s="704">
        <f t="shared" si="31"/>
        <v>0</v>
      </c>
      <c r="V187" s="699"/>
      <c r="X187" s="706"/>
      <c r="Y187" s="706"/>
    </row>
    <row r="188" spans="2:26" ht="17.25" hidden="1" customHeight="1">
      <c r="B188" s="33"/>
      <c r="C188" s="1161" t="s">
        <v>847</v>
      </c>
      <c r="D188" s="1161"/>
      <c r="E188" s="718"/>
      <c r="F188" s="718"/>
      <c r="G188" s="718"/>
      <c r="H188" s="718"/>
      <c r="I188" s="718"/>
      <c r="J188" s="718"/>
      <c r="K188" s="718"/>
      <c r="L188" s="718"/>
      <c r="M188" s="718"/>
      <c r="N188" s="718"/>
      <c r="O188" s="718"/>
      <c r="P188" s="718"/>
      <c r="Q188" s="704">
        <f t="shared" si="31"/>
        <v>0</v>
      </c>
      <c r="V188" s="699"/>
      <c r="X188" s="706"/>
      <c r="Y188" s="706"/>
    </row>
    <row r="189" spans="2:26" ht="17.25" hidden="1" customHeight="1">
      <c r="B189" s="33"/>
      <c r="C189" s="1161" t="s">
        <v>809</v>
      </c>
      <c r="D189" s="1161"/>
      <c r="E189" s="718"/>
      <c r="F189" s="718"/>
      <c r="G189" s="718"/>
      <c r="H189" s="718"/>
      <c r="I189" s="718"/>
      <c r="J189" s="718"/>
      <c r="K189" s="718"/>
      <c r="L189" s="718"/>
      <c r="M189" s="718"/>
      <c r="N189" s="718"/>
      <c r="O189" s="718"/>
      <c r="P189" s="718"/>
      <c r="Q189" s="704">
        <f t="shared" si="31"/>
        <v>0</v>
      </c>
      <c r="V189" s="699"/>
      <c r="X189" s="706"/>
      <c r="Y189" s="706"/>
    </row>
    <row r="190" spans="2:26" ht="17.25" hidden="1" customHeight="1">
      <c r="B190" s="33"/>
      <c r="C190" s="1162" t="s">
        <v>854</v>
      </c>
      <c r="D190" s="1162"/>
      <c r="E190" s="718"/>
      <c r="F190" s="718"/>
      <c r="G190" s="718"/>
      <c r="H190" s="718"/>
      <c r="I190" s="718"/>
      <c r="J190" s="718"/>
      <c r="K190" s="718"/>
      <c r="L190" s="718"/>
      <c r="M190" s="718"/>
      <c r="N190" s="718"/>
      <c r="O190" s="718"/>
      <c r="P190" s="718"/>
      <c r="Q190" s="704">
        <f t="shared" si="31"/>
        <v>0</v>
      </c>
      <c r="V190" s="699"/>
      <c r="X190" s="706"/>
      <c r="Y190" s="706"/>
    </row>
    <row r="191" spans="2:26" ht="17.25" hidden="1" customHeight="1">
      <c r="B191" s="33"/>
      <c r="C191" s="1162" t="s">
        <v>854</v>
      </c>
      <c r="D191" s="1162"/>
      <c r="E191" s="718"/>
      <c r="F191" s="718"/>
      <c r="G191" s="718"/>
      <c r="H191" s="718"/>
      <c r="I191" s="718"/>
      <c r="J191" s="718"/>
      <c r="K191" s="718"/>
      <c r="L191" s="718"/>
      <c r="M191" s="718"/>
      <c r="N191" s="718"/>
      <c r="O191" s="718"/>
      <c r="P191" s="718"/>
      <c r="Q191" s="704">
        <f t="shared" si="31"/>
        <v>0</v>
      </c>
      <c r="V191" s="699"/>
      <c r="X191" s="706"/>
      <c r="Y191" s="706"/>
    </row>
    <row r="192" spans="2:26" ht="17.25" hidden="1" customHeight="1">
      <c r="B192" s="33"/>
      <c r="C192" s="1161" t="s">
        <v>810</v>
      </c>
      <c r="D192" s="1161"/>
      <c r="E192" s="718"/>
      <c r="F192" s="718"/>
      <c r="G192" s="718"/>
      <c r="H192" s="718"/>
      <c r="I192" s="718"/>
      <c r="J192" s="718"/>
      <c r="K192" s="718"/>
      <c r="L192" s="718"/>
      <c r="M192" s="718"/>
      <c r="N192" s="718"/>
      <c r="O192" s="718"/>
      <c r="P192" s="718"/>
      <c r="Q192" s="704">
        <f t="shared" si="31"/>
        <v>0</v>
      </c>
      <c r="V192" s="699"/>
      <c r="X192" s="706"/>
      <c r="Y192" s="706"/>
    </row>
    <row r="193" spans="1:26" ht="17.25" hidden="1" customHeight="1">
      <c r="B193" s="33"/>
      <c r="C193" s="1161" t="s">
        <v>811</v>
      </c>
      <c r="D193" s="1161"/>
      <c r="E193" s="718"/>
      <c r="F193" s="718"/>
      <c r="G193" s="718"/>
      <c r="H193" s="718"/>
      <c r="I193" s="718"/>
      <c r="J193" s="718"/>
      <c r="K193" s="718"/>
      <c r="L193" s="718"/>
      <c r="M193" s="718"/>
      <c r="N193" s="718"/>
      <c r="O193" s="718"/>
      <c r="P193" s="718"/>
      <c r="Q193" s="704">
        <f t="shared" si="31"/>
        <v>0</v>
      </c>
      <c r="V193" s="699"/>
      <c r="X193" s="706"/>
      <c r="Y193" s="706"/>
    </row>
    <row r="194" spans="1:26" ht="17.25" hidden="1" customHeight="1">
      <c r="B194" s="33"/>
      <c r="C194" s="1161" t="s">
        <v>812</v>
      </c>
      <c r="D194" s="1161"/>
      <c r="E194" s="718"/>
      <c r="F194" s="718"/>
      <c r="G194" s="718"/>
      <c r="H194" s="718"/>
      <c r="I194" s="718"/>
      <c r="J194" s="718"/>
      <c r="K194" s="718"/>
      <c r="L194" s="718"/>
      <c r="M194" s="718"/>
      <c r="N194" s="718"/>
      <c r="O194" s="718"/>
      <c r="P194" s="718"/>
      <c r="Q194" s="704">
        <f t="shared" si="31"/>
        <v>0</v>
      </c>
      <c r="V194" s="699"/>
      <c r="X194" s="706"/>
      <c r="Y194" s="706"/>
    </row>
    <row r="195" spans="1:26" ht="17.25" customHeight="1">
      <c r="B195" s="33"/>
      <c r="C195" s="1162" t="s">
        <v>910</v>
      </c>
      <c r="D195" s="1162"/>
      <c r="E195" s="718"/>
      <c r="F195" s="718"/>
      <c r="G195" s="718"/>
      <c r="H195" s="718"/>
      <c r="I195" s="718"/>
      <c r="J195" s="718"/>
      <c r="K195" s="718"/>
      <c r="L195" s="718"/>
      <c r="M195" s="718"/>
      <c r="N195" s="718"/>
      <c r="O195" s="718"/>
      <c r="P195" s="718">
        <v>715</v>
      </c>
      <c r="Q195" s="704">
        <f t="shared" ref="Q195" si="32">SUM(E195:P195)</f>
        <v>715</v>
      </c>
      <c r="V195" s="699"/>
      <c r="X195" s="732" t="s">
        <v>909</v>
      </c>
      <c r="Y195" s="706"/>
    </row>
    <row r="196" spans="1:26" ht="17.25" customHeight="1">
      <c r="B196" s="33"/>
      <c r="C196" s="1161" t="s">
        <v>813</v>
      </c>
      <c r="D196" s="1161"/>
      <c r="E196" s="718"/>
      <c r="F196" s="718"/>
      <c r="G196" s="718"/>
      <c r="H196" s="718"/>
      <c r="I196" s="718"/>
      <c r="J196" s="718"/>
      <c r="K196" s="718"/>
      <c r="L196" s="718"/>
      <c r="M196" s="718"/>
      <c r="N196" s="718"/>
      <c r="O196" s="718"/>
      <c r="P196" s="718">
        <v>849.97</v>
      </c>
      <c r="Q196" s="704">
        <f t="shared" si="31"/>
        <v>849.97</v>
      </c>
      <c r="V196" s="699"/>
      <c r="X196" s="1124" t="s">
        <v>873</v>
      </c>
      <c r="Y196" s="1124"/>
      <c r="Z196" s="74" t="s">
        <v>868</v>
      </c>
    </row>
    <row r="197" spans="1:26" ht="17.25" hidden="1" customHeight="1">
      <c r="B197" s="33"/>
      <c r="C197" s="1161" t="s">
        <v>814</v>
      </c>
      <c r="D197" s="1161"/>
      <c r="E197" s="718"/>
      <c r="F197" s="718"/>
      <c r="G197" s="718"/>
      <c r="H197" s="718"/>
      <c r="I197" s="718"/>
      <c r="J197" s="718"/>
      <c r="K197" s="718"/>
      <c r="L197" s="718"/>
      <c r="M197" s="718"/>
      <c r="N197" s="718"/>
      <c r="O197" s="718"/>
      <c r="P197" s="718"/>
      <c r="Q197" s="704">
        <f t="shared" si="31"/>
        <v>0</v>
      </c>
      <c r="V197" s="699"/>
      <c r="X197" s="1167"/>
      <c r="Y197" s="1167"/>
      <c r="Z197" s="767"/>
    </row>
    <row r="198" spans="1:26" ht="17.25" hidden="1" customHeight="1">
      <c r="B198" s="33"/>
      <c r="C198" s="1162" t="s">
        <v>910</v>
      </c>
      <c r="D198" s="1162"/>
      <c r="E198" s="718"/>
      <c r="F198" s="718"/>
      <c r="G198" s="718"/>
      <c r="H198" s="718"/>
      <c r="I198" s="718"/>
      <c r="J198" s="718"/>
      <c r="K198" s="718"/>
      <c r="L198" s="718"/>
      <c r="M198" s="718"/>
      <c r="N198" s="718"/>
      <c r="O198" s="718"/>
      <c r="P198" s="718"/>
      <c r="Q198" s="704">
        <f t="shared" si="31"/>
        <v>0</v>
      </c>
      <c r="V198" s="699"/>
      <c r="X198" s="732"/>
      <c r="Y198" s="706"/>
    </row>
    <row r="199" spans="1:26" ht="6.75" hidden="1" customHeight="1">
      <c r="B199" s="33"/>
      <c r="C199" s="1162" t="s">
        <v>855</v>
      </c>
      <c r="D199" s="1162"/>
      <c r="E199" s="718"/>
      <c r="F199" s="718"/>
      <c r="G199" s="718"/>
      <c r="H199" s="718"/>
      <c r="I199" s="718"/>
      <c r="J199" s="718"/>
      <c r="K199" s="718"/>
      <c r="L199" s="718"/>
      <c r="M199" s="718"/>
      <c r="N199" s="718"/>
      <c r="O199" s="718"/>
      <c r="P199" s="718"/>
      <c r="Q199" s="704">
        <f t="shared" si="31"/>
        <v>0</v>
      </c>
      <c r="V199" s="699"/>
      <c r="X199" s="706"/>
      <c r="Y199" s="706"/>
    </row>
    <row r="200" spans="1:26" ht="17.25" customHeight="1">
      <c r="B200" s="33"/>
      <c r="C200" s="1164" t="s">
        <v>851</v>
      </c>
      <c r="D200" s="1164"/>
      <c r="E200" s="730">
        <f>SUM(E172:E173)-SUM(E175:E199)</f>
        <v>0</v>
      </c>
      <c r="F200" s="730">
        <f t="shared" ref="F200:P200" si="33">SUM(F172:F173)-SUM(F175:F199)</f>
        <v>0</v>
      </c>
      <c r="G200" s="730">
        <f t="shared" si="33"/>
        <v>0</v>
      </c>
      <c r="H200" s="730">
        <f t="shared" si="33"/>
        <v>0</v>
      </c>
      <c r="I200" s="730">
        <f t="shared" si="33"/>
        <v>0</v>
      </c>
      <c r="J200" s="730">
        <f t="shared" si="33"/>
        <v>0</v>
      </c>
      <c r="K200" s="730">
        <f t="shared" si="33"/>
        <v>0</v>
      </c>
      <c r="L200" s="730">
        <f t="shared" si="33"/>
        <v>0</v>
      </c>
      <c r="M200" s="730">
        <f t="shared" si="33"/>
        <v>0</v>
      </c>
      <c r="N200" s="730">
        <f t="shared" si="33"/>
        <v>0</v>
      </c>
      <c r="O200" s="730">
        <f t="shared" si="33"/>
        <v>0</v>
      </c>
      <c r="P200" s="730">
        <f t="shared" si="33"/>
        <v>-2759.66</v>
      </c>
      <c r="Q200" s="730">
        <f>SUM(Q172:Q173)-SUM(Q175:Q199)</f>
        <v>-2759.66</v>
      </c>
      <c r="V200" s="699"/>
      <c r="X200" s="706"/>
      <c r="Y200" s="706"/>
    </row>
    <row r="201" spans="1:26" ht="17.25" customHeight="1">
      <c r="B201" s="33"/>
      <c r="C201" s="1164" t="s">
        <v>856</v>
      </c>
      <c r="D201" s="1164"/>
      <c r="E201" s="731">
        <f t="shared" ref="E201:Q201" si="34">E168+E200</f>
        <v>0</v>
      </c>
      <c r="F201" s="731">
        <f t="shared" si="34"/>
        <v>0</v>
      </c>
      <c r="G201" s="731">
        <f t="shared" si="34"/>
        <v>0</v>
      </c>
      <c r="H201" s="731">
        <f t="shared" si="34"/>
        <v>0</v>
      </c>
      <c r="I201" s="731">
        <f t="shared" si="34"/>
        <v>0</v>
      </c>
      <c r="J201" s="731">
        <f t="shared" si="34"/>
        <v>0</v>
      </c>
      <c r="K201" s="731">
        <f t="shared" si="34"/>
        <v>0</v>
      </c>
      <c r="L201" s="731">
        <f t="shared" si="34"/>
        <v>0</v>
      </c>
      <c r="M201" s="731">
        <f t="shared" si="34"/>
        <v>0</v>
      </c>
      <c r="N201" s="731">
        <f t="shared" si="34"/>
        <v>0</v>
      </c>
      <c r="O201" s="731">
        <f t="shared" si="34"/>
        <v>0</v>
      </c>
      <c r="P201" s="731">
        <f t="shared" si="34"/>
        <v>9864.8299999999981</v>
      </c>
      <c r="Q201" s="731">
        <f t="shared" si="34"/>
        <v>9864.8299999999981</v>
      </c>
      <c r="V201" s="699"/>
      <c r="X201" s="706"/>
      <c r="Y201" s="706"/>
    </row>
    <row r="202" spans="1:26" ht="7.5" customHeight="1">
      <c r="B202" s="35"/>
      <c r="C202" s="36"/>
      <c r="D202" s="36"/>
      <c r="E202" s="36"/>
      <c r="F202" s="36"/>
      <c r="G202" s="36"/>
      <c r="H202" s="36"/>
      <c r="I202" s="36"/>
      <c r="J202" s="36"/>
      <c r="K202" s="36"/>
      <c r="L202" s="36"/>
      <c r="M202" s="36"/>
      <c r="N202" s="36"/>
      <c r="O202" s="36"/>
      <c r="P202" s="36"/>
      <c r="Q202" s="36"/>
      <c r="R202" s="36"/>
      <c r="S202" s="36"/>
      <c r="T202" s="36"/>
      <c r="U202" s="36"/>
      <c r="V202" s="37"/>
    </row>
    <row r="203" spans="1:26" ht="7.5" customHeight="1">
      <c r="C203" s="34"/>
      <c r="D203" s="34"/>
      <c r="E203" s="34"/>
      <c r="F203" s="34"/>
      <c r="G203" s="34"/>
      <c r="H203" s="34"/>
      <c r="I203" s="34"/>
      <c r="J203" s="34"/>
      <c r="K203" s="34"/>
      <c r="L203" s="34"/>
      <c r="M203" s="34"/>
      <c r="N203" s="34"/>
      <c r="O203" s="34"/>
      <c r="P203" s="34"/>
      <c r="Q203" s="34"/>
      <c r="R203" s="34"/>
      <c r="S203" s="34"/>
      <c r="T203" s="34"/>
      <c r="U203" s="34"/>
    </row>
    <row r="204" spans="1:26" ht="18.75" hidden="1" customHeight="1">
      <c r="A204" s="700" t="s">
        <v>111</v>
      </c>
      <c r="B204" s="1140" t="s">
        <v>859</v>
      </c>
      <c r="C204" s="1140"/>
      <c r="D204" s="1140"/>
      <c r="E204" s="1140"/>
      <c r="F204" s="1158" t="s">
        <v>820</v>
      </c>
      <c r="G204" s="1142"/>
      <c r="H204" s="1142"/>
      <c r="I204" s="685"/>
      <c r="J204" s="685"/>
      <c r="K204" s="685"/>
      <c r="L204" s="685"/>
      <c r="M204" s="685"/>
      <c r="N204" s="685"/>
      <c r="O204" s="685"/>
      <c r="P204" s="685"/>
      <c r="Q204" s="685"/>
      <c r="R204" s="685"/>
      <c r="S204" s="685"/>
      <c r="T204" s="685"/>
      <c r="U204" s="685"/>
    </row>
    <row r="205" spans="1:26" ht="7.5" hidden="1" customHeight="1">
      <c r="B205" s="695"/>
      <c r="C205" s="696"/>
      <c r="D205" s="696"/>
      <c r="E205" s="696"/>
      <c r="F205" s="696"/>
      <c r="G205" s="696"/>
      <c r="H205" s="696"/>
      <c r="I205" s="696"/>
      <c r="J205" s="696"/>
      <c r="K205" s="696"/>
      <c r="L205" s="696"/>
      <c r="M205" s="696"/>
      <c r="N205" s="696"/>
      <c r="O205" s="696"/>
      <c r="P205" s="696"/>
      <c r="Q205" s="696"/>
      <c r="R205" s="696"/>
      <c r="S205" s="696"/>
      <c r="T205" s="696"/>
      <c r="U205" s="696"/>
      <c r="V205" s="697"/>
    </row>
    <row r="206" spans="1:26" ht="24.95" hidden="1" customHeight="1">
      <c r="B206" s="33"/>
      <c r="C206" s="36"/>
      <c r="D206" s="36"/>
      <c r="E206" s="36"/>
      <c r="F206" s="36"/>
      <c r="G206" s="36"/>
      <c r="H206" s="1159" t="s">
        <v>821</v>
      </c>
      <c r="I206" s="1160"/>
      <c r="J206" s="1160"/>
      <c r="K206" s="1160"/>
      <c r="L206" s="1160"/>
      <c r="M206" s="1148" t="s">
        <v>822</v>
      </c>
      <c r="N206" s="1149"/>
      <c r="O206" s="1149"/>
      <c r="P206" s="1149"/>
      <c r="Q206" s="1150"/>
      <c r="V206" s="699"/>
    </row>
    <row r="207" spans="1:26" ht="45" hidden="1" customHeight="1">
      <c r="B207" s="33"/>
      <c r="C207" s="1151" t="str">
        <f>IF(E218="","",E218)</f>
        <v/>
      </c>
      <c r="D207" s="1152"/>
      <c r="E207" s="1152"/>
      <c r="F207" s="710"/>
      <c r="G207" s="702" t="s">
        <v>823</v>
      </c>
      <c r="H207" s="701" t="s">
        <v>654</v>
      </c>
      <c r="I207" s="702" t="s">
        <v>386</v>
      </c>
      <c r="J207" s="702" t="s">
        <v>810</v>
      </c>
      <c r="K207" s="702" t="s">
        <v>824</v>
      </c>
      <c r="L207" s="711" t="s">
        <v>825</v>
      </c>
      <c r="M207" s="702" t="s">
        <v>654</v>
      </c>
      <c r="N207" s="702" t="s">
        <v>386</v>
      </c>
      <c r="O207" s="712" t="s">
        <v>810</v>
      </c>
      <c r="P207" s="712" t="s">
        <v>824</v>
      </c>
      <c r="Q207" s="703" t="s">
        <v>826</v>
      </c>
      <c r="V207" s="699"/>
      <c r="X207" s="1134" t="s">
        <v>789</v>
      </c>
      <c r="Y207" s="1135"/>
    </row>
    <row r="208" spans="1:26" ht="7.5" hidden="1" customHeight="1">
      <c r="B208" s="33"/>
      <c r="C208" s="713"/>
      <c r="D208" s="713"/>
      <c r="E208" s="713"/>
      <c r="F208" s="713"/>
      <c r="G208" s="714"/>
      <c r="H208" s="714"/>
      <c r="I208" s="714"/>
      <c r="J208" s="714"/>
      <c r="K208" s="714"/>
      <c r="L208" s="714"/>
      <c r="M208" s="714"/>
      <c r="N208" s="715" t="s">
        <v>827</v>
      </c>
      <c r="Q208" s="714"/>
      <c r="V208" s="699"/>
    </row>
    <row r="209" spans="1:25" ht="17.25" hidden="1" customHeight="1">
      <c r="B209" s="33"/>
      <c r="C209" s="1153" t="str">
        <f ca="1">$B$5</f>
        <v>The Schubert Superannuation Fund</v>
      </c>
      <c r="D209" s="1153"/>
      <c r="E209" s="1153"/>
      <c r="F209" s="716"/>
      <c r="G209" s="717">
        <v>1</v>
      </c>
      <c r="H209" s="704">
        <f>IF(G209="",0,SUM($Q$224,$Q$225,$Q$245,$Q$246)*G209)</f>
        <v>0</v>
      </c>
      <c r="I209" s="704">
        <f>IF(G209="",0,$Q$257*G209)</f>
        <v>0</v>
      </c>
      <c r="J209" s="704">
        <f>IF(G209="",0,$Q$265*G209)</f>
        <v>0</v>
      </c>
      <c r="K209" s="704">
        <f>IF(G209="",0,(SUM(($Q$227:$Q$240),(Q$248:Q$271))-$Q$257-$Q$265)*G209)</f>
        <v>0</v>
      </c>
      <c r="L209" s="704">
        <f>H209-SUM(I209:K209)</f>
        <v>0</v>
      </c>
      <c r="M209" s="704">
        <f>$O$29</f>
        <v>0</v>
      </c>
      <c r="N209" s="704">
        <f>$O$40</f>
        <v>0</v>
      </c>
      <c r="O209" s="704">
        <f>$O$46</f>
        <v>0</v>
      </c>
      <c r="P209" s="704">
        <f>$O$51-$O$40-$O$46</f>
        <v>0</v>
      </c>
      <c r="Q209" s="704">
        <f>SUM(L209:M209)-SUM(N209:P209)</f>
        <v>0</v>
      </c>
      <c r="V209" s="699"/>
      <c r="X209" s="706"/>
      <c r="Y209" s="706"/>
    </row>
    <row r="210" spans="1:25" ht="17.25" hidden="1" customHeight="1">
      <c r="B210" s="33"/>
      <c r="C210" s="1154" t="s">
        <v>828</v>
      </c>
      <c r="D210" s="1154"/>
      <c r="E210" s="1154"/>
      <c r="F210" s="716"/>
      <c r="G210" s="717"/>
      <c r="H210" s="704">
        <f>IF(G210="",0,SUM($Q$224,$Q$225,$Q$245,$Q$246)*G210)</f>
        <v>0</v>
      </c>
      <c r="I210" s="704">
        <f t="shared" ref="I210:I212" si="35">IF(G210="",0,$Q$257*G210)</f>
        <v>0</v>
      </c>
      <c r="J210" s="704">
        <f t="shared" ref="J210:J212" si="36">IF(G210="",0,$Q$265*G210)</f>
        <v>0</v>
      </c>
      <c r="K210" s="704">
        <f t="shared" ref="K210:K212" si="37">IF(G210="",0,(SUM(($Q$227:$Q$240),(Q$248:Q$271))-$Q$257-$Q$265)*G210)</f>
        <v>0</v>
      </c>
      <c r="L210" s="704">
        <f>H210-SUM(I210:K210)</f>
        <v>0</v>
      </c>
      <c r="M210" s="718"/>
      <c r="N210" s="718"/>
      <c r="O210" s="718"/>
      <c r="P210" s="718"/>
      <c r="Q210" s="704">
        <f>SUM(L210:M210)-SUM(N210:P210)</f>
        <v>0</v>
      </c>
      <c r="V210" s="699"/>
      <c r="X210" s="706"/>
      <c r="Y210" s="706"/>
    </row>
    <row r="211" spans="1:25" ht="17.25" hidden="1" customHeight="1">
      <c r="B211" s="33"/>
      <c r="C211" s="1154" t="s">
        <v>828</v>
      </c>
      <c r="D211" s="1154"/>
      <c r="E211" s="1154"/>
      <c r="F211" s="716"/>
      <c r="G211" s="717"/>
      <c r="H211" s="704">
        <f t="shared" ref="H211:H212" si="38">IF(G211="",0,SUM($Q$224,$Q$225,$Q$245,$Q$246)*G211)</f>
        <v>0</v>
      </c>
      <c r="I211" s="704">
        <f t="shared" si="35"/>
        <v>0</v>
      </c>
      <c r="J211" s="704">
        <f t="shared" si="36"/>
        <v>0</v>
      </c>
      <c r="K211" s="704">
        <f t="shared" si="37"/>
        <v>0</v>
      </c>
      <c r="L211" s="704">
        <f>H211-SUM(I211:K211)</f>
        <v>0</v>
      </c>
      <c r="M211" s="718"/>
      <c r="N211" s="718"/>
      <c r="O211" s="718"/>
      <c r="P211" s="718"/>
      <c r="Q211" s="704">
        <f>SUM(L211:M211)-SUM(N211:P211)</f>
        <v>0</v>
      </c>
      <c r="V211" s="699"/>
      <c r="X211" s="706"/>
      <c r="Y211" s="706"/>
    </row>
    <row r="212" spans="1:25" ht="17.25" hidden="1" customHeight="1">
      <c r="B212" s="33"/>
      <c r="C212" s="1154" t="s">
        <v>828</v>
      </c>
      <c r="D212" s="1154"/>
      <c r="E212" s="1154"/>
      <c r="F212" s="716"/>
      <c r="G212" s="717"/>
      <c r="H212" s="704">
        <f t="shared" si="38"/>
        <v>0</v>
      </c>
      <c r="I212" s="704">
        <f t="shared" si="35"/>
        <v>0</v>
      </c>
      <c r="J212" s="704">
        <f t="shared" si="36"/>
        <v>0</v>
      </c>
      <c r="K212" s="704">
        <f t="shared" si="37"/>
        <v>0</v>
      </c>
      <c r="L212" s="704">
        <f>H212-SUM(I212:K212)</f>
        <v>0</v>
      </c>
      <c r="M212" s="718"/>
      <c r="N212" s="718"/>
      <c r="O212" s="718"/>
      <c r="P212" s="718"/>
      <c r="Q212" s="704">
        <f>SUM(L212:M212)-SUM(N212:P212)</f>
        <v>0</v>
      </c>
      <c r="V212" s="699"/>
      <c r="X212" s="706"/>
      <c r="Y212" s="706"/>
    </row>
    <row r="213" spans="1:25" ht="17.25" hidden="1" customHeight="1">
      <c r="B213" s="33"/>
      <c r="C213" s="34"/>
      <c r="D213" s="34"/>
      <c r="E213" s="34"/>
      <c r="F213" s="34"/>
      <c r="G213" s="719">
        <f>IF(SUM(G209:G212)=0,0,SUM(G209:G212))</f>
        <v>1</v>
      </c>
      <c r="H213" s="707">
        <f t="shared" ref="H213" si="39">SUM(H209:H212)</f>
        <v>0</v>
      </c>
      <c r="I213" s="707">
        <f t="shared" ref="I213:O213" si="40">SUM(I209:I212)</f>
        <v>0</v>
      </c>
      <c r="J213" s="707">
        <f t="shared" si="40"/>
        <v>0</v>
      </c>
      <c r="K213" s="707">
        <f t="shared" si="40"/>
        <v>0</v>
      </c>
      <c r="L213" s="707">
        <f t="shared" si="40"/>
        <v>0</v>
      </c>
      <c r="M213" s="707">
        <f t="shared" si="40"/>
        <v>0</v>
      </c>
      <c r="N213" s="707">
        <f t="shared" si="40"/>
        <v>0</v>
      </c>
      <c r="O213" s="707">
        <f t="shared" si="40"/>
        <v>0</v>
      </c>
      <c r="P213" s="707">
        <f>SUM(P209:P212)</f>
        <v>0</v>
      </c>
      <c r="Q213" s="707">
        <f>SUM(Q209:Q212)</f>
        <v>0</v>
      </c>
      <c r="V213" s="699"/>
      <c r="X213" s="706"/>
      <c r="Y213" s="706"/>
    </row>
    <row r="214" spans="1:25" ht="7.5" hidden="1" customHeight="1">
      <c r="B214" s="35"/>
      <c r="C214" s="36"/>
      <c r="D214" s="36"/>
      <c r="E214" s="36"/>
      <c r="F214" s="36"/>
      <c r="G214" s="36"/>
      <c r="H214" s="36"/>
      <c r="I214" s="36"/>
      <c r="J214" s="36"/>
      <c r="K214" s="36"/>
      <c r="L214" s="36"/>
      <c r="M214" s="36"/>
      <c r="N214" s="36"/>
      <c r="O214" s="36"/>
      <c r="P214" s="36"/>
      <c r="Q214" s="36"/>
      <c r="R214" s="36"/>
      <c r="S214" s="36"/>
      <c r="T214" s="36"/>
      <c r="U214" s="36"/>
      <c r="V214" s="37"/>
      <c r="X214" s="720"/>
      <c r="Y214" s="720"/>
    </row>
    <row r="215" spans="1:25" ht="7.5" hidden="1" customHeight="1">
      <c r="C215" s="34"/>
      <c r="D215" s="34"/>
      <c r="E215" s="34"/>
      <c r="F215" s="34"/>
      <c r="G215" s="34"/>
      <c r="H215" s="34"/>
      <c r="I215" s="34"/>
      <c r="J215" s="34"/>
      <c r="K215" s="34"/>
      <c r="L215" s="34"/>
      <c r="M215" s="34"/>
      <c r="N215" s="34"/>
      <c r="O215" s="34"/>
      <c r="P215" s="34"/>
      <c r="Q215" s="34"/>
      <c r="R215" s="34"/>
      <c r="S215" s="34"/>
      <c r="T215" s="34"/>
      <c r="U215" s="34"/>
      <c r="X215" s="720"/>
      <c r="Y215" s="720"/>
    </row>
    <row r="216" spans="1:25" ht="18.75" hidden="1" customHeight="1">
      <c r="A216" s="700" t="s">
        <v>111</v>
      </c>
      <c r="B216" s="1140" t="s">
        <v>860</v>
      </c>
      <c r="C216" s="1140"/>
      <c r="D216" s="1140"/>
      <c r="E216" s="1140"/>
      <c r="F216" s="1155" t="str">
        <f>F204</f>
        <v>Enter rental property name</v>
      </c>
      <c r="G216" s="1156"/>
      <c r="H216" s="1157"/>
      <c r="J216" s="685"/>
      <c r="K216" s="685"/>
      <c r="L216" s="685"/>
      <c r="M216" s="685"/>
      <c r="N216" s="685"/>
      <c r="O216" s="685"/>
      <c r="P216" s="685"/>
      <c r="Q216" s="685"/>
      <c r="R216" s="685"/>
      <c r="S216" s="685"/>
      <c r="T216" s="685"/>
      <c r="U216" s="685"/>
    </row>
    <row r="217" spans="1:25" ht="7.5" hidden="1" customHeight="1">
      <c r="B217" s="721"/>
      <c r="C217" s="189"/>
      <c r="D217" s="189"/>
      <c r="E217" s="189"/>
      <c r="F217" s="189"/>
      <c r="G217" s="189"/>
      <c r="H217" s="189"/>
      <c r="I217" s="189"/>
      <c r="J217" s="189"/>
      <c r="K217" s="189"/>
      <c r="L217" s="189"/>
      <c r="M217" s="189"/>
      <c r="N217" s="189"/>
      <c r="O217" s="189"/>
      <c r="P217" s="189"/>
      <c r="Q217" s="189"/>
      <c r="R217" s="189"/>
      <c r="S217" s="189"/>
      <c r="T217" s="189"/>
      <c r="U217" s="189"/>
      <c r="V217" s="722"/>
    </row>
    <row r="218" spans="1:25" ht="17.25" hidden="1" customHeight="1">
      <c r="B218" s="33"/>
      <c r="C218" s="1161" t="s">
        <v>830</v>
      </c>
      <c r="D218" s="1161"/>
      <c r="E218" s="1162"/>
      <c r="F218" s="1162"/>
      <c r="G218" s="1162"/>
      <c r="H218" s="1162"/>
      <c r="I218" s="1162"/>
      <c r="J218" s="1162"/>
      <c r="K218" s="1162"/>
      <c r="L218" s="1162"/>
      <c r="M218" s="1162"/>
      <c r="N218" s="724"/>
      <c r="O218" s="724"/>
      <c r="P218" s="724"/>
      <c r="Q218" s="724"/>
      <c r="R218" s="724"/>
      <c r="S218" s="724"/>
      <c r="T218" s="724"/>
      <c r="U218" s="724"/>
      <c r="V218" s="699"/>
      <c r="X218" s="720"/>
      <c r="Y218" s="720"/>
    </row>
    <row r="219" spans="1:25" ht="17.25" hidden="1" customHeight="1">
      <c r="B219" s="33"/>
      <c r="C219" s="1161" t="s">
        <v>831</v>
      </c>
      <c r="D219" s="1161"/>
      <c r="E219" s="725"/>
      <c r="F219" s="34"/>
      <c r="G219" s="34"/>
      <c r="H219" s="34"/>
      <c r="I219" s="34"/>
      <c r="J219" s="34"/>
      <c r="K219" s="34"/>
      <c r="L219" s="34"/>
      <c r="M219" s="34"/>
      <c r="N219" s="34"/>
      <c r="O219" s="34"/>
      <c r="P219" s="34"/>
      <c r="Q219" s="34"/>
      <c r="R219" s="34"/>
      <c r="S219" s="34"/>
      <c r="T219" s="34"/>
      <c r="U219" s="34"/>
      <c r="V219" s="699"/>
    </row>
    <row r="220" spans="1:25" ht="17.25" hidden="1" customHeight="1">
      <c r="B220" s="33"/>
      <c r="C220" s="1161" t="s">
        <v>832</v>
      </c>
      <c r="D220" s="1161"/>
      <c r="E220" s="726"/>
      <c r="F220" s="34"/>
      <c r="G220" s="1163"/>
      <c r="H220" s="1163"/>
      <c r="I220" s="1163"/>
      <c r="J220" s="1163"/>
      <c r="K220" s="1163"/>
      <c r="L220" s="1163"/>
      <c r="M220" s="724"/>
      <c r="N220" s="724"/>
      <c r="O220" s="724"/>
      <c r="P220" s="724"/>
      <c r="Q220" s="34"/>
      <c r="V220" s="699"/>
    </row>
    <row r="221" spans="1:25" ht="7.5" hidden="1" customHeight="1">
      <c r="B221" s="33"/>
      <c r="C221" s="36"/>
      <c r="D221" s="36"/>
      <c r="E221" s="36"/>
      <c r="F221" s="36"/>
      <c r="G221" s="36"/>
      <c r="H221" s="36"/>
      <c r="I221" s="36"/>
      <c r="J221" s="36"/>
      <c r="K221" s="36"/>
      <c r="L221" s="36"/>
      <c r="M221" s="36"/>
      <c r="N221" s="36"/>
      <c r="O221" s="36"/>
      <c r="P221" s="36"/>
      <c r="Q221" s="36"/>
      <c r="V221" s="699"/>
    </row>
    <row r="222" spans="1:25" ht="30" hidden="1" customHeight="1">
      <c r="B222" s="33"/>
      <c r="C222" s="1106" t="s">
        <v>833</v>
      </c>
      <c r="D222" s="1133"/>
      <c r="E222" s="702" t="s">
        <v>834</v>
      </c>
      <c r="F222" s="702" t="s">
        <v>835</v>
      </c>
      <c r="G222" s="702" t="s">
        <v>836</v>
      </c>
      <c r="H222" s="702" t="s">
        <v>837</v>
      </c>
      <c r="I222" s="702" t="s">
        <v>838</v>
      </c>
      <c r="J222" s="702" t="s">
        <v>839</v>
      </c>
      <c r="K222" s="702" t="s">
        <v>840</v>
      </c>
      <c r="L222" s="702" t="s">
        <v>841</v>
      </c>
      <c r="M222" s="702" t="s">
        <v>842</v>
      </c>
      <c r="N222" s="702" t="s">
        <v>843</v>
      </c>
      <c r="O222" s="702" t="s">
        <v>844</v>
      </c>
      <c r="P222" s="702" t="s">
        <v>845</v>
      </c>
      <c r="Q222" s="703" t="s">
        <v>121</v>
      </c>
      <c r="V222" s="699"/>
      <c r="X222" s="1134" t="s">
        <v>789</v>
      </c>
      <c r="Y222" s="1135"/>
    </row>
    <row r="223" spans="1:25" ht="7.5" hidden="1" customHeight="1">
      <c r="B223" s="33"/>
      <c r="C223" s="714"/>
      <c r="D223" s="714"/>
      <c r="E223" s="714"/>
      <c r="F223" s="714"/>
      <c r="G223" s="714"/>
      <c r="H223" s="714"/>
      <c r="I223" s="714"/>
      <c r="J223" s="714"/>
      <c r="K223" s="714"/>
      <c r="L223" s="714"/>
      <c r="M223" s="714"/>
      <c r="N223" s="714"/>
      <c r="O223" s="714"/>
      <c r="P223" s="714"/>
      <c r="Q223" s="714"/>
      <c r="V223" s="699"/>
    </row>
    <row r="224" spans="1:25" ht="17.25" hidden="1" customHeight="1">
      <c r="B224" s="33"/>
      <c r="C224" s="1161" t="s">
        <v>846</v>
      </c>
      <c r="D224" s="1161"/>
      <c r="E224" s="718"/>
      <c r="F224" s="718"/>
      <c r="G224" s="718"/>
      <c r="H224" s="718"/>
      <c r="I224" s="718"/>
      <c r="J224" s="718"/>
      <c r="K224" s="718"/>
      <c r="L224" s="718"/>
      <c r="M224" s="718"/>
      <c r="N224" s="718"/>
      <c r="O224" s="718"/>
      <c r="P224" s="718"/>
      <c r="Q224" s="704">
        <f>SUM(E224:P224)</f>
        <v>0</v>
      </c>
      <c r="V224" s="699"/>
      <c r="X224" s="706"/>
      <c r="Y224" s="706"/>
    </row>
    <row r="225" spans="2:25" ht="17.25" hidden="1" customHeight="1">
      <c r="B225" s="33"/>
      <c r="C225" s="1161" t="s">
        <v>792</v>
      </c>
      <c r="D225" s="1161"/>
      <c r="E225" s="718"/>
      <c r="F225" s="718"/>
      <c r="G225" s="718"/>
      <c r="H225" s="718"/>
      <c r="I225" s="718"/>
      <c r="J225" s="718"/>
      <c r="K225" s="718"/>
      <c r="L225" s="718"/>
      <c r="M225" s="718"/>
      <c r="N225" s="718"/>
      <c r="O225" s="718"/>
      <c r="P225" s="718"/>
      <c r="Q225" s="704">
        <f>SUM(E225:P225)</f>
        <v>0</v>
      </c>
      <c r="V225" s="699"/>
      <c r="X225" s="706"/>
      <c r="Y225" s="706"/>
    </row>
    <row r="226" spans="2:25" ht="7.5" hidden="1" customHeight="1">
      <c r="B226" s="33"/>
      <c r="C226" s="727"/>
      <c r="D226" s="728"/>
      <c r="E226" s="728"/>
      <c r="F226" s="728"/>
      <c r="G226" s="728"/>
      <c r="H226" s="728"/>
      <c r="I226" s="728"/>
      <c r="J226" s="728"/>
      <c r="K226" s="728"/>
      <c r="L226" s="728"/>
      <c r="M226" s="728"/>
      <c r="N226" s="728"/>
      <c r="O226" s="728"/>
      <c r="P226" s="728"/>
      <c r="Q226" s="728"/>
      <c r="V226" s="699"/>
      <c r="X226" s="720"/>
      <c r="Y226" s="720"/>
    </row>
    <row r="227" spans="2:25" ht="17.25" hidden="1" customHeight="1">
      <c r="B227" s="33"/>
      <c r="C227" s="1161" t="s">
        <v>847</v>
      </c>
      <c r="D227" s="1161"/>
      <c r="E227" s="718"/>
      <c r="F227" s="718"/>
      <c r="G227" s="718"/>
      <c r="H227" s="718"/>
      <c r="I227" s="718"/>
      <c r="J227" s="718"/>
      <c r="K227" s="718"/>
      <c r="L227" s="718"/>
      <c r="M227" s="718"/>
      <c r="N227" s="718"/>
      <c r="O227" s="718"/>
      <c r="P227" s="718"/>
      <c r="Q227" s="704">
        <f>SUM(E227:P227)</f>
        <v>0</v>
      </c>
      <c r="V227" s="699"/>
      <c r="X227" s="706"/>
      <c r="Y227" s="706"/>
    </row>
    <row r="228" spans="2:25" ht="17.25" hidden="1" customHeight="1">
      <c r="B228" s="33"/>
      <c r="C228" s="1161" t="s">
        <v>848</v>
      </c>
      <c r="D228" s="1161"/>
      <c r="E228" s="718"/>
      <c r="F228" s="718"/>
      <c r="G228" s="718"/>
      <c r="H228" s="718"/>
      <c r="I228" s="718"/>
      <c r="J228" s="718"/>
      <c r="K228" s="718"/>
      <c r="L228" s="718"/>
      <c r="M228" s="718"/>
      <c r="N228" s="718"/>
      <c r="O228" s="718"/>
      <c r="P228" s="718"/>
      <c r="Q228" s="704">
        <f t="shared" ref="Q228:Q240" si="41">SUM(E228:P228)</f>
        <v>0</v>
      </c>
      <c r="V228" s="699"/>
      <c r="X228" s="706"/>
      <c r="Y228" s="706"/>
    </row>
    <row r="229" spans="2:25" ht="17.25" hidden="1" customHeight="1">
      <c r="B229" s="33"/>
      <c r="C229" s="1161" t="s">
        <v>797</v>
      </c>
      <c r="D229" s="1161"/>
      <c r="E229" s="718"/>
      <c r="F229" s="718"/>
      <c r="G229" s="718"/>
      <c r="H229" s="718"/>
      <c r="I229" s="718"/>
      <c r="J229" s="718"/>
      <c r="K229" s="718"/>
      <c r="L229" s="718"/>
      <c r="M229" s="718"/>
      <c r="N229" s="718"/>
      <c r="O229" s="718"/>
      <c r="P229" s="718"/>
      <c r="Q229" s="704">
        <f t="shared" si="41"/>
        <v>0</v>
      </c>
      <c r="V229" s="699"/>
      <c r="X229" s="706"/>
      <c r="Y229" s="706"/>
    </row>
    <row r="230" spans="2:25" ht="17.25" hidden="1" customHeight="1">
      <c r="B230" s="33"/>
      <c r="C230" s="1161" t="s">
        <v>799</v>
      </c>
      <c r="D230" s="1161"/>
      <c r="E230" s="718"/>
      <c r="F230" s="718"/>
      <c r="G230" s="718"/>
      <c r="H230" s="718"/>
      <c r="I230" s="718"/>
      <c r="J230" s="718"/>
      <c r="K230" s="718"/>
      <c r="L230" s="718"/>
      <c r="M230" s="718"/>
      <c r="N230" s="718"/>
      <c r="O230" s="718"/>
      <c r="P230" s="718"/>
      <c r="Q230" s="704">
        <f t="shared" si="41"/>
        <v>0</v>
      </c>
      <c r="V230" s="699"/>
      <c r="X230" s="706"/>
      <c r="Y230" s="706"/>
    </row>
    <row r="231" spans="2:25" ht="17.25" hidden="1" customHeight="1">
      <c r="B231" s="33"/>
      <c r="C231" s="1161" t="s">
        <v>800</v>
      </c>
      <c r="D231" s="1161"/>
      <c r="E231" s="718"/>
      <c r="F231" s="718"/>
      <c r="G231" s="718"/>
      <c r="H231" s="718"/>
      <c r="I231" s="718"/>
      <c r="J231" s="718"/>
      <c r="K231" s="718"/>
      <c r="L231" s="718"/>
      <c r="M231" s="718"/>
      <c r="N231" s="718"/>
      <c r="O231" s="718"/>
      <c r="P231" s="718"/>
      <c r="Q231" s="704">
        <f t="shared" si="41"/>
        <v>0</v>
      </c>
      <c r="V231" s="699"/>
      <c r="X231" s="706"/>
      <c r="Y231" s="706"/>
    </row>
    <row r="232" spans="2:25" ht="17.25" hidden="1" customHeight="1">
      <c r="B232" s="33"/>
      <c r="C232" s="1161" t="s">
        <v>802</v>
      </c>
      <c r="D232" s="1161"/>
      <c r="E232" s="718"/>
      <c r="F232" s="718"/>
      <c r="G232" s="718"/>
      <c r="H232" s="718"/>
      <c r="I232" s="718"/>
      <c r="J232" s="718"/>
      <c r="K232" s="718"/>
      <c r="L232" s="718"/>
      <c r="M232" s="718"/>
      <c r="N232" s="718"/>
      <c r="O232" s="718"/>
      <c r="P232" s="718"/>
      <c r="Q232" s="704">
        <f t="shared" si="41"/>
        <v>0</v>
      </c>
      <c r="V232" s="699"/>
      <c r="X232" s="706"/>
      <c r="Y232" s="706"/>
    </row>
    <row r="233" spans="2:25" ht="17.25" hidden="1" customHeight="1">
      <c r="B233" s="33"/>
      <c r="C233" s="1161" t="s">
        <v>803</v>
      </c>
      <c r="D233" s="1161"/>
      <c r="E233" s="718"/>
      <c r="F233" s="718"/>
      <c r="G233" s="718"/>
      <c r="H233" s="718"/>
      <c r="I233" s="718"/>
      <c r="J233" s="718"/>
      <c r="K233" s="718"/>
      <c r="L233" s="718"/>
      <c r="M233" s="718"/>
      <c r="N233" s="718"/>
      <c r="O233" s="718"/>
      <c r="P233" s="718"/>
      <c r="Q233" s="704">
        <f t="shared" si="41"/>
        <v>0</v>
      </c>
      <c r="V233" s="699"/>
      <c r="X233" s="706"/>
      <c r="Y233" s="706"/>
    </row>
    <row r="234" spans="2:25" ht="17.25" hidden="1" customHeight="1">
      <c r="B234" s="33"/>
      <c r="C234" s="1161" t="s">
        <v>805</v>
      </c>
      <c r="D234" s="1161"/>
      <c r="E234" s="718"/>
      <c r="F234" s="718"/>
      <c r="G234" s="718"/>
      <c r="H234" s="718"/>
      <c r="I234" s="718"/>
      <c r="J234" s="718"/>
      <c r="K234" s="718"/>
      <c r="L234" s="718"/>
      <c r="M234" s="718"/>
      <c r="N234" s="718"/>
      <c r="O234" s="718"/>
      <c r="P234" s="718"/>
      <c r="Q234" s="704">
        <f t="shared" si="41"/>
        <v>0</v>
      </c>
      <c r="V234" s="699"/>
      <c r="X234" s="706"/>
      <c r="Y234" s="706"/>
    </row>
    <row r="235" spans="2:25" ht="17.25" hidden="1" customHeight="1">
      <c r="B235" s="33"/>
      <c r="C235" s="1161" t="s">
        <v>806</v>
      </c>
      <c r="D235" s="1161"/>
      <c r="E235" s="718"/>
      <c r="F235" s="718"/>
      <c r="G235" s="718"/>
      <c r="H235" s="718"/>
      <c r="I235" s="718"/>
      <c r="J235" s="718"/>
      <c r="K235" s="718"/>
      <c r="L235" s="718"/>
      <c r="M235" s="718"/>
      <c r="N235" s="718"/>
      <c r="O235" s="718"/>
      <c r="P235" s="718"/>
      <c r="Q235" s="704">
        <f t="shared" si="41"/>
        <v>0</v>
      </c>
      <c r="V235" s="699"/>
      <c r="X235" s="706"/>
      <c r="Y235" s="706"/>
    </row>
    <row r="236" spans="2:25" ht="17.25" hidden="1" customHeight="1">
      <c r="B236" s="33"/>
      <c r="C236" s="1161" t="s">
        <v>807</v>
      </c>
      <c r="D236" s="1161"/>
      <c r="E236" s="718"/>
      <c r="F236" s="718"/>
      <c r="G236" s="718"/>
      <c r="H236" s="718"/>
      <c r="I236" s="718"/>
      <c r="J236" s="718"/>
      <c r="K236" s="718"/>
      <c r="L236" s="718"/>
      <c r="M236" s="718"/>
      <c r="N236" s="718"/>
      <c r="O236" s="718"/>
      <c r="P236" s="718"/>
      <c r="Q236" s="704">
        <f t="shared" si="41"/>
        <v>0</v>
      </c>
      <c r="V236" s="699"/>
      <c r="X236" s="706"/>
      <c r="Y236" s="706"/>
    </row>
    <row r="237" spans="2:25" ht="17.25" hidden="1" customHeight="1">
      <c r="B237" s="33"/>
      <c r="C237" s="1161" t="s">
        <v>809</v>
      </c>
      <c r="D237" s="1161"/>
      <c r="E237" s="718"/>
      <c r="F237" s="718"/>
      <c r="G237" s="718"/>
      <c r="H237" s="718"/>
      <c r="I237" s="718"/>
      <c r="J237" s="718"/>
      <c r="K237" s="718"/>
      <c r="L237" s="718"/>
      <c r="M237" s="718"/>
      <c r="N237" s="718"/>
      <c r="O237" s="718"/>
      <c r="P237" s="718"/>
      <c r="Q237" s="704">
        <f t="shared" si="41"/>
        <v>0</v>
      </c>
      <c r="V237" s="699"/>
      <c r="X237" s="706"/>
      <c r="Y237" s="706"/>
    </row>
    <row r="238" spans="2:25" ht="17.25" hidden="1" customHeight="1">
      <c r="B238" s="33"/>
      <c r="C238" s="1161" t="s">
        <v>849</v>
      </c>
      <c r="D238" s="1161"/>
      <c r="E238" s="718"/>
      <c r="F238" s="718"/>
      <c r="G238" s="718"/>
      <c r="H238" s="718"/>
      <c r="I238" s="718"/>
      <c r="J238" s="718"/>
      <c r="K238" s="718"/>
      <c r="L238" s="718"/>
      <c r="M238" s="718"/>
      <c r="N238" s="718"/>
      <c r="O238" s="718"/>
      <c r="P238" s="718"/>
      <c r="Q238" s="704">
        <f t="shared" si="41"/>
        <v>0</v>
      </c>
      <c r="V238" s="699"/>
      <c r="X238" s="706"/>
      <c r="Y238" s="706"/>
    </row>
    <row r="239" spans="2:25" ht="17.25" hidden="1" customHeight="1">
      <c r="B239" s="33"/>
      <c r="C239" s="1161" t="s">
        <v>850</v>
      </c>
      <c r="D239" s="1161"/>
      <c r="E239" s="718"/>
      <c r="F239" s="718"/>
      <c r="G239" s="718"/>
      <c r="H239" s="718"/>
      <c r="I239" s="718"/>
      <c r="J239" s="718"/>
      <c r="K239" s="718"/>
      <c r="L239" s="718"/>
      <c r="M239" s="718"/>
      <c r="N239" s="718"/>
      <c r="O239" s="718"/>
      <c r="P239" s="718"/>
      <c r="Q239" s="704">
        <f t="shared" si="41"/>
        <v>0</v>
      </c>
      <c r="V239" s="699"/>
      <c r="X239" s="706"/>
      <c r="Y239" s="706"/>
    </row>
    <row r="240" spans="2:25" ht="17.25" hidden="1" customHeight="1">
      <c r="B240" s="33"/>
      <c r="C240" s="1161" t="s">
        <v>813</v>
      </c>
      <c r="D240" s="1161"/>
      <c r="E240" s="718"/>
      <c r="F240" s="718"/>
      <c r="G240" s="718"/>
      <c r="H240" s="718"/>
      <c r="I240" s="718"/>
      <c r="J240" s="718"/>
      <c r="K240" s="718"/>
      <c r="L240" s="718"/>
      <c r="M240" s="718"/>
      <c r="N240" s="718"/>
      <c r="O240" s="718"/>
      <c r="P240" s="718"/>
      <c r="Q240" s="704">
        <f t="shared" si="41"/>
        <v>0</v>
      </c>
      <c r="V240" s="699"/>
      <c r="X240" s="706"/>
      <c r="Y240" s="706"/>
    </row>
    <row r="241" spans="2:25" ht="17.25" hidden="1" customHeight="1">
      <c r="B241" s="33"/>
      <c r="C241" s="1164" t="s">
        <v>851</v>
      </c>
      <c r="D241" s="1164"/>
      <c r="E241" s="704">
        <f>SUM(E224:E225)-SUM(E227:E240)</f>
        <v>0</v>
      </c>
      <c r="F241" s="704">
        <f t="shared" ref="F241:Q241" si="42">SUM(F224:F225)-SUM(F227:F240)</f>
        <v>0</v>
      </c>
      <c r="G241" s="704">
        <f t="shared" si="42"/>
        <v>0</v>
      </c>
      <c r="H241" s="704">
        <f t="shared" si="42"/>
        <v>0</v>
      </c>
      <c r="I241" s="704">
        <f t="shared" si="42"/>
        <v>0</v>
      </c>
      <c r="J241" s="704">
        <f t="shared" si="42"/>
        <v>0</v>
      </c>
      <c r="K241" s="704">
        <f t="shared" si="42"/>
        <v>0</v>
      </c>
      <c r="L241" s="704">
        <f t="shared" si="42"/>
        <v>0</v>
      </c>
      <c r="M241" s="704">
        <f t="shared" si="42"/>
        <v>0</v>
      </c>
      <c r="N241" s="704">
        <f t="shared" si="42"/>
        <v>0</v>
      </c>
      <c r="O241" s="704">
        <f t="shared" si="42"/>
        <v>0</v>
      </c>
      <c r="P241" s="704">
        <f t="shared" si="42"/>
        <v>0</v>
      </c>
      <c r="Q241" s="704">
        <f t="shared" si="42"/>
        <v>0</v>
      </c>
      <c r="V241" s="699"/>
      <c r="X241" s="706"/>
      <c r="Y241" s="706"/>
    </row>
    <row r="242" spans="2:25" ht="7.5" hidden="1" customHeight="1">
      <c r="B242" s="33"/>
      <c r="C242" s="708"/>
      <c r="D242" s="708"/>
      <c r="E242" s="708"/>
      <c r="F242" s="708"/>
      <c r="G242" s="708"/>
      <c r="H242" s="708"/>
      <c r="I242" s="708"/>
      <c r="J242" s="708"/>
      <c r="K242" s="708"/>
      <c r="L242" s="708"/>
      <c r="M242" s="708"/>
      <c r="N242" s="708"/>
      <c r="O242" s="708"/>
      <c r="P242" s="708"/>
      <c r="Q242" s="708"/>
      <c r="V242" s="699"/>
    </row>
    <row r="243" spans="2:25" ht="30" hidden="1" customHeight="1">
      <c r="B243" s="33"/>
      <c r="C243" s="1106" t="s">
        <v>852</v>
      </c>
      <c r="D243" s="1133"/>
      <c r="E243" s="702" t="s">
        <v>834</v>
      </c>
      <c r="F243" s="702" t="s">
        <v>835</v>
      </c>
      <c r="G243" s="702" t="s">
        <v>836</v>
      </c>
      <c r="H243" s="702" t="s">
        <v>837</v>
      </c>
      <c r="I243" s="702" t="s">
        <v>838</v>
      </c>
      <c r="J243" s="702" t="s">
        <v>839</v>
      </c>
      <c r="K243" s="702" t="s">
        <v>840</v>
      </c>
      <c r="L243" s="702" t="s">
        <v>841</v>
      </c>
      <c r="M243" s="702" t="s">
        <v>842</v>
      </c>
      <c r="N243" s="702" t="s">
        <v>843</v>
      </c>
      <c r="O243" s="702" t="s">
        <v>844</v>
      </c>
      <c r="P243" s="702" t="s">
        <v>845</v>
      </c>
      <c r="Q243" s="703" t="s">
        <v>121</v>
      </c>
      <c r="V243" s="699"/>
      <c r="X243" s="1134" t="s">
        <v>789</v>
      </c>
      <c r="Y243" s="1135"/>
    </row>
    <row r="244" spans="2:25" ht="7.5" hidden="1" customHeight="1">
      <c r="B244" s="33"/>
      <c r="C244" s="714"/>
      <c r="D244" s="714"/>
      <c r="E244" s="714"/>
      <c r="F244" s="714"/>
      <c r="G244" s="714"/>
      <c r="H244" s="714"/>
      <c r="I244" s="714"/>
      <c r="J244" s="714"/>
      <c r="K244" s="714"/>
      <c r="L244" s="714"/>
      <c r="M244" s="714"/>
      <c r="N244" s="714"/>
      <c r="O244" s="714"/>
      <c r="P244" s="714"/>
      <c r="Q244" s="714"/>
      <c r="V244" s="699"/>
    </row>
    <row r="245" spans="2:25" ht="17.25" hidden="1" customHeight="1">
      <c r="B245" s="33"/>
      <c r="C245" s="1161" t="s">
        <v>853</v>
      </c>
      <c r="D245" s="1161"/>
      <c r="E245" s="718"/>
      <c r="F245" s="718"/>
      <c r="G245" s="718"/>
      <c r="H245" s="718"/>
      <c r="I245" s="718"/>
      <c r="J245" s="718"/>
      <c r="K245" s="718"/>
      <c r="L245" s="718"/>
      <c r="M245" s="718"/>
      <c r="N245" s="718"/>
      <c r="O245" s="718"/>
      <c r="P245" s="718"/>
      <c r="Q245" s="704">
        <f>SUM(E245:P245)</f>
        <v>0</v>
      </c>
      <c r="V245" s="699"/>
      <c r="X245" s="706"/>
      <c r="Y245" s="706"/>
    </row>
    <row r="246" spans="2:25" ht="17.25" hidden="1" customHeight="1">
      <c r="B246" s="33"/>
      <c r="C246" s="1161" t="s">
        <v>792</v>
      </c>
      <c r="D246" s="1161"/>
      <c r="E246" s="718"/>
      <c r="F246" s="718"/>
      <c r="G246" s="718"/>
      <c r="H246" s="718"/>
      <c r="I246" s="718"/>
      <c r="J246" s="718"/>
      <c r="K246" s="718"/>
      <c r="L246" s="718"/>
      <c r="M246" s="718"/>
      <c r="N246" s="718"/>
      <c r="O246" s="718"/>
      <c r="P246" s="718"/>
      <c r="Q246" s="704">
        <f>SUM(E246:P246)</f>
        <v>0</v>
      </c>
      <c r="V246" s="699"/>
      <c r="X246" s="706"/>
      <c r="Y246" s="706"/>
    </row>
    <row r="247" spans="2:25" ht="7.5" hidden="1" customHeight="1">
      <c r="B247" s="33"/>
      <c r="C247" s="727"/>
      <c r="D247" s="728"/>
      <c r="E247" s="708"/>
      <c r="F247" s="708"/>
      <c r="G247" s="708"/>
      <c r="H247" s="708"/>
      <c r="I247" s="708"/>
      <c r="J247" s="708"/>
      <c r="K247" s="708"/>
      <c r="L247" s="708"/>
      <c r="M247" s="708"/>
      <c r="N247" s="708"/>
      <c r="O247" s="708"/>
      <c r="P247" s="708"/>
      <c r="Q247" s="708"/>
      <c r="V247" s="699"/>
    </row>
    <row r="248" spans="2:25" ht="17.25" hidden="1" customHeight="1">
      <c r="B248" s="33"/>
      <c r="C248" s="1161" t="s">
        <v>795</v>
      </c>
      <c r="D248" s="1161"/>
      <c r="E248" s="718"/>
      <c r="F248" s="718"/>
      <c r="G248" s="718"/>
      <c r="H248" s="718"/>
      <c r="I248" s="718"/>
      <c r="J248" s="718"/>
      <c r="K248" s="718"/>
      <c r="L248" s="718"/>
      <c r="M248" s="718"/>
      <c r="N248" s="718"/>
      <c r="O248" s="718"/>
      <c r="P248" s="718"/>
      <c r="Q248" s="704">
        <f t="shared" ref="Q248:Q271" si="43">SUM(E248:P248)</f>
        <v>0</v>
      </c>
      <c r="V248" s="699"/>
      <c r="X248" s="706"/>
      <c r="Y248" s="706"/>
    </row>
    <row r="249" spans="2:25" ht="17.25" hidden="1" customHeight="1">
      <c r="B249" s="33"/>
      <c r="C249" s="1161" t="s">
        <v>796</v>
      </c>
      <c r="D249" s="1161"/>
      <c r="E249" s="718"/>
      <c r="F249" s="718"/>
      <c r="G249" s="718"/>
      <c r="H249" s="718"/>
      <c r="I249" s="718"/>
      <c r="J249" s="718"/>
      <c r="K249" s="718"/>
      <c r="L249" s="718"/>
      <c r="M249" s="718"/>
      <c r="N249" s="718"/>
      <c r="O249" s="718"/>
      <c r="P249" s="718"/>
      <c r="Q249" s="704">
        <f t="shared" si="43"/>
        <v>0</v>
      </c>
      <c r="V249" s="699"/>
      <c r="X249" s="706"/>
      <c r="Y249" s="706"/>
    </row>
    <row r="250" spans="2:25" ht="17.25" hidden="1" customHeight="1">
      <c r="B250" s="33"/>
      <c r="C250" s="1161" t="s">
        <v>797</v>
      </c>
      <c r="D250" s="1161"/>
      <c r="E250" s="718"/>
      <c r="F250" s="718"/>
      <c r="G250" s="718"/>
      <c r="H250" s="718"/>
      <c r="I250" s="718"/>
      <c r="J250" s="718"/>
      <c r="K250" s="718"/>
      <c r="L250" s="718"/>
      <c r="M250" s="718"/>
      <c r="N250" s="718"/>
      <c r="O250" s="718"/>
      <c r="P250" s="718"/>
      <c r="Q250" s="704">
        <f t="shared" si="43"/>
        <v>0</v>
      </c>
      <c r="V250" s="699"/>
      <c r="X250" s="706"/>
      <c r="Y250" s="706"/>
    </row>
    <row r="251" spans="2:25" ht="17.25" hidden="1" customHeight="1">
      <c r="B251" s="33"/>
      <c r="C251" s="1161" t="s">
        <v>798</v>
      </c>
      <c r="D251" s="1161"/>
      <c r="E251" s="718"/>
      <c r="F251" s="718"/>
      <c r="G251" s="718"/>
      <c r="H251" s="718"/>
      <c r="I251" s="718"/>
      <c r="J251" s="718"/>
      <c r="K251" s="718"/>
      <c r="L251" s="718"/>
      <c r="M251" s="718"/>
      <c r="N251" s="718"/>
      <c r="O251" s="718"/>
      <c r="P251" s="718"/>
      <c r="Q251" s="704">
        <f t="shared" si="43"/>
        <v>0</v>
      </c>
      <c r="V251" s="699"/>
      <c r="X251" s="706"/>
      <c r="Y251" s="706"/>
    </row>
    <row r="252" spans="2:25" ht="17.25" hidden="1" customHeight="1">
      <c r="B252" s="33"/>
      <c r="C252" s="1161" t="s">
        <v>799</v>
      </c>
      <c r="D252" s="1161"/>
      <c r="E252" s="718"/>
      <c r="F252" s="718"/>
      <c r="G252" s="718"/>
      <c r="H252" s="718"/>
      <c r="I252" s="718"/>
      <c r="J252" s="718"/>
      <c r="K252" s="718"/>
      <c r="L252" s="718"/>
      <c r="M252" s="718"/>
      <c r="N252" s="718"/>
      <c r="O252" s="718"/>
      <c r="P252" s="718"/>
      <c r="Q252" s="704">
        <f t="shared" si="43"/>
        <v>0</v>
      </c>
      <c r="V252" s="699"/>
      <c r="X252" s="706"/>
      <c r="Y252" s="706"/>
    </row>
    <row r="253" spans="2:25" ht="17.25" hidden="1" customHeight="1">
      <c r="B253" s="33"/>
      <c r="C253" s="1161" t="s">
        <v>800</v>
      </c>
      <c r="D253" s="1161"/>
      <c r="E253" s="718"/>
      <c r="F253" s="718"/>
      <c r="G253" s="718"/>
      <c r="H253" s="718"/>
      <c r="I253" s="718"/>
      <c r="J253" s="718"/>
      <c r="K253" s="718"/>
      <c r="L253" s="718"/>
      <c r="M253" s="718"/>
      <c r="N253" s="718"/>
      <c r="O253" s="718"/>
      <c r="P253" s="718"/>
      <c r="Q253" s="704">
        <f t="shared" si="43"/>
        <v>0</v>
      </c>
      <c r="V253" s="699"/>
      <c r="X253" s="706"/>
      <c r="Y253" s="706"/>
    </row>
    <row r="254" spans="2:25" ht="17.25" hidden="1" customHeight="1">
      <c r="B254" s="33"/>
      <c r="C254" s="1161" t="s">
        <v>801</v>
      </c>
      <c r="D254" s="1161"/>
      <c r="E254" s="718"/>
      <c r="F254" s="718"/>
      <c r="G254" s="718"/>
      <c r="H254" s="718"/>
      <c r="I254" s="718"/>
      <c r="J254" s="718"/>
      <c r="K254" s="718"/>
      <c r="L254" s="718"/>
      <c r="M254" s="718"/>
      <c r="N254" s="718"/>
      <c r="O254" s="718"/>
      <c r="P254" s="718"/>
      <c r="Q254" s="704">
        <f t="shared" si="43"/>
        <v>0</v>
      </c>
      <c r="V254" s="699"/>
      <c r="X254" s="706"/>
      <c r="Y254" s="706"/>
    </row>
    <row r="255" spans="2:25" ht="17.25" hidden="1" customHeight="1">
      <c r="B255" s="33"/>
      <c r="C255" s="1161" t="s">
        <v>802</v>
      </c>
      <c r="D255" s="1161"/>
      <c r="E255" s="718"/>
      <c r="F255" s="718"/>
      <c r="G255" s="718"/>
      <c r="H255" s="718"/>
      <c r="I255" s="718"/>
      <c r="J255" s="718"/>
      <c r="K255" s="718"/>
      <c r="L255" s="718"/>
      <c r="M255" s="718"/>
      <c r="N255" s="718"/>
      <c r="O255" s="718"/>
      <c r="P255" s="718"/>
      <c r="Q255" s="704">
        <f t="shared" si="43"/>
        <v>0</v>
      </c>
      <c r="V255" s="699"/>
      <c r="X255" s="706"/>
      <c r="Y255" s="706"/>
    </row>
    <row r="256" spans="2:25" ht="17.25" hidden="1" customHeight="1">
      <c r="B256" s="33"/>
      <c r="C256" s="1161" t="s">
        <v>803</v>
      </c>
      <c r="D256" s="1161"/>
      <c r="E256" s="718"/>
      <c r="F256" s="718"/>
      <c r="G256" s="718"/>
      <c r="H256" s="718"/>
      <c r="I256" s="718"/>
      <c r="J256" s="718"/>
      <c r="K256" s="718"/>
      <c r="L256" s="718"/>
      <c r="M256" s="718"/>
      <c r="N256" s="718"/>
      <c r="O256" s="718"/>
      <c r="P256" s="718"/>
      <c r="Q256" s="704">
        <f t="shared" si="43"/>
        <v>0</v>
      </c>
      <c r="V256" s="699"/>
      <c r="X256" s="706"/>
      <c r="Y256" s="706"/>
    </row>
    <row r="257" spans="2:25" ht="17.25" hidden="1" customHeight="1">
      <c r="B257" s="33"/>
      <c r="C257" s="1161" t="s">
        <v>804</v>
      </c>
      <c r="D257" s="1161"/>
      <c r="E257" s="718"/>
      <c r="F257" s="718"/>
      <c r="G257" s="718"/>
      <c r="H257" s="718"/>
      <c r="I257" s="718"/>
      <c r="J257" s="718"/>
      <c r="K257" s="718"/>
      <c r="L257" s="718"/>
      <c r="M257" s="718"/>
      <c r="N257" s="718"/>
      <c r="O257" s="718"/>
      <c r="P257" s="718"/>
      <c r="Q257" s="704">
        <f t="shared" si="43"/>
        <v>0</v>
      </c>
      <c r="V257" s="699"/>
      <c r="X257" s="706"/>
      <c r="Y257" s="706"/>
    </row>
    <row r="258" spans="2:25" ht="17.25" hidden="1" customHeight="1">
      <c r="B258" s="33"/>
      <c r="C258" s="1161" t="s">
        <v>805</v>
      </c>
      <c r="D258" s="1161"/>
      <c r="E258" s="718"/>
      <c r="F258" s="718"/>
      <c r="G258" s="718"/>
      <c r="H258" s="718"/>
      <c r="I258" s="718"/>
      <c r="J258" s="718"/>
      <c r="K258" s="718"/>
      <c r="L258" s="718"/>
      <c r="M258" s="718"/>
      <c r="N258" s="718"/>
      <c r="O258" s="718"/>
      <c r="P258" s="718"/>
      <c r="Q258" s="704">
        <f t="shared" si="43"/>
        <v>0</v>
      </c>
      <c r="V258" s="699"/>
      <c r="X258" s="706"/>
      <c r="Y258" s="706"/>
    </row>
    <row r="259" spans="2:25" ht="17.25" hidden="1" customHeight="1">
      <c r="B259" s="33"/>
      <c r="C259" s="1161" t="s">
        <v>806</v>
      </c>
      <c r="D259" s="1161"/>
      <c r="E259" s="718"/>
      <c r="F259" s="718"/>
      <c r="G259" s="718"/>
      <c r="H259" s="718"/>
      <c r="I259" s="718"/>
      <c r="J259" s="718"/>
      <c r="K259" s="718"/>
      <c r="L259" s="718"/>
      <c r="M259" s="718"/>
      <c r="N259" s="718"/>
      <c r="O259" s="718"/>
      <c r="P259" s="718"/>
      <c r="Q259" s="704">
        <f t="shared" si="43"/>
        <v>0</v>
      </c>
      <c r="V259" s="699"/>
      <c r="X259" s="706"/>
      <c r="Y259" s="706"/>
    </row>
    <row r="260" spans="2:25" ht="17.25" hidden="1" customHeight="1">
      <c r="B260" s="33"/>
      <c r="C260" s="1161" t="s">
        <v>807</v>
      </c>
      <c r="D260" s="1161"/>
      <c r="E260" s="718"/>
      <c r="F260" s="718"/>
      <c r="G260" s="718"/>
      <c r="H260" s="718"/>
      <c r="I260" s="718"/>
      <c r="J260" s="718"/>
      <c r="K260" s="718"/>
      <c r="L260" s="718"/>
      <c r="M260" s="718"/>
      <c r="N260" s="718"/>
      <c r="O260" s="718"/>
      <c r="P260" s="718"/>
      <c r="Q260" s="704">
        <f t="shared" si="43"/>
        <v>0</v>
      </c>
      <c r="V260" s="699"/>
      <c r="X260" s="706"/>
      <c r="Y260" s="706"/>
    </row>
    <row r="261" spans="2:25" ht="17.25" hidden="1" customHeight="1">
      <c r="B261" s="33"/>
      <c r="C261" s="1161" t="s">
        <v>847</v>
      </c>
      <c r="D261" s="1161"/>
      <c r="E261" s="718"/>
      <c r="F261" s="718"/>
      <c r="G261" s="718"/>
      <c r="H261" s="718"/>
      <c r="I261" s="718"/>
      <c r="J261" s="718"/>
      <c r="K261" s="718"/>
      <c r="L261" s="718"/>
      <c r="M261" s="718"/>
      <c r="N261" s="718"/>
      <c r="O261" s="718"/>
      <c r="P261" s="718"/>
      <c r="Q261" s="704">
        <f t="shared" si="43"/>
        <v>0</v>
      </c>
      <c r="V261" s="699"/>
      <c r="X261" s="706"/>
      <c r="Y261" s="706"/>
    </row>
    <row r="262" spans="2:25" ht="17.25" hidden="1" customHeight="1">
      <c r="B262" s="33"/>
      <c r="C262" s="1161" t="s">
        <v>809</v>
      </c>
      <c r="D262" s="1161"/>
      <c r="E262" s="718"/>
      <c r="F262" s="718"/>
      <c r="G262" s="718"/>
      <c r="H262" s="718"/>
      <c r="I262" s="718"/>
      <c r="J262" s="718"/>
      <c r="K262" s="718"/>
      <c r="L262" s="718"/>
      <c r="M262" s="718"/>
      <c r="N262" s="718"/>
      <c r="O262" s="718"/>
      <c r="P262" s="718"/>
      <c r="Q262" s="704">
        <f t="shared" si="43"/>
        <v>0</v>
      </c>
      <c r="V262" s="699"/>
      <c r="X262" s="706"/>
      <c r="Y262" s="706"/>
    </row>
    <row r="263" spans="2:25" ht="17.25" hidden="1" customHeight="1">
      <c r="B263" s="33"/>
      <c r="C263" s="1162" t="s">
        <v>854</v>
      </c>
      <c r="D263" s="1162"/>
      <c r="E263" s="718"/>
      <c r="F263" s="718"/>
      <c r="G263" s="718"/>
      <c r="H263" s="718"/>
      <c r="I263" s="718"/>
      <c r="J263" s="718"/>
      <c r="K263" s="718"/>
      <c r="L263" s="718"/>
      <c r="M263" s="718"/>
      <c r="N263" s="718"/>
      <c r="O263" s="718"/>
      <c r="P263" s="718"/>
      <c r="Q263" s="704">
        <f t="shared" si="43"/>
        <v>0</v>
      </c>
      <c r="V263" s="699"/>
      <c r="X263" s="706"/>
      <c r="Y263" s="706"/>
    </row>
    <row r="264" spans="2:25" ht="17.25" hidden="1" customHeight="1">
      <c r="B264" s="33"/>
      <c r="C264" s="1162" t="s">
        <v>854</v>
      </c>
      <c r="D264" s="1162"/>
      <c r="E264" s="718"/>
      <c r="F264" s="718"/>
      <c r="G264" s="718"/>
      <c r="H264" s="718"/>
      <c r="I264" s="718"/>
      <c r="J264" s="718"/>
      <c r="K264" s="718"/>
      <c r="L264" s="718"/>
      <c r="M264" s="718"/>
      <c r="N264" s="718"/>
      <c r="O264" s="718"/>
      <c r="P264" s="718"/>
      <c r="Q264" s="704">
        <f t="shared" si="43"/>
        <v>0</v>
      </c>
      <c r="V264" s="699"/>
      <c r="X264" s="706"/>
      <c r="Y264" s="706"/>
    </row>
    <row r="265" spans="2:25" ht="17.25" hidden="1" customHeight="1">
      <c r="B265" s="33"/>
      <c r="C265" s="1161" t="s">
        <v>810</v>
      </c>
      <c r="D265" s="1161"/>
      <c r="E265" s="718"/>
      <c r="F265" s="718"/>
      <c r="G265" s="718"/>
      <c r="H265" s="718"/>
      <c r="I265" s="718"/>
      <c r="J265" s="718"/>
      <c r="K265" s="718"/>
      <c r="L265" s="718"/>
      <c r="M265" s="718"/>
      <c r="N265" s="718"/>
      <c r="O265" s="718"/>
      <c r="P265" s="718"/>
      <c r="Q265" s="704">
        <f t="shared" si="43"/>
        <v>0</v>
      </c>
      <c r="V265" s="699"/>
      <c r="X265" s="706"/>
      <c r="Y265" s="706"/>
    </row>
    <row r="266" spans="2:25" ht="17.25" hidden="1" customHeight="1">
      <c r="B266" s="33"/>
      <c r="C266" s="1161" t="s">
        <v>811</v>
      </c>
      <c r="D266" s="1161"/>
      <c r="E266" s="718"/>
      <c r="F266" s="718"/>
      <c r="G266" s="718"/>
      <c r="H266" s="718"/>
      <c r="I266" s="718"/>
      <c r="J266" s="718"/>
      <c r="K266" s="718"/>
      <c r="L266" s="718"/>
      <c r="M266" s="718"/>
      <c r="N266" s="718"/>
      <c r="O266" s="718"/>
      <c r="P266" s="718"/>
      <c r="Q266" s="704">
        <f t="shared" si="43"/>
        <v>0</v>
      </c>
      <c r="V266" s="699"/>
      <c r="X266" s="706"/>
      <c r="Y266" s="706"/>
    </row>
    <row r="267" spans="2:25" ht="17.25" hidden="1" customHeight="1">
      <c r="B267" s="33"/>
      <c r="C267" s="1161" t="s">
        <v>812</v>
      </c>
      <c r="D267" s="1161"/>
      <c r="E267" s="718"/>
      <c r="F267" s="718"/>
      <c r="G267" s="718"/>
      <c r="H267" s="718"/>
      <c r="I267" s="718"/>
      <c r="J267" s="718"/>
      <c r="K267" s="718"/>
      <c r="L267" s="718"/>
      <c r="M267" s="718"/>
      <c r="N267" s="718"/>
      <c r="O267" s="718"/>
      <c r="P267" s="718"/>
      <c r="Q267" s="704">
        <f t="shared" si="43"/>
        <v>0</v>
      </c>
      <c r="V267" s="699"/>
      <c r="X267" s="706"/>
      <c r="Y267" s="706"/>
    </row>
    <row r="268" spans="2:25" ht="17.25" hidden="1" customHeight="1">
      <c r="B268" s="33"/>
      <c r="C268" s="1161" t="s">
        <v>813</v>
      </c>
      <c r="D268" s="1161"/>
      <c r="E268" s="718"/>
      <c r="F268" s="718"/>
      <c r="G268" s="718"/>
      <c r="H268" s="718"/>
      <c r="I268" s="718"/>
      <c r="J268" s="718"/>
      <c r="K268" s="718"/>
      <c r="L268" s="718"/>
      <c r="M268" s="718"/>
      <c r="N268" s="718"/>
      <c r="O268" s="718"/>
      <c r="P268" s="718"/>
      <c r="Q268" s="704">
        <f t="shared" si="43"/>
        <v>0</v>
      </c>
      <c r="V268" s="699"/>
      <c r="X268" s="706"/>
      <c r="Y268" s="706"/>
    </row>
    <row r="269" spans="2:25" ht="17.25" hidden="1" customHeight="1">
      <c r="B269" s="33"/>
      <c r="C269" s="1161" t="s">
        <v>814</v>
      </c>
      <c r="D269" s="1161"/>
      <c r="E269" s="718"/>
      <c r="F269" s="718"/>
      <c r="G269" s="718"/>
      <c r="H269" s="718"/>
      <c r="I269" s="718"/>
      <c r="J269" s="718"/>
      <c r="K269" s="718"/>
      <c r="L269" s="718"/>
      <c r="M269" s="718"/>
      <c r="N269" s="718"/>
      <c r="O269" s="718"/>
      <c r="P269" s="718"/>
      <c r="Q269" s="704">
        <f t="shared" si="43"/>
        <v>0</v>
      </c>
      <c r="V269" s="699"/>
      <c r="X269" s="706"/>
      <c r="Y269" s="706"/>
    </row>
    <row r="270" spans="2:25" ht="17.25" hidden="1" customHeight="1">
      <c r="B270" s="33"/>
      <c r="C270" s="1162" t="s">
        <v>855</v>
      </c>
      <c r="D270" s="1162"/>
      <c r="E270" s="718"/>
      <c r="F270" s="718"/>
      <c r="G270" s="718"/>
      <c r="H270" s="718"/>
      <c r="I270" s="718"/>
      <c r="J270" s="718"/>
      <c r="K270" s="718"/>
      <c r="L270" s="718"/>
      <c r="M270" s="718"/>
      <c r="N270" s="718"/>
      <c r="O270" s="718"/>
      <c r="P270" s="718"/>
      <c r="Q270" s="704">
        <f t="shared" si="43"/>
        <v>0</v>
      </c>
      <c r="V270" s="699"/>
      <c r="X270" s="706"/>
      <c r="Y270" s="706"/>
    </row>
    <row r="271" spans="2:25" ht="17.25" hidden="1" customHeight="1">
      <c r="B271" s="33"/>
      <c r="C271" s="1162" t="s">
        <v>855</v>
      </c>
      <c r="D271" s="1162"/>
      <c r="E271" s="718"/>
      <c r="F271" s="718"/>
      <c r="G271" s="718"/>
      <c r="H271" s="718"/>
      <c r="I271" s="718"/>
      <c r="J271" s="718"/>
      <c r="K271" s="718"/>
      <c r="L271" s="718"/>
      <c r="M271" s="718"/>
      <c r="N271" s="718"/>
      <c r="O271" s="718"/>
      <c r="P271" s="718"/>
      <c r="Q271" s="704">
        <f t="shared" si="43"/>
        <v>0</v>
      </c>
      <c r="V271" s="699"/>
      <c r="X271" s="706"/>
      <c r="Y271" s="706"/>
    </row>
    <row r="272" spans="2:25" ht="17.25" hidden="1" customHeight="1">
      <c r="B272" s="33"/>
      <c r="C272" s="1164" t="s">
        <v>851</v>
      </c>
      <c r="D272" s="1164"/>
      <c r="E272" s="730">
        <f>SUM(E245:E246)-SUM(E248:E271)</f>
        <v>0</v>
      </c>
      <c r="F272" s="730">
        <f t="shared" ref="F272:Q272" si="44">SUM(F245:F246)-SUM(F248:F271)</f>
        <v>0</v>
      </c>
      <c r="G272" s="730">
        <f t="shared" si="44"/>
        <v>0</v>
      </c>
      <c r="H272" s="730">
        <f t="shared" si="44"/>
        <v>0</v>
      </c>
      <c r="I272" s="730">
        <f t="shared" si="44"/>
        <v>0</v>
      </c>
      <c r="J272" s="730">
        <f t="shared" si="44"/>
        <v>0</v>
      </c>
      <c r="K272" s="730">
        <f t="shared" si="44"/>
        <v>0</v>
      </c>
      <c r="L272" s="730">
        <f t="shared" si="44"/>
        <v>0</v>
      </c>
      <c r="M272" s="730">
        <f t="shared" si="44"/>
        <v>0</v>
      </c>
      <c r="N272" s="730">
        <f t="shared" si="44"/>
        <v>0</v>
      </c>
      <c r="O272" s="730">
        <f t="shared" si="44"/>
        <v>0</v>
      </c>
      <c r="P272" s="730">
        <f t="shared" si="44"/>
        <v>0</v>
      </c>
      <c r="Q272" s="730">
        <f t="shared" si="44"/>
        <v>0</v>
      </c>
      <c r="V272" s="699"/>
      <c r="X272" s="706"/>
      <c r="Y272" s="706"/>
    </row>
    <row r="273" spans="2:25" ht="17.25" hidden="1" customHeight="1">
      <c r="B273" s="33"/>
      <c r="C273" s="1164" t="s">
        <v>856</v>
      </c>
      <c r="D273" s="1164"/>
      <c r="E273" s="731">
        <f t="shared" ref="E273:Q273" si="45">E241+E272</f>
        <v>0</v>
      </c>
      <c r="F273" s="731">
        <f t="shared" si="45"/>
        <v>0</v>
      </c>
      <c r="G273" s="731">
        <f t="shared" si="45"/>
        <v>0</v>
      </c>
      <c r="H273" s="731">
        <f t="shared" si="45"/>
        <v>0</v>
      </c>
      <c r="I273" s="731">
        <f t="shared" si="45"/>
        <v>0</v>
      </c>
      <c r="J273" s="731">
        <f t="shared" si="45"/>
        <v>0</v>
      </c>
      <c r="K273" s="731">
        <f t="shared" si="45"/>
        <v>0</v>
      </c>
      <c r="L273" s="731">
        <f t="shared" si="45"/>
        <v>0</v>
      </c>
      <c r="M273" s="731">
        <f t="shared" si="45"/>
        <v>0</v>
      </c>
      <c r="N273" s="731">
        <f t="shared" si="45"/>
        <v>0</v>
      </c>
      <c r="O273" s="731">
        <f t="shared" si="45"/>
        <v>0</v>
      </c>
      <c r="P273" s="731">
        <f t="shared" si="45"/>
        <v>0</v>
      </c>
      <c r="Q273" s="731">
        <f t="shared" si="45"/>
        <v>0</v>
      </c>
      <c r="V273" s="699"/>
      <c r="X273" s="706"/>
      <c r="Y273" s="706"/>
    </row>
    <row r="274" spans="2:25" ht="7.5" hidden="1" customHeight="1">
      <c r="B274" s="35"/>
      <c r="C274" s="36"/>
      <c r="D274" s="36"/>
      <c r="E274" s="36"/>
      <c r="F274" s="36"/>
      <c r="G274" s="36"/>
      <c r="H274" s="36"/>
      <c r="I274" s="36"/>
      <c r="J274" s="36"/>
      <c r="K274" s="36"/>
      <c r="L274" s="36"/>
      <c r="M274" s="36"/>
      <c r="N274" s="36"/>
      <c r="O274" s="36"/>
      <c r="P274" s="36"/>
      <c r="Q274" s="36"/>
      <c r="R274" s="36"/>
      <c r="S274" s="36"/>
      <c r="T274" s="36"/>
      <c r="U274" s="36"/>
      <c r="V274" s="37"/>
    </row>
    <row r="275" spans="2:25" ht="7.5" customHeight="1">
      <c r="C275" s="34"/>
      <c r="D275" s="34"/>
      <c r="E275" s="34"/>
      <c r="F275" s="34"/>
      <c r="G275" s="34"/>
      <c r="H275" s="34"/>
      <c r="I275" s="34"/>
      <c r="J275" s="34"/>
      <c r="K275" s="34"/>
      <c r="L275" s="34"/>
      <c r="M275" s="34"/>
      <c r="N275" s="34"/>
      <c r="O275" s="34"/>
      <c r="P275" s="34"/>
      <c r="Q275" s="34"/>
      <c r="R275" s="34"/>
      <c r="S275" s="34"/>
      <c r="T275" s="34"/>
      <c r="U275" s="34"/>
    </row>
  </sheetData>
  <sheetProtection formatCells="0" formatColumns="0" formatRows="0" insertColumns="0" insertRows="0" insertHyperlinks="0"/>
  <mergeCells count="261">
    <mergeCell ref="X111:Y111"/>
    <mergeCell ref="X196:Y196"/>
    <mergeCell ref="X123:Y123"/>
    <mergeCell ref="X117:Y117"/>
    <mergeCell ref="C268:D268"/>
    <mergeCell ref="C269:D269"/>
    <mergeCell ref="C270:D270"/>
    <mergeCell ref="C256:D256"/>
    <mergeCell ref="C257:D257"/>
    <mergeCell ref="C258:D258"/>
    <mergeCell ref="C259:D259"/>
    <mergeCell ref="C260:D260"/>
    <mergeCell ref="C261:D261"/>
    <mergeCell ref="C250:D250"/>
    <mergeCell ref="C251:D251"/>
    <mergeCell ref="C252:D252"/>
    <mergeCell ref="C253:D253"/>
    <mergeCell ref="C254:D254"/>
    <mergeCell ref="C255:D255"/>
    <mergeCell ref="C243:D243"/>
    <mergeCell ref="X243:Y243"/>
    <mergeCell ref="C245:D245"/>
    <mergeCell ref="C246:D246"/>
    <mergeCell ref="C248:D248"/>
    <mergeCell ref="C271:D271"/>
    <mergeCell ref="C272:D272"/>
    <mergeCell ref="C273:D273"/>
    <mergeCell ref="C262:D262"/>
    <mergeCell ref="C263:D263"/>
    <mergeCell ref="C264:D264"/>
    <mergeCell ref="C265:D265"/>
    <mergeCell ref="C266:D266"/>
    <mergeCell ref="C267:D267"/>
    <mergeCell ref="C249:D249"/>
    <mergeCell ref="C236:D236"/>
    <mergeCell ref="C237:D237"/>
    <mergeCell ref="C238:D238"/>
    <mergeCell ref="C239:D239"/>
    <mergeCell ref="C240:D240"/>
    <mergeCell ref="C241:D241"/>
    <mergeCell ref="C230:D230"/>
    <mergeCell ref="C231:D231"/>
    <mergeCell ref="C232:D232"/>
    <mergeCell ref="C233:D233"/>
    <mergeCell ref="C234:D234"/>
    <mergeCell ref="C235:D235"/>
    <mergeCell ref="X222:Y222"/>
    <mergeCell ref="C224:D224"/>
    <mergeCell ref="C225:D225"/>
    <mergeCell ref="C227:D227"/>
    <mergeCell ref="C228:D228"/>
    <mergeCell ref="C229:D229"/>
    <mergeCell ref="C218:D218"/>
    <mergeCell ref="E218:M218"/>
    <mergeCell ref="C219:D219"/>
    <mergeCell ref="C220:D220"/>
    <mergeCell ref="G220:L220"/>
    <mergeCell ref="C222:D222"/>
    <mergeCell ref="C209:E209"/>
    <mergeCell ref="C210:E210"/>
    <mergeCell ref="C211:E211"/>
    <mergeCell ref="C212:E212"/>
    <mergeCell ref="B216:E216"/>
    <mergeCell ref="F216:H216"/>
    <mergeCell ref="B204:E204"/>
    <mergeCell ref="F204:H204"/>
    <mergeCell ref="H206:L206"/>
    <mergeCell ref="M206:Q206"/>
    <mergeCell ref="C207:E207"/>
    <mergeCell ref="X207:Y207"/>
    <mergeCell ref="C196:D196"/>
    <mergeCell ref="C197:D197"/>
    <mergeCell ref="C198:D198"/>
    <mergeCell ref="C199:D199"/>
    <mergeCell ref="C200:D200"/>
    <mergeCell ref="C201:D201"/>
    <mergeCell ref="X197:Y197"/>
    <mergeCell ref="C189:D189"/>
    <mergeCell ref="C190:D190"/>
    <mergeCell ref="C191:D191"/>
    <mergeCell ref="C192:D192"/>
    <mergeCell ref="C193:D193"/>
    <mergeCell ref="C194:D194"/>
    <mergeCell ref="C183:D183"/>
    <mergeCell ref="C184:D184"/>
    <mergeCell ref="C185:D185"/>
    <mergeCell ref="C186:D186"/>
    <mergeCell ref="C187:D187"/>
    <mergeCell ref="C188:D188"/>
    <mergeCell ref="C177:D177"/>
    <mergeCell ref="C178:D178"/>
    <mergeCell ref="C179:D179"/>
    <mergeCell ref="C180:D180"/>
    <mergeCell ref="C181:D181"/>
    <mergeCell ref="C182:D182"/>
    <mergeCell ref="C170:D170"/>
    <mergeCell ref="X170:Y170"/>
    <mergeCell ref="C172:D172"/>
    <mergeCell ref="C173:D173"/>
    <mergeCell ref="C175:D175"/>
    <mergeCell ref="C176:D176"/>
    <mergeCell ref="X180:Y180"/>
    <mergeCell ref="C163:D163"/>
    <mergeCell ref="C164:D164"/>
    <mergeCell ref="C165:D165"/>
    <mergeCell ref="C166:D166"/>
    <mergeCell ref="C167:D167"/>
    <mergeCell ref="C168:D168"/>
    <mergeCell ref="C157:D157"/>
    <mergeCell ref="C158:D158"/>
    <mergeCell ref="C159:D159"/>
    <mergeCell ref="C160:D160"/>
    <mergeCell ref="C161:D161"/>
    <mergeCell ref="C162:D162"/>
    <mergeCell ref="X149:Y149"/>
    <mergeCell ref="C151:D151"/>
    <mergeCell ref="C152:D152"/>
    <mergeCell ref="C154:D154"/>
    <mergeCell ref="C155:D155"/>
    <mergeCell ref="C156:D156"/>
    <mergeCell ref="C145:D145"/>
    <mergeCell ref="E145:M145"/>
    <mergeCell ref="C146:D146"/>
    <mergeCell ref="C147:D147"/>
    <mergeCell ref="G147:L147"/>
    <mergeCell ref="C149:D149"/>
    <mergeCell ref="C136:E136"/>
    <mergeCell ref="C137:E137"/>
    <mergeCell ref="C138:E138"/>
    <mergeCell ref="C139:E139"/>
    <mergeCell ref="B143:E143"/>
    <mergeCell ref="F143:H143"/>
    <mergeCell ref="B131:E131"/>
    <mergeCell ref="F131:H131"/>
    <mergeCell ref="H133:L133"/>
    <mergeCell ref="C115:D115"/>
    <mergeCell ref="C116:D116"/>
    <mergeCell ref="M133:Q133"/>
    <mergeCell ref="C134:E134"/>
    <mergeCell ref="X134:Y134"/>
    <mergeCell ref="C123:D123"/>
    <mergeCell ref="C124:D124"/>
    <mergeCell ref="C125:D125"/>
    <mergeCell ref="C126:D126"/>
    <mergeCell ref="C127:D127"/>
    <mergeCell ref="C128:D128"/>
    <mergeCell ref="C195:D195"/>
    <mergeCell ref="C105:D105"/>
    <mergeCell ref="C106:D106"/>
    <mergeCell ref="C107:D107"/>
    <mergeCell ref="C108:D108"/>
    <mergeCell ref="C109:D109"/>
    <mergeCell ref="C110:D110"/>
    <mergeCell ref="C98:D98"/>
    <mergeCell ref="X98:Y98"/>
    <mergeCell ref="C100:D100"/>
    <mergeCell ref="C101:D101"/>
    <mergeCell ref="C103:D103"/>
    <mergeCell ref="C104:D104"/>
    <mergeCell ref="X108:Y108"/>
    <mergeCell ref="C117:D117"/>
    <mergeCell ref="C118:D118"/>
    <mergeCell ref="C119:D119"/>
    <mergeCell ref="C120:D120"/>
    <mergeCell ref="C121:D121"/>
    <mergeCell ref="C122:D122"/>
    <mergeCell ref="C111:D111"/>
    <mergeCell ref="C112:D112"/>
    <mergeCell ref="C113:D113"/>
    <mergeCell ref="C114:D114"/>
    <mergeCell ref="C91:D91"/>
    <mergeCell ref="C92:D92"/>
    <mergeCell ref="C93:D93"/>
    <mergeCell ref="C94:D94"/>
    <mergeCell ref="C95:D95"/>
    <mergeCell ref="C96:D96"/>
    <mergeCell ref="C85:D85"/>
    <mergeCell ref="C86:D86"/>
    <mergeCell ref="C87:D87"/>
    <mergeCell ref="C88:D88"/>
    <mergeCell ref="C89:D89"/>
    <mergeCell ref="C90:D90"/>
    <mergeCell ref="X77:Y77"/>
    <mergeCell ref="C79:D79"/>
    <mergeCell ref="C80:D80"/>
    <mergeCell ref="C82:D82"/>
    <mergeCell ref="C83:D83"/>
    <mergeCell ref="C84:D84"/>
    <mergeCell ref="C73:D73"/>
    <mergeCell ref="E73:M73"/>
    <mergeCell ref="C74:D74"/>
    <mergeCell ref="C75:D75"/>
    <mergeCell ref="G75:L75"/>
    <mergeCell ref="C77:D77"/>
    <mergeCell ref="C64:E64"/>
    <mergeCell ref="C65:E65"/>
    <mergeCell ref="C66:E66"/>
    <mergeCell ref="C67:E67"/>
    <mergeCell ref="B71:E71"/>
    <mergeCell ref="F71:H71"/>
    <mergeCell ref="B59:E59"/>
    <mergeCell ref="F59:H59"/>
    <mergeCell ref="H61:L61"/>
    <mergeCell ref="M61:Q61"/>
    <mergeCell ref="C62:E62"/>
    <mergeCell ref="X62:Y62"/>
    <mergeCell ref="C51:E51"/>
    <mergeCell ref="C52:E52"/>
    <mergeCell ref="C53:E53"/>
    <mergeCell ref="C54:E54"/>
    <mergeCell ref="C55:E55"/>
    <mergeCell ref="C56:E56"/>
    <mergeCell ref="C45:E45"/>
    <mergeCell ref="C46:E46"/>
    <mergeCell ref="C47:E47"/>
    <mergeCell ref="C48:E48"/>
    <mergeCell ref="C49:E49"/>
    <mergeCell ref="C50:E50"/>
    <mergeCell ref="C39:E39"/>
    <mergeCell ref="C40:E40"/>
    <mergeCell ref="C41:E41"/>
    <mergeCell ref="C42:E42"/>
    <mergeCell ref="C43:E43"/>
    <mergeCell ref="C44:E44"/>
    <mergeCell ref="B20:D20"/>
    <mergeCell ref="C33:E33"/>
    <mergeCell ref="C34:E34"/>
    <mergeCell ref="C35:E35"/>
    <mergeCell ref="C36:E36"/>
    <mergeCell ref="C37:E37"/>
    <mergeCell ref="C38:E38"/>
    <mergeCell ref="C27:E27"/>
    <mergeCell ref="C28:E28"/>
    <mergeCell ref="C29:E29"/>
    <mergeCell ref="C30:E30"/>
    <mergeCell ref="C31:E31"/>
    <mergeCell ref="C32:E32"/>
    <mergeCell ref="X183:Y183"/>
    <mergeCell ref="B7:E7"/>
    <mergeCell ref="F7:G7"/>
    <mergeCell ref="Q7:V7"/>
    <mergeCell ref="F8:G8"/>
    <mergeCell ref="Q8:V8"/>
    <mergeCell ref="B10:V10"/>
    <mergeCell ref="B1:E3"/>
    <mergeCell ref="B5:E5"/>
    <mergeCell ref="F5:G5"/>
    <mergeCell ref="P5:V5"/>
    <mergeCell ref="B6:E6"/>
    <mergeCell ref="Q6:V6"/>
    <mergeCell ref="F22:I22"/>
    <mergeCell ref="J22:M22"/>
    <mergeCell ref="N22:Q22"/>
    <mergeCell ref="R22:U22"/>
    <mergeCell ref="X24:Y24"/>
    <mergeCell ref="C26:E26"/>
    <mergeCell ref="B11:V11"/>
    <mergeCell ref="B13:D13"/>
    <mergeCell ref="C15:P15"/>
    <mergeCell ref="C16:P16"/>
    <mergeCell ref="C17:P17"/>
  </mergeCells>
  <conditionalFormatting sqref="G68">
    <cfRule type="cellIs" dxfId="43" priority="18" stopIfTrue="1" operator="lessThan">
      <formula>0</formula>
    </cfRule>
    <cfRule type="cellIs" dxfId="42" priority="19" stopIfTrue="1" operator="greaterThan">
      <formula>1</formula>
    </cfRule>
    <cfRule type="cellIs" dxfId="41" priority="20" stopIfTrue="1" operator="between">
      <formula>0.01</formula>
      <formula>0.99</formula>
    </cfRule>
  </conditionalFormatting>
  <conditionalFormatting sqref="G140">
    <cfRule type="cellIs" dxfId="40" priority="15" stopIfTrue="1" operator="lessThan">
      <formula>0</formula>
    </cfRule>
    <cfRule type="cellIs" dxfId="39" priority="16" stopIfTrue="1" operator="greaterThan">
      <formula>1</formula>
    </cfRule>
    <cfRule type="cellIs" dxfId="38" priority="17" stopIfTrue="1" operator="between">
      <formula>0.01</formula>
      <formula>0.99</formula>
    </cfRule>
  </conditionalFormatting>
  <conditionalFormatting sqref="G213">
    <cfRule type="cellIs" dxfId="37" priority="12" stopIfTrue="1" operator="lessThan">
      <formula>0</formula>
    </cfRule>
    <cfRule type="cellIs" dxfId="36" priority="13" stopIfTrue="1" operator="greaterThan">
      <formula>1</formula>
    </cfRule>
    <cfRule type="cellIs" dxfId="35" priority="14" stopIfTrue="1" operator="between">
      <formula>0.01</formula>
      <formula>0.99</formula>
    </cfRule>
  </conditionalFormatting>
  <conditionalFormatting sqref="F71:H71">
    <cfRule type="expression" dxfId="34" priority="11">
      <formula>$F$59="Enter rental property name"</formula>
    </cfRule>
  </conditionalFormatting>
  <conditionalFormatting sqref="F143:H143">
    <cfRule type="expression" dxfId="33" priority="10">
      <formula>$F$131="Enter rental property name"</formula>
    </cfRule>
  </conditionalFormatting>
  <conditionalFormatting sqref="F216:H216">
    <cfRule type="expression" dxfId="32" priority="9">
      <formula>$F$204="Enter rental property name"</formula>
    </cfRule>
  </conditionalFormatting>
  <conditionalFormatting sqref="P2">
    <cfRule type="cellIs" dxfId="31" priority="1" operator="equal">
      <formula>"Partner Approved"</formula>
    </cfRule>
    <cfRule type="cellIs" dxfId="30" priority="2" operator="equal">
      <formula>"Reviewed"</formula>
    </cfRule>
    <cfRule type="cellIs" dxfId="29" priority="3" operator="equal">
      <formula>"Rework Complete"</formula>
    </cfRule>
    <cfRule type="cellIs" dxfId="28" priority="4" operator="equal">
      <formula>"Client Query"</formula>
    </cfRule>
    <cfRule type="cellIs" dxfId="27" priority="5" operator="equal">
      <formula>"Started"</formula>
    </cfRule>
    <cfRule type="cellIs" dxfId="26" priority="6" operator="equal">
      <formula>"Ready for Review"</formula>
    </cfRule>
    <cfRule type="cellIs" dxfId="25" priority="7" operator="equal">
      <formula>"Rework Required"</formula>
    </cfRule>
    <cfRule type="cellIs" dxfId="24" priority="8" operator="equal">
      <formula>"Complete"</formula>
    </cfRule>
  </conditionalFormatting>
  <dataValidations count="3">
    <dataValidation allowBlank="1" showInputMessage="1" showErrorMessage="1" prompt="Travel expenses related to inspecting, maintaining or collecting rent for a residential rental property have been disallowed from 1/7/17.  Exceptions apply if the rental income is incurred in carrying on a business or the taxpayer is an excluded entity." sqref="E122:P122 E194:P195 E267:P267" xr:uid="{6C40770D-3AD4-4D47-9818-8A3C1C20FA29}"/>
    <dataValidation type="list" allowBlank="1" showInputMessage="1" showErrorMessage="1" sqref="Q15:U17" xr:uid="{7A365B5F-5707-402D-9170-B2885DE7531A}">
      <formula1>"Yes,No"</formula1>
    </dataValidation>
    <dataValidation type="list" errorStyle="information" allowBlank="1" showInputMessage="1" showErrorMessage="1" sqref="P2" xr:uid="{4FC7C790-5780-4389-837F-11D5D8D58DAE}">
      <formula1>StatusDescriptions</formula1>
    </dataValidation>
  </dataValidations>
  <hyperlinks>
    <hyperlink ref="Q2" location="'M25 Rental Property'!Go_Index" display="Index" xr:uid="{93A4D838-FAAE-4FC4-A8B3-2BB61BA4DEDB}"/>
    <hyperlink ref="A20" location="'M25 Rental Property'!Go_RollUp" tooltip="Show/Hide Cells" display="+" xr:uid="{08CA89E1-3CD7-439B-BEC2-3F61DCC9C988}"/>
    <hyperlink ref="A71" location="'M25 Rental Property'!Go_RollUp" tooltip="Show/Hide Cells" display="+" xr:uid="{14818704-C6BF-4F84-A375-928BA3EE77E3}"/>
    <hyperlink ref="B71:E71" location="'M25 Rental Property'!Go_RollUp" tooltip="Show/Hide Cells" display="Rental property income and expenses - property 1" xr:uid="{F1FEE39E-44BD-466F-8564-72620C0C72F1}"/>
    <hyperlink ref="A143" location="'M25 Rental Property'!Go_RollUp" tooltip="Show/Hide Cells" display="+" xr:uid="{EA74A09C-0F7E-468F-BCB2-35F2F5723B6F}"/>
    <hyperlink ref="A59" location="'M25 Rental Property'!Go_RollUp" tooltip="Show/Hide Cells" display="+" xr:uid="{9880CB9F-B692-4DE4-8D5C-6334F30EBF3A}"/>
    <hyperlink ref="B59:E59" location="'M25 Rental Property'!Go_RollUp" tooltip="Show/Hide Cells" display="Distribution - property 1" xr:uid="{CFFB8DFD-3E19-4D58-B53E-30EEBFDF651E}"/>
    <hyperlink ref="A131" location="'M25 Rental Property'!Go_RollUp" tooltip="Show/Hide Cells" display="+" xr:uid="{83458484-F1F5-4E2D-846B-84240F5FD924}"/>
    <hyperlink ref="B131:E131" location="'M25 Rental Property'!Go_RollUp" tooltip="Show/Hide Cells" display="Distribution - property 2" xr:uid="{3B1C4FF0-CB7F-4E32-86B0-F77ECA521A71}"/>
    <hyperlink ref="B143:E143" location="'M25 Rental Property'!Go_RollUp" tooltip="Show/Hide Cells" display="Rental property income and expenses - property 2" xr:uid="{D3F400D5-9D82-49E8-985D-042521521ADD}"/>
    <hyperlink ref="A216" location="'M25 Rental Property'!Go_RollUp" tooltip="Show/Hide Cells" display="+" xr:uid="{E6DBC707-5F24-4EB3-A4AA-764DF68553F7}"/>
    <hyperlink ref="A204" location="'M25 Rental Property'!Go_RollUp" tooltip="Show/Hide Cells" display="+" xr:uid="{9CDF9832-CE6A-4841-97BB-2E6DB8E57086}"/>
    <hyperlink ref="B204:E204" location="'M25 Rental Property'!Go_RollUp" tooltip="Show/Hide Cells" display="Distribution - property 3" xr:uid="{4ACDDA54-6E2B-43CE-9EAC-5832F66A1C6B}"/>
    <hyperlink ref="B20:D20" location="'M25 Rental Property'!Go_RollUp" tooltip="Show/hide cells" display="Summary" xr:uid="{34491CCB-2DA2-458B-ABD9-B3C61D89D9B7}"/>
    <hyperlink ref="B216:E216" location="'M25 Rental Property'!Go_RollUp" tooltip="Show/hide cells" display="Rental property income and expenses - property 3" xr:uid="{28397616-3B58-46E8-A78B-93DFC5ABF38A}"/>
    <hyperlink ref="X180" r:id="rId1" display="hownow://_r907510/" xr:uid="{C7202B34-F90F-42A8-91C6-E885ACA5F64E}"/>
    <hyperlink ref="X108" r:id="rId2" display="hownow://_r907510/" xr:uid="{9ADA10AB-4CE7-4109-ADFE-38DD71DEF08D}"/>
    <hyperlink ref="X111" r:id="rId3" display="hownow://_r907511/" xr:uid="{9C38BAF2-3339-480D-B8AF-8A873CAFD409}"/>
    <hyperlink ref="X196" r:id="rId4" display="hownow://_r907508/" xr:uid="{64B18327-8CAF-41C5-A005-4575039665AF}"/>
    <hyperlink ref="X123" r:id="rId5" display="hownow://_r907508/" xr:uid="{2EDC214F-F9AF-4A76-99EF-C277F439B8C5}"/>
    <hyperlink ref="X117" r:id="rId6" display="hownow://_r907507/" xr:uid="{736CB0B0-6531-46AE-AF12-A1D7CA2A5368}"/>
    <hyperlink ref="X151" r:id="rId7" display="hownow://_r907520/" xr:uid="{429C4A81-E7E1-4221-9B56-F93139507CE6}"/>
    <hyperlink ref="X79" r:id="rId8" display="hownow://_r907521/" xr:uid="{43509D04-E98A-440A-8BF5-B1A0F135BFEA}"/>
    <hyperlink ref="X125" r:id="rId9" display="hownow://_r764224/" xr:uid="{AB1858A7-C545-495C-BF08-8A26EAD65643}"/>
    <hyperlink ref="X109" r:id="rId10" display="hownow://_r919080/" xr:uid="{AA902225-8985-4C77-9C08-E306F36C1EB6}"/>
    <hyperlink ref="X120" r:id="rId11" display="hownow://_r919080/" xr:uid="{74E2F52B-E029-4959-904C-CD01A4DC4000}"/>
    <hyperlink ref="X183" r:id="rId12" display="hownow://_r920371/" xr:uid="{58831E6D-993E-4EFB-9A4E-F27E54352FC2}"/>
    <hyperlink ref="X195" r:id="rId13" display="hownow://_r764224/" xr:uid="{2BC2ED15-98D4-4DAA-A767-37B963E57B93}"/>
  </hyperlinks>
  <printOptions horizontalCentered="1"/>
  <pageMargins left="0.59055118110236227" right="0.59055118110236227" top="0.59055118110236227" bottom="0.78740157480314965" header="0" footer="0"/>
  <pageSetup paperSize="9" scale="39" orientation="portrait" r:id="rId14"/>
  <headerFooter alignWithMargins="0">
    <oddFooter>&amp;L&amp;F
Copyright © 2003-Present Business Fitness Pty Ltd&amp;R&amp;A &amp;P</oddFooter>
  </headerFooter>
  <rowBreaks count="1" manualBreakCount="1">
    <brk id="68" min="2" max="16" man="1"/>
  </rowBreaks>
  <customProperties>
    <customPr name="SheetId" r:id="rId15"/>
  </customPropertie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55BF4B-4D17-48E1-9C6A-8DE0B80E4D3C}">
  <sheetPr>
    <pageSetUpPr autoPageBreaks="0" fitToPage="1"/>
  </sheetPr>
  <dimension ref="A1:M595"/>
  <sheetViews>
    <sheetView showGridLines="0" zoomScaleNormal="100" workbookViewId="0">
      <selection activeCell="R115" sqref="R115"/>
    </sheetView>
  </sheetViews>
  <sheetFormatPr defaultRowHeight="15"/>
  <cols>
    <col min="1" max="1" width="3.7109375" style="74" customWidth="1"/>
    <col min="2" max="2" width="2.42578125" style="74" customWidth="1"/>
    <col min="3" max="3" width="35.7109375" style="74" customWidth="1"/>
    <col min="4" max="4" width="15.7109375" style="74" customWidth="1"/>
    <col min="5" max="5" width="10" style="74" customWidth="1"/>
    <col min="6" max="6" width="9.5703125" style="74" customWidth="1"/>
    <col min="7" max="9" width="15.7109375" style="74" customWidth="1"/>
    <col min="10" max="11" width="3.7109375" style="74" customWidth="1"/>
    <col min="12" max="13" width="15.7109375" style="74" customWidth="1"/>
    <col min="14" max="16384" width="9.140625" style="74"/>
  </cols>
  <sheetData>
    <row r="1" spans="1:13" ht="9" customHeight="1">
      <c r="B1" s="1109" t="s">
        <v>895</v>
      </c>
      <c r="C1" s="1109"/>
      <c r="D1" s="34"/>
      <c r="E1" s="34"/>
      <c r="F1" s="34"/>
      <c r="G1" s="34"/>
      <c r="H1" s="34"/>
      <c r="I1" s="34"/>
      <c r="J1" s="34"/>
    </row>
    <row r="2" spans="1:13" ht="24.95" customHeight="1">
      <c r="B2" s="1109"/>
      <c r="C2" s="1109"/>
      <c r="D2" s="34"/>
      <c r="E2" s="34"/>
      <c r="F2" s="34"/>
      <c r="G2" s="34"/>
      <c r="H2" s="683" t="s">
        <v>37</v>
      </c>
      <c r="I2" s="684" t="s">
        <v>773</v>
      </c>
    </row>
    <row r="3" spans="1:13" ht="10.5" customHeight="1">
      <c r="B3" s="1110"/>
      <c r="C3" s="1110"/>
      <c r="D3" s="36"/>
      <c r="E3" s="36"/>
      <c r="F3" s="36"/>
      <c r="G3" s="36"/>
      <c r="H3" s="36"/>
      <c r="I3" s="36"/>
      <c r="J3" s="36"/>
    </row>
    <row r="4" spans="1:13" ht="12" customHeight="1"/>
    <row r="5" spans="1:13" ht="24.95" customHeight="1">
      <c r="B5" s="1111" t="str">
        <f ca="1">_xll.NamedRange("Cl_Name","Client Name")</f>
        <v>The Schubert Superannuation Fund</v>
      </c>
      <c r="C5" s="1111"/>
      <c r="D5" s="685"/>
      <c r="G5" s="688" t="s">
        <v>774</v>
      </c>
      <c r="H5" s="1112" t="s">
        <v>879</v>
      </c>
      <c r="I5" s="1112"/>
      <c r="J5" s="1112"/>
    </row>
    <row r="6" spans="1:13" ht="24.95" customHeight="1">
      <c r="B6" s="1111" t="str">
        <f ca="1">_xll.NamedRange("Cl_Code","Client Code")</f>
        <v>Client Code</v>
      </c>
      <c r="C6" s="1111"/>
      <c r="D6" s="685"/>
      <c r="G6" s="688" t="s">
        <v>775</v>
      </c>
      <c r="H6" s="690"/>
      <c r="I6" s="1168"/>
      <c r="J6" s="1168"/>
      <c r="M6" s="691"/>
    </row>
    <row r="7" spans="1:13" ht="24.95" customHeight="1">
      <c r="B7" s="1115">
        <f ca="1">_xll.NamedRange("PeriodEndDate")</f>
        <v>43281</v>
      </c>
      <c r="C7" s="1115"/>
      <c r="D7" s="689"/>
      <c r="E7" s="689"/>
      <c r="G7" s="688" t="s">
        <v>776</v>
      </c>
      <c r="H7" s="692" t="str">
        <f ca="1">_xll.NamedRange("Firm_Preparer","")</f>
        <v/>
      </c>
      <c r="I7" s="1113" t="str">
        <f ca="1">_xll.NamedRange("Firm_PreparerDate","")</f>
        <v/>
      </c>
      <c r="J7" s="1127"/>
    </row>
    <row r="8" spans="1:13" ht="24.95" customHeight="1">
      <c r="D8" s="685"/>
      <c r="G8" s="688" t="s">
        <v>777</v>
      </c>
      <c r="H8" s="692" t="str">
        <f ca="1">_xll.NamedRange("Firm_Reviewer","")</f>
        <v/>
      </c>
      <c r="I8" s="1113" t="str">
        <f ca="1">_xll.NamedRange("Firm_ReviewerDate","")</f>
        <v/>
      </c>
      <c r="J8" s="1127"/>
    </row>
    <row r="9" spans="1:13" ht="7.5" customHeight="1"/>
    <row r="10" spans="1:13" ht="15" customHeight="1">
      <c r="B10" s="1128" t="s">
        <v>880</v>
      </c>
      <c r="C10" s="1129"/>
      <c r="D10" s="1129"/>
      <c r="E10" s="1129"/>
      <c r="F10" s="1129"/>
      <c r="G10" s="1129"/>
      <c r="H10" s="1129"/>
      <c r="I10" s="1129"/>
      <c r="J10" s="1129"/>
    </row>
    <row r="11" spans="1:13" ht="7.5" customHeight="1"/>
    <row r="12" spans="1:13" ht="18.75" customHeight="1">
      <c r="A12" s="700" t="s">
        <v>111</v>
      </c>
      <c r="B12" s="1140" t="s">
        <v>879</v>
      </c>
      <c r="C12" s="1140"/>
    </row>
    <row r="13" spans="1:13" ht="7.5" customHeight="1">
      <c r="B13" s="188"/>
      <c r="C13" s="189"/>
      <c r="D13" s="189"/>
      <c r="E13" s="189"/>
      <c r="F13" s="189"/>
      <c r="G13" s="189"/>
      <c r="H13" s="189"/>
      <c r="I13" s="189"/>
      <c r="J13" s="755"/>
    </row>
    <row r="14" spans="1:13" ht="30" customHeight="1">
      <c r="B14" s="194"/>
      <c r="C14" s="756" t="s">
        <v>881</v>
      </c>
      <c r="D14" s="702" t="s">
        <v>882</v>
      </c>
      <c r="E14" s="702" t="s">
        <v>883</v>
      </c>
      <c r="F14" s="702" t="s">
        <v>884</v>
      </c>
      <c r="G14" s="1133" t="s">
        <v>885</v>
      </c>
      <c r="H14" s="1133"/>
      <c r="I14" s="1107"/>
      <c r="J14" s="757"/>
      <c r="L14" s="1134" t="s">
        <v>789</v>
      </c>
      <c r="M14" s="1169"/>
    </row>
    <row r="15" spans="1:13" ht="7.5" customHeight="1">
      <c r="B15" s="194"/>
      <c r="C15" s="1170"/>
      <c r="D15" s="1170"/>
      <c r="E15" s="1170"/>
      <c r="F15" s="1170"/>
      <c r="G15" s="1170"/>
      <c r="H15" s="1170"/>
      <c r="I15" s="1170"/>
      <c r="J15" s="757"/>
    </row>
    <row r="16" spans="1:13" ht="17.25" customHeight="1">
      <c r="B16" s="194"/>
      <c r="C16" s="758" t="s">
        <v>892</v>
      </c>
      <c r="D16" s="718">
        <f>3300-660</f>
        <v>2640</v>
      </c>
      <c r="E16" s="759"/>
      <c r="F16" s="759"/>
      <c r="G16" s="1162"/>
      <c r="H16" s="1162"/>
      <c r="I16" s="1162"/>
      <c r="J16" s="757"/>
      <c r="L16" s="1173" t="s">
        <v>892</v>
      </c>
      <c r="M16" s="1173"/>
    </row>
    <row r="17" spans="1:13" ht="17.25" hidden="1" customHeight="1">
      <c r="B17" s="194"/>
      <c r="C17" s="758"/>
      <c r="D17" s="718"/>
      <c r="E17" s="759"/>
      <c r="F17" s="759"/>
      <c r="G17" s="1162"/>
      <c r="H17" s="1162"/>
      <c r="I17" s="1162"/>
      <c r="J17" s="757"/>
      <c r="L17" s="706"/>
      <c r="M17" s="706"/>
    </row>
    <row r="18" spans="1:13" ht="17.25" hidden="1" customHeight="1">
      <c r="B18" s="194"/>
      <c r="C18" s="758"/>
      <c r="D18" s="718"/>
      <c r="E18" s="759"/>
      <c r="F18" s="759"/>
      <c r="G18" s="1162"/>
      <c r="H18" s="1162"/>
      <c r="I18" s="1162"/>
      <c r="J18" s="757"/>
      <c r="L18" s="706"/>
      <c r="M18" s="706"/>
    </row>
    <row r="19" spans="1:13" ht="17.25" hidden="1" customHeight="1">
      <c r="B19" s="194"/>
      <c r="C19" s="758"/>
      <c r="D19" s="718"/>
      <c r="E19" s="759"/>
      <c r="F19" s="759"/>
      <c r="G19" s="1162"/>
      <c r="H19" s="1162"/>
      <c r="I19" s="1162"/>
      <c r="J19" s="757"/>
      <c r="L19" s="706"/>
      <c r="M19" s="706"/>
    </row>
    <row r="20" spans="1:13" ht="17.25" hidden="1" customHeight="1">
      <c r="B20" s="194"/>
      <c r="C20" s="758"/>
      <c r="D20" s="718"/>
      <c r="E20" s="759"/>
      <c r="F20" s="759"/>
      <c r="G20" s="1162"/>
      <c r="H20" s="1162"/>
      <c r="I20" s="1162"/>
      <c r="J20" s="757"/>
      <c r="L20" s="706"/>
      <c r="M20" s="706"/>
    </row>
    <row r="21" spans="1:13" ht="17.25" hidden="1" customHeight="1">
      <c r="B21" s="194"/>
      <c r="C21" s="758"/>
      <c r="D21" s="718"/>
      <c r="E21" s="759"/>
      <c r="F21" s="759"/>
      <c r="G21" s="1162"/>
      <c r="H21" s="1162"/>
      <c r="I21" s="1162"/>
      <c r="J21" s="757"/>
      <c r="L21" s="706"/>
      <c r="M21" s="706"/>
    </row>
    <row r="22" spans="1:13" ht="17.25" hidden="1" customHeight="1">
      <c r="B22" s="194"/>
      <c r="C22" s="758"/>
      <c r="D22" s="718"/>
      <c r="E22" s="759"/>
      <c r="F22" s="759"/>
      <c r="G22" s="1162"/>
      <c r="H22" s="1162"/>
      <c r="I22" s="1162"/>
      <c r="J22" s="757"/>
      <c r="L22" s="706"/>
      <c r="M22" s="706"/>
    </row>
    <row r="23" spans="1:13" ht="17.25" hidden="1" customHeight="1">
      <c r="B23" s="194"/>
      <c r="C23" s="758"/>
      <c r="D23" s="718"/>
      <c r="E23" s="759"/>
      <c r="F23" s="759"/>
      <c r="G23" s="1162"/>
      <c r="H23" s="1162"/>
      <c r="I23" s="1162"/>
      <c r="J23" s="757"/>
      <c r="L23" s="706"/>
      <c r="M23" s="706"/>
    </row>
    <row r="24" spans="1:13" ht="17.25" hidden="1" customHeight="1">
      <c r="B24" s="194"/>
      <c r="C24" s="758"/>
      <c r="D24" s="718"/>
      <c r="E24" s="759"/>
      <c r="F24" s="759"/>
      <c r="G24" s="1162"/>
      <c r="H24" s="1162"/>
      <c r="I24" s="1162"/>
      <c r="J24" s="757"/>
      <c r="L24" s="706"/>
      <c r="M24" s="706"/>
    </row>
    <row r="25" spans="1:13" ht="17.25" customHeight="1">
      <c r="B25" s="194"/>
      <c r="C25" s="758"/>
      <c r="D25" s="718"/>
      <c r="E25" s="759"/>
      <c r="F25" s="759"/>
      <c r="G25" s="1162"/>
      <c r="H25" s="1162"/>
      <c r="I25" s="1162"/>
      <c r="J25" s="757"/>
      <c r="L25" s="706"/>
      <c r="M25" s="706"/>
    </row>
    <row r="26" spans="1:13" ht="17.25" customHeight="1">
      <c r="B26" s="194"/>
      <c r="C26" s="34"/>
      <c r="D26" s="707">
        <f>SUM(D16:D25)</f>
        <v>2640</v>
      </c>
      <c r="E26" s="1163"/>
      <c r="F26" s="1163"/>
      <c r="G26" s="1163"/>
      <c r="H26" s="1163"/>
      <c r="I26" s="34"/>
      <c r="J26" s="757"/>
    </row>
    <row r="27" spans="1:13" ht="7.5" customHeight="1">
      <c r="B27" s="197"/>
      <c r="C27" s="201"/>
      <c r="D27" s="201"/>
      <c r="E27" s="201"/>
      <c r="F27" s="201"/>
      <c r="G27" s="201"/>
      <c r="H27" s="201"/>
      <c r="I27" s="201"/>
      <c r="J27" s="760"/>
    </row>
    <row r="28" spans="1:13" ht="7.5" customHeight="1">
      <c r="C28" s="34"/>
      <c r="D28" s="34"/>
      <c r="E28" s="34"/>
      <c r="F28" s="34"/>
      <c r="G28" s="34"/>
      <c r="H28" s="34"/>
      <c r="I28" s="34"/>
    </row>
    <row r="29" spans="1:13" ht="18.75" customHeight="1">
      <c r="A29" s="700" t="s">
        <v>111</v>
      </c>
      <c r="B29" s="1140" t="s">
        <v>161</v>
      </c>
      <c r="C29" s="1140"/>
      <c r="D29" s="34"/>
      <c r="E29" s="34"/>
      <c r="F29" s="34"/>
      <c r="G29" s="34"/>
      <c r="H29" s="34"/>
      <c r="I29" s="34"/>
    </row>
    <row r="30" spans="1:13" ht="7.5" customHeight="1">
      <c r="B30" s="695"/>
      <c r="C30" s="696"/>
      <c r="D30" s="696"/>
      <c r="E30" s="696"/>
      <c r="F30" s="696"/>
      <c r="G30" s="696"/>
      <c r="H30" s="696"/>
      <c r="I30" s="696"/>
      <c r="J30" s="697"/>
    </row>
    <row r="31" spans="1:13" ht="30" customHeight="1">
      <c r="B31" s="33"/>
      <c r="C31" s="756" t="s">
        <v>881</v>
      </c>
      <c r="D31" s="702" t="s">
        <v>882</v>
      </c>
      <c r="E31" s="702" t="s">
        <v>883</v>
      </c>
      <c r="F31" s="702" t="s">
        <v>884</v>
      </c>
      <c r="G31" s="1133" t="s">
        <v>885</v>
      </c>
      <c r="H31" s="1133"/>
      <c r="I31" s="1107"/>
      <c r="J31" s="699"/>
      <c r="L31" s="1134" t="s">
        <v>789</v>
      </c>
      <c r="M31" s="1169"/>
    </row>
    <row r="32" spans="1:13" ht="7.5" customHeight="1">
      <c r="B32" s="33"/>
      <c r="C32" s="1170"/>
      <c r="D32" s="1170"/>
      <c r="E32" s="1170"/>
      <c r="F32" s="1170"/>
      <c r="G32" s="1170"/>
      <c r="H32" s="1170"/>
      <c r="I32" s="1170"/>
      <c r="J32" s="699"/>
    </row>
    <row r="33" spans="1:13" ht="17.25" customHeight="1">
      <c r="B33" s="33"/>
      <c r="C33" s="758" t="s">
        <v>892</v>
      </c>
      <c r="D33" s="718">
        <v>660</v>
      </c>
      <c r="E33" s="761"/>
      <c r="F33" s="759"/>
      <c r="G33" s="1171"/>
      <c r="H33" s="1171"/>
      <c r="I33" s="1171"/>
      <c r="J33" s="699"/>
      <c r="L33" s="1173" t="s">
        <v>892</v>
      </c>
      <c r="M33" s="1173"/>
    </row>
    <row r="34" spans="1:13" ht="17.25" hidden="1" customHeight="1">
      <c r="B34" s="33"/>
      <c r="C34" s="758"/>
      <c r="D34" s="718"/>
      <c r="E34" s="761"/>
      <c r="F34" s="759"/>
      <c r="G34" s="1171"/>
      <c r="H34" s="1171"/>
      <c r="I34" s="1171"/>
      <c r="J34" s="699"/>
      <c r="L34" s="706"/>
      <c r="M34" s="706"/>
    </row>
    <row r="35" spans="1:13" ht="17.25" hidden="1" customHeight="1">
      <c r="B35" s="33"/>
      <c r="C35" s="758"/>
      <c r="D35" s="718"/>
      <c r="E35" s="761"/>
      <c r="F35" s="759"/>
      <c r="G35" s="1171"/>
      <c r="H35" s="1171"/>
      <c r="I35" s="1171"/>
      <c r="J35" s="699"/>
      <c r="L35" s="706"/>
      <c r="M35" s="706"/>
    </row>
    <row r="36" spans="1:13" ht="17.25" hidden="1" customHeight="1">
      <c r="B36" s="33"/>
      <c r="C36" s="758"/>
      <c r="D36" s="718"/>
      <c r="E36" s="761"/>
      <c r="F36" s="759"/>
      <c r="G36" s="1171"/>
      <c r="H36" s="1171"/>
      <c r="I36" s="1171"/>
      <c r="J36" s="699"/>
      <c r="L36" s="706"/>
      <c r="M36" s="706"/>
    </row>
    <row r="37" spans="1:13" ht="17.25" hidden="1" customHeight="1">
      <c r="B37" s="33"/>
      <c r="C37" s="758"/>
      <c r="D37" s="718"/>
      <c r="E37" s="761"/>
      <c r="F37" s="759"/>
      <c r="G37" s="1171"/>
      <c r="H37" s="1171"/>
      <c r="I37" s="1171"/>
      <c r="J37" s="699"/>
      <c r="L37" s="706"/>
      <c r="M37" s="706"/>
    </row>
    <row r="38" spans="1:13" ht="17.25" hidden="1" customHeight="1">
      <c r="B38" s="33"/>
      <c r="C38" s="758"/>
      <c r="D38" s="718"/>
      <c r="E38" s="761"/>
      <c r="F38" s="759"/>
      <c r="G38" s="1171"/>
      <c r="H38" s="1171"/>
      <c r="I38" s="1171"/>
      <c r="J38" s="699"/>
      <c r="L38" s="706"/>
      <c r="M38" s="706"/>
    </row>
    <row r="39" spans="1:13" ht="17.25" hidden="1" customHeight="1">
      <c r="B39" s="33"/>
      <c r="C39" s="758"/>
      <c r="D39" s="718"/>
      <c r="E39" s="761"/>
      <c r="F39" s="759"/>
      <c r="G39" s="1171"/>
      <c r="H39" s="1171"/>
      <c r="I39" s="1171"/>
      <c r="J39" s="699"/>
      <c r="L39" s="706"/>
      <c r="M39" s="706"/>
    </row>
    <row r="40" spans="1:13" ht="17.25" hidden="1" customHeight="1">
      <c r="B40" s="33"/>
      <c r="C40" s="758"/>
      <c r="D40" s="718"/>
      <c r="E40" s="761"/>
      <c r="F40" s="759"/>
      <c r="G40" s="1171"/>
      <c r="H40" s="1171"/>
      <c r="I40" s="1171"/>
      <c r="J40" s="699"/>
      <c r="L40" s="706"/>
      <c r="M40" s="706"/>
    </row>
    <row r="41" spans="1:13" ht="17.25" hidden="1" customHeight="1">
      <c r="B41" s="33"/>
      <c r="C41" s="758"/>
      <c r="D41" s="718"/>
      <c r="E41" s="761"/>
      <c r="F41" s="759"/>
      <c r="G41" s="1171"/>
      <c r="H41" s="1171"/>
      <c r="I41" s="1171"/>
      <c r="J41" s="699"/>
      <c r="L41" s="706"/>
      <c r="M41" s="706"/>
    </row>
    <row r="42" spans="1:13" ht="17.25" customHeight="1">
      <c r="B42" s="33"/>
      <c r="C42" s="758"/>
      <c r="D42" s="718"/>
      <c r="E42" s="761"/>
      <c r="F42" s="759"/>
      <c r="G42" s="1171"/>
      <c r="H42" s="1171"/>
      <c r="I42" s="1171"/>
      <c r="J42" s="699"/>
      <c r="L42" s="706"/>
      <c r="M42" s="706"/>
    </row>
    <row r="43" spans="1:13" ht="17.25" customHeight="1">
      <c r="B43" s="33"/>
      <c r="C43" s="34"/>
      <c r="D43" s="707">
        <f>SUM(D33:D42)</f>
        <v>660</v>
      </c>
      <c r="E43" s="1163"/>
      <c r="F43" s="1163"/>
      <c r="G43" s="1163"/>
      <c r="H43" s="1163"/>
      <c r="I43" s="34"/>
      <c r="J43" s="699"/>
    </row>
    <row r="44" spans="1:13" ht="7.5" customHeight="1">
      <c r="B44" s="35"/>
      <c r="C44" s="36"/>
      <c r="D44" s="36"/>
      <c r="E44" s="36"/>
      <c r="F44" s="36"/>
      <c r="G44" s="36"/>
      <c r="H44" s="36"/>
      <c r="I44" s="36"/>
      <c r="J44" s="37"/>
    </row>
    <row r="45" spans="1:13" ht="7.5" customHeight="1">
      <c r="C45" s="34"/>
      <c r="D45" s="34"/>
      <c r="E45" s="34"/>
      <c r="F45" s="34"/>
      <c r="G45" s="34"/>
      <c r="H45" s="34"/>
      <c r="I45" s="34"/>
    </row>
    <row r="46" spans="1:13" ht="18.75" customHeight="1">
      <c r="A46" s="700" t="s">
        <v>111</v>
      </c>
      <c r="B46" s="1140" t="s">
        <v>886</v>
      </c>
      <c r="C46" s="1140"/>
      <c r="D46" s="34"/>
      <c r="E46" s="34"/>
      <c r="F46" s="34"/>
      <c r="G46" s="34"/>
      <c r="H46" s="34"/>
      <c r="I46" s="34"/>
    </row>
    <row r="47" spans="1:13" ht="7.5" hidden="1" customHeight="1">
      <c r="B47" s="695"/>
      <c r="C47" s="696"/>
      <c r="D47" s="696"/>
      <c r="E47" s="696"/>
      <c r="F47" s="696"/>
      <c r="G47" s="696"/>
      <c r="H47" s="696"/>
      <c r="I47" s="696"/>
      <c r="J47" s="697"/>
    </row>
    <row r="48" spans="1:13" ht="30" hidden="1" customHeight="1">
      <c r="B48" s="33"/>
      <c r="C48" s="756" t="s">
        <v>881</v>
      </c>
      <c r="D48" s="702" t="s">
        <v>882</v>
      </c>
      <c r="E48" s="702" t="s">
        <v>883</v>
      </c>
      <c r="F48" s="702" t="s">
        <v>884</v>
      </c>
      <c r="G48" s="1133" t="s">
        <v>885</v>
      </c>
      <c r="H48" s="1133"/>
      <c r="I48" s="1107"/>
      <c r="J48" s="699"/>
      <c r="L48" s="1134" t="s">
        <v>789</v>
      </c>
      <c r="M48" s="1169"/>
    </row>
    <row r="49" spans="1:13" ht="7.5" hidden="1" customHeight="1">
      <c r="B49" s="33"/>
      <c r="C49" s="1170"/>
      <c r="D49" s="1170"/>
      <c r="E49" s="1170"/>
      <c r="F49" s="1170"/>
      <c r="G49" s="1170"/>
      <c r="H49" s="1170"/>
      <c r="I49" s="1170"/>
      <c r="J49" s="699"/>
    </row>
    <row r="50" spans="1:13" ht="17.25" hidden="1" customHeight="1">
      <c r="B50" s="33"/>
      <c r="C50" s="758"/>
      <c r="D50" s="718"/>
      <c r="E50" s="761"/>
      <c r="F50" s="759"/>
      <c r="G50" s="1171"/>
      <c r="H50" s="1171"/>
      <c r="I50" s="1171"/>
      <c r="J50" s="699"/>
      <c r="L50" s="706"/>
      <c r="M50" s="706"/>
    </row>
    <row r="51" spans="1:13" ht="17.25" hidden="1" customHeight="1">
      <c r="B51" s="33"/>
      <c r="C51" s="758"/>
      <c r="D51" s="718"/>
      <c r="E51" s="761"/>
      <c r="F51" s="759"/>
      <c r="G51" s="1171"/>
      <c r="H51" s="1171"/>
      <c r="I51" s="1171"/>
      <c r="J51" s="699"/>
      <c r="L51" s="706"/>
      <c r="M51" s="706"/>
    </row>
    <row r="52" spans="1:13" ht="17.25" hidden="1" customHeight="1">
      <c r="B52" s="33"/>
      <c r="C52" s="758"/>
      <c r="D52" s="718"/>
      <c r="E52" s="761"/>
      <c r="F52" s="759"/>
      <c r="G52" s="1171"/>
      <c r="H52" s="1171"/>
      <c r="I52" s="1171"/>
      <c r="J52" s="699"/>
      <c r="L52" s="706"/>
      <c r="M52" s="706"/>
    </row>
    <row r="53" spans="1:13" ht="17.25" hidden="1" customHeight="1">
      <c r="B53" s="33"/>
      <c r="C53" s="758"/>
      <c r="D53" s="718"/>
      <c r="E53" s="761"/>
      <c r="F53" s="759"/>
      <c r="G53" s="1171"/>
      <c r="H53" s="1171"/>
      <c r="I53" s="1171"/>
      <c r="J53" s="699"/>
      <c r="L53" s="706"/>
      <c r="M53" s="706"/>
    </row>
    <row r="54" spans="1:13" ht="17.25" hidden="1" customHeight="1">
      <c r="B54" s="33"/>
      <c r="C54" s="758"/>
      <c r="D54" s="718"/>
      <c r="E54" s="761"/>
      <c r="F54" s="759"/>
      <c r="G54" s="1171"/>
      <c r="H54" s="1171"/>
      <c r="I54" s="1171"/>
      <c r="J54" s="699"/>
      <c r="L54" s="706"/>
      <c r="M54" s="706"/>
    </row>
    <row r="55" spans="1:13" ht="17.25" hidden="1" customHeight="1">
      <c r="B55" s="33"/>
      <c r="C55" s="758"/>
      <c r="D55" s="718"/>
      <c r="E55" s="761"/>
      <c r="F55" s="759"/>
      <c r="G55" s="1171"/>
      <c r="H55" s="1171"/>
      <c r="I55" s="1171"/>
      <c r="J55" s="699"/>
      <c r="L55" s="706"/>
      <c r="M55" s="706"/>
    </row>
    <row r="56" spans="1:13" ht="17.25" hidden="1" customHeight="1">
      <c r="B56" s="33"/>
      <c r="C56" s="758"/>
      <c r="D56" s="718"/>
      <c r="E56" s="761"/>
      <c r="F56" s="759"/>
      <c r="G56" s="1171"/>
      <c r="H56" s="1171"/>
      <c r="I56" s="1171"/>
      <c r="J56" s="699"/>
      <c r="L56" s="706"/>
      <c r="M56" s="706"/>
    </row>
    <row r="57" spans="1:13" ht="17.25" hidden="1" customHeight="1">
      <c r="B57" s="33"/>
      <c r="C57" s="758"/>
      <c r="D57" s="718"/>
      <c r="E57" s="761"/>
      <c r="F57" s="759"/>
      <c r="G57" s="1171"/>
      <c r="H57" s="1171"/>
      <c r="I57" s="1171"/>
      <c r="J57" s="699"/>
      <c r="L57" s="706"/>
      <c r="M57" s="706"/>
    </row>
    <row r="58" spans="1:13" ht="17.25" hidden="1" customHeight="1">
      <c r="B58" s="33"/>
      <c r="C58" s="758"/>
      <c r="D58" s="718"/>
      <c r="E58" s="761"/>
      <c r="F58" s="759"/>
      <c r="G58" s="1171"/>
      <c r="H58" s="1171"/>
      <c r="I58" s="1171"/>
      <c r="J58" s="699"/>
      <c r="L58" s="706"/>
      <c r="M58" s="706"/>
    </row>
    <row r="59" spans="1:13" ht="17.25" hidden="1" customHeight="1">
      <c r="B59" s="33"/>
      <c r="C59" s="758"/>
      <c r="D59" s="718"/>
      <c r="E59" s="761"/>
      <c r="F59" s="759"/>
      <c r="G59" s="1171"/>
      <c r="H59" s="1171"/>
      <c r="I59" s="1171"/>
      <c r="J59" s="699"/>
      <c r="L59" s="706"/>
      <c r="M59" s="706"/>
    </row>
    <row r="60" spans="1:13" ht="17.25" hidden="1" customHeight="1">
      <c r="B60" s="33"/>
      <c r="C60" s="34"/>
      <c r="D60" s="707">
        <f>SUM(D50:D59)</f>
        <v>0</v>
      </c>
      <c r="E60" s="1163"/>
      <c r="F60" s="1163"/>
      <c r="G60" s="1163"/>
      <c r="H60" s="1163"/>
      <c r="I60" s="34"/>
      <c r="J60" s="699"/>
    </row>
    <row r="61" spans="1:13" ht="7.5" hidden="1" customHeight="1">
      <c r="B61" s="35"/>
      <c r="C61" s="36"/>
      <c r="D61" s="36"/>
      <c r="E61" s="36"/>
      <c r="F61" s="36"/>
      <c r="G61" s="36"/>
      <c r="H61" s="36"/>
      <c r="I61" s="36"/>
      <c r="J61" s="37"/>
    </row>
    <row r="62" spans="1:13" ht="7.5" customHeight="1">
      <c r="C62" s="34"/>
      <c r="D62" s="34"/>
      <c r="E62" s="34"/>
      <c r="F62" s="34"/>
      <c r="G62" s="34"/>
      <c r="H62" s="34"/>
      <c r="I62" s="34"/>
    </row>
    <row r="63" spans="1:13" ht="19.5" customHeight="1">
      <c r="A63" s="700" t="s">
        <v>111</v>
      </c>
      <c r="B63" s="1140" t="s">
        <v>173</v>
      </c>
      <c r="C63" s="1140"/>
      <c r="D63" s="762"/>
      <c r="E63" s="762"/>
      <c r="F63" s="762"/>
      <c r="G63" s="762"/>
      <c r="H63" s="762"/>
      <c r="I63" s="762"/>
    </row>
    <row r="64" spans="1:13" ht="7.5" customHeight="1">
      <c r="B64" s="695"/>
      <c r="C64" s="763"/>
      <c r="D64" s="763"/>
      <c r="E64" s="763"/>
      <c r="F64" s="763"/>
      <c r="G64" s="763"/>
      <c r="H64" s="763"/>
      <c r="I64" s="763"/>
      <c r="J64" s="697"/>
    </row>
    <row r="65" spans="2:13" ht="32.1" customHeight="1">
      <c r="B65" s="33"/>
      <c r="C65" s="756" t="s">
        <v>881</v>
      </c>
      <c r="D65" s="702" t="s">
        <v>882</v>
      </c>
      <c r="E65" s="702" t="s">
        <v>883</v>
      </c>
      <c r="F65" s="702" t="s">
        <v>884</v>
      </c>
      <c r="G65" s="1133" t="s">
        <v>885</v>
      </c>
      <c r="H65" s="1133"/>
      <c r="I65" s="1107"/>
      <c r="J65" s="699"/>
      <c r="L65" s="1134" t="s">
        <v>789</v>
      </c>
      <c r="M65" s="1169"/>
    </row>
    <row r="66" spans="2:13" ht="7.5" customHeight="1">
      <c r="B66" s="33"/>
      <c r="C66" s="714"/>
      <c r="D66" s="714"/>
      <c r="E66" s="714"/>
      <c r="F66" s="714"/>
      <c r="G66" s="714"/>
      <c r="H66" s="714"/>
      <c r="I66" s="714"/>
      <c r="J66" s="699"/>
    </row>
    <row r="67" spans="2:13" ht="17.25" hidden="1" customHeight="1">
      <c r="B67" s="33"/>
      <c r="C67" s="758"/>
      <c r="D67" s="718"/>
      <c r="E67" s="761"/>
      <c r="F67" s="759"/>
      <c r="G67" s="1171"/>
      <c r="H67" s="1171"/>
      <c r="I67" s="1171"/>
      <c r="J67" s="699"/>
      <c r="L67" s="706"/>
      <c r="M67" s="706"/>
    </row>
    <row r="68" spans="2:13" ht="17.25" hidden="1" customHeight="1">
      <c r="B68" s="33"/>
      <c r="C68" s="758"/>
      <c r="D68" s="718"/>
      <c r="E68" s="761"/>
      <c r="F68" s="759"/>
      <c r="G68" s="1171"/>
      <c r="H68" s="1171"/>
      <c r="I68" s="1171"/>
      <c r="J68" s="699"/>
      <c r="L68" s="706"/>
      <c r="M68" s="706"/>
    </row>
    <row r="69" spans="2:13" ht="17.25" hidden="1" customHeight="1">
      <c r="B69" s="33"/>
      <c r="C69" s="758"/>
      <c r="D69" s="718"/>
      <c r="E69" s="761"/>
      <c r="F69" s="759"/>
      <c r="G69" s="1171"/>
      <c r="H69" s="1171"/>
      <c r="I69" s="1171"/>
      <c r="J69" s="699"/>
      <c r="L69" s="706"/>
      <c r="M69" s="706"/>
    </row>
    <row r="70" spans="2:13" ht="17.25" hidden="1" customHeight="1">
      <c r="B70" s="33"/>
      <c r="C70" s="758"/>
      <c r="D70" s="718"/>
      <c r="E70" s="761"/>
      <c r="F70" s="759"/>
      <c r="G70" s="1171"/>
      <c r="H70" s="1171"/>
      <c r="I70" s="1171"/>
      <c r="J70" s="699"/>
      <c r="L70" s="706"/>
      <c r="M70" s="706"/>
    </row>
    <row r="71" spans="2:13" ht="17.25" hidden="1" customHeight="1">
      <c r="B71" s="33"/>
      <c r="C71" s="758"/>
      <c r="D71" s="718"/>
      <c r="E71" s="761"/>
      <c r="F71" s="759"/>
      <c r="G71" s="1171"/>
      <c r="H71" s="1171"/>
      <c r="I71" s="1171"/>
      <c r="J71" s="699"/>
      <c r="L71" s="706"/>
      <c r="M71" s="706"/>
    </row>
    <row r="72" spans="2:13" ht="17.25" hidden="1" customHeight="1">
      <c r="B72" s="33"/>
      <c r="C72" s="758"/>
      <c r="D72" s="718"/>
      <c r="E72" s="761"/>
      <c r="F72" s="759"/>
      <c r="G72" s="1171"/>
      <c r="H72" s="1171"/>
      <c r="I72" s="1171"/>
      <c r="J72" s="699"/>
      <c r="L72" s="706"/>
      <c r="M72" s="706"/>
    </row>
    <row r="73" spans="2:13" ht="17.25" hidden="1" customHeight="1">
      <c r="B73" s="33"/>
      <c r="C73" s="758"/>
      <c r="D73" s="718"/>
      <c r="E73" s="761"/>
      <c r="F73" s="759"/>
      <c r="G73" s="1171"/>
      <c r="H73" s="1171"/>
      <c r="I73" s="1171"/>
      <c r="J73" s="699"/>
      <c r="L73" s="706"/>
      <c r="M73" s="706"/>
    </row>
    <row r="74" spans="2:13" ht="17.25" hidden="1" customHeight="1">
      <c r="B74" s="33"/>
      <c r="C74" s="758"/>
      <c r="D74" s="718"/>
      <c r="E74" s="761"/>
      <c r="F74" s="759"/>
      <c r="G74" s="1171"/>
      <c r="H74" s="1171"/>
      <c r="I74" s="1171"/>
      <c r="J74" s="699"/>
      <c r="L74" s="706"/>
      <c r="M74" s="706"/>
    </row>
    <row r="75" spans="2:13" ht="22.5" customHeight="1">
      <c r="B75" s="33"/>
      <c r="C75" s="758" t="s">
        <v>893</v>
      </c>
      <c r="D75" s="718">
        <v>2420</v>
      </c>
      <c r="E75" s="761"/>
      <c r="F75" s="759"/>
      <c r="G75" s="1171"/>
      <c r="H75" s="1171"/>
      <c r="I75" s="1171"/>
      <c r="J75" s="699"/>
      <c r="L75" s="1174" t="s">
        <v>894</v>
      </c>
      <c r="M75" s="1174"/>
    </row>
    <row r="76" spans="2:13" ht="17.25" customHeight="1">
      <c r="B76" s="33"/>
      <c r="C76" s="758"/>
      <c r="D76" s="718"/>
      <c r="E76" s="761"/>
      <c r="F76" s="759"/>
      <c r="G76" s="1171"/>
      <c r="H76" s="1171"/>
      <c r="I76" s="1171"/>
      <c r="J76" s="699"/>
      <c r="L76" s="706"/>
      <c r="M76" s="706"/>
    </row>
    <row r="77" spans="2:13" ht="17.25" customHeight="1">
      <c r="B77" s="33"/>
      <c r="C77" s="764"/>
      <c r="D77" s="707">
        <f>SUM(D67:D76)</f>
        <v>2420</v>
      </c>
      <c r="E77" s="1163"/>
      <c r="F77" s="1163"/>
      <c r="G77" s="1163"/>
      <c r="H77" s="1163"/>
      <c r="I77" s="34"/>
      <c r="J77" s="699"/>
    </row>
    <row r="78" spans="2:13" ht="7.5" customHeight="1">
      <c r="B78" s="35"/>
      <c r="C78" s="36"/>
      <c r="D78" s="36"/>
      <c r="E78" s="36"/>
      <c r="F78" s="36"/>
      <c r="G78" s="36"/>
      <c r="H78" s="36"/>
      <c r="I78" s="36"/>
      <c r="J78" s="37"/>
    </row>
    <row r="79" spans="2:13" ht="7.5" customHeight="1">
      <c r="C79" s="34"/>
      <c r="D79" s="34"/>
      <c r="E79" s="34"/>
      <c r="F79" s="34"/>
      <c r="G79" s="34"/>
      <c r="H79" s="34"/>
      <c r="I79" s="34"/>
    </row>
    <row r="80" spans="2:13" ht="17.25" customHeight="1">
      <c r="C80" s="765" t="s">
        <v>887</v>
      </c>
      <c r="D80" s="731">
        <f>SUM(D26,D43,D60,D77)</f>
        <v>5720</v>
      </c>
      <c r="E80" s="34"/>
      <c r="F80" s="34"/>
      <c r="G80" s="34"/>
      <c r="H80" s="34"/>
      <c r="I80" s="34"/>
    </row>
    <row r="81" spans="3:9" ht="17.25" customHeight="1">
      <c r="C81" s="765" t="s">
        <v>888</v>
      </c>
      <c r="D81" s="705">
        <v>5720</v>
      </c>
      <c r="E81" s="34"/>
      <c r="F81" s="34"/>
      <c r="G81" s="34"/>
      <c r="H81" s="34"/>
      <c r="I81" s="34"/>
    </row>
    <row r="82" spans="3:9" ht="17.25" customHeight="1">
      <c r="C82" s="765" t="s">
        <v>79</v>
      </c>
      <c r="D82" s="731">
        <f>N5_Accountancy-D81</f>
        <v>0</v>
      </c>
      <c r="E82" s="1172" t="str">
        <f>IF(D82&lt;&gt;0,"Out of balance","Agreed")</f>
        <v>Agreed</v>
      </c>
      <c r="F82" s="1172"/>
    </row>
    <row r="83" spans="3:9" ht="15.95" customHeight="1"/>
    <row r="84" spans="3:9" ht="15.95" customHeight="1"/>
    <row r="85" spans="3:9" ht="15.95" customHeight="1"/>
    <row r="86" spans="3:9" ht="15.95" customHeight="1"/>
    <row r="87" spans="3:9" ht="15.95" customHeight="1"/>
    <row r="88" spans="3:9" ht="15.95" customHeight="1"/>
    <row r="89" spans="3:9" ht="15.95" customHeight="1"/>
    <row r="90" spans="3:9" ht="15.95" customHeight="1"/>
    <row r="91" spans="3:9" ht="15.95" customHeight="1"/>
    <row r="92" spans="3:9" ht="15.95" customHeight="1"/>
    <row r="93" spans="3:9" ht="15.95" customHeight="1"/>
    <row r="94" spans="3:9" ht="15.95" customHeight="1"/>
    <row r="95" spans="3:9" ht="15.95" customHeight="1"/>
    <row r="96" spans="3:9" ht="15.95" customHeight="1"/>
    <row r="97" ht="15.95" customHeight="1"/>
    <row r="98" ht="15.95" customHeight="1"/>
    <row r="99" ht="15.95" customHeight="1"/>
    <row r="100" ht="15.95" customHeight="1"/>
    <row r="101" ht="15.95" customHeight="1"/>
    <row r="102" ht="15.95" customHeight="1"/>
    <row r="103" ht="15.95" customHeight="1"/>
    <row r="104" ht="15.95" customHeight="1"/>
    <row r="105" ht="15.95" customHeight="1"/>
    <row r="106" ht="15.95" customHeight="1"/>
    <row r="107" ht="15.95" customHeight="1"/>
    <row r="108" ht="15.95" customHeight="1"/>
    <row r="109" ht="15.95" customHeight="1"/>
    <row r="110" ht="15.95" customHeight="1"/>
    <row r="111" ht="15.95" customHeight="1"/>
    <row r="112" ht="15.95" customHeight="1"/>
    <row r="113" ht="15.95" customHeight="1"/>
    <row r="114" ht="15.95" customHeight="1"/>
    <row r="115" ht="15.95" customHeight="1"/>
    <row r="116" ht="15.95" customHeight="1"/>
    <row r="117" ht="15.95" customHeight="1"/>
    <row r="118" ht="15.95" customHeight="1"/>
    <row r="119" ht="15.95" customHeight="1"/>
    <row r="120" ht="15.95" customHeight="1"/>
    <row r="121" ht="15.95" customHeight="1"/>
    <row r="122" ht="15.95" customHeight="1"/>
    <row r="123" ht="15.95" customHeight="1"/>
    <row r="124" ht="15.95" customHeight="1"/>
    <row r="125" ht="15.95" customHeight="1"/>
    <row r="126" ht="15.95" customHeight="1"/>
    <row r="127" ht="15.95" customHeight="1"/>
    <row r="128" ht="15.95" customHeight="1"/>
    <row r="129" ht="15.95" customHeight="1"/>
    <row r="130" ht="15.95" customHeight="1"/>
    <row r="131" ht="15.95" customHeight="1"/>
    <row r="132" ht="15.95" customHeight="1"/>
    <row r="133" ht="15.95" customHeight="1"/>
    <row r="134" ht="15.95" customHeight="1"/>
    <row r="135" ht="15.95" customHeight="1"/>
    <row r="136" ht="15.95" customHeight="1"/>
    <row r="137" ht="15.95" customHeight="1"/>
    <row r="138" ht="15.95" customHeight="1"/>
    <row r="139" ht="15.95" customHeight="1"/>
    <row r="140" ht="15.95" customHeight="1"/>
    <row r="141" ht="15.95" customHeight="1"/>
    <row r="142" ht="15.95" customHeight="1"/>
    <row r="143" ht="15.95" customHeight="1"/>
    <row r="144" ht="15.95" customHeight="1"/>
    <row r="145" ht="15.95" customHeight="1"/>
    <row r="146" ht="15.95" customHeight="1"/>
    <row r="147" ht="15.95" customHeight="1"/>
    <row r="148" ht="15.95" customHeight="1"/>
    <row r="149" ht="15.95" customHeight="1"/>
    <row r="150" ht="15.95" customHeight="1"/>
    <row r="151" ht="15.95" customHeight="1"/>
    <row r="152" ht="15.95" customHeight="1"/>
    <row r="153" ht="15.95" customHeight="1"/>
    <row r="154" ht="15.95" customHeight="1"/>
    <row r="155" ht="15.95" customHeight="1"/>
    <row r="156" ht="15.95" customHeight="1"/>
    <row r="157" ht="15.95" customHeight="1"/>
    <row r="158" ht="15.95" customHeight="1"/>
    <row r="159" ht="15.95" customHeight="1"/>
    <row r="160" ht="15.95" customHeight="1"/>
    <row r="161" ht="15.95" customHeight="1"/>
    <row r="162" ht="15.95" customHeight="1"/>
    <row r="163" ht="15.95" customHeight="1"/>
    <row r="164" ht="15.95" customHeight="1"/>
    <row r="165" ht="15.95" customHeight="1"/>
    <row r="166" ht="15.95" customHeight="1"/>
    <row r="167" ht="15.95" customHeight="1"/>
    <row r="168" ht="15.95" customHeight="1"/>
    <row r="169" ht="15.95" customHeight="1"/>
    <row r="170" ht="15.95" customHeight="1"/>
    <row r="171" ht="15.95" customHeight="1"/>
    <row r="172" ht="15.95" customHeight="1"/>
    <row r="173" ht="15.95" customHeight="1"/>
    <row r="174" ht="15.95" customHeight="1"/>
    <row r="175" ht="15.95" customHeight="1"/>
    <row r="176" ht="15.95" customHeight="1"/>
    <row r="177" ht="15.95" customHeight="1"/>
    <row r="178" ht="15.95" customHeight="1"/>
    <row r="179" ht="15.95" customHeight="1"/>
    <row r="180" ht="15.95" customHeight="1"/>
    <row r="181" ht="15.95" customHeight="1"/>
    <row r="182" ht="15.95" customHeight="1"/>
    <row r="183" ht="15.95" customHeight="1"/>
    <row r="184" ht="15.95" customHeight="1"/>
    <row r="185" ht="15.95" customHeight="1"/>
    <row r="186" ht="15.95" customHeight="1"/>
    <row r="187" ht="15.95" customHeight="1"/>
    <row r="188" ht="15.95" customHeight="1"/>
    <row r="189" ht="15.95" customHeight="1"/>
    <row r="190" ht="15.95" customHeight="1"/>
    <row r="191" ht="15.95" customHeight="1"/>
    <row r="192" ht="15.95" customHeight="1"/>
    <row r="193" ht="15.95" customHeight="1"/>
    <row r="194" ht="15.95" customHeight="1"/>
    <row r="195" ht="15.95" customHeight="1"/>
    <row r="196" ht="15.95" customHeight="1"/>
    <row r="197" ht="15.95" customHeight="1"/>
    <row r="198" ht="15.95" customHeight="1"/>
    <row r="199" ht="15.95" customHeight="1"/>
    <row r="200" ht="15.95" customHeight="1"/>
    <row r="201" ht="15.95" customHeight="1"/>
    <row r="202" ht="15.95" customHeight="1"/>
    <row r="203" ht="15.95" customHeight="1"/>
    <row r="204" ht="15.95" customHeight="1"/>
    <row r="205" ht="15.95" customHeight="1"/>
    <row r="206" ht="15.95" customHeight="1"/>
    <row r="207" ht="15.95" customHeight="1"/>
    <row r="208" ht="15.95" customHeight="1"/>
    <row r="209" ht="15.95" customHeight="1"/>
    <row r="210" ht="15.95" customHeight="1"/>
    <row r="211" ht="15.95" customHeight="1"/>
    <row r="212" ht="15.95" customHeight="1"/>
    <row r="213" ht="15.95" customHeight="1"/>
    <row r="214" ht="15.95" customHeight="1"/>
    <row r="215" ht="15.95" customHeight="1"/>
    <row r="216" ht="15.95" customHeight="1"/>
    <row r="217" ht="15.95" customHeight="1"/>
    <row r="218" ht="15.95" customHeight="1"/>
    <row r="219" ht="15.95" customHeight="1"/>
    <row r="220" ht="15.95" customHeight="1"/>
    <row r="221" ht="15.95" customHeight="1"/>
    <row r="222" ht="15.95" customHeight="1"/>
    <row r="223" ht="15.95" customHeight="1"/>
    <row r="224" ht="15.95" customHeight="1"/>
    <row r="225" ht="15.95" customHeight="1"/>
    <row r="226" ht="15.95" customHeight="1"/>
    <row r="227" ht="15.95" customHeight="1"/>
    <row r="228" ht="15.95" customHeight="1"/>
    <row r="229" ht="15.95" customHeight="1"/>
    <row r="230" ht="15.95" customHeight="1"/>
    <row r="231" ht="15.95" customHeight="1"/>
    <row r="232" ht="15.95" customHeight="1"/>
    <row r="233" ht="15.95" customHeight="1"/>
    <row r="234" ht="15.95" customHeight="1"/>
    <row r="235" ht="15.95" customHeight="1"/>
    <row r="236" ht="15.95" customHeight="1"/>
    <row r="237" ht="15.95" customHeight="1"/>
    <row r="238" ht="15.95" customHeight="1"/>
    <row r="239" ht="15.95" customHeight="1"/>
    <row r="240" ht="15.95" customHeight="1"/>
    <row r="241" ht="15.95" customHeight="1"/>
    <row r="242" ht="15.95" customHeight="1"/>
    <row r="243" ht="15.95" customHeight="1"/>
    <row r="244" ht="15.95" customHeight="1"/>
    <row r="245" ht="15.95" customHeight="1"/>
    <row r="246" ht="15.95" customHeight="1"/>
    <row r="247" ht="15.95" customHeight="1"/>
    <row r="248" ht="15.95" customHeight="1"/>
    <row r="249" ht="15.95" customHeight="1"/>
    <row r="250" ht="15.95" customHeight="1"/>
    <row r="251" ht="15.95" customHeight="1"/>
    <row r="252" ht="15.95" customHeight="1"/>
    <row r="253" ht="15.95" customHeight="1"/>
    <row r="254" ht="15.95" customHeight="1"/>
    <row r="255" ht="15.95" customHeight="1"/>
    <row r="256" ht="15.95" customHeight="1"/>
    <row r="257" ht="15.95" customHeight="1"/>
    <row r="258" ht="15.95" customHeight="1"/>
    <row r="259" ht="15.95" customHeight="1"/>
    <row r="260" ht="15.95" customHeight="1"/>
    <row r="261" ht="15.95" customHeight="1"/>
    <row r="262" ht="15.95" customHeight="1"/>
    <row r="263" ht="15.95" customHeight="1"/>
    <row r="264" ht="15.95" customHeight="1"/>
    <row r="265" ht="15.95" customHeight="1"/>
    <row r="266" ht="15.95" customHeight="1"/>
    <row r="267" ht="15.95" customHeight="1"/>
    <row r="268" ht="15.95" customHeight="1"/>
    <row r="269" ht="15.95" customHeight="1"/>
    <row r="270" ht="15.95" customHeight="1"/>
    <row r="271" ht="15.95" customHeight="1"/>
    <row r="272" ht="15.95" customHeight="1"/>
    <row r="273" ht="15.95" customHeight="1"/>
    <row r="274" ht="15.95" customHeight="1"/>
    <row r="275" ht="15.95" customHeight="1"/>
    <row r="276" ht="15.95" customHeight="1"/>
    <row r="277" ht="15.95" customHeight="1"/>
    <row r="278" ht="15.95" customHeight="1"/>
    <row r="279" ht="15.95" customHeight="1"/>
    <row r="280" ht="15.95" customHeight="1"/>
    <row r="281" ht="15.95" customHeight="1"/>
    <row r="282" ht="15.95" customHeight="1"/>
    <row r="283" ht="15.95" customHeight="1"/>
    <row r="284" ht="15.95" customHeight="1"/>
    <row r="285" ht="15.95" customHeight="1"/>
    <row r="286" ht="15.95" customHeight="1"/>
    <row r="287" ht="15.95" customHeight="1"/>
    <row r="288" ht="15.95" customHeight="1"/>
    <row r="289" ht="15.95" customHeight="1"/>
    <row r="290" ht="15.95" customHeight="1"/>
    <row r="291" ht="15.95" customHeight="1"/>
    <row r="292" ht="15.95" customHeight="1"/>
    <row r="293" ht="15.95" customHeight="1"/>
    <row r="294" ht="15.95" customHeight="1"/>
    <row r="295" ht="15.95" customHeight="1"/>
    <row r="296" ht="15.95" customHeight="1"/>
    <row r="297" ht="15.95" customHeight="1"/>
    <row r="298" ht="15.95" customHeight="1"/>
    <row r="299" ht="15.95" customHeight="1"/>
    <row r="300" ht="15.95" customHeight="1"/>
    <row r="301" ht="15.95" customHeight="1"/>
    <row r="302" ht="15.95" customHeight="1"/>
    <row r="303" ht="15.95" customHeight="1"/>
    <row r="304" ht="15.95" customHeight="1"/>
    <row r="305" ht="15.95" customHeight="1"/>
    <row r="306" ht="15.95" customHeight="1"/>
    <row r="307" ht="15.95" customHeight="1"/>
    <row r="308" ht="15.95" customHeight="1"/>
    <row r="309" ht="15.95" customHeight="1"/>
    <row r="310" ht="15.95" customHeight="1"/>
    <row r="311" ht="15.95" customHeight="1"/>
    <row r="312" ht="15.95" customHeight="1"/>
    <row r="313" ht="15.95" customHeight="1"/>
    <row r="314" ht="15.95" customHeight="1"/>
    <row r="315" ht="15.95" customHeight="1"/>
    <row r="316" ht="15.95" customHeight="1"/>
    <row r="317" ht="15.95" customHeight="1"/>
    <row r="318" ht="15.95" customHeight="1"/>
    <row r="319" ht="15.95" customHeight="1"/>
    <row r="320" ht="15.95" customHeight="1"/>
    <row r="321" ht="15.95" customHeight="1"/>
    <row r="322" ht="15.95" customHeight="1"/>
    <row r="323" ht="15.95" customHeight="1"/>
    <row r="324" ht="15.95" customHeight="1"/>
    <row r="325" ht="15.95" customHeight="1"/>
    <row r="326" ht="15.95" customHeight="1"/>
    <row r="327" ht="15.95" customHeight="1"/>
    <row r="328" ht="15.95" customHeight="1"/>
    <row r="329" ht="15.95" customHeight="1"/>
    <row r="330" ht="15.95" customHeight="1"/>
    <row r="331" ht="15.95" customHeight="1"/>
    <row r="332" ht="15.95" customHeight="1"/>
    <row r="333" ht="15.95" customHeight="1"/>
    <row r="334" ht="15.95" customHeight="1"/>
    <row r="335" ht="15.95" customHeight="1"/>
    <row r="336" ht="15.95" customHeight="1"/>
    <row r="337" ht="15.95" customHeight="1"/>
    <row r="338" ht="15.95" customHeight="1"/>
    <row r="339" ht="15.95" customHeight="1"/>
    <row r="340" ht="15.95" customHeight="1"/>
    <row r="341" ht="15.95" customHeight="1"/>
    <row r="342" ht="15.95" customHeight="1"/>
    <row r="343" ht="15.95" customHeight="1"/>
    <row r="344" ht="15.95" customHeight="1"/>
    <row r="345" ht="15.95" customHeight="1"/>
    <row r="346" ht="15.95" customHeight="1"/>
    <row r="347" ht="15.95" customHeight="1"/>
    <row r="348" ht="15.95" customHeight="1"/>
    <row r="349" ht="15.95" customHeight="1"/>
    <row r="350" ht="15.95" customHeight="1"/>
    <row r="351" ht="15.95" customHeight="1"/>
    <row r="352" ht="15.95" customHeight="1"/>
    <row r="353" ht="15.95" customHeight="1"/>
    <row r="354" ht="15.95" customHeight="1"/>
    <row r="355" ht="15.95" customHeight="1"/>
    <row r="356" ht="15.95" customHeight="1"/>
    <row r="357" ht="15.95" customHeight="1"/>
    <row r="358" ht="15.95" customHeight="1"/>
    <row r="359" ht="15.95" customHeight="1"/>
    <row r="360" ht="15.95" customHeight="1"/>
    <row r="361" ht="15.95" customHeight="1"/>
    <row r="362" ht="15.95" customHeight="1"/>
    <row r="363" ht="15.95" customHeight="1"/>
    <row r="364" ht="15.95" customHeight="1"/>
    <row r="365" ht="15.95" customHeight="1"/>
    <row r="366" ht="15.95" customHeight="1"/>
    <row r="367" ht="15.95" customHeight="1"/>
    <row r="368" ht="15.95" customHeight="1"/>
    <row r="369" ht="15.95" customHeight="1"/>
    <row r="370" ht="15.95" customHeight="1"/>
    <row r="371" ht="15.95" customHeight="1"/>
    <row r="372" ht="15.95" customHeight="1"/>
    <row r="373" ht="15.95" customHeight="1"/>
    <row r="374" ht="15.95" customHeight="1"/>
    <row r="375" ht="15.95" customHeight="1"/>
    <row r="376" ht="15.95" customHeight="1"/>
    <row r="377" ht="15.95" customHeight="1"/>
    <row r="378" ht="15.95" customHeight="1"/>
    <row r="379" ht="15.95" customHeight="1"/>
    <row r="380" ht="15.95" customHeight="1"/>
    <row r="381" ht="15.95" customHeight="1"/>
    <row r="382" ht="15.95" customHeight="1"/>
    <row r="383" ht="15.95" customHeight="1"/>
    <row r="384" ht="15.95" customHeight="1"/>
    <row r="385" ht="15.95" customHeight="1"/>
    <row r="386" ht="15.95" customHeight="1"/>
    <row r="387" ht="15.95" customHeight="1"/>
    <row r="388" ht="15.95" customHeight="1"/>
    <row r="389" ht="15.95" customHeight="1"/>
    <row r="390" ht="15.95" customHeight="1"/>
    <row r="391" ht="15.95" customHeight="1"/>
    <row r="392" ht="15.95" customHeight="1"/>
    <row r="393" ht="15.95" customHeight="1"/>
    <row r="394" ht="15.95" customHeight="1"/>
    <row r="395" ht="15.95" customHeight="1"/>
    <row r="396" ht="15.95" customHeight="1"/>
    <row r="397" ht="15.95" customHeight="1"/>
    <row r="398" ht="15.95" customHeight="1"/>
    <row r="399" ht="15.95" customHeight="1"/>
    <row r="400" ht="15.95" customHeight="1"/>
    <row r="401" ht="15.95" customHeight="1"/>
    <row r="402" ht="15.95" customHeight="1"/>
    <row r="403" ht="15.95" customHeight="1"/>
    <row r="404" ht="15.95" customHeight="1"/>
    <row r="405" ht="15.95" customHeight="1"/>
    <row r="406" ht="15.95" customHeight="1"/>
    <row r="407" ht="15.95" customHeight="1"/>
    <row r="408" ht="15.95" customHeight="1"/>
    <row r="409" ht="15.95" customHeight="1"/>
    <row r="410" ht="15.95" customHeight="1"/>
    <row r="411" ht="15.95" customHeight="1"/>
    <row r="412" ht="15.95" customHeight="1"/>
    <row r="413" ht="15.95" customHeight="1"/>
    <row r="414" ht="15.95" customHeight="1"/>
    <row r="415" ht="15.95" customHeight="1"/>
    <row r="416" ht="15.95" customHeight="1"/>
    <row r="417" ht="15.95" customHeight="1"/>
    <row r="418" ht="15.95" customHeight="1"/>
    <row r="419" ht="15.95" customHeight="1"/>
    <row r="420" ht="15.95" customHeight="1"/>
    <row r="421" ht="15.95" customHeight="1"/>
    <row r="422" ht="15.95" customHeight="1"/>
    <row r="423" ht="15.95" customHeight="1"/>
    <row r="424" ht="15.95" customHeight="1"/>
    <row r="425" ht="15.95" customHeight="1"/>
    <row r="426" ht="15.95" customHeight="1"/>
    <row r="427" ht="15.95" customHeight="1"/>
    <row r="428" ht="15.95" customHeight="1"/>
    <row r="429" ht="15.95" customHeight="1"/>
    <row r="430" ht="15.95" customHeight="1"/>
    <row r="431" ht="15.95" customHeight="1"/>
    <row r="432" ht="15.95" customHeight="1"/>
    <row r="433" ht="15.95" customHeight="1"/>
    <row r="434" ht="15.95" customHeight="1"/>
    <row r="435" ht="15.95" customHeight="1"/>
    <row r="436" ht="15.95" customHeight="1"/>
    <row r="437" ht="15.95" customHeight="1"/>
    <row r="438" ht="15.95" customHeight="1"/>
    <row r="439" ht="15.95" customHeight="1"/>
    <row r="440" ht="15.95" customHeight="1"/>
    <row r="441" ht="15.95" customHeight="1"/>
    <row r="442" ht="15.95" customHeight="1"/>
    <row r="443" ht="15.95" customHeight="1"/>
    <row r="444" ht="15.95" customHeight="1"/>
    <row r="445" ht="15.95" customHeight="1"/>
    <row r="446" ht="15.95" customHeight="1"/>
    <row r="447" ht="15.95" customHeight="1"/>
    <row r="448" ht="15.95" customHeight="1"/>
    <row r="449" ht="15.95" customHeight="1"/>
    <row r="450" ht="15.95" customHeight="1"/>
    <row r="451" ht="15.95" customHeight="1"/>
    <row r="452" ht="15.95" customHeight="1"/>
    <row r="453" ht="15.95" customHeight="1"/>
    <row r="454" ht="15.95" customHeight="1"/>
    <row r="455" ht="15.95" customHeight="1"/>
    <row r="456" ht="15.95" customHeight="1"/>
    <row r="457" ht="15.95" customHeight="1"/>
    <row r="458" ht="15.95" customHeight="1"/>
    <row r="459" ht="15.95" customHeight="1"/>
    <row r="460" ht="15.95" customHeight="1"/>
    <row r="461" ht="15.95" customHeight="1"/>
    <row r="462" ht="15.95" customHeight="1"/>
    <row r="463" ht="15.95" customHeight="1"/>
    <row r="464" ht="15.95" customHeight="1"/>
    <row r="465" ht="15.95" customHeight="1"/>
    <row r="466" ht="15.95" customHeight="1"/>
    <row r="467" ht="15.95" customHeight="1"/>
    <row r="468" ht="15.95" customHeight="1"/>
    <row r="469" ht="15.95" customHeight="1"/>
    <row r="470" ht="15.95" customHeight="1"/>
    <row r="471" ht="15.95" customHeight="1"/>
    <row r="472" ht="15.95" customHeight="1"/>
    <row r="473" ht="15.95" customHeight="1"/>
    <row r="474" ht="15.95" customHeight="1"/>
    <row r="475" ht="15.95" customHeight="1"/>
    <row r="476" ht="15.95" customHeight="1"/>
    <row r="477" ht="15.95" customHeight="1"/>
    <row r="478" ht="15.95" customHeight="1"/>
    <row r="479" ht="15.95" customHeight="1"/>
    <row r="480" ht="15.95" customHeight="1"/>
    <row r="481" ht="15.95" customHeight="1"/>
    <row r="482" ht="15.95" customHeight="1"/>
    <row r="483" ht="15.95" customHeight="1"/>
    <row r="484" ht="15.95" customHeight="1"/>
    <row r="485" ht="15.95" customHeight="1"/>
    <row r="486" ht="15.95" customHeight="1"/>
    <row r="487" ht="15.95" customHeight="1"/>
    <row r="488" ht="15.95" customHeight="1"/>
    <row r="489" ht="15.95" customHeight="1"/>
    <row r="490" ht="15.95" customHeight="1"/>
    <row r="491" ht="15.95" customHeight="1"/>
    <row r="492" ht="15.95" customHeight="1"/>
    <row r="493" ht="15.95" customHeight="1"/>
    <row r="494" ht="15.95" customHeight="1"/>
    <row r="495" ht="15.95" customHeight="1"/>
    <row r="496" ht="15.95" customHeight="1"/>
    <row r="497" ht="15.95" customHeight="1"/>
    <row r="498" ht="15.95" customHeight="1"/>
    <row r="499" ht="15.95" customHeight="1"/>
    <row r="500" ht="15.95" customHeight="1"/>
    <row r="501" ht="15.95" customHeight="1"/>
    <row r="502" ht="15.95" customHeight="1"/>
    <row r="503" ht="15.95" customHeight="1"/>
    <row r="504" ht="15.95" customHeight="1"/>
    <row r="505" ht="15.95" customHeight="1"/>
    <row r="506" ht="15.95" customHeight="1"/>
    <row r="507" ht="15.95" customHeight="1"/>
    <row r="508" ht="15.95" customHeight="1"/>
    <row r="509" ht="15.95" customHeight="1"/>
    <row r="510" ht="15.95" customHeight="1"/>
    <row r="511" ht="15.95" customHeight="1"/>
    <row r="512" ht="15.95" customHeight="1"/>
    <row r="513" ht="15.95" customHeight="1"/>
    <row r="514" ht="15.95" customHeight="1"/>
    <row r="515" ht="15.95" customHeight="1"/>
    <row r="516" ht="15.95" customHeight="1"/>
    <row r="517" ht="15.95" customHeight="1"/>
    <row r="518" ht="15.95" customHeight="1"/>
    <row r="519" ht="15.95" customHeight="1"/>
    <row r="520" ht="15.95" customHeight="1"/>
    <row r="521" ht="15.95" customHeight="1"/>
    <row r="522" ht="15.95" customHeight="1"/>
    <row r="523" ht="15.95" customHeight="1"/>
    <row r="524" ht="15.95" customHeight="1"/>
    <row r="525" ht="15.95" customHeight="1"/>
    <row r="526" ht="15.95" customHeight="1"/>
    <row r="527" ht="15.95" customHeight="1"/>
    <row r="528" ht="15.95" customHeight="1"/>
    <row r="529" ht="15.95" customHeight="1"/>
    <row r="530" ht="15.95" customHeight="1"/>
    <row r="531" ht="15.95" customHeight="1"/>
    <row r="532" ht="15.95" customHeight="1"/>
    <row r="533" ht="15.95" customHeight="1"/>
    <row r="534" ht="15.95" customHeight="1"/>
    <row r="535" ht="15.95" customHeight="1"/>
    <row r="536" ht="15.95" customHeight="1"/>
    <row r="537" ht="15.95" customHeight="1"/>
    <row r="538" ht="15.95" customHeight="1"/>
    <row r="539" ht="15.95" customHeight="1"/>
    <row r="540" ht="15.95" customHeight="1"/>
    <row r="541" ht="15.95" customHeight="1"/>
    <row r="542" ht="15.95" customHeight="1"/>
    <row r="543" ht="15.95" customHeight="1"/>
    <row r="544" ht="15.95" customHeight="1"/>
    <row r="545" ht="15.95" customHeight="1"/>
    <row r="546" ht="15.95" customHeight="1"/>
    <row r="547" ht="15.95" customHeight="1"/>
    <row r="548" ht="15.95" customHeight="1"/>
    <row r="549" ht="15.95" customHeight="1"/>
    <row r="550" ht="15.95" customHeight="1"/>
    <row r="551" ht="15.95" customHeight="1"/>
    <row r="552" ht="15.95" customHeight="1"/>
    <row r="553" ht="15.95" customHeight="1"/>
    <row r="554" ht="15.95" customHeight="1"/>
    <row r="555" ht="15.95" customHeight="1"/>
    <row r="556" ht="15.95" customHeight="1"/>
    <row r="557" ht="15.95" customHeight="1"/>
    <row r="558" ht="15.95" customHeight="1"/>
    <row r="559" ht="15.95" customHeight="1"/>
    <row r="560" ht="15.95" customHeight="1"/>
    <row r="561" ht="15.95" customHeight="1"/>
    <row r="562" ht="15.95" customHeight="1"/>
    <row r="563" ht="15.95" customHeight="1"/>
    <row r="564" ht="15.95" customHeight="1"/>
    <row r="565" ht="15.95" customHeight="1"/>
    <row r="566" ht="15.95" customHeight="1"/>
    <row r="567" ht="15.95" customHeight="1"/>
    <row r="568" ht="15.95" customHeight="1"/>
    <row r="569" ht="15.95" customHeight="1"/>
    <row r="570" ht="15.95" customHeight="1"/>
    <row r="571" ht="15.95" customHeight="1"/>
    <row r="572" ht="15.95" customHeight="1"/>
    <row r="573" ht="15.95" customHeight="1"/>
    <row r="574" ht="15.95" customHeight="1"/>
    <row r="575" ht="15.95" customHeight="1"/>
    <row r="576" ht="15.95" customHeight="1"/>
    <row r="577" ht="15.95" customHeight="1"/>
    <row r="578" ht="15.95" customHeight="1"/>
    <row r="579" ht="15.95" customHeight="1"/>
    <row r="580" ht="15.95" customHeight="1"/>
    <row r="581" ht="15.95" customHeight="1"/>
    <row r="582" ht="15.95" customHeight="1"/>
    <row r="583" ht="15.95" customHeight="1"/>
    <row r="584" ht="15.95" customHeight="1"/>
    <row r="585" ht="15.95" customHeight="1"/>
    <row r="586" ht="15.95" customHeight="1"/>
    <row r="587" ht="15.95" customHeight="1"/>
    <row r="588" ht="15.95" customHeight="1"/>
    <row r="589" ht="15.95" customHeight="1"/>
    <row r="590" ht="15.95" customHeight="1"/>
    <row r="591" ht="15.95" customHeight="1"/>
    <row r="592" ht="15.95" customHeight="1"/>
    <row r="593" ht="15.95" customHeight="1"/>
    <row r="594" ht="15.95" customHeight="1"/>
    <row r="595" ht="15.95" customHeight="1"/>
  </sheetData>
  <sheetProtection sheet="1" objects="1" scenarios="1"/>
  <mergeCells count="72">
    <mergeCell ref="E77:H77"/>
    <mergeCell ref="E82:F82"/>
    <mergeCell ref="L16:M16"/>
    <mergeCell ref="L33:M33"/>
    <mergeCell ref="L75:M75"/>
    <mergeCell ref="G71:I71"/>
    <mergeCell ref="G72:I72"/>
    <mergeCell ref="G73:I73"/>
    <mergeCell ref="G74:I74"/>
    <mergeCell ref="G75:I75"/>
    <mergeCell ref="G76:I76"/>
    <mergeCell ref="G65:I65"/>
    <mergeCell ref="L65:M65"/>
    <mergeCell ref="G67:I67"/>
    <mergeCell ref="G68:I68"/>
    <mergeCell ref="G69:I69"/>
    <mergeCell ref="G70:I70"/>
    <mergeCell ref="G56:I56"/>
    <mergeCell ref="G57:I57"/>
    <mergeCell ref="G58:I58"/>
    <mergeCell ref="G59:I59"/>
    <mergeCell ref="E60:H60"/>
    <mergeCell ref="B63:C63"/>
    <mergeCell ref="G50:I50"/>
    <mergeCell ref="G51:I51"/>
    <mergeCell ref="G52:I52"/>
    <mergeCell ref="G53:I53"/>
    <mergeCell ref="G54:I54"/>
    <mergeCell ref="G55:I55"/>
    <mergeCell ref="L31:M31"/>
    <mergeCell ref="C32:I32"/>
    <mergeCell ref="G33:I33"/>
    <mergeCell ref="G34:I34"/>
    <mergeCell ref="C49:I49"/>
    <mergeCell ref="G36:I36"/>
    <mergeCell ref="G37:I37"/>
    <mergeCell ref="G38:I38"/>
    <mergeCell ref="G39:I39"/>
    <mergeCell ref="G40:I40"/>
    <mergeCell ref="G41:I41"/>
    <mergeCell ref="G42:I42"/>
    <mergeCell ref="E43:H43"/>
    <mergeCell ref="B46:C46"/>
    <mergeCell ref="G48:I48"/>
    <mergeCell ref="L48:M48"/>
    <mergeCell ref="G35:I35"/>
    <mergeCell ref="G22:I22"/>
    <mergeCell ref="G23:I23"/>
    <mergeCell ref="G24:I24"/>
    <mergeCell ref="G25:I25"/>
    <mergeCell ref="E26:H26"/>
    <mergeCell ref="G31:I31"/>
    <mergeCell ref="L14:M14"/>
    <mergeCell ref="B29:C29"/>
    <mergeCell ref="G16:I16"/>
    <mergeCell ref="G17:I17"/>
    <mergeCell ref="G18:I18"/>
    <mergeCell ref="G19:I19"/>
    <mergeCell ref="G20:I20"/>
    <mergeCell ref="G21:I21"/>
    <mergeCell ref="C15:I15"/>
    <mergeCell ref="G14:I14"/>
    <mergeCell ref="B1:C3"/>
    <mergeCell ref="B5:C5"/>
    <mergeCell ref="H5:J5"/>
    <mergeCell ref="B6:C6"/>
    <mergeCell ref="I6:J6"/>
    <mergeCell ref="B7:C7"/>
    <mergeCell ref="I7:J7"/>
    <mergeCell ref="I8:J8"/>
    <mergeCell ref="B10:J10"/>
    <mergeCell ref="B12:C12"/>
  </mergeCells>
  <conditionalFormatting sqref="H2">
    <cfRule type="cellIs" dxfId="23" priority="1" operator="equal">
      <formula>"Partner Approved"</formula>
    </cfRule>
    <cfRule type="cellIs" dxfId="22" priority="2" operator="equal">
      <formula>"Reviewed"</formula>
    </cfRule>
    <cfRule type="cellIs" dxfId="21" priority="3" operator="equal">
      <formula>"Rework Complete"</formula>
    </cfRule>
    <cfRule type="cellIs" dxfId="20" priority="4" operator="equal">
      <formula>"Client Query"</formula>
    </cfRule>
    <cfRule type="cellIs" dxfId="19" priority="5" operator="equal">
      <formula>"Started"</formula>
    </cfRule>
    <cfRule type="cellIs" dxfId="18" priority="6" operator="equal">
      <formula>"Ready for Review"</formula>
    </cfRule>
    <cfRule type="cellIs" dxfId="17" priority="7" operator="equal">
      <formula>"Rework Required"</formula>
    </cfRule>
    <cfRule type="cellIs" dxfId="16" priority="8" operator="equal">
      <formula>"Complete"</formula>
    </cfRule>
  </conditionalFormatting>
  <dataValidations count="1">
    <dataValidation type="list" errorStyle="information" allowBlank="1" showInputMessage="1" showErrorMessage="1" sqref="H2" xr:uid="{4AE0BA23-24E5-4E9E-8F5A-F760C88F6AE2}">
      <formula1>StatusDescriptions</formula1>
    </dataValidation>
  </dataValidations>
  <hyperlinks>
    <hyperlink ref="I2" location="'N05 Accountancy'!Go_Index" display="Index" xr:uid="{BDBEE296-B7E2-4BE3-BE79-95690BA98068}"/>
    <hyperlink ref="B63:C63" location="'N05 Accountancy'!Go_RollUp" display="Other" xr:uid="{D0A89D6D-FADD-442F-B68B-4BD4030C1DB9}"/>
    <hyperlink ref="B46:C46" location="'N05 Accountancy'!Go_RollUp" display="Business advisory" xr:uid="{E2BA9B78-6C12-4A5B-908D-F4A0F9DB992A}"/>
    <hyperlink ref="B29:C29" location="'N05 Accountancy'!Go_RollUp" display="Audit" xr:uid="{ECE82342-A84E-4DA1-AD57-16A24D160275}"/>
    <hyperlink ref="B12:C12" location="'N05 Accountancy'!Go_RollUp" display="Accountancy" xr:uid="{180AFBB2-DF59-48BD-A200-5286B0F2187E}"/>
    <hyperlink ref="A12" location="'N05 Accountancy'!Go_RollUp" display="+" xr:uid="{25522B95-6376-435D-8CCF-6417281478BC}"/>
    <hyperlink ref="A29" location="'N05 Accountancy'!Go_RollUp" display="+" xr:uid="{3EFABDC5-B338-4DDA-B112-88BC30A812CA}"/>
    <hyperlink ref="A46" location="'N05 Accountancy'!Go_RollUp" display="+" xr:uid="{8B0F6E16-0662-4AD7-9F57-A0028F0EEA46}"/>
    <hyperlink ref="A63" location="'N05 Accountancy'!Go_RollUp" display="+" xr:uid="{D43542E4-914E-426A-8660-8742F3169B1A}"/>
    <hyperlink ref="L16" r:id="rId1" display="hownow://_r907531/" xr:uid="{7D4360C8-A89C-4952-8AD1-EC94F46F1EE6}"/>
    <hyperlink ref="L33" r:id="rId2" display="hownow://_r907531/" xr:uid="{C0C07BF0-41F0-45E8-A452-E117C2F8B8F4}"/>
    <hyperlink ref="L75" r:id="rId3" display="hownow://_r907537/" xr:uid="{850EB9C2-1112-474E-800A-0A460875E606}"/>
  </hyperlinks>
  <printOptions horizontalCentered="1"/>
  <pageMargins left="0.59055118110236227" right="0.59055118110236227" top="0.59055118110236227" bottom="0.78740157480314965" header="0" footer="0"/>
  <pageSetup paperSize="9" scale="72" orientation="portrait" r:id="rId4"/>
  <headerFooter alignWithMargins="0">
    <oddFooter>&amp;L&amp;F
Copyright © 2003-Present Business Fitness Pty Ltd&amp;R&amp;A &amp;P</oddFooter>
  </headerFooter>
  <customProperties>
    <customPr name="SheetId" r:id="rId5"/>
  </customPropertie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BF8F33-715A-45C0-B9D2-D43EE57474F2}">
  <dimension ref="A1:L114"/>
  <sheetViews>
    <sheetView showGridLines="0" topLeftCell="A4" zoomScaleNormal="100" workbookViewId="0">
      <selection activeCell="K51" sqref="K51"/>
    </sheetView>
  </sheetViews>
  <sheetFormatPr defaultRowHeight="15"/>
  <cols>
    <col min="1" max="1" width="3.28515625" style="74" customWidth="1"/>
    <col min="2" max="2" width="2.42578125" style="74" customWidth="1"/>
    <col min="3" max="3" width="42" style="74" customWidth="1"/>
    <col min="4" max="8" width="15.7109375" style="74" customWidth="1"/>
    <col min="9" max="10" width="3.7109375" style="74" customWidth="1"/>
    <col min="11" max="11" width="14.7109375" style="74" customWidth="1"/>
    <col min="12" max="12" width="15.7109375" style="74" customWidth="1"/>
    <col min="13" max="16384" width="9.140625" style="74"/>
  </cols>
  <sheetData>
    <row r="1" spans="1:12" ht="9" customHeight="1">
      <c r="B1" s="1109" t="s">
        <v>911</v>
      </c>
      <c r="C1" s="1109"/>
      <c r="D1" s="34"/>
      <c r="E1" s="34"/>
      <c r="F1" s="34"/>
      <c r="G1" s="34"/>
      <c r="H1" s="34"/>
      <c r="I1" s="34"/>
    </row>
    <row r="2" spans="1:12" ht="24.95" customHeight="1">
      <c r="B2" s="1109"/>
      <c r="C2" s="1109"/>
      <c r="D2" s="34"/>
      <c r="E2" s="34"/>
      <c r="F2" s="34"/>
      <c r="G2" s="683" t="s">
        <v>37</v>
      </c>
      <c r="H2" s="684" t="s">
        <v>773</v>
      </c>
    </row>
    <row r="3" spans="1:12" ht="10.5" customHeight="1">
      <c r="B3" s="1110"/>
      <c r="C3" s="1110"/>
      <c r="D3" s="36"/>
      <c r="E3" s="36"/>
      <c r="F3" s="36"/>
      <c r="G3" s="36"/>
      <c r="H3" s="36"/>
      <c r="I3" s="36"/>
    </row>
    <row r="4" spans="1:12" ht="12" customHeight="1"/>
    <row r="5" spans="1:12" ht="24.95" customHeight="1">
      <c r="B5" s="1199" t="str">
        <f ca="1">_xll.NamedRange("Cl_Name","Client Name")</f>
        <v>The Schubert Superannuation Fund</v>
      </c>
      <c r="C5" s="1200"/>
      <c r="D5" s="768"/>
      <c r="E5" s="768"/>
      <c r="F5" s="688" t="s">
        <v>774</v>
      </c>
      <c r="G5" s="1201" t="s">
        <v>911</v>
      </c>
      <c r="H5" s="1202"/>
      <c r="I5" s="1202"/>
    </row>
    <row r="6" spans="1:12" ht="24.95" customHeight="1">
      <c r="B6" s="1199" t="str">
        <f ca="1">_xll.NamedRange("Cl_Code","Client Code")</f>
        <v>Client Code</v>
      </c>
      <c r="C6" s="1200"/>
      <c r="D6" s="768"/>
      <c r="E6" s="768"/>
      <c r="F6" s="688" t="s">
        <v>775</v>
      </c>
      <c r="G6" s="754"/>
      <c r="H6" s="1130"/>
      <c r="I6" s="1131"/>
      <c r="L6" s="691"/>
    </row>
    <row r="7" spans="1:12" ht="24.95" customHeight="1">
      <c r="B7" s="1115">
        <f ca="1">_xll.NamedRange("PeriodEndDate")</f>
        <v>43281</v>
      </c>
      <c r="C7" s="1115"/>
      <c r="D7" s="694"/>
      <c r="F7" s="688" t="s">
        <v>776</v>
      </c>
      <c r="G7" s="692" t="str">
        <f ca="1">_xll.NamedRange("Firm_Preparer","")</f>
        <v/>
      </c>
      <c r="H7" s="1113" t="str">
        <f ca="1">_xll.NamedRange("Firm_PreparerDate","")</f>
        <v/>
      </c>
      <c r="I7" s="1126"/>
    </row>
    <row r="8" spans="1:12" ht="24.95" customHeight="1">
      <c r="D8" s="694"/>
      <c r="F8" s="688" t="s">
        <v>777</v>
      </c>
      <c r="G8" s="692" t="str">
        <f ca="1">_xll.NamedRange("Firm_Reviewer","")</f>
        <v/>
      </c>
      <c r="H8" s="1203" t="str">
        <f ca="1">_xll.NamedRange("Firm_ReviewerDate","")</f>
        <v/>
      </c>
      <c r="I8" s="1204"/>
    </row>
    <row r="9" spans="1:12" ht="7.5" customHeight="1"/>
    <row r="10" spans="1:12" ht="15" customHeight="1">
      <c r="B10" s="1128" t="s">
        <v>912</v>
      </c>
      <c r="C10" s="1129"/>
      <c r="D10" s="1129"/>
      <c r="E10" s="1129"/>
      <c r="F10" s="1129"/>
      <c r="G10" s="1129"/>
      <c r="H10" s="1129"/>
      <c r="I10" s="1129"/>
    </row>
    <row r="11" spans="1:12" ht="15" customHeight="1">
      <c r="B11" s="1128" t="s">
        <v>913</v>
      </c>
      <c r="C11" s="1129"/>
      <c r="D11" s="1129"/>
      <c r="E11" s="1129"/>
      <c r="F11" s="1129"/>
      <c r="G11" s="1129"/>
      <c r="H11" s="1129"/>
      <c r="I11" s="1129"/>
    </row>
    <row r="12" spans="1:12" ht="15" customHeight="1">
      <c r="B12" s="1128" t="s">
        <v>914</v>
      </c>
      <c r="C12" s="1129"/>
      <c r="D12" s="1129"/>
      <c r="E12" s="1129"/>
      <c r="F12" s="1129"/>
      <c r="G12" s="1129"/>
      <c r="H12" s="1129"/>
      <c r="I12" s="1129"/>
    </row>
    <row r="13" spans="1:12" ht="7.5" customHeight="1"/>
    <row r="14" spans="1:12" ht="18.75" customHeight="1">
      <c r="A14" s="700" t="s">
        <v>111</v>
      </c>
      <c r="B14" s="1140" t="s">
        <v>780</v>
      </c>
      <c r="C14" s="1140"/>
      <c r="D14" s="728"/>
      <c r="E14" s="728"/>
      <c r="F14" s="728"/>
      <c r="G14" s="728"/>
      <c r="H14" s="728"/>
      <c r="I14" s="34"/>
      <c r="K14" s="1106" t="s">
        <v>789</v>
      </c>
      <c r="L14" s="1107"/>
    </row>
    <row r="15" spans="1:12" ht="7.5" hidden="1" customHeight="1">
      <c r="B15" s="188"/>
      <c r="C15" s="189"/>
      <c r="D15" s="189"/>
      <c r="E15" s="189"/>
      <c r="F15" s="189"/>
      <c r="G15" s="189"/>
      <c r="H15" s="189"/>
      <c r="I15" s="755"/>
    </row>
    <row r="16" spans="1:12" ht="22.5" hidden="1" customHeight="1">
      <c r="B16" s="194"/>
      <c r="C16" s="1141" t="s">
        <v>915</v>
      </c>
      <c r="D16" s="1188"/>
      <c r="E16" s="1188"/>
      <c r="F16" s="1188"/>
      <c r="G16" s="1189"/>
      <c r="H16" s="769"/>
      <c r="I16" s="757"/>
      <c r="K16" s="706"/>
      <c r="L16" s="706"/>
    </row>
    <row r="17" spans="1:12" ht="22.5" hidden="1" customHeight="1">
      <c r="B17" s="194"/>
      <c r="C17" s="1190" t="s">
        <v>916</v>
      </c>
      <c r="D17" s="1191"/>
      <c r="E17" s="1191"/>
      <c r="F17" s="1191"/>
      <c r="G17" s="1192"/>
      <c r="H17" s="769"/>
      <c r="I17" s="757"/>
      <c r="K17" s="706"/>
      <c r="L17" s="706"/>
    </row>
    <row r="18" spans="1:12" ht="22.5" hidden="1" customHeight="1">
      <c r="B18" s="194"/>
      <c r="C18" s="1193" t="s">
        <v>917</v>
      </c>
      <c r="D18" s="1194"/>
      <c r="E18" s="1194"/>
      <c r="F18" s="1194"/>
      <c r="G18" s="1195"/>
      <c r="H18" s="769"/>
      <c r="I18" s="757"/>
      <c r="K18" s="706"/>
      <c r="L18" s="706"/>
    </row>
    <row r="19" spans="1:12" ht="22.5" hidden="1" customHeight="1">
      <c r="B19" s="194"/>
      <c r="C19" s="1193" t="s">
        <v>918</v>
      </c>
      <c r="D19" s="1194"/>
      <c r="E19" s="1194"/>
      <c r="F19" s="1194"/>
      <c r="G19" s="1195"/>
      <c r="H19" s="769"/>
      <c r="I19" s="757"/>
      <c r="K19" s="706"/>
      <c r="L19" s="706"/>
    </row>
    <row r="20" spans="1:12" ht="22.5" hidden="1" customHeight="1">
      <c r="B20" s="194"/>
      <c r="C20" s="1196" t="s">
        <v>919</v>
      </c>
      <c r="D20" s="1197"/>
      <c r="E20" s="1197"/>
      <c r="F20" s="1197"/>
      <c r="G20" s="1198"/>
      <c r="H20" s="769"/>
      <c r="I20" s="757"/>
      <c r="K20" s="706"/>
      <c r="L20" s="706"/>
    </row>
    <row r="21" spans="1:12" ht="7.5" hidden="1" customHeight="1">
      <c r="B21" s="197"/>
      <c r="C21" s="201"/>
      <c r="D21" s="201"/>
      <c r="E21" s="201"/>
      <c r="F21" s="201"/>
      <c r="G21" s="201"/>
      <c r="H21" s="201"/>
      <c r="I21" s="760"/>
    </row>
    <row r="22" spans="1:12" ht="7.5" customHeight="1">
      <c r="C22" s="34"/>
      <c r="D22" s="34"/>
      <c r="E22" s="34"/>
      <c r="F22" s="34"/>
      <c r="G22" s="34"/>
      <c r="H22" s="34"/>
    </row>
    <row r="23" spans="1:12" ht="20.100000000000001" customHeight="1">
      <c r="A23" s="700" t="s">
        <v>111</v>
      </c>
      <c r="B23" s="1140" t="s">
        <v>920</v>
      </c>
      <c r="C23" s="1140"/>
      <c r="D23" s="694"/>
      <c r="E23" s="694"/>
      <c r="F23" s="694"/>
      <c r="G23" s="694"/>
      <c r="H23" s="694"/>
      <c r="K23" s="1106" t="s">
        <v>789</v>
      </c>
      <c r="L23" s="1107"/>
    </row>
    <row r="24" spans="1:12" ht="7.5" hidden="1" customHeight="1">
      <c r="B24" s="695"/>
      <c r="C24" s="696"/>
      <c r="D24" s="696"/>
      <c r="E24" s="696"/>
      <c r="F24" s="696"/>
      <c r="G24" s="696"/>
      <c r="H24" s="696"/>
      <c r="I24" s="697"/>
    </row>
    <row r="25" spans="1:12" ht="24.95" hidden="1" customHeight="1">
      <c r="B25" s="33"/>
      <c r="C25" s="770"/>
      <c r="D25" s="714"/>
      <c r="E25" s="701">
        <f ca="1">IFERROR(YEAR($B$7),"")</f>
        <v>2018</v>
      </c>
      <c r="F25" s="702">
        <f ca="1">IFERROR((YEAR($B$7)-1),"")</f>
        <v>2017</v>
      </c>
      <c r="G25" s="703">
        <f ca="1">IF(F25="","",F25-1)</f>
        <v>2016</v>
      </c>
      <c r="H25" s="34"/>
      <c r="I25" s="699"/>
    </row>
    <row r="26" spans="1:12" ht="7.5" hidden="1" customHeight="1">
      <c r="B26" s="33"/>
      <c r="C26" s="770"/>
      <c r="D26" s="714"/>
      <c r="E26" s="714"/>
      <c r="F26" s="714"/>
      <c r="G26" s="714"/>
      <c r="H26" s="34"/>
      <c r="I26" s="699"/>
    </row>
    <row r="27" spans="1:12" ht="17.25" hidden="1" customHeight="1">
      <c r="B27" s="33"/>
      <c r="C27" s="729" t="s">
        <v>888</v>
      </c>
      <c r="D27" s="771"/>
      <c r="E27" s="718"/>
      <c r="F27" s="718"/>
      <c r="G27" s="718"/>
      <c r="H27" s="34"/>
      <c r="I27" s="699"/>
      <c r="K27" s="706"/>
      <c r="L27" s="706"/>
    </row>
    <row r="28" spans="1:12" ht="17.25" hidden="1" customHeight="1">
      <c r="B28" s="33"/>
      <c r="C28" s="1184" t="s">
        <v>79</v>
      </c>
      <c r="D28" s="1184"/>
      <c r="E28" s="731">
        <f>IF(AND(F53=0,G77=0),"",IF(F53&gt;0,F53-E27,IF(G77&gt;0,G77-E27,0)))</f>
        <v>200.1</v>
      </c>
      <c r="F28" s="771" t="str">
        <f>IF(E28="","",IF(E28&lt;&gt;0,"Out of balance","Agreed"))</f>
        <v>Out of balance</v>
      </c>
      <c r="G28" s="34"/>
      <c r="H28" s="34"/>
      <c r="I28" s="699"/>
      <c r="K28" s="706"/>
      <c r="L28" s="706"/>
    </row>
    <row r="29" spans="1:12" ht="7.5" hidden="1" customHeight="1">
      <c r="B29" s="33"/>
      <c r="C29" s="34"/>
      <c r="D29" s="34"/>
      <c r="E29" s="34"/>
      <c r="F29" s="34"/>
      <c r="G29" s="34"/>
      <c r="H29" s="34"/>
      <c r="I29" s="699"/>
    </row>
    <row r="30" spans="1:12" ht="24.95" hidden="1" customHeight="1">
      <c r="B30" s="33"/>
      <c r="C30" s="1185" t="s">
        <v>921</v>
      </c>
      <c r="D30" s="1186"/>
      <c r="E30" s="772" t="s">
        <v>922</v>
      </c>
      <c r="F30" s="772" t="s">
        <v>923</v>
      </c>
      <c r="G30" s="773"/>
      <c r="H30" s="34"/>
      <c r="I30" s="699"/>
    </row>
    <row r="31" spans="1:12" ht="7.5" hidden="1" customHeight="1">
      <c r="B31" s="33"/>
      <c r="C31" s="714"/>
      <c r="D31" s="714"/>
      <c r="E31" s="714"/>
      <c r="F31" s="714"/>
      <c r="G31" s="34"/>
      <c r="H31" s="34"/>
      <c r="I31" s="699"/>
    </row>
    <row r="32" spans="1:12" ht="17.25" hidden="1" customHeight="1">
      <c r="B32" s="33"/>
      <c r="C32" s="1136" t="s">
        <v>924</v>
      </c>
      <c r="D32" s="1187"/>
      <c r="E32" s="718"/>
      <c r="F32" s="718"/>
      <c r="G32" s="34"/>
      <c r="H32" s="34"/>
      <c r="I32" s="699"/>
      <c r="K32" s="706"/>
      <c r="L32" s="706"/>
    </row>
    <row r="33" spans="1:12" ht="17.25" hidden="1" customHeight="1">
      <c r="B33" s="33"/>
      <c r="C33" s="1136" t="s">
        <v>925</v>
      </c>
      <c r="D33" s="1187"/>
      <c r="E33" s="774">
        <f>IF(AND($F$53=0,$G$77=0),0,IF($F$53&gt;0,E32/(SUM($F$53,F27)/2),E32/(SUM($G$77,F27)/2)))</f>
        <v>0</v>
      </c>
      <c r="F33" s="774" t="e">
        <f>IF(AND($F$53=0,$G$77=0),0,IF($F$53&gt;0,F32/(SUM(F27:G27)/2),F32/(SUM(F27:G27)/2)))</f>
        <v>#DIV/0!</v>
      </c>
      <c r="G33" s="34"/>
      <c r="H33" s="34"/>
      <c r="I33" s="699"/>
      <c r="K33" s="706"/>
      <c r="L33" s="706"/>
    </row>
    <row r="34" spans="1:12" ht="17.25" hidden="1" customHeight="1">
      <c r="B34" s="33"/>
      <c r="C34" s="1136" t="s">
        <v>926</v>
      </c>
      <c r="D34" s="1187"/>
      <c r="E34" s="774">
        <f ca="1">IFERROR($C$111/E33,0)</f>
        <v>0</v>
      </c>
      <c r="F34" s="774">
        <f ca="1">IFERROR($C$111/F33,0)</f>
        <v>0</v>
      </c>
      <c r="G34" s="34"/>
      <c r="H34" s="34"/>
      <c r="I34" s="699"/>
      <c r="K34" s="706"/>
      <c r="L34" s="706"/>
    </row>
    <row r="35" spans="1:12" ht="7.5" hidden="1" customHeight="1">
      <c r="B35" s="35"/>
      <c r="C35" s="36"/>
      <c r="D35" s="36"/>
      <c r="E35" s="36"/>
      <c r="F35" s="36"/>
      <c r="G35" s="36"/>
      <c r="H35" s="36"/>
      <c r="I35" s="37"/>
    </row>
    <row r="36" spans="1:12" ht="7.5" customHeight="1">
      <c r="C36" s="34"/>
      <c r="D36" s="34"/>
      <c r="E36" s="34"/>
      <c r="F36" s="34"/>
      <c r="G36" s="34"/>
      <c r="H36" s="34"/>
    </row>
    <row r="37" spans="1:12" ht="18.75" customHeight="1">
      <c r="A37" s="700" t="s">
        <v>111</v>
      </c>
      <c r="B37" s="1140" t="s">
        <v>927</v>
      </c>
      <c r="C37" s="1140"/>
      <c r="D37" s="762"/>
      <c r="E37" s="762"/>
      <c r="F37" s="762"/>
      <c r="G37" s="762"/>
      <c r="H37" s="762"/>
      <c r="K37" s="1106" t="s">
        <v>789</v>
      </c>
      <c r="L37" s="1107"/>
    </row>
    <row r="38" spans="1:12" ht="7.15" customHeight="1">
      <c r="B38" s="188"/>
      <c r="C38" s="189"/>
      <c r="D38" s="189"/>
      <c r="E38" s="189"/>
      <c r="F38" s="189"/>
      <c r="G38" s="189"/>
      <c r="H38" s="189"/>
      <c r="I38" s="755"/>
    </row>
    <row r="39" spans="1:12" ht="17.25" customHeight="1">
      <c r="B39" s="194"/>
      <c r="C39" s="1147" t="s">
        <v>928</v>
      </c>
      <c r="D39" s="1129"/>
      <c r="E39" s="1181"/>
      <c r="F39" s="718">
        <v>0</v>
      </c>
      <c r="G39" s="34"/>
      <c r="H39" s="34"/>
      <c r="I39" s="757"/>
      <c r="K39" s="706"/>
      <c r="L39" s="706"/>
    </row>
    <row r="40" spans="1:12" ht="17.25" customHeight="1">
      <c r="B40" s="194"/>
      <c r="C40" s="1182" t="s">
        <v>929</v>
      </c>
      <c r="D40" s="1183"/>
      <c r="E40" s="34"/>
      <c r="F40" s="34"/>
      <c r="G40" s="34"/>
      <c r="H40" s="34"/>
      <c r="I40" s="757"/>
      <c r="K40" s="706"/>
      <c r="L40" s="706"/>
    </row>
    <row r="41" spans="1:12" ht="17.25" hidden="1" customHeight="1">
      <c r="B41" s="194"/>
      <c r="C41" s="1154" t="s">
        <v>1013</v>
      </c>
      <c r="D41" s="1154"/>
      <c r="E41" s="718">
        <v>0</v>
      </c>
      <c r="F41" s="34"/>
      <c r="G41" s="829"/>
      <c r="H41" s="829"/>
      <c r="I41" s="757"/>
      <c r="K41" s="706"/>
      <c r="L41" s="706"/>
    </row>
    <row r="42" spans="1:12" ht="17.25" hidden="1" customHeight="1">
      <c r="B42" s="194"/>
      <c r="C42" s="1154"/>
      <c r="D42" s="1154"/>
      <c r="E42" s="718"/>
      <c r="F42" s="34"/>
      <c r="G42" s="34"/>
      <c r="H42" s="34"/>
      <c r="I42" s="757"/>
      <c r="K42" s="706"/>
      <c r="L42" s="706"/>
    </row>
    <row r="43" spans="1:12" ht="17.25" hidden="1" customHeight="1">
      <c r="B43" s="194"/>
      <c r="C43" s="1154"/>
      <c r="D43" s="1154"/>
      <c r="E43" s="718"/>
      <c r="F43" s="34"/>
      <c r="G43" s="34"/>
      <c r="H43" s="34"/>
      <c r="I43" s="757"/>
      <c r="K43" s="706"/>
      <c r="L43" s="706"/>
    </row>
    <row r="44" spans="1:12" ht="17.25" hidden="1" customHeight="1">
      <c r="B44" s="194"/>
      <c r="C44" s="1154"/>
      <c r="D44" s="1154"/>
      <c r="E44" s="718"/>
      <c r="F44" s="34"/>
      <c r="G44" s="34"/>
      <c r="H44" s="34"/>
      <c r="I44" s="757"/>
      <c r="K44" s="706"/>
      <c r="L44" s="706"/>
    </row>
    <row r="45" spans="1:12" ht="17.25" hidden="1" customHeight="1">
      <c r="B45" s="194"/>
      <c r="C45" s="1154"/>
      <c r="D45" s="1154"/>
      <c r="E45" s="718"/>
      <c r="F45" s="34"/>
      <c r="G45" s="34"/>
      <c r="H45" s="34"/>
      <c r="I45" s="757"/>
      <c r="K45" s="706"/>
      <c r="L45" s="706"/>
    </row>
    <row r="46" spans="1:12" ht="17.25" hidden="1" customHeight="1">
      <c r="B46" s="194"/>
      <c r="C46" s="1154"/>
      <c r="D46" s="1154"/>
      <c r="E46" s="718"/>
      <c r="F46" s="34"/>
      <c r="G46" s="34"/>
      <c r="H46" s="34"/>
      <c r="I46" s="757"/>
      <c r="K46" s="706"/>
      <c r="L46" s="706"/>
    </row>
    <row r="47" spans="1:12" ht="17.25" hidden="1" customHeight="1">
      <c r="B47" s="194"/>
      <c r="C47" s="1154"/>
      <c r="D47" s="1154"/>
      <c r="E47" s="718"/>
      <c r="F47" s="34"/>
      <c r="G47" s="34"/>
      <c r="H47" s="34"/>
      <c r="I47" s="757"/>
      <c r="K47" s="706"/>
      <c r="L47" s="706"/>
    </row>
    <row r="48" spans="1:12" ht="17.25" hidden="1" customHeight="1">
      <c r="B48" s="194"/>
      <c r="C48" s="1154"/>
      <c r="D48" s="1154"/>
      <c r="E48" s="718"/>
      <c r="F48" s="34"/>
      <c r="G48" s="34"/>
      <c r="H48" s="34"/>
      <c r="I48" s="757"/>
      <c r="K48" s="706"/>
      <c r="L48" s="706"/>
    </row>
    <row r="49" spans="1:12" ht="17.25" hidden="1" customHeight="1">
      <c r="B49" s="194"/>
      <c r="C49" s="1154"/>
      <c r="D49" s="1154"/>
      <c r="E49" s="718"/>
      <c r="F49" s="34"/>
      <c r="G49" s="34"/>
      <c r="H49" s="34"/>
      <c r="I49" s="757"/>
      <c r="K49" s="706"/>
      <c r="L49" s="706"/>
    </row>
    <row r="50" spans="1:12" ht="17.25" hidden="1" customHeight="1">
      <c r="B50" s="194"/>
      <c r="C50" s="1154"/>
      <c r="D50" s="1154"/>
      <c r="E50" s="718"/>
      <c r="F50" s="34"/>
      <c r="G50" s="34"/>
      <c r="H50" s="34"/>
      <c r="I50" s="757"/>
      <c r="K50" s="706"/>
      <c r="L50" s="706"/>
    </row>
    <row r="51" spans="1:12" ht="17.25" customHeight="1">
      <c r="B51" s="194"/>
      <c r="C51" s="1154" t="s">
        <v>1092</v>
      </c>
      <c r="D51" s="1154"/>
      <c r="E51" s="718">
        <v>200.1</v>
      </c>
      <c r="F51" s="34"/>
      <c r="G51" s="34"/>
      <c r="H51" s="34"/>
      <c r="I51" s="757"/>
      <c r="K51" s="732" t="s">
        <v>1014</v>
      </c>
      <c r="L51" s="706"/>
    </row>
    <row r="52" spans="1:12" ht="17.25" customHeight="1">
      <c r="B52" s="194"/>
      <c r="C52" s="1154"/>
      <c r="D52" s="1154"/>
      <c r="E52" s="718"/>
      <c r="F52" s="707">
        <f>SUM(E41:E52)</f>
        <v>200.1</v>
      </c>
      <c r="G52" s="1180"/>
      <c r="H52" s="1180"/>
      <c r="I52" s="757"/>
      <c r="K52" s="706"/>
      <c r="L52" s="706"/>
    </row>
    <row r="53" spans="1:12" ht="17.25" customHeight="1">
      <c r="B53" s="194"/>
      <c r="C53" s="1177" t="s">
        <v>930</v>
      </c>
      <c r="D53" s="1178"/>
      <c r="E53" s="1179"/>
      <c r="F53" s="707">
        <f>SUM(F39,F52)</f>
        <v>200.1</v>
      </c>
      <c r="G53" s="775"/>
      <c r="H53" s="775"/>
      <c r="I53" s="757"/>
      <c r="K53" s="706"/>
      <c r="L53" s="706"/>
    </row>
    <row r="54" spans="1:12" ht="7.5" customHeight="1">
      <c r="B54" s="197"/>
      <c r="C54" s="201"/>
      <c r="D54" s="201"/>
      <c r="E54" s="201"/>
      <c r="F54" s="201"/>
      <c r="G54" s="201"/>
      <c r="H54" s="201"/>
      <c r="I54" s="760"/>
    </row>
    <row r="55" spans="1:12" ht="7.5" customHeight="1">
      <c r="C55" s="34"/>
      <c r="D55" s="34"/>
      <c r="E55" s="34"/>
      <c r="F55" s="34"/>
      <c r="G55" s="34"/>
      <c r="H55" s="34"/>
    </row>
    <row r="56" spans="1:12" ht="18.75" customHeight="1">
      <c r="A56" s="700" t="s">
        <v>111</v>
      </c>
      <c r="B56" s="1140" t="s">
        <v>931</v>
      </c>
      <c r="C56" s="1140"/>
      <c r="D56" s="762"/>
      <c r="E56" s="762"/>
      <c r="F56" s="762"/>
      <c r="G56" s="762"/>
      <c r="H56" s="762"/>
    </row>
    <row r="57" spans="1:12" ht="7.5" hidden="1" customHeight="1">
      <c r="B57" s="776"/>
      <c r="C57" s="777"/>
      <c r="D57" s="777"/>
      <c r="E57" s="777"/>
      <c r="F57" s="777"/>
      <c r="G57" s="777"/>
      <c r="H57" s="777"/>
      <c r="I57" s="697"/>
    </row>
    <row r="58" spans="1:12" ht="30" hidden="1" customHeight="1">
      <c r="B58" s="33"/>
      <c r="C58" s="756" t="s">
        <v>932</v>
      </c>
      <c r="D58" s="702" t="s">
        <v>933</v>
      </c>
      <c r="E58" s="702" t="s">
        <v>882</v>
      </c>
      <c r="F58" s="702" t="s">
        <v>458</v>
      </c>
      <c r="G58" s="702" t="s">
        <v>934</v>
      </c>
      <c r="H58" s="711" t="s">
        <v>884</v>
      </c>
      <c r="I58" s="699"/>
      <c r="K58" s="1106" t="s">
        <v>789</v>
      </c>
      <c r="L58" s="1107"/>
    </row>
    <row r="59" spans="1:12" ht="7.5" hidden="1" customHeight="1">
      <c r="B59" s="33"/>
      <c r="C59" s="714"/>
      <c r="D59" s="714"/>
      <c r="E59" s="714"/>
      <c r="F59" s="714"/>
      <c r="G59" s="714"/>
      <c r="H59" s="714"/>
      <c r="I59" s="699"/>
    </row>
    <row r="60" spans="1:12" ht="17.25" hidden="1" customHeight="1">
      <c r="B60" s="33"/>
      <c r="C60" s="778"/>
      <c r="D60" s="769"/>
      <c r="E60" s="718"/>
      <c r="F60" s="704">
        <f>IF(D60=0,0,IF(D60="Yes",E60/11,0))</f>
        <v>0</v>
      </c>
      <c r="G60" s="704">
        <f t="shared" ref="G60:G76" si="0">IF(D60=0,0,IF(D60="yes",E60,E60+F60))</f>
        <v>0</v>
      </c>
      <c r="H60" s="761"/>
      <c r="I60" s="699"/>
      <c r="K60" s="706"/>
      <c r="L60" s="706"/>
    </row>
    <row r="61" spans="1:12" ht="17.25" hidden="1" customHeight="1">
      <c r="B61" s="33"/>
      <c r="C61" s="778"/>
      <c r="D61" s="769"/>
      <c r="E61" s="718"/>
      <c r="F61" s="704">
        <f t="shared" ref="F61:F76" si="1">IF(D61=0,0,IF(D61="Yes",E61/11,0))</f>
        <v>0</v>
      </c>
      <c r="G61" s="704">
        <f t="shared" si="0"/>
        <v>0</v>
      </c>
      <c r="H61" s="761"/>
      <c r="I61" s="699"/>
      <c r="K61" s="706"/>
      <c r="L61" s="706"/>
    </row>
    <row r="62" spans="1:12" ht="17.25" hidden="1" customHeight="1">
      <c r="B62" s="33"/>
      <c r="C62" s="778"/>
      <c r="D62" s="769"/>
      <c r="E62" s="718"/>
      <c r="F62" s="704">
        <f t="shared" si="1"/>
        <v>0</v>
      </c>
      <c r="G62" s="704">
        <f t="shared" si="0"/>
        <v>0</v>
      </c>
      <c r="H62" s="761"/>
      <c r="I62" s="699"/>
      <c r="K62" s="706"/>
      <c r="L62" s="706"/>
    </row>
    <row r="63" spans="1:12" ht="17.25" hidden="1" customHeight="1">
      <c r="B63" s="33"/>
      <c r="C63" s="778"/>
      <c r="D63" s="769"/>
      <c r="E63" s="718"/>
      <c r="F63" s="704">
        <f t="shared" si="1"/>
        <v>0</v>
      </c>
      <c r="G63" s="704">
        <f t="shared" si="0"/>
        <v>0</v>
      </c>
      <c r="H63" s="761"/>
      <c r="I63" s="699"/>
      <c r="K63" s="706"/>
      <c r="L63" s="706"/>
    </row>
    <row r="64" spans="1:12" ht="17.25" hidden="1" customHeight="1">
      <c r="B64" s="33"/>
      <c r="C64" s="778"/>
      <c r="D64" s="769"/>
      <c r="E64" s="718"/>
      <c r="F64" s="704">
        <f t="shared" si="1"/>
        <v>0</v>
      </c>
      <c r="G64" s="704">
        <f t="shared" si="0"/>
        <v>0</v>
      </c>
      <c r="H64" s="761"/>
      <c r="I64" s="699"/>
      <c r="K64" s="706"/>
      <c r="L64" s="706"/>
    </row>
    <row r="65" spans="1:12" ht="17.25" hidden="1" customHeight="1">
      <c r="B65" s="33"/>
      <c r="C65" s="778"/>
      <c r="D65" s="769"/>
      <c r="E65" s="718"/>
      <c r="F65" s="704">
        <f t="shared" si="1"/>
        <v>0</v>
      </c>
      <c r="G65" s="704">
        <f t="shared" si="0"/>
        <v>0</v>
      </c>
      <c r="H65" s="761"/>
      <c r="I65" s="699"/>
      <c r="K65" s="706"/>
      <c r="L65" s="706"/>
    </row>
    <row r="66" spans="1:12" ht="17.25" hidden="1" customHeight="1">
      <c r="B66" s="33"/>
      <c r="C66" s="778"/>
      <c r="D66" s="769"/>
      <c r="E66" s="718"/>
      <c r="F66" s="704">
        <f t="shared" si="1"/>
        <v>0</v>
      </c>
      <c r="G66" s="704">
        <f t="shared" si="0"/>
        <v>0</v>
      </c>
      <c r="H66" s="761"/>
      <c r="I66" s="699"/>
      <c r="K66" s="706"/>
      <c r="L66" s="706"/>
    </row>
    <row r="67" spans="1:12" ht="17.25" hidden="1" customHeight="1">
      <c r="B67" s="33"/>
      <c r="C67" s="778"/>
      <c r="D67" s="769"/>
      <c r="E67" s="718"/>
      <c r="F67" s="704">
        <f t="shared" si="1"/>
        <v>0</v>
      </c>
      <c r="G67" s="704">
        <f t="shared" si="0"/>
        <v>0</v>
      </c>
      <c r="H67" s="761"/>
      <c r="I67" s="699"/>
      <c r="K67" s="706"/>
      <c r="L67" s="706"/>
    </row>
    <row r="68" spans="1:12" ht="17.25" hidden="1" customHeight="1">
      <c r="B68" s="33"/>
      <c r="C68" s="778"/>
      <c r="D68" s="769"/>
      <c r="E68" s="718"/>
      <c r="F68" s="704">
        <f t="shared" si="1"/>
        <v>0</v>
      </c>
      <c r="G68" s="704">
        <f t="shared" si="0"/>
        <v>0</v>
      </c>
      <c r="H68" s="761"/>
      <c r="I68" s="699"/>
      <c r="K68" s="706"/>
      <c r="L68" s="706"/>
    </row>
    <row r="69" spans="1:12" ht="17.25" hidden="1" customHeight="1">
      <c r="B69" s="33"/>
      <c r="C69" s="778"/>
      <c r="D69" s="769"/>
      <c r="E69" s="718"/>
      <c r="F69" s="704">
        <f t="shared" si="1"/>
        <v>0</v>
      </c>
      <c r="G69" s="704">
        <f t="shared" si="0"/>
        <v>0</v>
      </c>
      <c r="H69" s="761"/>
      <c r="I69" s="699"/>
      <c r="K69" s="706"/>
      <c r="L69" s="706"/>
    </row>
    <row r="70" spans="1:12" ht="17.25" hidden="1" customHeight="1">
      <c r="B70" s="33"/>
      <c r="C70" s="778"/>
      <c r="D70" s="769"/>
      <c r="E70" s="718"/>
      <c r="F70" s="704">
        <f t="shared" si="1"/>
        <v>0</v>
      </c>
      <c r="G70" s="704">
        <f t="shared" si="0"/>
        <v>0</v>
      </c>
      <c r="H70" s="761"/>
      <c r="I70" s="699"/>
      <c r="K70" s="706"/>
      <c r="L70" s="706"/>
    </row>
    <row r="71" spans="1:12" ht="17.25" hidden="1" customHeight="1">
      <c r="B71" s="33"/>
      <c r="C71" s="778"/>
      <c r="D71" s="769"/>
      <c r="E71" s="718"/>
      <c r="F71" s="704">
        <f t="shared" si="1"/>
        <v>0</v>
      </c>
      <c r="G71" s="704">
        <f t="shared" si="0"/>
        <v>0</v>
      </c>
      <c r="H71" s="761"/>
      <c r="I71" s="699"/>
      <c r="K71" s="706"/>
      <c r="L71" s="706"/>
    </row>
    <row r="72" spans="1:12" ht="17.25" hidden="1" customHeight="1">
      <c r="B72" s="33"/>
      <c r="C72" s="778"/>
      <c r="D72" s="769"/>
      <c r="E72" s="718"/>
      <c r="F72" s="704">
        <f t="shared" si="1"/>
        <v>0</v>
      </c>
      <c r="G72" s="704">
        <f t="shared" si="0"/>
        <v>0</v>
      </c>
      <c r="H72" s="761"/>
      <c r="I72" s="699"/>
      <c r="K72" s="706"/>
      <c r="L72" s="706"/>
    </row>
    <row r="73" spans="1:12" ht="17.25" hidden="1" customHeight="1">
      <c r="B73" s="33"/>
      <c r="C73" s="778"/>
      <c r="D73" s="769"/>
      <c r="E73" s="718"/>
      <c r="F73" s="704">
        <f t="shared" si="1"/>
        <v>0</v>
      </c>
      <c r="G73" s="704">
        <f t="shared" si="0"/>
        <v>0</v>
      </c>
      <c r="H73" s="761"/>
      <c r="I73" s="699"/>
      <c r="K73" s="706"/>
      <c r="L73" s="706"/>
    </row>
    <row r="74" spans="1:12" ht="17.25" hidden="1" customHeight="1">
      <c r="B74" s="33"/>
      <c r="C74" s="778"/>
      <c r="D74" s="769"/>
      <c r="E74" s="718"/>
      <c r="F74" s="704">
        <f t="shared" si="1"/>
        <v>0</v>
      </c>
      <c r="G74" s="704">
        <f t="shared" si="0"/>
        <v>0</v>
      </c>
      <c r="H74" s="761"/>
      <c r="I74" s="699"/>
      <c r="K74" s="706"/>
      <c r="L74" s="706"/>
    </row>
    <row r="75" spans="1:12" ht="17.25" hidden="1" customHeight="1">
      <c r="B75" s="33"/>
      <c r="C75" s="778"/>
      <c r="D75" s="769"/>
      <c r="E75" s="718"/>
      <c r="F75" s="704">
        <f t="shared" si="1"/>
        <v>0</v>
      </c>
      <c r="G75" s="704">
        <f t="shared" si="0"/>
        <v>0</v>
      </c>
      <c r="H75" s="761"/>
      <c r="I75" s="699"/>
      <c r="K75" s="706"/>
      <c r="L75" s="706"/>
    </row>
    <row r="76" spans="1:12" ht="17.25" hidden="1" customHeight="1">
      <c r="B76" s="33"/>
      <c r="C76" s="778"/>
      <c r="D76" s="769"/>
      <c r="E76" s="718"/>
      <c r="F76" s="704">
        <f t="shared" si="1"/>
        <v>0</v>
      </c>
      <c r="G76" s="704">
        <f t="shared" si="0"/>
        <v>0</v>
      </c>
      <c r="H76" s="761"/>
      <c r="I76" s="699"/>
      <c r="K76" s="706"/>
      <c r="L76" s="706"/>
    </row>
    <row r="77" spans="1:12" ht="17.25" hidden="1" customHeight="1">
      <c r="B77" s="33"/>
      <c r="C77" s="729" t="s">
        <v>935</v>
      </c>
      <c r="D77" s="34"/>
      <c r="E77" s="707">
        <f>SUM(E60:E76)</f>
        <v>0</v>
      </c>
      <c r="F77" s="707">
        <f>ROUNDUP(SUM(F60:F76),2)</f>
        <v>0</v>
      </c>
      <c r="G77" s="707">
        <f>ROUNDUP(SUM(G60:G76),2)</f>
        <v>0</v>
      </c>
      <c r="H77" s="134"/>
      <c r="I77" s="699"/>
      <c r="K77" s="706"/>
      <c r="L77" s="706"/>
    </row>
    <row r="78" spans="1:12" ht="7.5" hidden="1" customHeight="1">
      <c r="B78" s="35"/>
      <c r="C78" s="36"/>
      <c r="D78" s="36"/>
      <c r="E78" s="36"/>
      <c r="F78" s="36"/>
      <c r="G78" s="36"/>
      <c r="H78" s="36"/>
      <c r="I78" s="37"/>
    </row>
    <row r="79" spans="1:12" ht="7.5" customHeight="1">
      <c r="C79" s="34"/>
      <c r="D79" s="34"/>
      <c r="E79" s="34"/>
      <c r="F79" s="34"/>
      <c r="G79" s="34"/>
      <c r="H79" s="34"/>
    </row>
    <row r="80" spans="1:12" ht="18.75" customHeight="1">
      <c r="A80" s="700" t="s">
        <v>111</v>
      </c>
      <c r="B80" s="1140" t="s">
        <v>936</v>
      </c>
      <c r="C80" s="1140"/>
      <c r="D80" s="762"/>
      <c r="E80" s="762"/>
      <c r="F80" s="762"/>
      <c r="G80" s="762"/>
      <c r="H80" s="762"/>
    </row>
    <row r="81" spans="2:12" ht="7.5" hidden="1" customHeight="1">
      <c r="B81" s="776"/>
      <c r="C81" s="777"/>
      <c r="D81" s="777"/>
      <c r="E81" s="777"/>
      <c r="F81" s="777"/>
      <c r="G81" s="777"/>
      <c r="H81" s="777"/>
      <c r="I81" s="697"/>
    </row>
    <row r="82" spans="2:12" ht="17.25" hidden="1" customHeight="1">
      <c r="B82" s="33"/>
      <c r="C82" s="765" t="s">
        <v>937</v>
      </c>
      <c r="D82" s="34"/>
      <c r="E82" s="34"/>
      <c r="F82" s="34"/>
      <c r="G82" s="34"/>
      <c r="H82" s="34"/>
      <c r="I82" s="699"/>
    </row>
    <row r="83" spans="2:12" ht="39.950000000000003" hidden="1" customHeight="1">
      <c r="B83" s="33"/>
      <c r="C83" s="1106" t="s">
        <v>938</v>
      </c>
      <c r="D83" s="1133"/>
      <c r="E83" s="702" t="s">
        <v>882</v>
      </c>
      <c r="F83" s="702" t="s">
        <v>939</v>
      </c>
      <c r="G83" s="703" t="s">
        <v>940</v>
      </c>
      <c r="H83" s="34"/>
      <c r="I83" s="699"/>
      <c r="K83" s="1106" t="s">
        <v>789</v>
      </c>
      <c r="L83" s="1107"/>
    </row>
    <row r="84" spans="2:12" ht="7.5" hidden="1" customHeight="1">
      <c r="B84" s="33"/>
      <c r="C84" s="714"/>
      <c r="D84" s="714"/>
      <c r="E84" s="714"/>
      <c r="F84" s="714"/>
      <c r="G84" s="714"/>
      <c r="H84" s="34"/>
      <c r="I84" s="699"/>
    </row>
    <row r="85" spans="2:12" ht="17.25" hidden="1" customHeight="1">
      <c r="B85" s="33"/>
      <c r="C85" s="1175"/>
      <c r="D85" s="1175"/>
      <c r="E85" s="718"/>
      <c r="F85" s="718"/>
      <c r="G85" s="704">
        <f t="shared" ref="G85:G94" si="2">E85-F85</f>
        <v>0</v>
      </c>
      <c r="H85" s="34"/>
      <c r="I85" s="699"/>
      <c r="K85" s="706"/>
      <c r="L85" s="706"/>
    </row>
    <row r="86" spans="2:12" ht="17.25" hidden="1" customHeight="1">
      <c r="B86" s="33"/>
      <c r="C86" s="1175"/>
      <c r="D86" s="1175"/>
      <c r="E86" s="718"/>
      <c r="F86" s="718"/>
      <c r="G86" s="704">
        <f t="shared" si="2"/>
        <v>0</v>
      </c>
      <c r="H86" s="34"/>
      <c r="I86" s="699"/>
      <c r="K86" s="706"/>
      <c r="L86" s="706"/>
    </row>
    <row r="87" spans="2:12" ht="17.25" hidden="1" customHeight="1">
      <c r="B87" s="33"/>
      <c r="C87" s="1175"/>
      <c r="D87" s="1175"/>
      <c r="E87" s="718"/>
      <c r="F87" s="718"/>
      <c r="G87" s="704">
        <f t="shared" si="2"/>
        <v>0</v>
      </c>
      <c r="H87" s="34"/>
      <c r="I87" s="699"/>
      <c r="K87" s="706"/>
      <c r="L87" s="706"/>
    </row>
    <row r="88" spans="2:12" ht="17.25" hidden="1" customHeight="1">
      <c r="B88" s="33"/>
      <c r="C88" s="1175"/>
      <c r="D88" s="1175"/>
      <c r="E88" s="718"/>
      <c r="F88" s="718"/>
      <c r="G88" s="704">
        <f t="shared" si="2"/>
        <v>0</v>
      </c>
      <c r="H88" s="34"/>
      <c r="I88" s="699"/>
      <c r="K88" s="706"/>
      <c r="L88" s="706"/>
    </row>
    <row r="89" spans="2:12" ht="17.25" hidden="1" customHeight="1">
      <c r="B89" s="33"/>
      <c r="C89" s="1175"/>
      <c r="D89" s="1175"/>
      <c r="E89" s="718"/>
      <c r="F89" s="718"/>
      <c r="G89" s="704">
        <f t="shared" si="2"/>
        <v>0</v>
      </c>
      <c r="H89" s="34"/>
      <c r="I89" s="699"/>
      <c r="K89" s="706"/>
      <c r="L89" s="706"/>
    </row>
    <row r="90" spans="2:12" ht="17.25" hidden="1" customHeight="1">
      <c r="B90" s="33"/>
      <c r="C90" s="1175"/>
      <c r="D90" s="1175"/>
      <c r="E90" s="718"/>
      <c r="F90" s="718"/>
      <c r="G90" s="704">
        <f t="shared" si="2"/>
        <v>0</v>
      </c>
      <c r="H90" s="34"/>
      <c r="I90" s="699"/>
      <c r="K90" s="706"/>
      <c r="L90" s="706"/>
    </row>
    <row r="91" spans="2:12" ht="17.25" hidden="1" customHeight="1">
      <c r="B91" s="33"/>
      <c r="C91" s="1175"/>
      <c r="D91" s="1175"/>
      <c r="E91" s="718"/>
      <c r="F91" s="718"/>
      <c r="G91" s="704">
        <f t="shared" si="2"/>
        <v>0</v>
      </c>
      <c r="H91" s="34"/>
      <c r="I91" s="699"/>
      <c r="K91" s="706"/>
      <c r="L91" s="706"/>
    </row>
    <row r="92" spans="2:12" ht="17.25" hidden="1" customHeight="1">
      <c r="B92" s="33"/>
      <c r="C92" s="1175"/>
      <c r="D92" s="1175"/>
      <c r="E92" s="718"/>
      <c r="F92" s="718"/>
      <c r="G92" s="704">
        <f t="shared" si="2"/>
        <v>0</v>
      </c>
      <c r="H92" s="34"/>
      <c r="I92" s="699"/>
      <c r="K92" s="706"/>
      <c r="L92" s="706"/>
    </row>
    <row r="93" spans="2:12" ht="17.25" hidden="1" customHeight="1">
      <c r="B93" s="33"/>
      <c r="C93" s="1175"/>
      <c r="D93" s="1175"/>
      <c r="E93" s="718"/>
      <c r="F93" s="718"/>
      <c r="G93" s="704">
        <f t="shared" si="2"/>
        <v>0</v>
      </c>
      <c r="H93" s="34"/>
      <c r="I93" s="699"/>
      <c r="K93" s="706"/>
      <c r="L93" s="706"/>
    </row>
    <row r="94" spans="2:12" ht="17.25" hidden="1" customHeight="1">
      <c r="B94" s="33"/>
      <c r="C94" s="1175"/>
      <c r="D94" s="1175"/>
      <c r="E94" s="718"/>
      <c r="F94" s="718"/>
      <c r="G94" s="704">
        <f t="shared" si="2"/>
        <v>0</v>
      </c>
      <c r="H94" s="34"/>
      <c r="I94" s="699"/>
      <c r="K94" s="706"/>
      <c r="L94" s="706"/>
    </row>
    <row r="95" spans="2:12" ht="17.25" hidden="1" customHeight="1">
      <c r="B95" s="33"/>
      <c r="C95" s="766" t="s">
        <v>941</v>
      </c>
      <c r="D95" s="34"/>
      <c r="E95" s="707">
        <f>SUM(E85:E94)</f>
        <v>0</v>
      </c>
      <c r="F95" s="707">
        <f>SUM(F85:F94)</f>
        <v>0</v>
      </c>
      <c r="G95" s="707">
        <f>SUM(G85:G94)</f>
        <v>0</v>
      </c>
      <c r="H95" s="34"/>
      <c r="I95" s="699"/>
      <c r="K95" s="706"/>
      <c r="L95" s="706"/>
    </row>
    <row r="96" spans="2:12" ht="7.5" hidden="1" customHeight="1">
      <c r="B96" s="33"/>
      <c r="C96" s="34"/>
      <c r="D96" s="34"/>
      <c r="E96" s="34"/>
      <c r="F96" s="34"/>
      <c r="G96" s="34"/>
      <c r="H96" s="34"/>
      <c r="I96" s="699"/>
    </row>
    <row r="97" spans="2:12" ht="17.25" hidden="1" customHeight="1">
      <c r="B97" s="33"/>
      <c r="C97" s="729" t="s">
        <v>942</v>
      </c>
      <c r="D97" s="779"/>
      <c r="E97" s="34"/>
      <c r="F97" s="34"/>
      <c r="G97" s="730">
        <f>G95</f>
        <v>0</v>
      </c>
      <c r="H97" s="34"/>
      <c r="I97" s="699"/>
      <c r="K97" s="706"/>
      <c r="L97" s="706"/>
    </row>
    <row r="98" spans="2:12" ht="17.25" hidden="1" customHeight="1">
      <c r="B98" s="33"/>
      <c r="C98" s="723" t="s">
        <v>943</v>
      </c>
      <c r="D98" s="779"/>
      <c r="E98" s="34"/>
      <c r="F98" s="34"/>
      <c r="G98" s="705"/>
      <c r="H98" s="34"/>
      <c r="I98" s="699"/>
      <c r="K98" s="706"/>
      <c r="L98" s="706"/>
    </row>
    <row r="99" spans="2:12" ht="17.25" hidden="1" customHeight="1">
      <c r="B99" s="33"/>
      <c r="C99" s="723" t="s">
        <v>944</v>
      </c>
      <c r="D99" s="779"/>
      <c r="E99" s="34"/>
      <c r="F99" s="729" t="str">
        <f>IF(G99=0,"",IF(G99&lt;=0,"Debit","Credit"))</f>
        <v/>
      </c>
      <c r="G99" s="731">
        <f>(+G97-G98)</f>
        <v>0</v>
      </c>
      <c r="H99" s="134"/>
      <c r="I99" s="699"/>
      <c r="K99" s="706"/>
      <c r="L99" s="706"/>
    </row>
    <row r="100" spans="2:12" ht="7.5" hidden="1" customHeight="1">
      <c r="B100" s="33"/>
      <c r="C100" s="34"/>
      <c r="D100" s="34"/>
      <c r="E100" s="34"/>
      <c r="F100" s="34"/>
      <c r="G100" s="34"/>
      <c r="H100" s="34"/>
      <c r="I100" s="699"/>
    </row>
    <row r="101" spans="2:12" ht="17.25" hidden="1" customHeight="1">
      <c r="B101" s="33"/>
      <c r="C101" s="765" t="s">
        <v>945</v>
      </c>
      <c r="D101" s="765"/>
      <c r="E101" s="765"/>
      <c r="F101" s="34"/>
      <c r="G101" s="34"/>
      <c r="H101" s="34"/>
      <c r="I101" s="699"/>
    </row>
    <row r="102" spans="2:12" ht="30" hidden="1" customHeight="1">
      <c r="B102" s="33"/>
      <c r="C102" s="1106" t="s">
        <v>932</v>
      </c>
      <c r="D102" s="1133"/>
      <c r="E102" s="1133" t="s">
        <v>946</v>
      </c>
      <c r="F102" s="1133"/>
      <c r="G102" s="703" t="s">
        <v>947</v>
      </c>
      <c r="H102" s="34"/>
      <c r="I102" s="699"/>
    </row>
    <row r="103" spans="2:12" ht="7.5" hidden="1" customHeight="1">
      <c r="B103" s="33"/>
      <c r="C103" s="714"/>
      <c r="D103" s="714"/>
      <c r="E103" s="714"/>
      <c r="F103" s="714"/>
      <c r="G103" s="714"/>
      <c r="H103" s="34"/>
      <c r="I103" s="699"/>
    </row>
    <row r="104" spans="2:12" ht="17.25" hidden="1" customHeight="1">
      <c r="B104" s="33"/>
      <c r="C104" s="1175"/>
      <c r="D104" s="1175"/>
      <c r="E104" s="1176"/>
      <c r="F104" s="1176"/>
      <c r="G104" s="704">
        <f>IF(AND(G77=0,F53=0),0,IF(F53&gt;0,F53,G77))</f>
        <v>200.1</v>
      </c>
      <c r="H104" s="34"/>
      <c r="I104" s="699"/>
      <c r="K104" s="706"/>
      <c r="L104" s="706"/>
    </row>
    <row r="105" spans="2:12" ht="17.25" hidden="1" customHeight="1">
      <c r="B105" s="33"/>
      <c r="C105" s="729" t="s">
        <v>942</v>
      </c>
      <c r="D105" s="779"/>
      <c r="E105" s="34"/>
      <c r="F105" s="34"/>
      <c r="G105" s="730">
        <f>G104*(1-E104)</f>
        <v>200.1</v>
      </c>
      <c r="H105" s="34"/>
      <c r="I105" s="699"/>
      <c r="K105" s="706"/>
      <c r="L105" s="706"/>
    </row>
    <row r="106" spans="2:12" ht="17.25" hidden="1" customHeight="1">
      <c r="B106" s="33"/>
      <c r="C106" s="723" t="s">
        <v>943</v>
      </c>
      <c r="D106" s="34"/>
      <c r="E106" s="34"/>
      <c r="F106" s="34"/>
      <c r="G106" s="705"/>
      <c r="H106" s="34"/>
      <c r="I106" s="699"/>
      <c r="K106" s="706"/>
      <c r="L106" s="706"/>
    </row>
    <row r="107" spans="2:12" ht="17.25" hidden="1" customHeight="1">
      <c r="B107" s="33"/>
      <c r="C107" s="723" t="s">
        <v>944</v>
      </c>
      <c r="D107" s="34"/>
      <c r="E107" s="34"/>
      <c r="F107" s="729" t="str">
        <f>IF(G107=0,"",IF(G107&lt;=0,"Debit","Credit"))</f>
        <v>Credit</v>
      </c>
      <c r="G107" s="731">
        <f>G105-G106</f>
        <v>200.1</v>
      </c>
      <c r="H107" s="34"/>
      <c r="I107" s="699"/>
      <c r="K107" s="706"/>
      <c r="L107" s="706"/>
    </row>
    <row r="108" spans="2:12" ht="7.5" hidden="1" customHeight="1">
      <c r="B108" s="35"/>
      <c r="C108" s="36"/>
      <c r="D108" s="36"/>
      <c r="E108" s="36"/>
      <c r="F108" s="36"/>
      <c r="G108" s="36"/>
      <c r="H108" s="36"/>
      <c r="I108" s="37"/>
    </row>
    <row r="109" spans="2:12" ht="7.5" customHeight="1">
      <c r="C109" s="34"/>
      <c r="D109" s="34"/>
      <c r="E109" s="34"/>
      <c r="F109" s="34"/>
      <c r="G109" s="34"/>
      <c r="H109" s="34"/>
    </row>
    <row r="111" spans="2:12" ht="15" hidden="1" customHeight="1">
      <c r="C111" s="74">
        <f ca="1">IF(MOD(YEAR($B$7),4)=0,366,365)</f>
        <v>365</v>
      </c>
      <c r="D111" s="74" t="s">
        <v>948</v>
      </c>
    </row>
    <row r="112" spans="2:12" ht="12" customHeight="1"/>
    <row r="113" ht="12" customHeight="1"/>
    <row r="114" ht="12" customHeight="1"/>
  </sheetData>
  <mergeCells count="63">
    <mergeCell ref="K14:L14"/>
    <mergeCell ref="B1:C3"/>
    <mergeCell ref="B5:C5"/>
    <mergeCell ref="G5:I5"/>
    <mergeCell ref="B6:C6"/>
    <mergeCell ref="H6:I6"/>
    <mergeCell ref="B7:C7"/>
    <mergeCell ref="H7:I7"/>
    <mergeCell ref="H8:I8"/>
    <mergeCell ref="B10:I10"/>
    <mergeCell ref="B11:I11"/>
    <mergeCell ref="B12:I12"/>
    <mergeCell ref="B14:C14"/>
    <mergeCell ref="C34:D34"/>
    <mergeCell ref="C16:G16"/>
    <mergeCell ref="C17:G17"/>
    <mergeCell ref="C18:G18"/>
    <mergeCell ref="C19:G19"/>
    <mergeCell ref="C20:G20"/>
    <mergeCell ref="B23:C23"/>
    <mergeCell ref="K23:L23"/>
    <mergeCell ref="C28:D28"/>
    <mergeCell ref="C30:D30"/>
    <mergeCell ref="C32:D32"/>
    <mergeCell ref="C33:D33"/>
    <mergeCell ref="B37:C37"/>
    <mergeCell ref="K37:L37"/>
    <mergeCell ref="C39:E39"/>
    <mergeCell ref="C40:D40"/>
    <mergeCell ref="C41:D41"/>
    <mergeCell ref="G41:H41"/>
    <mergeCell ref="G52:H52"/>
    <mergeCell ref="C42:D42"/>
    <mergeCell ref="C43:D43"/>
    <mergeCell ref="C44:D44"/>
    <mergeCell ref="C45:D45"/>
    <mergeCell ref="C46:D46"/>
    <mergeCell ref="C47:D47"/>
    <mergeCell ref="C48:D48"/>
    <mergeCell ref="C49:D49"/>
    <mergeCell ref="C50:D50"/>
    <mergeCell ref="C51:D51"/>
    <mergeCell ref="C52:D52"/>
    <mergeCell ref="C90:D90"/>
    <mergeCell ref="C53:E53"/>
    <mergeCell ref="B56:C56"/>
    <mergeCell ref="K58:L58"/>
    <mergeCell ref="B80:C80"/>
    <mergeCell ref="C83:D83"/>
    <mergeCell ref="K83:L83"/>
    <mergeCell ref="C85:D85"/>
    <mergeCell ref="C86:D86"/>
    <mergeCell ref="C87:D87"/>
    <mergeCell ref="C88:D88"/>
    <mergeCell ref="C89:D89"/>
    <mergeCell ref="C104:D104"/>
    <mergeCell ref="E104:F104"/>
    <mergeCell ref="C91:D91"/>
    <mergeCell ref="C92:D92"/>
    <mergeCell ref="C93:D93"/>
    <mergeCell ref="C94:D94"/>
    <mergeCell ref="C102:D102"/>
    <mergeCell ref="E102:F102"/>
  </mergeCells>
  <conditionalFormatting sqref="G2">
    <cfRule type="cellIs" dxfId="15" priority="1" operator="equal">
      <formula>"Partner Approved"</formula>
    </cfRule>
    <cfRule type="cellIs" dxfId="14" priority="2" operator="equal">
      <formula>"Reviewed"</formula>
    </cfRule>
    <cfRule type="cellIs" dxfId="13" priority="3" operator="equal">
      <formula>"Rework Complete"</formula>
    </cfRule>
    <cfRule type="cellIs" dxfId="12" priority="4" operator="equal">
      <formula>"Client Query"</formula>
    </cfRule>
    <cfRule type="cellIs" dxfId="11" priority="5" operator="equal">
      <formula>"Started"</formula>
    </cfRule>
    <cfRule type="cellIs" dxfId="10" priority="6" operator="equal">
      <formula>"Ready for Review"</formula>
    </cfRule>
    <cfRule type="cellIs" dxfId="9" priority="7" operator="equal">
      <formula>"Rework Required"</formula>
    </cfRule>
    <cfRule type="cellIs" dxfId="8" priority="8" operator="equal">
      <formula>"Complete"</formula>
    </cfRule>
  </conditionalFormatting>
  <dataValidations count="4">
    <dataValidation allowBlank="1" showInputMessage="1" showErrorMessage="1" prompt="Enter as a negative if you are reducing the debtors." sqref="E41:E52" xr:uid="{FCC74826-320E-4D20-94D4-A3C6CAC67D4B}"/>
    <dataValidation type="list" allowBlank="1" showInputMessage="1" showErrorMessage="1" sqref="H16:H20" xr:uid="{2657ACC8-DC4C-44EC-8E52-D543642EBDCF}">
      <formula1>"Yes, No"</formula1>
    </dataValidation>
    <dataValidation type="list" allowBlank="1" showInputMessage="1" showErrorMessage="1" sqref="D60:D76 G110:G111" xr:uid="{5F1EF107-733A-4A8F-BF3F-F37ADD4263C1}">
      <formula1>"Yes, N/A"</formula1>
    </dataValidation>
    <dataValidation type="list" errorStyle="information" allowBlank="1" showInputMessage="1" showErrorMessage="1" sqref="G2" xr:uid="{C1EC5DFA-2756-48D1-A653-765ABA12068D}">
      <formula1>StatusDescriptions</formula1>
    </dataValidation>
  </dataValidations>
  <hyperlinks>
    <hyperlink ref="H2" location="'F05 Trade Debtors'!Go_Index" display="Index" xr:uid="{372DA2A0-D981-4772-AFA3-5CE308F178B1}"/>
    <hyperlink ref="B37:C37" location="'F05 Trade Debtors'!Go_RollUp" tooltip="Show/hide cells" display="Reconciliation to client's trade debtors ledger" xr:uid="{74C869FA-6AA6-4B8F-A03A-164B82DEF817}"/>
    <hyperlink ref="B56:C56" location="'F05 Trade Debtors'!Go_RollUp" tooltip="Show/hide cells" display="Reconciliation to client's list" xr:uid="{E58583D9-B34E-49CF-86B1-83AFBE3C9EBA}"/>
    <hyperlink ref="B80:C80" location="'F05 Trade Debtors'!Go_RollUp" tooltip="Show/hide cells" display="Provision for doubtful debts" xr:uid="{6422ECA0-DF25-4358-82E4-41286F2449E0}"/>
    <hyperlink ref="B23:C23" location="'F05 Trade Debtors'!Go_RollUp" tooltip="Show/hide cells" display="Trade debtors analysis" xr:uid="{7CE0BAFB-D799-45F0-84EF-E17CA8E74F8F}"/>
    <hyperlink ref="A14" location="'F05 Trade Debtors'!Go_RollUp" tooltip="Show/hide cells" display="+" xr:uid="{02A0C6AE-EB10-4894-9D82-7478A68AD617}"/>
    <hyperlink ref="A23" location="'F05 Trade Debtors'!Go_RollUp" tooltip="Show/hide cells" display="+" xr:uid="{03E5F598-8C33-4001-BDE2-BB34D5EE3532}"/>
    <hyperlink ref="A37" location="'F05 Trade Debtors'!Go_RollUp" tooltip="Show/hide cells" display="+" xr:uid="{A69F96B2-9BD1-4EBC-935F-0DDA423C6DA1}"/>
    <hyperlink ref="A56" location="'F05 Trade Debtors'!Go_RollUp" tooltip="Show/hide cells" display="+" xr:uid="{61BFBE31-C9A5-4FA3-A3F2-7E2017B86C83}"/>
    <hyperlink ref="A80" location="'F05 Trade Debtors'!Go_RollUp" tooltip="Show/hide cells" display="+" xr:uid="{734A4DAC-536E-44B5-A985-9C3DE844410D}"/>
    <hyperlink ref="B14:C14" location="'F05 Trade Debtors'!Go_RollUp" tooltip="Show/hide cells" display="Checklist items" xr:uid="{01A3DBFF-D613-4E07-9202-A06FF3D28D35}"/>
    <hyperlink ref="K51" r:id="rId1" display="hownow://_r919072/" xr:uid="{9E090CA2-3DAD-4B46-9F93-7B0D6AD0683D}"/>
  </hyperlinks>
  <printOptions horizontalCentered="1"/>
  <pageMargins left="0.39370078740157483" right="0.39370078740157483" top="0.39370078740157483" bottom="0.39370078740157483" header="0" footer="0"/>
  <pageSetup paperSize="9" scale="70" fitToHeight="2" orientation="portrait" verticalDpi="1200" r:id="rId2"/>
  <headerFooter alignWithMargins="0">
    <oddFooter>&amp;L&amp;F
Copyright © 2003-Present Business Fitness Pty Ltd&amp;R&amp;A &amp;P</oddFooter>
  </headerFooter>
  <rowBreaks count="1" manualBreakCount="1">
    <brk id="55" max="9" man="1"/>
  </rowBreaks>
  <customProperties>
    <customPr name="SheetId" r:id="rId3"/>
  </customPropertie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BECF08-5717-49C4-9A79-3A67A3ABA2ED}">
  <sheetPr>
    <pageSetUpPr autoPageBreaks="0" fitToPage="1"/>
  </sheetPr>
  <dimension ref="A1:L250"/>
  <sheetViews>
    <sheetView showGridLines="0" zoomScaleNormal="100" workbookViewId="0">
      <selection activeCell="Q32" sqref="Q32"/>
    </sheetView>
  </sheetViews>
  <sheetFormatPr defaultRowHeight="15"/>
  <cols>
    <col min="1" max="1" width="3.7109375" style="74" customWidth="1"/>
    <col min="2" max="2" width="2.42578125" style="74" customWidth="1"/>
    <col min="3" max="3" width="37.42578125" style="74" customWidth="1"/>
    <col min="4" max="4" width="15.7109375" style="395" customWidth="1"/>
    <col min="5" max="6" width="15.7109375" style="74" customWidth="1"/>
    <col min="7" max="7" width="18.7109375" style="74" customWidth="1"/>
    <col min="8" max="8" width="15.7109375" style="74" customWidth="1"/>
    <col min="9" max="10" width="3.7109375" style="74" customWidth="1"/>
    <col min="11" max="12" width="15.7109375" style="74" customWidth="1"/>
    <col min="13" max="16384" width="9.140625" style="74"/>
  </cols>
  <sheetData>
    <row r="1" spans="1:12" ht="9" customHeight="1">
      <c r="B1" s="1109" t="e">
        <f>Index!#REF!</f>
        <v>#REF!</v>
      </c>
      <c r="C1" s="1109"/>
      <c r="D1" s="1109"/>
      <c r="E1" s="34"/>
      <c r="F1" s="34"/>
      <c r="G1" s="34"/>
      <c r="H1" s="34"/>
      <c r="I1" s="34"/>
    </row>
    <row r="2" spans="1:12" ht="24.95" customHeight="1">
      <c r="B2" s="1109"/>
      <c r="C2" s="1109"/>
      <c r="D2" s="1109"/>
      <c r="E2" s="34"/>
      <c r="F2" s="34"/>
      <c r="G2" s="683" t="s">
        <v>31</v>
      </c>
      <c r="H2" s="684" t="s">
        <v>773</v>
      </c>
    </row>
    <row r="3" spans="1:12" ht="10.5" customHeight="1">
      <c r="B3" s="1110"/>
      <c r="C3" s="1110"/>
      <c r="D3" s="1110"/>
      <c r="E3" s="36"/>
      <c r="F3" s="36"/>
      <c r="G3" s="36"/>
      <c r="H3" s="36"/>
      <c r="I3" s="36"/>
    </row>
    <row r="4" spans="1:12" ht="12" customHeight="1"/>
    <row r="5" spans="1:12" ht="24.95" customHeight="1">
      <c r="B5" s="1111" t="str">
        <f ca="1">_xll.NamedRange("Cl_Name","Client Name")</f>
        <v>The Schubert Superannuation Fund</v>
      </c>
      <c r="C5" s="1111"/>
      <c r="D5" s="1111"/>
      <c r="E5" s="799"/>
      <c r="F5" s="688" t="s">
        <v>774</v>
      </c>
      <c r="G5" s="1112" t="e">
        <f>Tm_WorksheetTitle</f>
        <v>#REF!</v>
      </c>
      <c r="H5" s="1112"/>
      <c r="I5" s="1112"/>
    </row>
    <row r="6" spans="1:12" ht="24.95" customHeight="1">
      <c r="B6" s="1111" t="str">
        <f ca="1">_xll.NamedRange("Cl_Code","Client Code")</f>
        <v>Client Code</v>
      </c>
      <c r="C6" s="1111"/>
      <c r="D6" s="1111"/>
      <c r="E6" s="799"/>
      <c r="F6" s="688" t="s">
        <v>776</v>
      </c>
      <c r="G6" s="798" t="str">
        <f ca="1">_xll.NamedRange("Firm_Preparer","")</f>
        <v/>
      </c>
      <c r="H6" s="1113" t="str">
        <f ca="1">_xll.NamedRange("Firm_PreparerDate","")</f>
        <v/>
      </c>
      <c r="I6" s="1114"/>
      <c r="L6" s="782"/>
    </row>
    <row r="7" spans="1:12" ht="24.95" customHeight="1">
      <c r="B7" s="1115">
        <f ca="1">_xll.NamedRange("PeriodEndDate")</f>
        <v>43281</v>
      </c>
      <c r="C7" s="1115"/>
      <c r="D7" s="1115"/>
      <c r="E7" s="799"/>
      <c r="F7" s="688" t="s">
        <v>777</v>
      </c>
      <c r="G7" s="798" t="str">
        <f ca="1">_xll.NamedRange("Firm_Reviewer","")</f>
        <v/>
      </c>
      <c r="H7" s="1113" t="str">
        <f ca="1">_xll.NamedRange("Firm_ReviewerDate","")</f>
        <v/>
      </c>
      <c r="I7" s="1114"/>
    </row>
    <row r="8" spans="1:12" ht="7.5" customHeight="1"/>
    <row r="9" spans="1:12" ht="15" customHeight="1">
      <c r="A9" s="34"/>
      <c r="B9" s="1104" t="s">
        <v>966</v>
      </c>
      <c r="C9" s="1105"/>
      <c r="D9" s="1105"/>
      <c r="E9" s="1105"/>
      <c r="F9" s="1105"/>
      <c r="G9" s="1105"/>
      <c r="H9" s="1105"/>
      <c r="I9" s="1105"/>
      <c r="K9" s="1106" t="s">
        <v>789</v>
      </c>
      <c r="L9" s="1107"/>
    </row>
    <row r="10" spans="1:12" ht="7.5" customHeight="1">
      <c r="A10" s="34"/>
      <c r="B10" s="36"/>
      <c r="C10" s="36"/>
      <c r="D10" s="785"/>
      <c r="E10" s="36"/>
      <c r="F10" s="36"/>
      <c r="G10" s="36"/>
      <c r="H10" s="36"/>
      <c r="I10" s="36"/>
    </row>
    <row r="11" spans="1:12" ht="7.5" customHeight="1"/>
    <row r="12" spans="1:12" ht="17.25" customHeight="1">
      <c r="B12" s="783"/>
      <c r="C12" s="783"/>
      <c r="D12" s="786"/>
      <c r="E12" s="783"/>
      <c r="F12" s="783"/>
      <c r="G12" s="783"/>
      <c r="H12" s="783"/>
      <c r="K12" s="706"/>
      <c r="L12" s="706"/>
    </row>
    <row r="13" spans="1:12" ht="17.25" customHeight="1">
      <c r="B13" s="784" t="s">
        <v>1088</v>
      </c>
      <c r="C13" s="784"/>
      <c r="D13" s="801">
        <v>12000</v>
      </c>
      <c r="E13" s="783"/>
      <c r="F13" s="783"/>
      <c r="G13" s="783"/>
      <c r="H13" s="783"/>
      <c r="K13" s="706"/>
      <c r="L13" s="706"/>
    </row>
    <row r="14" spans="1:12" ht="17.25" customHeight="1">
      <c r="B14" s="783"/>
      <c r="C14" s="783"/>
      <c r="D14" s="786"/>
      <c r="E14" s="783"/>
      <c r="F14" s="783"/>
      <c r="G14" s="783"/>
      <c r="H14" s="783"/>
      <c r="K14" s="706"/>
      <c r="L14" s="706"/>
    </row>
    <row r="15" spans="1:12" ht="17.25" customHeight="1">
      <c r="B15" s="800" t="s">
        <v>1086</v>
      </c>
      <c r="C15" s="783"/>
      <c r="D15" s="786"/>
      <c r="E15" s="783"/>
      <c r="F15" s="783"/>
      <c r="G15" s="783"/>
      <c r="H15" s="783"/>
      <c r="K15" s="706"/>
      <c r="L15" s="706"/>
    </row>
    <row r="16" spans="1:12" ht="17.25" customHeight="1">
      <c r="B16" s="783"/>
      <c r="C16" s="800" t="s">
        <v>973</v>
      </c>
      <c r="D16" s="786">
        <f>-D13+2083</f>
        <v>-9917</v>
      </c>
      <c r="E16" s="783"/>
      <c r="F16" s="783"/>
      <c r="G16" s="783"/>
      <c r="H16" s="783"/>
      <c r="K16" s="706"/>
      <c r="L16" s="706"/>
    </row>
    <row r="17" spans="2:12" ht="17.25" customHeight="1">
      <c r="B17" s="783"/>
      <c r="C17" s="783"/>
      <c r="D17" s="786"/>
      <c r="E17" s="783"/>
      <c r="F17" s="783"/>
      <c r="G17" s="783"/>
      <c r="H17" s="783"/>
      <c r="K17" s="706"/>
      <c r="L17" s="706"/>
    </row>
    <row r="18" spans="2:12" ht="17.25" customHeight="1" thickBot="1">
      <c r="B18" s="789" t="s">
        <v>1087</v>
      </c>
      <c r="C18" s="789"/>
      <c r="D18" s="787">
        <f>SUM(D13:D17)</f>
        <v>2083</v>
      </c>
      <c r="E18" s="800" t="s">
        <v>1089</v>
      </c>
      <c r="F18" s="783"/>
      <c r="G18" s="783"/>
      <c r="H18" s="783"/>
      <c r="K18" s="706"/>
      <c r="L18" s="706"/>
    </row>
    <row r="19" spans="2:12" ht="17.25" customHeight="1">
      <c r="B19" s="783"/>
      <c r="C19" s="783"/>
      <c r="D19" s="786"/>
      <c r="E19" s="783"/>
      <c r="F19" s="783"/>
      <c r="G19" s="783"/>
      <c r="H19" s="783"/>
      <c r="K19" s="706"/>
      <c r="L19" s="706"/>
    </row>
    <row r="20" spans="2:12" ht="17.25" customHeight="1">
      <c r="B20" s="783"/>
      <c r="C20" s="783"/>
      <c r="D20" s="786"/>
      <c r="E20" s="783"/>
      <c r="F20" s="783"/>
      <c r="G20" s="783"/>
      <c r="H20" s="783"/>
      <c r="K20" s="706"/>
      <c r="L20" s="706"/>
    </row>
    <row r="21" spans="2:12" ht="17.25" customHeight="1">
      <c r="B21" s="783"/>
      <c r="C21" s="783"/>
      <c r="D21" s="786"/>
      <c r="E21" s="783"/>
      <c r="F21" s="783"/>
      <c r="G21" s="783"/>
      <c r="H21" s="783"/>
      <c r="K21" s="706"/>
      <c r="L21" s="706"/>
    </row>
    <row r="22" spans="2:12" ht="17.25" customHeight="1">
      <c r="B22" s="783"/>
      <c r="C22" s="783"/>
      <c r="D22" s="786"/>
      <c r="E22" s="783"/>
      <c r="F22" s="783"/>
      <c r="G22" s="783"/>
      <c r="H22" s="783"/>
      <c r="K22" s="706"/>
      <c r="L22" s="706"/>
    </row>
    <row r="23" spans="2:12" ht="17.25" customHeight="1">
      <c r="B23" s="783"/>
      <c r="C23" s="783"/>
      <c r="D23" s="786"/>
      <c r="E23" s="783"/>
      <c r="F23" s="783"/>
      <c r="G23" s="783"/>
      <c r="H23" s="783"/>
      <c r="K23" s="706"/>
      <c r="L23" s="706"/>
    </row>
    <row r="24" spans="2:12" ht="17.25" customHeight="1">
      <c r="B24" s="783"/>
      <c r="C24" s="783"/>
      <c r="D24" s="786"/>
      <c r="E24" s="783"/>
      <c r="F24" s="783"/>
      <c r="G24" s="783"/>
      <c r="H24" s="783"/>
      <c r="K24" s="706"/>
      <c r="L24" s="706"/>
    </row>
    <row r="25" spans="2:12" ht="17.25" customHeight="1">
      <c r="B25" s="783"/>
      <c r="C25" s="783"/>
      <c r="D25" s="786"/>
      <c r="E25" s="783"/>
      <c r="F25" s="783"/>
      <c r="G25" s="783"/>
      <c r="H25" s="783"/>
      <c r="K25" s="706"/>
      <c r="L25" s="706"/>
    </row>
    <row r="26" spans="2:12" ht="17.25" customHeight="1">
      <c r="B26" s="783"/>
      <c r="C26" s="783"/>
      <c r="D26" s="786"/>
      <c r="E26" s="783"/>
      <c r="F26" s="783"/>
      <c r="G26" s="783"/>
      <c r="H26" s="783"/>
      <c r="K26" s="706"/>
      <c r="L26" s="706"/>
    </row>
    <row r="27" spans="2:12" ht="17.25" customHeight="1">
      <c r="B27" s="783"/>
      <c r="C27" s="783"/>
      <c r="D27" s="786"/>
      <c r="E27" s="783"/>
      <c r="F27" s="783"/>
      <c r="G27" s="783"/>
      <c r="H27" s="783"/>
      <c r="K27" s="706"/>
      <c r="L27" s="706"/>
    </row>
    <row r="28" spans="2:12" ht="17.25" customHeight="1">
      <c r="B28" s="783"/>
      <c r="C28" s="783"/>
      <c r="D28" s="786"/>
      <c r="E28" s="783"/>
      <c r="F28" s="783"/>
      <c r="G28" s="783"/>
      <c r="H28" s="783"/>
      <c r="K28" s="706"/>
      <c r="L28" s="706"/>
    </row>
    <row r="29" spans="2:12" ht="17.25" customHeight="1">
      <c r="B29" s="783"/>
      <c r="C29" s="783"/>
      <c r="D29" s="786"/>
      <c r="E29" s="783"/>
      <c r="F29" s="783"/>
      <c r="G29" s="783"/>
      <c r="H29" s="783"/>
      <c r="K29" s="706"/>
      <c r="L29" s="706"/>
    </row>
    <row r="30" spans="2:12" ht="17.25" customHeight="1">
      <c r="B30" s="783"/>
      <c r="C30" s="783"/>
      <c r="D30" s="786"/>
      <c r="E30" s="783"/>
      <c r="F30" s="783"/>
      <c r="G30" s="783"/>
      <c r="H30" s="783"/>
      <c r="K30" s="706"/>
      <c r="L30" s="706"/>
    </row>
    <row r="31" spans="2:12" ht="17.25" customHeight="1">
      <c r="B31" s="783"/>
      <c r="C31" s="783"/>
      <c r="D31" s="786"/>
      <c r="E31" s="783"/>
      <c r="F31" s="783"/>
      <c r="G31" s="783"/>
      <c r="H31" s="783"/>
      <c r="K31" s="706"/>
      <c r="L31" s="706"/>
    </row>
    <row r="32" spans="2:12" ht="17.25" customHeight="1">
      <c r="B32" s="783"/>
      <c r="C32" s="783"/>
      <c r="D32" s="786"/>
      <c r="E32" s="783"/>
      <c r="F32" s="783"/>
      <c r="G32" s="783"/>
      <c r="H32" s="783"/>
      <c r="K32" s="706"/>
      <c r="L32" s="706"/>
    </row>
    <row r="33" spans="2:12" ht="17.25" customHeight="1">
      <c r="B33" s="783"/>
      <c r="C33" s="783"/>
      <c r="D33" s="786"/>
      <c r="E33" s="783"/>
      <c r="F33" s="783"/>
      <c r="G33" s="783"/>
      <c r="H33" s="783"/>
      <c r="K33" s="706"/>
      <c r="L33" s="706"/>
    </row>
    <row r="34" spans="2:12" ht="17.25" customHeight="1">
      <c r="B34" s="783"/>
      <c r="C34" s="783"/>
      <c r="D34" s="786"/>
      <c r="E34" s="783"/>
      <c r="F34" s="783"/>
      <c r="G34" s="783"/>
      <c r="H34" s="783"/>
      <c r="K34" s="706"/>
      <c r="L34" s="706"/>
    </row>
    <row r="35" spans="2:12" ht="17.25" customHeight="1">
      <c r="B35" s="783"/>
      <c r="C35" s="783"/>
      <c r="D35" s="786"/>
      <c r="E35" s="783"/>
      <c r="F35" s="783"/>
      <c r="G35" s="783"/>
      <c r="H35" s="783"/>
      <c r="K35" s="706"/>
      <c r="L35" s="706"/>
    </row>
    <row r="36" spans="2:12" ht="17.25" customHeight="1">
      <c r="B36" s="783"/>
      <c r="C36" s="783"/>
      <c r="D36" s="786"/>
      <c r="E36" s="783"/>
      <c r="F36" s="783"/>
      <c r="G36" s="783"/>
      <c r="H36" s="783"/>
      <c r="K36" s="706"/>
      <c r="L36" s="706"/>
    </row>
    <row r="37" spans="2:12" ht="17.25" customHeight="1">
      <c r="B37" s="783"/>
      <c r="C37" s="783"/>
      <c r="D37" s="786"/>
      <c r="E37" s="783"/>
      <c r="F37" s="783"/>
      <c r="G37" s="783"/>
      <c r="H37" s="783"/>
      <c r="K37" s="706"/>
      <c r="L37" s="706"/>
    </row>
    <row r="38" spans="2:12" ht="17.25" customHeight="1">
      <c r="B38" s="783"/>
      <c r="C38" s="783"/>
      <c r="D38" s="786"/>
      <c r="E38" s="783"/>
      <c r="F38" s="783"/>
      <c r="G38" s="783"/>
      <c r="H38" s="783"/>
      <c r="K38" s="706"/>
      <c r="L38" s="706"/>
    </row>
    <row r="39" spans="2:12" ht="17.25" customHeight="1">
      <c r="B39" s="783"/>
      <c r="C39" s="783"/>
      <c r="D39" s="786"/>
      <c r="E39" s="783"/>
      <c r="F39" s="783"/>
      <c r="G39" s="783"/>
      <c r="H39" s="783"/>
      <c r="K39" s="706"/>
      <c r="L39" s="706"/>
    </row>
    <row r="40" spans="2:12" ht="17.25" customHeight="1">
      <c r="B40" s="783"/>
      <c r="C40" s="783"/>
      <c r="D40" s="786"/>
      <c r="E40" s="783"/>
      <c r="F40" s="783"/>
      <c r="G40" s="783"/>
      <c r="H40" s="783"/>
      <c r="K40" s="706"/>
      <c r="L40" s="706"/>
    </row>
    <row r="41" spans="2:12" ht="17.25" customHeight="1">
      <c r="B41" s="783"/>
      <c r="C41" s="783"/>
      <c r="D41" s="786"/>
      <c r="E41" s="783"/>
      <c r="F41" s="783"/>
      <c r="G41" s="783"/>
      <c r="H41" s="783"/>
      <c r="K41" s="706"/>
      <c r="L41" s="706"/>
    </row>
    <row r="42" spans="2:12" ht="17.25" customHeight="1">
      <c r="B42" s="783"/>
      <c r="C42" s="783"/>
      <c r="D42" s="786"/>
      <c r="E42" s="783"/>
      <c r="F42" s="783"/>
      <c r="G42" s="783"/>
      <c r="H42" s="783"/>
      <c r="K42" s="706"/>
      <c r="L42" s="706"/>
    </row>
    <row r="43" spans="2:12" ht="17.25" customHeight="1">
      <c r="B43" s="783"/>
      <c r="C43" s="783"/>
      <c r="D43" s="786"/>
      <c r="E43" s="783"/>
      <c r="F43" s="783"/>
      <c r="G43" s="783"/>
      <c r="H43" s="783"/>
      <c r="K43" s="706"/>
      <c r="L43" s="706"/>
    </row>
    <row r="44" spans="2:12" ht="17.25" customHeight="1">
      <c r="B44" s="783"/>
      <c r="C44" s="783"/>
      <c r="D44" s="786"/>
      <c r="E44" s="783"/>
      <c r="F44" s="783"/>
      <c r="G44" s="783"/>
      <c r="H44" s="783"/>
      <c r="K44" s="706"/>
      <c r="L44" s="706"/>
    </row>
    <row r="45" spans="2:12" ht="17.25" customHeight="1">
      <c r="B45" s="783"/>
      <c r="C45" s="783"/>
      <c r="D45" s="786"/>
      <c r="E45" s="783"/>
      <c r="F45" s="783"/>
      <c r="G45" s="783"/>
      <c r="H45" s="783"/>
      <c r="K45" s="706"/>
      <c r="L45" s="706"/>
    </row>
    <row r="46" spans="2:12" ht="17.25" customHeight="1">
      <c r="B46" s="783"/>
      <c r="C46" s="783"/>
      <c r="D46" s="786"/>
      <c r="E46" s="783"/>
      <c r="F46" s="783"/>
      <c r="G46" s="783"/>
      <c r="H46" s="783"/>
      <c r="K46" s="706"/>
      <c r="L46" s="706"/>
    </row>
    <row r="47" spans="2:12" ht="17.25" customHeight="1">
      <c r="B47" s="783"/>
      <c r="C47" s="783"/>
      <c r="D47" s="786"/>
      <c r="E47" s="783"/>
      <c r="F47" s="783"/>
      <c r="G47" s="783"/>
      <c r="H47" s="783"/>
      <c r="K47" s="706"/>
      <c r="L47" s="706"/>
    </row>
    <row r="48" spans="2:12" ht="17.25" customHeight="1">
      <c r="B48" s="783"/>
      <c r="C48" s="783"/>
      <c r="D48" s="786"/>
      <c r="E48" s="783"/>
      <c r="F48" s="783"/>
      <c r="G48" s="783"/>
      <c r="H48" s="783"/>
      <c r="K48" s="706"/>
      <c r="L48" s="706"/>
    </row>
    <row r="49" spans="2:12" ht="17.25" customHeight="1">
      <c r="B49" s="783"/>
      <c r="C49" s="783"/>
      <c r="D49" s="786"/>
      <c r="E49" s="783"/>
      <c r="F49" s="783"/>
      <c r="G49" s="783"/>
      <c r="H49" s="783"/>
      <c r="K49" s="706"/>
      <c r="L49" s="706"/>
    </row>
    <row r="50" spans="2:12" ht="17.25" customHeight="1">
      <c r="B50" s="783"/>
      <c r="C50" s="783"/>
      <c r="D50" s="786"/>
      <c r="E50" s="783"/>
      <c r="F50" s="783"/>
      <c r="G50" s="783"/>
      <c r="H50" s="783"/>
      <c r="K50" s="706"/>
      <c r="L50" s="706"/>
    </row>
    <row r="51" spans="2:12" ht="15.95" customHeight="1">
      <c r="B51" s="783"/>
      <c r="C51" s="783"/>
      <c r="D51" s="786"/>
      <c r="E51" s="783"/>
      <c r="F51" s="783"/>
      <c r="G51" s="783"/>
      <c r="H51" s="783"/>
    </row>
    <row r="52" spans="2:12" ht="15.95" customHeight="1">
      <c r="B52" s="783"/>
      <c r="C52" s="783"/>
      <c r="D52" s="786"/>
      <c r="E52" s="783"/>
      <c r="F52" s="783"/>
      <c r="G52" s="783"/>
      <c r="H52" s="783"/>
    </row>
    <row r="53" spans="2:12" ht="15.95" customHeight="1">
      <c r="B53" s="783"/>
      <c r="C53" s="783"/>
      <c r="D53" s="786"/>
      <c r="E53" s="783"/>
      <c r="F53" s="783"/>
      <c r="G53" s="783"/>
      <c r="H53" s="783"/>
    </row>
    <row r="54" spans="2:12" ht="15.95" customHeight="1">
      <c r="B54" s="783"/>
      <c r="C54" s="783"/>
      <c r="D54" s="786"/>
      <c r="E54" s="783"/>
      <c r="F54" s="783"/>
      <c r="G54" s="783"/>
      <c r="H54" s="783"/>
    </row>
    <row r="55" spans="2:12" ht="15.95" customHeight="1">
      <c r="B55" s="783"/>
      <c r="C55" s="783"/>
      <c r="D55" s="786"/>
      <c r="E55" s="783"/>
      <c r="F55" s="783"/>
      <c r="G55" s="783"/>
      <c r="H55" s="783"/>
    </row>
    <row r="56" spans="2:12" ht="15.95" customHeight="1">
      <c r="B56" s="783"/>
      <c r="C56" s="783"/>
      <c r="D56" s="786"/>
      <c r="E56" s="783"/>
      <c r="F56" s="783"/>
      <c r="G56" s="783"/>
      <c r="H56" s="783"/>
    </row>
    <row r="57" spans="2:12" ht="15.95" customHeight="1">
      <c r="B57" s="783"/>
      <c r="C57" s="783"/>
      <c r="D57" s="786"/>
      <c r="E57" s="783"/>
      <c r="F57" s="783"/>
      <c r="G57" s="783"/>
      <c r="H57" s="783"/>
    </row>
    <row r="58" spans="2:12" ht="15.95" customHeight="1">
      <c r="B58" s="783"/>
      <c r="C58" s="783"/>
      <c r="D58" s="786"/>
      <c r="E58" s="783"/>
      <c r="F58" s="783"/>
      <c r="G58" s="783"/>
      <c r="H58" s="783"/>
    </row>
    <row r="59" spans="2:12" ht="15.95" customHeight="1">
      <c r="B59" s="783"/>
      <c r="C59" s="783"/>
      <c r="D59" s="786"/>
      <c r="E59" s="783"/>
      <c r="F59" s="783"/>
      <c r="G59" s="783"/>
      <c r="H59" s="783"/>
    </row>
    <row r="60" spans="2:12" ht="15.95" customHeight="1">
      <c r="B60" s="783"/>
      <c r="C60" s="783"/>
      <c r="D60" s="786"/>
      <c r="E60" s="783"/>
      <c r="F60" s="783"/>
      <c r="G60" s="783"/>
      <c r="H60" s="783"/>
    </row>
    <row r="61" spans="2:12" ht="15.95" customHeight="1">
      <c r="B61" s="783"/>
      <c r="C61" s="783"/>
      <c r="D61" s="786"/>
      <c r="E61" s="783"/>
      <c r="F61" s="783"/>
      <c r="G61" s="783"/>
      <c r="H61" s="783"/>
    </row>
    <row r="62" spans="2:12" ht="15.95" customHeight="1">
      <c r="B62" s="783"/>
      <c r="C62" s="783"/>
      <c r="D62" s="786"/>
      <c r="E62" s="783"/>
      <c r="F62" s="783"/>
      <c r="G62" s="783"/>
      <c r="H62" s="783"/>
    </row>
    <row r="63" spans="2:12" ht="15.95" customHeight="1">
      <c r="B63" s="783"/>
      <c r="C63" s="783"/>
      <c r="D63" s="786"/>
      <c r="E63" s="783"/>
      <c r="F63" s="783"/>
      <c r="G63" s="783"/>
      <c r="H63" s="783"/>
    </row>
    <row r="64" spans="2:12" ht="15.95" customHeight="1">
      <c r="B64" s="783"/>
      <c r="C64" s="783"/>
      <c r="D64" s="786"/>
      <c r="E64" s="783"/>
      <c r="F64" s="783"/>
      <c r="G64" s="783"/>
      <c r="H64" s="783"/>
    </row>
    <row r="65" spans="2:8" ht="15.95" customHeight="1">
      <c r="B65" s="783"/>
      <c r="C65" s="783"/>
      <c r="D65" s="786"/>
      <c r="E65" s="783"/>
      <c r="F65" s="783"/>
      <c r="G65" s="783"/>
      <c r="H65" s="783"/>
    </row>
    <row r="66" spans="2:8" ht="15.95" customHeight="1">
      <c r="B66" s="783"/>
      <c r="C66" s="783"/>
      <c r="D66" s="786"/>
      <c r="E66" s="783"/>
      <c r="F66" s="783"/>
      <c r="G66" s="783"/>
      <c r="H66" s="783"/>
    </row>
    <row r="67" spans="2:8" ht="15.95" customHeight="1">
      <c r="B67" s="783"/>
      <c r="C67" s="783"/>
      <c r="D67" s="786"/>
      <c r="E67" s="783"/>
      <c r="F67" s="783"/>
      <c r="G67" s="783"/>
      <c r="H67" s="783"/>
    </row>
    <row r="68" spans="2:8" ht="15.95" customHeight="1">
      <c r="B68" s="783"/>
      <c r="C68" s="783"/>
      <c r="D68" s="786"/>
      <c r="E68" s="783"/>
      <c r="F68" s="783"/>
      <c r="G68" s="783"/>
      <c r="H68" s="783"/>
    </row>
    <row r="69" spans="2:8" ht="15.95" customHeight="1">
      <c r="B69" s="783"/>
      <c r="C69" s="783"/>
      <c r="D69" s="786"/>
      <c r="E69" s="783"/>
      <c r="F69" s="783"/>
      <c r="G69" s="783"/>
      <c r="H69" s="783"/>
    </row>
    <row r="70" spans="2:8" ht="15.95" customHeight="1">
      <c r="B70" s="783"/>
      <c r="C70" s="783"/>
      <c r="D70" s="786"/>
      <c r="E70" s="783"/>
      <c r="F70" s="783"/>
      <c r="G70" s="783"/>
      <c r="H70" s="783"/>
    </row>
    <row r="71" spans="2:8" ht="15.95" customHeight="1">
      <c r="B71" s="783"/>
      <c r="C71" s="783"/>
      <c r="D71" s="786"/>
      <c r="E71" s="783"/>
      <c r="F71" s="783"/>
      <c r="G71" s="783"/>
      <c r="H71" s="783"/>
    </row>
    <row r="72" spans="2:8" ht="15.95" customHeight="1">
      <c r="B72" s="783"/>
      <c r="C72" s="783"/>
      <c r="D72" s="786"/>
      <c r="E72" s="783"/>
      <c r="F72" s="783"/>
      <c r="G72" s="783"/>
      <c r="H72" s="783"/>
    </row>
    <row r="73" spans="2:8" ht="15.95" customHeight="1">
      <c r="B73" s="783"/>
      <c r="C73" s="783"/>
      <c r="D73" s="786"/>
      <c r="E73" s="783"/>
      <c r="F73" s="783"/>
      <c r="G73" s="783"/>
      <c r="H73" s="783"/>
    </row>
    <row r="74" spans="2:8" ht="15.95" customHeight="1">
      <c r="B74" s="783"/>
      <c r="C74" s="783"/>
      <c r="D74" s="786"/>
      <c r="E74" s="783"/>
      <c r="F74" s="783"/>
      <c r="G74" s="783"/>
      <c r="H74" s="783"/>
    </row>
    <row r="75" spans="2:8" ht="15.95" customHeight="1">
      <c r="B75" s="783"/>
      <c r="C75" s="783"/>
      <c r="D75" s="786"/>
      <c r="E75" s="783"/>
      <c r="F75" s="783"/>
      <c r="G75" s="783"/>
      <c r="H75" s="783"/>
    </row>
    <row r="76" spans="2:8" ht="15.95" customHeight="1">
      <c r="B76" s="783"/>
      <c r="C76" s="783"/>
      <c r="D76" s="786"/>
      <c r="E76" s="783"/>
      <c r="F76" s="783"/>
      <c r="G76" s="783"/>
      <c r="H76" s="783"/>
    </row>
    <row r="77" spans="2:8" ht="15.95" customHeight="1">
      <c r="B77" s="783"/>
      <c r="C77" s="783"/>
      <c r="D77" s="786"/>
      <c r="E77" s="783"/>
      <c r="F77" s="783"/>
      <c r="G77" s="783"/>
      <c r="H77" s="783"/>
    </row>
    <row r="78" spans="2:8" ht="15.95" customHeight="1">
      <c r="B78" s="783"/>
      <c r="C78" s="783"/>
      <c r="D78" s="786"/>
      <c r="E78" s="783"/>
      <c r="F78" s="783"/>
      <c r="G78" s="783"/>
      <c r="H78" s="783"/>
    </row>
    <row r="79" spans="2:8" ht="15.95" customHeight="1">
      <c r="B79" s="783"/>
      <c r="C79" s="783"/>
      <c r="D79" s="786"/>
      <c r="E79" s="783"/>
      <c r="F79" s="783"/>
      <c r="G79" s="783"/>
      <c r="H79" s="783"/>
    </row>
    <row r="80" spans="2:8" ht="15.95" customHeight="1">
      <c r="B80" s="783"/>
      <c r="C80" s="783"/>
      <c r="D80" s="786"/>
      <c r="E80" s="783"/>
      <c r="F80" s="783"/>
      <c r="G80" s="783"/>
      <c r="H80" s="783"/>
    </row>
    <row r="81" spans="2:8" ht="15.95" customHeight="1">
      <c r="B81" s="783"/>
      <c r="C81" s="783"/>
      <c r="D81" s="786"/>
      <c r="E81" s="783"/>
      <c r="F81" s="783"/>
      <c r="G81" s="783"/>
      <c r="H81" s="783"/>
    </row>
    <row r="82" spans="2:8" ht="15.95" customHeight="1">
      <c r="B82" s="783"/>
      <c r="C82" s="783"/>
      <c r="D82" s="786"/>
      <c r="E82" s="783"/>
      <c r="F82" s="783"/>
      <c r="G82" s="783"/>
      <c r="H82" s="783"/>
    </row>
    <row r="83" spans="2:8" ht="15.95" customHeight="1">
      <c r="B83" s="783"/>
      <c r="C83" s="783"/>
      <c r="D83" s="786"/>
      <c r="E83" s="783"/>
      <c r="F83" s="783"/>
      <c r="G83" s="783"/>
      <c r="H83" s="783"/>
    </row>
    <row r="84" spans="2:8" ht="15.95" customHeight="1">
      <c r="B84" s="783"/>
      <c r="C84" s="783"/>
      <c r="D84" s="786"/>
      <c r="E84" s="783"/>
      <c r="F84" s="783"/>
      <c r="G84" s="783"/>
      <c r="H84" s="783"/>
    </row>
    <row r="85" spans="2:8" ht="15.95" customHeight="1">
      <c r="B85" s="783"/>
      <c r="C85" s="783"/>
      <c r="D85" s="786"/>
      <c r="E85" s="783"/>
      <c r="F85" s="783"/>
      <c r="G85" s="783"/>
      <c r="H85" s="783"/>
    </row>
    <row r="86" spans="2:8" ht="15.95" customHeight="1">
      <c r="B86" s="783"/>
      <c r="C86" s="783"/>
      <c r="D86" s="786"/>
      <c r="E86" s="783"/>
      <c r="F86" s="783"/>
      <c r="G86" s="783"/>
      <c r="H86" s="783"/>
    </row>
    <row r="87" spans="2:8" ht="15.95" customHeight="1">
      <c r="B87" s="783"/>
      <c r="C87" s="783"/>
      <c r="D87" s="786"/>
      <c r="E87" s="783"/>
      <c r="F87" s="783"/>
      <c r="G87" s="783"/>
      <c r="H87" s="783"/>
    </row>
    <row r="88" spans="2:8" ht="15.95" customHeight="1">
      <c r="B88" s="783"/>
      <c r="C88" s="783"/>
      <c r="D88" s="786"/>
      <c r="E88" s="783"/>
      <c r="F88" s="783"/>
      <c r="G88" s="783"/>
      <c r="H88" s="783"/>
    </row>
    <row r="89" spans="2:8" ht="15.95" customHeight="1">
      <c r="B89" s="783"/>
      <c r="C89" s="783"/>
      <c r="D89" s="786"/>
      <c r="E89" s="783"/>
      <c r="F89" s="783"/>
      <c r="G89" s="783"/>
      <c r="H89" s="783"/>
    </row>
    <row r="90" spans="2:8" ht="15.95" customHeight="1">
      <c r="B90" s="783"/>
      <c r="C90" s="783"/>
      <c r="D90" s="786"/>
      <c r="E90" s="783"/>
      <c r="F90" s="783"/>
      <c r="G90" s="783"/>
      <c r="H90" s="783"/>
    </row>
    <row r="91" spans="2:8" ht="15.95" customHeight="1">
      <c r="B91" s="783"/>
      <c r="C91" s="783"/>
      <c r="D91" s="786"/>
      <c r="E91" s="783"/>
      <c r="F91" s="783"/>
      <c r="G91" s="783"/>
      <c r="H91" s="783"/>
    </row>
    <row r="92" spans="2:8" ht="15.95" customHeight="1">
      <c r="B92" s="783"/>
      <c r="C92" s="783"/>
      <c r="D92" s="786"/>
      <c r="E92" s="783"/>
      <c r="F92" s="783"/>
      <c r="G92" s="783"/>
      <c r="H92" s="783"/>
    </row>
    <row r="93" spans="2:8" ht="15.95" customHeight="1">
      <c r="B93" s="783"/>
      <c r="C93" s="783"/>
      <c r="D93" s="786"/>
      <c r="E93" s="783"/>
      <c r="F93" s="783"/>
      <c r="G93" s="783"/>
      <c r="H93" s="783"/>
    </row>
    <row r="94" spans="2:8" ht="15.95" customHeight="1">
      <c r="B94" s="783"/>
      <c r="C94" s="783"/>
      <c r="D94" s="786"/>
      <c r="E94" s="783"/>
      <c r="F94" s="783"/>
      <c r="G94" s="783"/>
      <c r="H94" s="783"/>
    </row>
    <row r="95" spans="2:8" ht="15.95" customHeight="1">
      <c r="B95" s="783"/>
      <c r="C95" s="783"/>
      <c r="D95" s="786"/>
      <c r="E95" s="783"/>
      <c r="F95" s="783"/>
      <c r="G95" s="783"/>
      <c r="H95" s="783"/>
    </row>
    <row r="96" spans="2:8" ht="15.95" customHeight="1">
      <c r="B96" s="783"/>
      <c r="C96" s="783"/>
      <c r="D96" s="786"/>
      <c r="E96" s="783"/>
      <c r="F96" s="783"/>
      <c r="G96" s="783"/>
      <c r="H96" s="783"/>
    </row>
    <row r="97" spans="2:8" ht="15.95" customHeight="1">
      <c r="B97" s="783"/>
      <c r="C97" s="783"/>
      <c r="D97" s="786"/>
      <c r="E97" s="783"/>
      <c r="F97" s="783"/>
      <c r="G97" s="783"/>
      <c r="H97" s="783"/>
    </row>
    <row r="98" spans="2:8" ht="15.95" customHeight="1">
      <c r="B98" s="783"/>
      <c r="C98" s="783"/>
      <c r="D98" s="786"/>
      <c r="E98" s="783"/>
      <c r="F98" s="783"/>
      <c r="G98" s="783"/>
      <c r="H98" s="783"/>
    </row>
    <row r="99" spans="2:8" ht="15.95" customHeight="1">
      <c r="B99" s="783"/>
      <c r="C99" s="783"/>
      <c r="D99" s="786"/>
      <c r="E99" s="783"/>
      <c r="F99" s="783"/>
      <c r="G99" s="783"/>
      <c r="H99" s="783"/>
    </row>
    <row r="100" spans="2:8" ht="15.95" customHeight="1">
      <c r="B100" s="783"/>
      <c r="C100" s="783"/>
      <c r="D100" s="786"/>
      <c r="E100" s="783"/>
      <c r="F100" s="783"/>
      <c r="G100" s="783"/>
      <c r="H100" s="783"/>
    </row>
    <row r="101" spans="2:8" ht="15.95" customHeight="1">
      <c r="B101" s="783"/>
      <c r="C101" s="783"/>
      <c r="D101" s="786"/>
      <c r="E101" s="783"/>
      <c r="F101" s="783"/>
      <c r="G101" s="783"/>
      <c r="H101" s="783"/>
    </row>
    <row r="102" spans="2:8" ht="15.95" customHeight="1">
      <c r="B102" s="783"/>
      <c r="C102" s="783"/>
      <c r="D102" s="786"/>
      <c r="E102" s="783"/>
      <c r="F102" s="783"/>
      <c r="G102" s="783"/>
      <c r="H102" s="783"/>
    </row>
    <row r="103" spans="2:8" ht="15.95" customHeight="1">
      <c r="B103" s="783"/>
      <c r="C103" s="783"/>
      <c r="D103" s="786"/>
      <c r="E103" s="783"/>
      <c r="F103" s="783"/>
      <c r="G103" s="783"/>
      <c r="H103" s="783"/>
    </row>
    <row r="104" spans="2:8" ht="15.95" customHeight="1">
      <c r="B104" s="783"/>
      <c r="C104" s="783"/>
      <c r="D104" s="786"/>
      <c r="E104" s="783"/>
      <c r="F104" s="783"/>
      <c r="G104" s="783"/>
      <c r="H104" s="783"/>
    </row>
    <row r="105" spans="2:8" ht="15.95" customHeight="1">
      <c r="B105" s="783"/>
      <c r="C105" s="783"/>
      <c r="D105" s="786"/>
      <c r="E105" s="783"/>
      <c r="F105" s="783"/>
      <c r="G105" s="783"/>
      <c r="H105" s="783"/>
    </row>
    <row r="106" spans="2:8" ht="15.95" customHeight="1">
      <c r="B106" s="783"/>
      <c r="C106" s="783"/>
      <c r="D106" s="786"/>
      <c r="E106" s="783"/>
      <c r="F106" s="783"/>
      <c r="G106" s="783"/>
      <c r="H106" s="783"/>
    </row>
    <row r="107" spans="2:8" ht="15.95" customHeight="1">
      <c r="B107" s="783"/>
      <c r="C107" s="783"/>
      <c r="D107" s="786"/>
      <c r="E107" s="783"/>
      <c r="F107" s="783"/>
      <c r="G107" s="783"/>
      <c r="H107" s="783"/>
    </row>
    <row r="108" spans="2:8" ht="15.95" customHeight="1">
      <c r="B108" s="783"/>
      <c r="C108" s="783"/>
      <c r="D108" s="786"/>
      <c r="E108" s="783"/>
      <c r="F108" s="783"/>
      <c r="G108" s="783"/>
      <c r="H108" s="783"/>
    </row>
    <row r="109" spans="2:8" ht="15.95" customHeight="1">
      <c r="B109" s="783"/>
      <c r="C109" s="783"/>
      <c r="D109" s="786"/>
      <c r="E109" s="783"/>
      <c r="F109" s="783"/>
      <c r="G109" s="783"/>
      <c r="H109" s="783"/>
    </row>
    <row r="110" spans="2:8" ht="15.95" customHeight="1">
      <c r="B110" s="783"/>
      <c r="C110" s="783"/>
      <c r="D110" s="786"/>
      <c r="E110" s="783"/>
      <c r="F110" s="783"/>
      <c r="G110" s="783"/>
      <c r="H110" s="783"/>
    </row>
    <row r="111" spans="2:8" ht="15.95" customHeight="1">
      <c r="B111" s="783"/>
      <c r="C111" s="783"/>
      <c r="D111" s="786"/>
      <c r="E111" s="783"/>
      <c r="F111" s="783"/>
      <c r="G111" s="783"/>
      <c r="H111" s="783"/>
    </row>
    <row r="112" spans="2:8" ht="15.95" customHeight="1">
      <c r="B112" s="783"/>
      <c r="C112" s="783"/>
      <c r="D112" s="786"/>
      <c r="E112" s="783"/>
      <c r="F112" s="783"/>
      <c r="G112" s="783"/>
      <c r="H112" s="783"/>
    </row>
    <row r="113" spans="2:8" ht="15.95" customHeight="1">
      <c r="B113" s="783"/>
      <c r="C113" s="783"/>
      <c r="D113" s="786"/>
      <c r="E113" s="783"/>
      <c r="F113" s="783"/>
      <c r="G113" s="783"/>
      <c r="H113" s="783"/>
    </row>
    <row r="114" spans="2:8" ht="15.95" customHeight="1">
      <c r="B114" s="783"/>
      <c r="C114" s="783"/>
      <c r="D114" s="786"/>
      <c r="E114" s="783"/>
      <c r="F114" s="783"/>
      <c r="G114" s="783"/>
      <c r="H114" s="783"/>
    </row>
    <row r="115" spans="2:8" ht="15.95" customHeight="1">
      <c r="B115" s="783"/>
      <c r="C115" s="783"/>
      <c r="D115" s="786"/>
      <c r="E115" s="783"/>
      <c r="F115" s="783"/>
      <c r="G115" s="783"/>
      <c r="H115" s="783"/>
    </row>
    <row r="116" spans="2:8" ht="15.95" customHeight="1">
      <c r="B116" s="783"/>
      <c r="C116" s="783"/>
      <c r="D116" s="786"/>
      <c r="E116" s="783"/>
      <c r="F116" s="783"/>
      <c r="G116" s="783"/>
      <c r="H116" s="783"/>
    </row>
    <row r="117" spans="2:8" ht="15.95" customHeight="1">
      <c r="B117" s="783"/>
      <c r="C117" s="783"/>
      <c r="D117" s="786"/>
      <c r="E117" s="783"/>
      <c r="F117" s="783"/>
      <c r="G117" s="783"/>
      <c r="H117" s="783"/>
    </row>
    <row r="118" spans="2:8" ht="15.95" customHeight="1">
      <c r="B118" s="783"/>
      <c r="C118" s="783"/>
      <c r="D118" s="786"/>
      <c r="E118" s="783"/>
      <c r="F118" s="783"/>
      <c r="G118" s="783"/>
      <c r="H118" s="783"/>
    </row>
    <row r="119" spans="2:8" ht="15.95" customHeight="1">
      <c r="B119" s="783"/>
      <c r="C119" s="783"/>
      <c r="D119" s="786"/>
      <c r="E119" s="783"/>
      <c r="F119" s="783"/>
      <c r="G119" s="783"/>
      <c r="H119" s="783"/>
    </row>
    <row r="120" spans="2:8" ht="15.95" customHeight="1">
      <c r="B120" s="783"/>
      <c r="C120" s="783"/>
      <c r="D120" s="786"/>
      <c r="E120" s="783"/>
      <c r="F120" s="783"/>
      <c r="G120" s="783"/>
      <c r="H120" s="783"/>
    </row>
    <row r="121" spans="2:8" ht="15.95" customHeight="1">
      <c r="B121" s="783"/>
      <c r="C121" s="783"/>
      <c r="D121" s="786"/>
      <c r="E121" s="783"/>
      <c r="F121" s="783"/>
      <c r="G121" s="783"/>
      <c r="H121" s="783"/>
    </row>
    <row r="122" spans="2:8" ht="15.95" customHeight="1">
      <c r="B122" s="783"/>
      <c r="C122" s="783"/>
      <c r="D122" s="786"/>
      <c r="E122" s="783"/>
      <c r="F122" s="783"/>
      <c r="G122" s="783"/>
      <c r="H122" s="783"/>
    </row>
    <row r="123" spans="2:8" ht="15.95" customHeight="1">
      <c r="B123" s="783"/>
      <c r="C123" s="783"/>
      <c r="D123" s="786"/>
      <c r="E123" s="783"/>
      <c r="F123" s="783"/>
      <c r="G123" s="783"/>
      <c r="H123" s="783"/>
    </row>
    <row r="124" spans="2:8" ht="15.95" customHeight="1">
      <c r="B124" s="783"/>
      <c r="C124" s="783"/>
      <c r="D124" s="786"/>
      <c r="E124" s="783"/>
      <c r="F124" s="783"/>
      <c r="G124" s="783"/>
      <c r="H124" s="783"/>
    </row>
    <row r="125" spans="2:8" ht="15.95" customHeight="1">
      <c r="B125" s="783"/>
      <c r="C125" s="783"/>
      <c r="D125" s="786"/>
      <c r="E125" s="783"/>
      <c r="F125" s="783"/>
      <c r="G125" s="783"/>
      <c r="H125" s="783"/>
    </row>
    <row r="126" spans="2:8" ht="15.95" customHeight="1">
      <c r="B126" s="783"/>
      <c r="C126" s="783"/>
      <c r="D126" s="786"/>
      <c r="E126" s="783"/>
      <c r="F126" s="783"/>
      <c r="G126" s="783"/>
      <c r="H126" s="783"/>
    </row>
    <row r="127" spans="2:8" ht="15.95" customHeight="1">
      <c r="B127" s="783"/>
      <c r="C127" s="783"/>
      <c r="D127" s="786"/>
      <c r="E127" s="783"/>
      <c r="F127" s="783"/>
      <c r="G127" s="783"/>
      <c r="H127" s="783"/>
    </row>
    <row r="128" spans="2:8" ht="15.95" customHeight="1">
      <c r="B128" s="783"/>
      <c r="C128" s="783"/>
      <c r="D128" s="786"/>
      <c r="E128" s="783"/>
      <c r="F128" s="783"/>
      <c r="G128" s="783"/>
      <c r="H128" s="783"/>
    </row>
    <row r="129" spans="2:8" ht="15.95" customHeight="1">
      <c r="B129" s="783"/>
      <c r="C129" s="783"/>
      <c r="D129" s="786"/>
      <c r="E129" s="783"/>
      <c r="F129" s="783"/>
      <c r="G129" s="783"/>
      <c r="H129" s="783"/>
    </row>
    <row r="130" spans="2:8" ht="15.95" customHeight="1">
      <c r="B130" s="783"/>
      <c r="C130" s="783"/>
      <c r="D130" s="786"/>
      <c r="E130" s="783"/>
      <c r="F130" s="783"/>
      <c r="G130" s="783"/>
      <c r="H130" s="783"/>
    </row>
    <row r="131" spans="2:8" ht="15.95" customHeight="1">
      <c r="B131" s="783"/>
      <c r="C131" s="783"/>
      <c r="D131" s="786"/>
      <c r="E131" s="783"/>
      <c r="F131" s="783"/>
      <c r="G131" s="783"/>
      <c r="H131" s="783"/>
    </row>
    <row r="132" spans="2:8" ht="15.95" customHeight="1">
      <c r="B132" s="783"/>
      <c r="C132" s="783"/>
      <c r="D132" s="786"/>
      <c r="E132" s="783"/>
      <c r="F132" s="783"/>
      <c r="G132" s="783"/>
      <c r="H132" s="783"/>
    </row>
    <row r="133" spans="2:8" ht="15.95" customHeight="1">
      <c r="B133" s="783"/>
      <c r="C133" s="783"/>
      <c r="D133" s="786"/>
      <c r="E133" s="783"/>
      <c r="F133" s="783"/>
      <c r="G133" s="783"/>
      <c r="H133" s="783"/>
    </row>
    <row r="134" spans="2:8" ht="15.95" customHeight="1">
      <c r="B134" s="783"/>
      <c r="C134" s="783"/>
      <c r="D134" s="786"/>
      <c r="E134" s="783"/>
      <c r="F134" s="783"/>
      <c r="G134" s="783"/>
      <c r="H134" s="783"/>
    </row>
    <row r="135" spans="2:8" ht="15.95" customHeight="1">
      <c r="B135" s="783"/>
      <c r="C135" s="783"/>
      <c r="D135" s="786"/>
      <c r="E135" s="783"/>
      <c r="F135" s="783"/>
      <c r="G135" s="783"/>
      <c r="H135" s="783"/>
    </row>
    <row r="136" spans="2:8" ht="15.95" customHeight="1">
      <c r="B136" s="783"/>
      <c r="C136" s="783"/>
      <c r="D136" s="786"/>
      <c r="E136" s="783"/>
      <c r="F136" s="783"/>
      <c r="G136" s="783"/>
      <c r="H136" s="783"/>
    </row>
    <row r="137" spans="2:8" ht="15.95" customHeight="1">
      <c r="B137" s="783"/>
      <c r="C137" s="783"/>
      <c r="D137" s="786"/>
      <c r="E137" s="783"/>
      <c r="F137" s="783"/>
      <c r="G137" s="783"/>
      <c r="H137" s="783"/>
    </row>
    <row r="138" spans="2:8" ht="15.95" customHeight="1">
      <c r="B138" s="783"/>
      <c r="C138" s="783"/>
      <c r="D138" s="786"/>
      <c r="E138" s="783"/>
      <c r="F138" s="783"/>
      <c r="G138" s="783"/>
      <c r="H138" s="783"/>
    </row>
    <row r="139" spans="2:8" ht="15.95" customHeight="1">
      <c r="B139" s="783"/>
      <c r="C139" s="783"/>
      <c r="D139" s="786"/>
      <c r="E139" s="783"/>
      <c r="F139" s="783"/>
      <c r="G139" s="783"/>
      <c r="H139" s="783"/>
    </row>
    <row r="140" spans="2:8" ht="15.95" customHeight="1">
      <c r="B140" s="783"/>
      <c r="C140" s="783"/>
      <c r="D140" s="786"/>
      <c r="E140" s="783"/>
      <c r="F140" s="783"/>
      <c r="G140" s="783"/>
      <c r="H140" s="783"/>
    </row>
    <row r="141" spans="2:8" ht="15.95" customHeight="1">
      <c r="B141" s="783"/>
      <c r="C141" s="783"/>
      <c r="D141" s="786"/>
      <c r="E141" s="783"/>
      <c r="F141" s="783"/>
      <c r="G141" s="783"/>
      <c r="H141" s="783"/>
    </row>
    <row r="142" spans="2:8" ht="15.95" customHeight="1">
      <c r="B142" s="783"/>
      <c r="C142" s="783"/>
      <c r="D142" s="786"/>
      <c r="E142" s="783"/>
      <c r="F142" s="783"/>
      <c r="G142" s="783"/>
      <c r="H142" s="783"/>
    </row>
    <row r="143" spans="2:8" ht="15.95" customHeight="1">
      <c r="B143" s="783"/>
      <c r="C143" s="783"/>
      <c r="D143" s="786"/>
      <c r="E143" s="783"/>
      <c r="F143" s="783"/>
      <c r="G143" s="783"/>
      <c r="H143" s="783"/>
    </row>
    <row r="144" spans="2:8" ht="15.95" customHeight="1">
      <c r="B144" s="783"/>
      <c r="C144" s="783"/>
      <c r="D144" s="786"/>
      <c r="E144" s="783"/>
      <c r="F144" s="783"/>
      <c r="G144" s="783"/>
      <c r="H144" s="783"/>
    </row>
    <row r="145" spans="2:8" ht="15.95" customHeight="1">
      <c r="B145" s="783"/>
      <c r="C145" s="783"/>
      <c r="D145" s="786"/>
      <c r="E145" s="783"/>
      <c r="F145" s="783"/>
      <c r="G145" s="783"/>
      <c r="H145" s="783"/>
    </row>
    <row r="146" spans="2:8" ht="15.95" customHeight="1">
      <c r="B146" s="783"/>
      <c r="C146" s="783"/>
      <c r="D146" s="786"/>
      <c r="E146" s="783"/>
      <c r="F146" s="783"/>
      <c r="G146" s="783"/>
      <c r="H146" s="783"/>
    </row>
    <row r="147" spans="2:8" ht="15.95" customHeight="1">
      <c r="B147" s="783"/>
      <c r="C147" s="783"/>
      <c r="D147" s="786"/>
      <c r="E147" s="783"/>
      <c r="F147" s="783"/>
      <c r="G147" s="783"/>
      <c r="H147" s="783"/>
    </row>
    <row r="148" spans="2:8" ht="15.95" customHeight="1">
      <c r="B148" s="783"/>
      <c r="C148" s="783"/>
      <c r="D148" s="786"/>
      <c r="E148" s="783"/>
      <c r="F148" s="783"/>
      <c r="G148" s="783"/>
      <c r="H148" s="783"/>
    </row>
    <row r="149" spans="2:8" ht="15.95" customHeight="1">
      <c r="B149" s="783"/>
      <c r="C149" s="783"/>
      <c r="D149" s="786"/>
      <c r="E149" s="783"/>
      <c r="F149" s="783"/>
      <c r="G149" s="783"/>
      <c r="H149" s="783"/>
    </row>
    <row r="150" spans="2:8" ht="15.95" customHeight="1">
      <c r="B150" s="783"/>
      <c r="C150" s="783"/>
      <c r="D150" s="786"/>
      <c r="E150" s="783"/>
      <c r="F150" s="783"/>
      <c r="G150" s="783"/>
      <c r="H150" s="783"/>
    </row>
    <row r="151" spans="2:8" ht="15.95" customHeight="1">
      <c r="B151" s="783"/>
      <c r="C151" s="783"/>
      <c r="D151" s="786"/>
      <c r="E151" s="783"/>
      <c r="F151" s="783"/>
      <c r="G151" s="783"/>
      <c r="H151" s="783"/>
    </row>
    <row r="152" spans="2:8" ht="15.95" customHeight="1">
      <c r="B152" s="783"/>
      <c r="C152" s="783"/>
      <c r="D152" s="786"/>
      <c r="E152" s="783"/>
      <c r="F152" s="783"/>
      <c r="G152" s="783"/>
      <c r="H152" s="783"/>
    </row>
    <row r="153" spans="2:8" ht="15.95" customHeight="1">
      <c r="B153" s="783"/>
      <c r="C153" s="783"/>
      <c r="D153" s="786"/>
      <c r="E153" s="783"/>
      <c r="F153" s="783"/>
      <c r="G153" s="783"/>
      <c r="H153" s="783"/>
    </row>
    <row r="154" spans="2:8" ht="15.95" customHeight="1">
      <c r="B154" s="783"/>
      <c r="C154" s="783"/>
      <c r="D154" s="786"/>
      <c r="E154" s="783"/>
      <c r="F154" s="783"/>
      <c r="G154" s="783"/>
      <c r="H154" s="783"/>
    </row>
    <row r="155" spans="2:8" ht="15.95" customHeight="1">
      <c r="B155" s="783"/>
      <c r="C155" s="783"/>
      <c r="D155" s="786"/>
      <c r="E155" s="783"/>
      <c r="F155" s="783"/>
      <c r="G155" s="783"/>
      <c r="H155" s="783"/>
    </row>
    <row r="156" spans="2:8" ht="15.95" customHeight="1">
      <c r="B156" s="783"/>
      <c r="C156" s="783"/>
      <c r="D156" s="786"/>
      <c r="E156" s="783"/>
      <c r="F156" s="783"/>
      <c r="G156" s="783"/>
      <c r="H156" s="783"/>
    </row>
    <row r="157" spans="2:8" ht="15.95" customHeight="1">
      <c r="B157" s="783"/>
      <c r="C157" s="783"/>
      <c r="D157" s="786"/>
      <c r="E157" s="783"/>
      <c r="F157" s="783"/>
      <c r="G157" s="783"/>
      <c r="H157" s="783"/>
    </row>
    <row r="158" spans="2:8" ht="15.95" customHeight="1">
      <c r="B158" s="783"/>
      <c r="C158" s="783"/>
      <c r="D158" s="786"/>
      <c r="E158" s="783"/>
      <c r="F158" s="783"/>
      <c r="G158" s="783"/>
      <c r="H158" s="783"/>
    </row>
    <row r="159" spans="2:8" ht="15.95" customHeight="1">
      <c r="B159" s="783"/>
      <c r="C159" s="783"/>
      <c r="D159" s="786"/>
      <c r="E159" s="783"/>
      <c r="F159" s="783"/>
      <c r="G159" s="783"/>
      <c r="H159" s="783"/>
    </row>
    <row r="160" spans="2:8" ht="15.95" customHeight="1">
      <c r="B160" s="783"/>
      <c r="C160" s="783"/>
      <c r="D160" s="786"/>
      <c r="E160" s="783"/>
      <c r="F160" s="783"/>
      <c r="G160" s="783"/>
      <c r="H160" s="783"/>
    </row>
    <row r="161" spans="2:8" ht="15.95" customHeight="1">
      <c r="B161" s="783"/>
      <c r="C161" s="783"/>
      <c r="D161" s="786"/>
      <c r="E161" s="783"/>
      <c r="F161" s="783"/>
      <c r="G161" s="783"/>
      <c r="H161" s="783"/>
    </row>
    <row r="162" spans="2:8" ht="15.95" customHeight="1">
      <c r="B162" s="783"/>
      <c r="C162" s="783"/>
      <c r="D162" s="786"/>
      <c r="E162" s="783"/>
      <c r="F162" s="783"/>
      <c r="G162" s="783"/>
      <c r="H162" s="783"/>
    </row>
    <row r="163" spans="2:8" ht="15.95" customHeight="1">
      <c r="B163" s="783"/>
      <c r="C163" s="783"/>
      <c r="D163" s="786"/>
      <c r="E163" s="783"/>
      <c r="F163" s="783"/>
      <c r="G163" s="783"/>
      <c r="H163" s="783"/>
    </row>
    <row r="164" spans="2:8" ht="15.95" customHeight="1">
      <c r="B164" s="783"/>
      <c r="C164" s="783"/>
      <c r="D164" s="786"/>
      <c r="E164" s="783"/>
      <c r="F164" s="783"/>
      <c r="G164" s="783"/>
      <c r="H164" s="783"/>
    </row>
    <row r="165" spans="2:8" ht="15.95" customHeight="1">
      <c r="B165" s="783"/>
      <c r="C165" s="783"/>
      <c r="D165" s="786"/>
      <c r="E165" s="783"/>
      <c r="F165" s="783"/>
      <c r="G165" s="783"/>
      <c r="H165" s="783"/>
    </row>
    <row r="166" spans="2:8" ht="15.95" customHeight="1">
      <c r="B166" s="783"/>
      <c r="C166" s="783"/>
      <c r="D166" s="786"/>
      <c r="E166" s="783"/>
      <c r="F166" s="783"/>
      <c r="G166" s="783"/>
      <c r="H166" s="783"/>
    </row>
    <row r="167" spans="2:8" ht="15.95" customHeight="1"/>
    <row r="168" spans="2:8" ht="15.95" customHeight="1"/>
    <row r="169" spans="2:8" ht="15.95" customHeight="1"/>
    <row r="170" spans="2:8" ht="15.95" customHeight="1"/>
    <row r="171" spans="2:8" ht="15.95" customHeight="1"/>
    <row r="172" spans="2:8" ht="15.95" customHeight="1"/>
    <row r="173" spans="2:8" ht="15.95" customHeight="1"/>
    <row r="174" spans="2:8" ht="15.95" customHeight="1"/>
    <row r="175" spans="2:8" ht="15.95" customHeight="1"/>
    <row r="176" spans="2:8" ht="15.95" customHeight="1"/>
    <row r="177" ht="15.95" customHeight="1"/>
    <row r="178" ht="15.95" customHeight="1"/>
    <row r="179" ht="15.95" customHeight="1"/>
    <row r="180" ht="15.95" customHeight="1"/>
    <row r="181" ht="15.95" customHeight="1"/>
    <row r="182" ht="15.95" customHeight="1"/>
    <row r="183" ht="15.95" customHeight="1"/>
    <row r="184" ht="15.95" customHeight="1"/>
    <row r="185" ht="15.95" customHeight="1"/>
    <row r="186" ht="15.95" customHeight="1"/>
    <row r="187" ht="15.95" customHeight="1"/>
    <row r="188" ht="15.95" customHeight="1"/>
    <row r="189" ht="15.95" customHeight="1"/>
    <row r="190" ht="15.95" customHeight="1"/>
    <row r="191" ht="15.95" customHeight="1"/>
    <row r="192" ht="15.95" customHeight="1"/>
    <row r="193" ht="15.95" customHeight="1"/>
    <row r="194" ht="15.95" customHeight="1"/>
    <row r="195" ht="15.95" customHeight="1"/>
    <row r="196" ht="15.95" customHeight="1"/>
    <row r="197" ht="15.95" customHeight="1"/>
    <row r="198" ht="15.95" customHeight="1"/>
    <row r="199" ht="15.95" customHeight="1"/>
    <row r="200" ht="15.95" customHeight="1"/>
    <row r="201" ht="15.95" customHeight="1"/>
    <row r="202" ht="15.95" customHeight="1"/>
    <row r="203" ht="15.95" customHeight="1"/>
    <row r="204" ht="15.95" customHeight="1"/>
    <row r="205" ht="15.95" customHeight="1"/>
    <row r="206" ht="15.95" customHeight="1"/>
    <row r="207" ht="15.95" customHeight="1"/>
    <row r="208" ht="15.95" customHeight="1"/>
    <row r="209" ht="15.95" customHeight="1"/>
    <row r="210" ht="15.95" customHeight="1"/>
    <row r="211" ht="15.95" customHeight="1"/>
    <row r="212" ht="15.95" customHeight="1"/>
    <row r="213" ht="15.95" customHeight="1"/>
    <row r="214" ht="15.95" customHeight="1"/>
    <row r="215" ht="15.95" customHeight="1"/>
    <row r="216" ht="15.95" customHeight="1"/>
    <row r="217" ht="15.95" customHeight="1"/>
    <row r="218" ht="15.95" customHeight="1"/>
    <row r="219" ht="15.95" customHeight="1"/>
    <row r="220" ht="15.95" customHeight="1"/>
    <row r="221" ht="15.95" customHeight="1"/>
    <row r="222" ht="15.95" customHeight="1"/>
    <row r="223" ht="15.95" customHeight="1"/>
    <row r="224" ht="15.95" customHeight="1"/>
    <row r="225" ht="15.95" customHeight="1"/>
    <row r="226" ht="15.95" customHeight="1"/>
    <row r="227" ht="15.95" customHeight="1"/>
    <row r="228" ht="15.95" customHeight="1"/>
    <row r="229" ht="15.95" customHeight="1"/>
    <row r="230" ht="15.95" customHeight="1"/>
    <row r="231" ht="15.95" customHeight="1"/>
    <row r="232" ht="15.95" customHeight="1"/>
    <row r="233" ht="15.95" customHeight="1"/>
    <row r="234" ht="15.95" customHeight="1"/>
    <row r="235" ht="15.95" customHeight="1"/>
    <row r="236" ht="15.95" customHeight="1"/>
    <row r="237" ht="15.95" customHeight="1"/>
    <row r="238" ht="15.95" customHeight="1"/>
    <row r="239" ht="15.95" customHeight="1"/>
    <row r="240" ht="15.95" customHeight="1"/>
    <row r="241" ht="15.95" customHeight="1"/>
    <row r="242" ht="15.95" customHeight="1"/>
    <row r="243" ht="15.95" customHeight="1"/>
    <row r="244" ht="15.95" customHeight="1"/>
    <row r="245" ht="15.95" customHeight="1"/>
    <row r="246" ht="15.95" customHeight="1"/>
    <row r="247" ht="15.95" customHeight="1"/>
    <row r="248" ht="15.95" customHeight="1"/>
    <row r="249" ht="15.95" customHeight="1"/>
    <row r="250" ht="15.95" customHeight="1"/>
  </sheetData>
  <sheetProtection insertHyperlinks="0"/>
  <mergeCells count="9">
    <mergeCell ref="B9:I9"/>
    <mergeCell ref="K9:L9"/>
    <mergeCell ref="B1:D3"/>
    <mergeCell ref="B5:D5"/>
    <mergeCell ref="G5:I5"/>
    <mergeCell ref="B6:D6"/>
    <mergeCell ref="H6:I6"/>
    <mergeCell ref="B7:D7"/>
    <mergeCell ref="H7:I7"/>
  </mergeCells>
  <conditionalFormatting sqref="G2">
    <cfRule type="cellIs" dxfId="7" priority="1" operator="equal">
      <formula>"Partner Approved"</formula>
    </cfRule>
    <cfRule type="cellIs" dxfId="6" priority="2" operator="equal">
      <formula>"Reviewed"</formula>
    </cfRule>
    <cfRule type="cellIs" dxfId="5" priority="3" operator="equal">
      <formula>"Rework Complete"</formula>
    </cfRule>
    <cfRule type="cellIs" dxfId="4" priority="4" operator="equal">
      <formula>"Client Query"</formula>
    </cfRule>
    <cfRule type="cellIs" dxfId="3" priority="5" operator="equal">
      <formula>"Started"</formula>
    </cfRule>
    <cfRule type="cellIs" dxfId="2" priority="6" operator="equal">
      <formula>"Ready for Review"</formula>
    </cfRule>
    <cfRule type="cellIs" dxfId="1" priority="7" operator="equal">
      <formula>"Rework Required"</formula>
    </cfRule>
    <cfRule type="cellIs" dxfId="0" priority="8" operator="equal">
      <formula>"Complete"</formula>
    </cfRule>
  </conditionalFormatting>
  <dataValidations count="1">
    <dataValidation type="list" errorStyle="information" allowBlank="1" showInputMessage="1" showErrorMessage="1" sqref="G2" xr:uid="{B2807F50-5E4A-419A-B3A0-6153D81666C7}">
      <formula1>StatusDescriptions</formula1>
    </dataValidation>
  </dataValidations>
  <hyperlinks>
    <hyperlink ref="H2" location="'Z01 Spare Worksheet - Blank'!Go_Index" display="Index" xr:uid="{DD06CFE2-DFB7-4E73-AF3D-47AFB66503A6}"/>
  </hyperlinks>
  <printOptions horizontalCentered="1"/>
  <pageMargins left="0.39370078740157483" right="0.39370078740157483" top="0.39370078740157483" bottom="0.39370078740157483" header="0" footer="0"/>
  <pageSetup paperSize="9" scale="74" orientation="portrait" r:id="rId1"/>
  <headerFooter alignWithMargins="0">
    <oddFooter>&amp;L&amp;F
Copyright © 2003-Present Business Fitness Pty Ltd&amp;R&amp;A &amp;P</oddFooter>
  </headerFooter>
  <customProperties>
    <customPr name="SheetId" r:id="rId2"/>
  </customProperties>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959468-2329-47C7-8F5C-4EC958F34C88}">
  <sheetPr>
    <pageSetUpPr fitToPage="1"/>
  </sheetPr>
  <dimension ref="A2:I45"/>
  <sheetViews>
    <sheetView workbookViewId="0">
      <selection activeCell="F2" sqref="F2"/>
    </sheetView>
  </sheetViews>
  <sheetFormatPr defaultColWidth="13.7109375" defaultRowHeight="12.75"/>
  <cols>
    <col min="1" max="10" width="13.7109375" style="214"/>
    <col min="11" max="11" width="22" style="214" customWidth="1"/>
    <col min="12" max="16384" width="13.7109375" style="214"/>
  </cols>
  <sheetData>
    <row r="2" spans="1:9" ht="20.25">
      <c r="A2" s="262" t="s">
        <v>469</v>
      </c>
    </row>
    <row r="4" spans="1:9">
      <c r="B4" s="259"/>
      <c r="C4" s="259"/>
      <c r="D4" s="259"/>
      <c r="E4" s="259"/>
    </row>
    <row r="5" spans="1:9">
      <c r="A5" s="265" t="s">
        <v>219</v>
      </c>
      <c r="B5" s="379" t="str">
        <f>'Assignment To do'!B3:D3</f>
        <v>The Schubert Superannuation Fund</v>
      </c>
      <c r="C5" s="265"/>
      <c r="D5" s="265"/>
      <c r="H5" s="265" t="s">
        <v>220</v>
      </c>
      <c r="I5" s="235">
        <f>'Assignment To do'!I7</f>
        <v>43482</v>
      </c>
    </row>
    <row r="6" spans="1:9">
      <c r="A6" s="265" t="s">
        <v>223</v>
      </c>
      <c r="B6" s="379" t="str">
        <f>+'[4]Assignment To do'!$B$5</f>
        <v>SMSF</v>
      </c>
      <c r="C6" s="265"/>
      <c r="D6" s="265"/>
      <c r="H6" s="265" t="s">
        <v>224</v>
      </c>
      <c r="I6" s="253">
        <f>+'[4]Assignment To do'!$I$9</f>
        <v>0</v>
      </c>
    </row>
    <row r="7" spans="1:9">
      <c r="A7" s="265" t="s">
        <v>245</v>
      </c>
      <c r="B7" s="265" t="str">
        <f>+A2</f>
        <v>GST Reconciliation</v>
      </c>
      <c r="C7" s="265"/>
      <c r="D7" s="265"/>
      <c r="H7" s="265" t="s">
        <v>468</v>
      </c>
      <c r="I7" s="267">
        <f>+'[4]Assignment To do'!$I$10</f>
        <v>0</v>
      </c>
    </row>
    <row r="8" spans="1:9" ht="13.5" thickBot="1">
      <c r="A8" s="223"/>
      <c r="B8" s="223"/>
      <c r="C8" s="223"/>
      <c r="D8" s="223"/>
      <c r="E8" s="223"/>
      <c r="F8" s="223"/>
      <c r="G8" s="223"/>
      <c r="H8" s="223"/>
      <c r="I8" s="223"/>
    </row>
    <row r="10" spans="1:9">
      <c r="A10" s="216" t="s">
        <v>467</v>
      </c>
      <c r="D10" s="419" t="s">
        <v>466</v>
      </c>
      <c r="E10" s="419" t="s">
        <v>465</v>
      </c>
      <c r="F10" s="419" t="s">
        <v>464</v>
      </c>
    </row>
    <row r="11" spans="1:9">
      <c r="A11" s="607">
        <v>42979</v>
      </c>
      <c r="D11" s="457"/>
      <c r="E11" s="457"/>
      <c r="F11" s="599">
        <f>D11-E11</f>
        <v>0</v>
      </c>
    </row>
    <row r="12" spans="1:9">
      <c r="A12" s="607">
        <v>43070</v>
      </c>
      <c r="D12" s="457"/>
      <c r="E12" s="457"/>
      <c r="F12" s="599">
        <f>D12-E12</f>
        <v>0</v>
      </c>
    </row>
    <row r="13" spans="1:9">
      <c r="A13" s="607">
        <v>43160</v>
      </c>
      <c r="D13" s="457"/>
      <c r="E13" s="457"/>
      <c r="F13" s="599">
        <f>D13-E13</f>
        <v>0</v>
      </c>
    </row>
    <row r="14" spans="1:9">
      <c r="A14" s="607">
        <v>43252</v>
      </c>
      <c r="D14" s="457"/>
      <c r="E14" s="457"/>
      <c r="F14" s="599">
        <f>D14-E14</f>
        <v>0</v>
      </c>
    </row>
    <row r="15" spans="1:9" s="218" customFormat="1">
      <c r="D15" s="606">
        <f>SUM(D11:D14)</f>
        <v>0</v>
      </c>
      <c r="E15" s="606">
        <f>SUM(E11:E14)</f>
        <v>0</v>
      </c>
      <c r="F15" s="606">
        <f>SUM(F11:F14)</f>
        <v>0</v>
      </c>
      <c r="G15" s="1205" t="s">
        <v>463</v>
      </c>
      <c r="H15" s="1205"/>
      <c r="I15" s="1205"/>
    </row>
    <row r="17" spans="1:9" s="216" customFormat="1">
      <c r="A17" s="216" t="s">
        <v>507</v>
      </c>
      <c r="F17" s="605">
        <f>F14</f>
        <v>0</v>
      </c>
    </row>
    <row r="19" spans="1:9">
      <c r="A19" s="216" t="s">
        <v>462</v>
      </c>
    </row>
    <row r="20" spans="1:9">
      <c r="A20" s="216" t="s">
        <v>461</v>
      </c>
      <c r="D20" s="419" t="s">
        <v>460</v>
      </c>
      <c r="E20" s="419" t="s">
        <v>458</v>
      </c>
      <c r="F20" s="419" t="s">
        <v>459</v>
      </c>
      <c r="G20" s="419" t="s">
        <v>458</v>
      </c>
    </row>
    <row r="21" spans="1:9">
      <c r="A21" s="214" t="s">
        <v>457</v>
      </c>
      <c r="D21" s="457"/>
      <c r="E21" s="435">
        <f>D21/11</f>
        <v>0</v>
      </c>
      <c r="F21" s="603">
        <v>1</v>
      </c>
      <c r="G21" s="436">
        <f>E21*F21</f>
        <v>0</v>
      </c>
    </row>
    <row r="22" spans="1:9">
      <c r="A22" s="214" t="s">
        <v>456</v>
      </c>
      <c r="D22" s="457"/>
      <c r="E22" s="435">
        <f>D22/11</f>
        <v>0</v>
      </c>
      <c r="F22" s="603">
        <v>1</v>
      </c>
      <c r="G22" s="436">
        <f>E22*F22</f>
        <v>0</v>
      </c>
    </row>
    <row r="23" spans="1:9">
      <c r="A23" s="214" t="s">
        <v>455</v>
      </c>
      <c r="D23" s="457"/>
      <c r="E23" s="435">
        <f>D23/11</f>
        <v>0</v>
      </c>
      <c r="F23" s="452">
        <v>1</v>
      </c>
      <c r="G23" s="436">
        <f>E23*F23</f>
        <v>0</v>
      </c>
    </row>
    <row r="24" spans="1:9">
      <c r="A24" s="214" t="s">
        <v>443</v>
      </c>
      <c r="D24" s="604"/>
      <c r="E24" s="435"/>
      <c r="F24" s="603"/>
      <c r="G24" s="457">
        <v>0</v>
      </c>
    </row>
    <row r="25" spans="1:9">
      <c r="A25" s="216" t="s">
        <v>454</v>
      </c>
      <c r="G25" s="438">
        <f>SUM(G21:G24)</f>
        <v>0</v>
      </c>
      <c r="H25" s="602"/>
    </row>
    <row r="26" spans="1:9">
      <c r="I26" s="1206" t="s">
        <v>453</v>
      </c>
    </row>
    <row r="27" spans="1:9" ht="15" customHeight="1">
      <c r="A27" s="216" t="s">
        <v>452</v>
      </c>
      <c r="I27" s="1206"/>
    </row>
    <row r="28" spans="1:9">
      <c r="A28" s="214" t="s">
        <v>451</v>
      </c>
      <c r="D28" s="435">
        <f>IF(I29&gt;0,300,0)</f>
        <v>0</v>
      </c>
      <c r="E28" s="436">
        <f t="shared" ref="E28:E35" si="0">D28/11</f>
        <v>0</v>
      </c>
      <c r="F28" s="601">
        <v>0</v>
      </c>
      <c r="G28" s="436">
        <f t="shared" ref="G28:G35" si="1">E28*F28</f>
        <v>0</v>
      </c>
      <c r="I28" s="1206"/>
    </row>
    <row r="29" spans="1:9">
      <c r="A29" s="214" t="s">
        <v>450</v>
      </c>
      <c r="D29" s="435">
        <f>IF(I29&lt;6000,I29*0.25,1500)</f>
        <v>0</v>
      </c>
      <c r="E29" s="436">
        <f t="shared" si="0"/>
        <v>0</v>
      </c>
      <c r="F29" s="601">
        <v>0</v>
      </c>
      <c r="G29" s="436">
        <f t="shared" si="1"/>
        <v>0</v>
      </c>
      <c r="I29" s="457"/>
    </row>
    <row r="30" spans="1:9">
      <c r="A30" s="214" t="s">
        <v>449</v>
      </c>
      <c r="D30" s="436">
        <f>I29-D29-D28</f>
        <v>0</v>
      </c>
      <c r="E30" s="436">
        <f t="shared" si="0"/>
        <v>0</v>
      </c>
      <c r="F30" s="601">
        <v>0.75</v>
      </c>
      <c r="G30" s="436">
        <f t="shared" si="1"/>
        <v>0</v>
      </c>
    </row>
    <row r="31" spans="1:9">
      <c r="A31" s="214" t="s">
        <v>448</v>
      </c>
      <c r="D31" s="457"/>
      <c r="E31" s="436">
        <f t="shared" si="0"/>
        <v>0</v>
      </c>
      <c r="F31" s="601">
        <v>0.75</v>
      </c>
      <c r="G31" s="436">
        <f t="shared" si="1"/>
        <v>0</v>
      </c>
    </row>
    <row r="32" spans="1:9">
      <c r="A32" s="214" t="s">
        <v>447</v>
      </c>
      <c r="D32" s="457"/>
      <c r="E32" s="436">
        <f t="shared" si="0"/>
        <v>0</v>
      </c>
      <c r="F32" s="601">
        <v>0.75</v>
      </c>
      <c r="G32" s="436">
        <f t="shared" si="1"/>
        <v>0</v>
      </c>
    </row>
    <row r="33" spans="1:7">
      <c r="A33" s="214" t="s">
        <v>446</v>
      </c>
      <c r="D33" s="457"/>
      <c r="E33" s="436">
        <f t="shared" si="0"/>
        <v>0</v>
      </c>
      <c r="F33" s="601">
        <v>0.75</v>
      </c>
      <c r="G33" s="436">
        <f t="shared" si="1"/>
        <v>0</v>
      </c>
    </row>
    <row r="34" spans="1:7">
      <c r="A34" s="214" t="s">
        <v>445</v>
      </c>
      <c r="D34" s="457"/>
      <c r="E34" s="436">
        <f t="shared" si="0"/>
        <v>0</v>
      </c>
      <c r="F34" s="601">
        <v>0.75</v>
      </c>
      <c r="G34" s="436">
        <f t="shared" si="1"/>
        <v>0</v>
      </c>
    </row>
    <row r="35" spans="1:7">
      <c r="A35" s="214" t="s">
        <v>444</v>
      </c>
      <c r="D35" s="457"/>
      <c r="E35" s="436">
        <f t="shared" si="0"/>
        <v>0</v>
      </c>
      <c r="F35" s="601">
        <v>1</v>
      </c>
      <c r="G35" s="436">
        <f t="shared" si="1"/>
        <v>0</v>
      </c>
    </row>
    <row r="36" spans="1:7">
      <c r="A36" s="214" t="s">
        <v>443</v>
      </c>
      <c r="F36" s="601"/>
      <c r="G36" s="457"/>
    </row>
    <row r="37" spans="1:7">
      <c r="A37" s="216" t="s">
        <v>442</v>
      </c>
      <c r="G37" s="438">
        <f>SUM(G28:G36)</f>
        <v>0</v>
      </c>
    </row>
    <row r="39" spans="1:7">
      <c r="F39" s="597" t="s">
        <v>441</v>
      </c>
      <c r="G39" s="600">
        <f>G25-G37</f>
        <v>0</v>
      </c>
    </row>
    <row r="41" spans="1:7">
      <c r="F41" s="597" t="s">
        <v>306</v>
      </c>
      <c r="G41" s="599">
        <f>G39-F15</f>
        <v>0</v>
      </c>
    </row>
    <row r="42" spans="1:7">
      <c r="F42" s="597" t="s">
        <v>440</v>
      </c>
      <c r="G42" s="599">
        <f>F17</f>
        <v>0</v>
      </c>
    </row>
    <row r="43" spans="1:7">
      <c r="G43" s="598"/>
    </row>
    <row r="44" spans="1:7" ht="13.5" thickBot="1">
      <c r="F44" s="597" t="s">
        <v>439</v>
      </c>
      <c r="G44" s="596">
        <f>SUM(G41:G43)</f>
        <v>0</v>
      </c>
    </row>
    <row r="45" spans="1:7" ht="13.5" thickTop="1"/>
  </sheetData>
  <mergeCells count="2">
    <mergeCell ref="G15:I15"/>
    <mergeCell ref="I26:I28"/>
  </mergeCells>
  <pageMargins left="0.7" right="0.7" top="0.75" bottom="0.75" header="0.3" footer="0.3"/>
  <pageSetup paperSize="9" fitToHeight="2" orientation="landscape" r:id="rId1"/>
  <customProperties>
    <customPr name="SheetId" r:id="rId2"/>
  </customPropertie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B10"/>
  <sheetViews>
    <sheetView workbookViewId="0">
      <selection activeCell="A10" sqref="A10"/>
    </sheetView>
  </sheetViews>
  <sheetFormatPr defaultRowHeight="15"/>
  <cols>
    <col min="1" max="1" width="20.140625" customWidth="1"/>
    <col min="2" max="2" width="20.7109375" customWidth="1"/>
    <col min="3" max="3" width="17.42578125" customWidth="1"/>
  </cols>
  <sheetData>
    <row r="1" spans="1:2">
      <c r="A1" s="72" t="s">
        <v>32</v>
      </c>
    </row>
    <row r="2" spans="1:2" s="65" customFormat="1">
      <c r="A2" s="39" t="s">
        <v>96</v>
      </c>
      <c r="B2" s="65">
        <v>0</v>
      </c>
    </row>
    <row r="3" spans="1:2">
      <c r="A3" s="39" t="s">
        <v>33</v>
      </c>
      <c r="B3">
        <v>1</v>
      </c>
    </row>
    <row r="4" spans="1:2">
      <c r="A4" s="39" t="s">
        <v>34</v>
      </c>
      <c r="B4">
        <v>2</v>
      </c>
    </row>
    <row r="5" spans="1:2">
      <c r="A5" s="39" t="s">
        <v>31</v>
      </c>
      <c r="B5">
        <v>3</v>
      </c>
    </row>
    <row r="6" spans="1:2">
      <c r="A6" s="39" t="s">
        <v>35</v>
      </c>
      <c r="B6">
        <v>4</v>
      </c>
    </row>
    <row r="7" spans="1:2">
      <c r="A7" s="39" t="s">
        <v>36</v>
      </c>
      <c r="B7">
        <v>5</v>
      </c>
    </row>
    <row r="8" spans="1:2" s="65" customFormat="1">
      <c r="A8" s="39" t="s">
        <v>97</v>
      </c>
      <c r="B8" s="65">
        <v>6</v>
      </c>
    </row>
    <row r="9" spans="1:2" s="65" customFormat="1">
      <c r="A9" s="39" t="s">
        <v>98</v>
      </c>
      <c r="B9" s="65">
        <v>7</v>
      </c>
    </row>
    <row r="10" spans="1:2">
      <c r="A10" s="39" t="s">
        <v>37</v>
      </c>
      <c r="B10" s="65">
        <v>8</v>
      </c>
    </row>
  </sheetData>
  <pageMargins left="0.7" right="0.7" top="0.75" bottom="0.75" header="0.3" footer="0.3"/>
  <customProperties>
    <customPr name="SheetId" r:id="rId1"/>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D1"/>
  <sheetViews>
    <sheetView workbookViewId="0">
      <selection activeCell="A2" sqref="A2"/>
    </sheetView>
  </sheetViews>
  <sheetFormatPr defaultRowHeight="15"/>
  <cols>
    <col min="1" max="1" width="34.140625" customWidth="1"/>
    <col min="2" max="5" width="15.85546875" customWidth="1"/>
  </cols>
  <sheetData>
    <row r="1" spans="1:4">
      <c r="A1" s="38" t="s">
        <v>118</v>
      </c>
      <c r="B1" s="38" t="s">
        <v>119</v>
      </c>
      <c r="C1" s="38" t="s">
        <v>120</v>
      </c>
      <c r="D1" s="38" t="s">
        <v>121</v>
      </c>
    </row>
  </sheetData>
  <pageMargins left="0.7" right="0.7" top="0.75" bottom="0.75" header="0.3" footer="0.3"/>
  <pageSetup paperSize="9" orientation="portrait" r:id="rId1"/>
  <customProperties>
    <customPr name="SheetId" r:id="rId2"/>
  </customPropertie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7030A0"/>
  </sheetPr>
  <dimension ref="A1:Q100"/>
  <sheetViews>
    <sheetView tabSelected="1" zoomScale="90" zoomScaleNormal="90" workbookViewId="0">
      <selection activeCell="D22" sqref="D22"/>
    </sheetView>
  </sheetViews>
  <sheetFormatPr defaultColWidth="9.140625" defaultRowHeight="12.75"/>
  <cols>
    <col min="1" max="1" width="33.140625" style="458" customWidth="1"/>
    <col min="2" max="2" width="11" style="458" customWidth="1"/>
    <col min="3" max="3" width="10.42578125" style="458" customWidth="1"/>
    <col min="4" max="4" width="10.42578125" style="487" customWidth="1"/>
    <col min="5" max="5" width="0.85546875" style="484" customWidth="1"/>
    <col min="6" max="8" width="13" style="460" customWidth="1"/>
    <col min="9" max="9" width="28.7109375" style="460" bestFit="1" customWidth="1"/>
    <col min="10" max="10" width="0.28515625" style="458" customWidth="1"/>
    <col min="11" max="11" width="9.5703125" style="465" bestFit="1" customWidth="1"/>
    <col min="12" max="12" width="19" style="458" customWidth="1"/>
    <col min="13" max="13" width="32.140625" style="458" customWidth="1"/>
    <col min="14" max="14" width="8.85546875" style="458" customWidth="1"/>
    <col min="15" max="15" width="2.140625" style="458" hidden="1" customWidth="1"/>
    <col min="16" max="16" width="3.7109375" style="458" hidden="1" customWidth="1"/>
    <col min="17" max="17" width="36" style="458" hidden="1" customWidth="1"/>
    <col min="18" max="19" width="8.85546875" style="458" customWidth="1"/>
    <col min="20" max="16384" width="9.140625" style="458"/>
  </cols>
  <sheetData>
    <row r="1" spans="1:17" ht="21" thickBot="1">
      <c r="A1" s="461" t="s">
        <v>137</v>
      </c>
      <c r="B1" s="462"/>
      <c r="C1" s="462"/>
      <c r="D1" s="463"/>
      <c r="E1" s="464"/>
      <c r="H1" s="590"/>
      <c r="I1" s="590"/>
      <c r="N1" s="466"/>
      <c r="O1" s="459"/>
    </row>
    <row r="2" spans="1:17" ht="15" customHeight="1" thickBot="1">
      <c r="A2" s="462"/>
      <c r="B2" s="462"/>
      <c r="C2" s="462"/>
      <c r="D2" s="463"/>
      <c r="E2" s="464"/>
      <c r="H2" s="590"/>
      <c r="I2" s="590"/>
      <c r="L2" s="467" t="s">
        <v>138</v>
      </c>
      <c r="M2" s="468">
        <v>43281</v>
      </c>
      <c r="N2" s="466"/>
      <c r="O2" s="459"/>
      <c r="Q2" s="458" t="s">
        <v>424</v>
      </c>
    </row>
    <row r="3" spans="1:17" ht="15" customHeight="1" thickBot="1">
      <c r="A3" s="575" t="s">
        <v>139</v>
      </c>
      <c r="B3" s="872" t="s">
        <v>550</v>
      </c>
      <c r="C3" s="872"/>
      <c r="D3" s="873"/>
      <c r="E3" s="469"/>
      <c r="G3" s="469"/>
      <c r="I3" s="586"/>
      <c r="L3" s="852" t="s">
        <v>140</v>
      </c>
      <c r="M3" s="853"/>
      <c r="N3" s="466"/>
      <c r="Q3" s="458" t="s">
        <v>425</v>
      </c>
    </row>
    <row r="4" spans="1:17" ht="15" customHeight="1" thickBot="1">
      <c r="A4" s="576" t="s">
        <v>141</v>
      </c>
      <c r="B4" s="854" t="s">
        <v>403</v>
      </c>
      <c r="C4" s="854"/>
      <c r="D4" s="855"/>
      <c r="E4" s="470"/>
      <c r="F4" s="577" t="s">
        <v>142</v>
      </c>
      <c r="G4" s="578"/>
      <c r="L4" s="471" t="s">
        <v>143</v>
      </c>
      <c r="M4" s="472"/>
      <c r="N4" s="466"/>
      <c r="Q4" s="458" t="s">
        <v>426</v>
      </c>
    </row>
    <row r="5" spans="1:17" ht="15" customHeight="1">
      <c r="A5" s="568" t="s">
        <v>405</v>
      </c>
      <c r="B5" s="856" t="s">
        <v>428</v>
      </c>
      <c r="C5" s="857"/>
      <c r="D5" s="858"/>
      <c r="E5" s="470"/>
      <c r="F5" s="859"/>
      <c r="G5" s="860"/>
      <c r="L5" s="473" t="s">
        <v>144</v>
      </c>
      <c r="M5" s="564">
        <v>2</v>
      </c>
      <c r="N5" s="466"/>
      <c r="Q5" s="458" t="s">
        <v>427</v>
      </c>
    </row>
    <row r="6" spans="1:17" ht="15" customHeight="1">
      <c r="A6" s="568" t="s">
        <v>404</v>
      </c>
      <c r="B6" s="863" t="s">
        <v>551</v>
      </c>
      <c r="C6" s="863"/>
      <c r="D6" s="864"/>
      <c r="E6" s="470"/>
      <c r="F6" s="859"/>
      <c r="G6" s="860"/>
      <c r="L6" s="473"/>
      <c r="M6" s="474"/>
      <c r="N6" s="466"/>
      <c r="Q6" s="458" t="s">
        <v>428</v>
      </c>
    </row>
    <row r="7" spans="1:17" ht="15" customHeight="1">
      <c r="A7" s="568" t="s">
        <v>406</v>
      </c>
      <c r="B7" s="863" t="s">
        <v>551</v>
      </c>
      <c r="C7" s="863"/>
      <c r="D7" s="864"/>
      <c r="E7" s="470"/>
      <c r="F7" s="859"/>
      <c r="G7" s="860"/>
      <c r="H7" s="574" t="s">
        <v>0</v>
      </c>
      <c r="I7" s="565">
        <v>43482</v>
      </c>
      <c r="L7" s="473"/>
      <c r="M7" s="474"/>
      <c r="N7" s="466"/>
    </row>
    <row r="8" spans="1:17" ht="15" customHeight="1">
      <c r="A8" s="568" t="s">
        <v>145</v>
      </c>
      <c r="B8" s="863" t="s">
        <v>283</v>
      </c>
      <c r="C8" s="863"/>
      <c r="D8" s="864"/>
      <c r="E8" s="470"/>
      <c r="F8" s="859"/>
      <c r="G8" s="860"/>
      <c r="H8" s="574" t="s">
        <v>6</v>
      </c>
      <c r="I8" s="563" t="s">
        <v>552</v>
      </c>
      <c r="L8" s="865" t="s">
        <v>146</v>
      </c>
      <c r="M8" s="866"/>
      <c r="N8" s="466"/>
    </row>
    <row r="9" spans="1:17" ht="15" customHeight="1" thickBot="1">
      <c r="A9" s="569" t="s">
        <v>429</v>
      </c>
      <c r="B9" s="867" t="s">
        <v>1037</v>
      </c>
      <c r="C9" s="867"/>
      <c r="D9" s="868"/>
      <c r="E9" s="470"/>
      <c r="F9" s="861"/>
      <c r="G9" s="862"/>
      <c r="H9" s="574" t="s">
        <v>492</v>
      </c>
      <c r="I9" s="563"/>
      <c r="L9" s="476" t="s">
        <v>124</v>
      </c>
      <c r="M9" s="474"/>
      <c r="N9" s="466"/>
    </row>
    <row r="10" spans="1:17" ht="15" customHeight="1" thickBot="1">
      <c r="A10" s="869"/>
      <c r="B10" s="869"/>
      <c r="C10" s="869"/>
      <c r="D10" s="869"/>
      <c r="E10" s="869"/>
      <c r="F10" s="869"/>
      <c r="G10" s="869"/>
      <c r="H10" s="869"/>
      <c r="I10" s="869"/>
      <c r="L10" s="473" t="s">
        <v>147</v>
      </c>
      <c r="M10" s="478" t="s">
        <v>555</v>
      </c>
      <c r="N10" s="466"/>
    </row>
    <row r="11" spans="1:17" ht="14.25" customHeight="1">
      <c r="A11" s="570" t="s">
        <v>438</v>
      </c>
      <c r="B11" s="885" t="s">
        <v>553</v>
      </c>
      <c r="C11" s="886"/>
      <c r="D11" s="887"/>
      <c r="E11" s="470"/>
      <c r="F11" s="834" t="s">
        <v>148</v>
      </c>
      <c r="G11" s="835"/>
      <c r="H11" s="836"/>
      <c r="I11" s="608" t="s">
        <v>431</v>
      </c>
      <c r="L11" s="473" t="s">
        <v>149</v>
      </c>
      <c r="M11" s="479">
        <v>24368</v>
      </c>
      <c r="N11" s="466"/>
    </row>
    <row r="12" spans="1:17" ht="14.25" customHeight="1">
      <c r="A12" s="571" t="s">
        <v>150</v>
      </c>
      <c r="B12" s="882" t="s">
        <v>556</v>
      </c>
      <c r="C12" s="883"/>
      <c r="D12" s="884"/>
      <c r="E12" s="470"/>
      <c r="F12" s="837" t="s">
        <v>151</v>
      </c>
      <c r="G12" s="838"/>
      <c r="H12" s="839"/>
      <c r="I12" s="227" t="s">
        <v>437</v>
      </c>
      <c r="L12" s="473" t="str">
        <f>"Age at "&amp;TEXT($M$2,"dd mmm yy")</f>
        <v>Age at 30 Jun 18</v>
      </c>
      <c r="M12" s="480">
        <f>IF(M11&gt;0,ROUNDDOWN(YEARFRAC(M11,$M$2,1),0),0)</f>
        <v>51</v>
      </c>
      <c r="N12" s="466"/>
    </row>
    <row r="13" spans="1:17" ht="14.25" customHeight="1">
      <c r="A13" s="572" t="s">
        <v>152</v>
      </c>
      <c r="B13" s="828" t="s">
        <v>478</v>
      </c>
      <c r="C13" s="829"/>
      <c r="D13" s="830"/>
      <c r="E13" s="470"/>
      <c r="F13" s="837" t="s">
        <v>421</v>
      </c>
      <c r="G13" s="838"/>
      <c r="H13" s="839"/>
      <c r="I13" s="567">
        <v>3100</v>
      </c>
      <c r="K13" s="465" t="s">
        <v>153</v>
      </c>
      <c r="L13" s="473" t="str">
        <f>"Age at "&amp;TEXT($M$2+1,"d mmm yy")</f>
        <v>Age at 1 Jul 18</v>
      </c>
      <c r="M13" s="480">
        <f>IF(M11&gt;0,ROUNDDOWN(YEARFRAC(M11,$M$2+1,1),0),0)</f>
        <v>51</v>
      </c>
      <c r="N13" s="466"/>
    </row>
    <row r="14" spans="1:17" ht="14.25" customHeight="1">
      <c r="A14" s="572" t="s">
        <v>395</v>
      </c>
      <c r="B14" s="828" t="s">
        <v>1036</v>
      </c>
      <c r="C14" s="829"/>
      <c r="D14" s="830"/>
      <c r="E14" s="470"/>
      <c r="F14" s="837" t="s">
        <v>155</v>
      </c>
      <c r="G14" s="838"/>
      <c r="H14" s="839"/>
      <c r="I14" s="567" t="s">
        <v>554</v>
      </c>
      <c r="L14" s="476" t="s">
        <v>125</v>
      </c>
      <c r="M14" s="474"/>
      <c r="N14" s="466"/>
      <c r="Q14" s="458" t="s">
        <v>437</v>
      </c>
    </row>
    <row r="15" spans="1:17" ht="14.25" customHeight="1" thickBot="1">
      <c r="A15" s="573" t="s">
        <v>154</v>
      </c>
      <c r="B15" s="831" t="str">
        <f>B6</f>
        <v>David Edmunds</v>
      </c>
      <c r="C15" s="832"/>
      <c r="D15" s="833"/>
      <c r="E15" s="470"/>
      <c r="F15" s="837" t="s">
        <v>156</v>
      </c>
      <c r="G15" s="838"/>
      <c r="H15" s="839"/>
      <c r="I15" s="227" t="str">
        <f>B7</f>
        <v>David Edmunds</v>
      </c>
      <c r="L15" s="473" t="s">
        <v>147</v>
      </c>
      <c r="M15" s="478" t="s">
        <v>557</v>
      </c>
      <c r="N15" s="466"/>
      <c r="Q15" s="458" t="s">
        <v>431</v>
      </c>
    </row>
    <row r="16" spans="1:17" ht="14.25" customHeight="1" thickBot="1">
      <c r="A16" s="870"/>
      <c r="B16" s="870"/>
      <c r="C16" s="870"/>
      <c r="D16" s="870"/>
      <c r="E16" s="460"/>
      <c r="F16" s="837" t="s">
        <v>436</v>
      </c>
      <c r="G16" s="838"/>
      <c r="H16" s="839"/>
      <c r="I16" s="227" t="s">
        <v>471</v>
      </c>
      <c r="J16" s="465"/>
      <c r="L16" s="473" t="s">
        <v>149</v>
      </c>
      <c r="M16" s="479">
        <v>20206</v>
      </c>
      <c r="N16" s="475"/>
    </row>
    <row r="17" spans="1:17" ht="14.25" customHeight="1" thickBot="1">
      <c r="A17" s="561" t="s">
        <v>394</v>
      </c>
      <c r="B17" s="588"/>
      <c r="C17" s="588"/>
      <c r="D17" s="589"/>
      <c r="E17" s="470"/>
      <c r="F17" s="874" t="s">
        <v>479</v>
      </c>
      <c r="G17" s="875"/>
      <c r="H17" s="876"/>
      <c r="I17" s="539" t="s">
        <v>481</v>
      </c>
      <c r="L17" s="473" t="str">
        <f>"Age at "&amp;TEXT($M$2,"dd mmm yy")</f>
        <v>Age at 30 Jun 18</v>
      </c>
      <c r="M17" s="480">
        <f>IF(M16&gt;0,ROUNDDOWN(YEARFRAC(M16,$M$2,1),0),0)</f>
        <v>63</v>
      </c>
      <c r="N17" s="481"/>
    </row>
    <row r="18" spans="1:17" ht="14.25" customHeight="1">
      <c r="A18" s="877" t="s">
        <v>157</v>
      </c>
      <c r="B18" s="878"/>
      <c r="C18" s="878"/>
      <c r="D18" s="227" t="s">
        <v>437</v>
      </c>
      <c r="F18" s="458"/>
      <c r="G18" s="458"/>
      <c r="I18" s="226"/>
      <c r="L18" s="473" t="str">
        <f>"Age at "&amp;TEXT($M$2+1,"d mmm yy")</f>
        <v>Age at 1 Jul 18</v>
      </c>
      <c r="M18" s="480">
        <f>IF(M16&gt;0,ROUNDDOWN(YEARFRAC(M16,$M$2+1,1),0),0)</f>
        <v>63</v>
      </c>
      <c r="N18" s="481"/>
    </row>
    <row r="19" spans="1:17" ht="14.25" customHeight="1">
      <c r="A19" s="840" t="s">
        <v>407</v>
      </c>
      <c r="B19" s="841"/>
      <c r="C19" s="841"/>
      <c r="D19" s="227" t="s">
        <v>437</v>
      </c>
      <c r="I19" s="226"/>
      <c r="L19" s="476" t="s">
        <v>127</v>
      </c>
      <c r="M19" s="474"/>
      <c r="N19" s="481"/>
    </row>
    <row r="20" spans="1:17" ht="14.25" customHeight="1">
      <c r="A20" s="840" t="s">
        <v>493</v>
      </c>
      <c r="B20" s="841"/>
      <c r="C20" s="841"/>
      <c r="D20" s="227" t="s">
        <v>431</v>
      </c>
      <c r="H20" s="587"/>
      <c r="I20" s="566"/>
      <c r="L20" s="473" t="s">
        <v>147</v>
      </c>
      <c r="M20" s="478"/>
      <c r="N20" s="481"/>
    </row>
    <row r="21" spans="1:17" ht="14.25" customHeight="1">
      <c r="A21" s="840" t="s">
        <v>410</v>
      </c>
      <c r="B21" s="841"/>
      <c r="C21" s="841"/>
      <c r="D21" s="227" t="s">
        <v>437</v>
      </c>
      <c r="H21" s="587"/>
      <c r="I21" s="566"/>
      <c r="L21" s="473" t="s">
        <v>149</v>
      </c>
      <c r="M21" s="479"/>
      <c r="N21" s="477"/>
      <c r="Q21" s="458" t="s">
        <v>470</v>
      </c>
    </row>
    <row r="22" spans="1:17" ht="14.25" customHeight="1">
      <c r="A22" s="840" t="s">
        <v>423</v>
      </c>
      <c r="B22" s="841"/>
      <c r="C22" s="841"/>
      <c r="D22" s="227" t="s">
        <v>437</v>
      </c>
      <c r="K22" s="221"/>
      <c r="L22" s="473" t="str">
        <f>"Age at "&amp;TEXT($M$2,"dd mmm yy")</f>
        <v>Age at 30 Jun 18</v>
      </c>
      <c r="M22" s="480">
        <f>IF(M21&gt;0,ROUNDDOWN(YEARFRAC(M21,$M$2,1),0),0)</f>
        <v>0</v>
      </c>
      <c r="N22" s="485"/>
      <c r="Q22" s="458" t="s">
        <v>474</v>
      </c>
    </row>
    <row r="23" spans="1:17" ht="14.25" customHeight="1">
      <c r="A23" s="840" t="s">
        <v>409</v>
      </c>
      <c r="B23" s="841"/>
      <c r="C23" s="841"/>
      <c r="D23" s="227" t="s">
        <v>437</v>
      </c>
      <c r="H23" s="612"/>
      <c r="K23" s="221"/>
      <c r="L23" s="473" t="str">
        <f>"Age at "&amp;TEXT($M$2+1,"d mmm yy")</f>
        <v>Age at 1 Jul 18</v>
      </c>
      <c r="M23" s="480">
        <f>IF(M21&gt;0,ROUNDDOWN(YEARFRAC(M21,$M$2+1,1),0),0)</f>
        <v>0</v>
      </c>
      <c r="Q23" s="458" t="s">
        <v>471</v>
      </c>
    </row>
    <row r="24" spans="1:17" ht="14.25" customHeight="1">
      <c r="A24" s="840" t="s">
        <v>435</v>
      </c>
      <c r="B24" s="841"/>
      <c r="C24" s="841"/>
      <c r="D24" s="227" t="s">
        <v>431</v>
      </c>
      <c r="H24" s="612"/>
      <c r="K24" s="221"/>
      <c r="L24" s="476" t="s">
        <v>128</v>
      </c>
      <c r="M24" s="474"/>
      <c r="Q24" s="458" t="s">
        <v>473</v>
      </c>
    </row>
    <row r="25" spans="1:17" ht="14.25" customHeight="1" thickBot="1">
      <c r="A25" s="842"/>
      <c r="B25" s="843"/>
      <c r="C25" s="843"/>
      <c r="D25" s="539"/>
      <c r="J25" s="483"/>
      <c r="K25" s="221"/>
      <c r="L25" s="473" t="s">
        <v>147</v>
      </c>
      <c r="M25" s="478"/>
      <c r="N25" s="485"/>
      <c r="O25" s="459"/>
      <c r="Q25" s="458" t="s">
        <v>472</v>
      </c>
    </row>
    <row r="26" spans="1:17" ht="14.25" customHeight="1" thickBot="1">
      <c r="A26" s="871"/>
      <c r="B26" s="871"/>
      <c r="C26" s="871"/>
      <c r="D26" s="871"/>
      <c r="E26" s="871"/>
      <c r="F26" s="871"/>
      <c r="G26" s="871"/>
      <c r="H26" s="871"/>
      <c r="I26" s="871"/>
      <c r="K26" s="221"/>
      <c r="L26" s="473" t="s">
        <v>149</v>
      </c>
      <c r="M26" s="479"/>
      <c r="N26" s="485"/>
      <c r="O26" s="459"/>
    </row>
    <row r="27" spans="1:17" ht="14.25" customHeight="1" thickBot="1">
      <c r="A27" s="879" t="s">
        <v>158</v>
      </c>
      <c r="B27" s="880"/>
      <c r="C27" s="880"/>
      <c r="D27" s="880"/>
      <c r="E27" s="880"/>
      <c r="F27" s="880"/>
      <c r="G27" s="880"/>
      <c r="H27" s="880"/>
      <c r="I27" s="881"/>
      <c r="K27" s="221"/>
      <c r="L27" s="473" t="str">
        <f>"Age at "&amp;TEXT($M$2,"dd mmm yy")</f>
        <v>Age at 30 Jun 18</v>
      </c>
      <c r="M27" s="480">
        <f>IF(M26&gt;0,ROUNDDOWN(YEARFRAC(M26,$M$2,1),0),0)</f>
        <v>0</v>
      </c>
      <c r="N27" s="485"/>
      <c r="O27" s="581"/>
    </row>
    <row r="28" spans="1:17" ht="14.25" customHeight="1">
      <c r="A28" s="488" t="s">
        <v>411</v>
      </c>
      <c r="B28" s="489"/>
      <c r="C28" s="490"/>
      <c r="D28" s="491"/>
      <c r="E28" s="491"/>
      <c r="F28" s="492"/>
      <c r="G28" s="492"/>
      <c r="H28" s="492"/>
      <c r="I28" s="493"/>
      <c r="K28" s="221"/>
      <c r="L28" s="473" t="str">
        <f>"Age at "&amp;TEXT($M$2+1,"d mmm yy")</f>
        <v>Age at 1 Jul 18</v>
      </c>
      <c r="M28" s="480">
        <f>IF(M26&gt;0,ROUNDDOWN(YEARFRAC(M26,$M$2+1,1),0),0)</f>
        <v>0</v>
      </c>
      <c r="N28" s="485"/>
      <c r="O28" s="459"/>
    </row>
    <row r="29" spans="1:17" ht="14.25" customHeight="1">
      <c r="A29" s="844"/>
      <c r="B29" s="845"/>
      <c r="C29" s="845"/>
      <c r="D29" s="845"/>
      <c r="E29" s="845"/>
      <c r="F29" s="845"/>
      <c r="G29" s="845"/>
      <c r="H29" s="845"/>
      <c r="I29" s="846"/>
      <c r="K29" s="221"/>
      <c r="L29" s="482"/>
      <c r="M29" s="494"/>
      <c r="N29" s="485"/>
      <c r="O29" s="459"/>
      <c r="Q29" s="458" t="s">
        <v>475</v>
      </c>
    </row>
    <row r="30" spans="1:17" ht="14.25" customHeight="1">
      <c r="A30" s="890" t="s">
        <v>159</v>
      </c>
      <c r="B30" s="891"/>
      <c r="C30" s="496" t="s">
        <v>160</v>
      </c>
      <c r="D30" s="497" t="s">
        <v>161</v>
      </c>
      <c r="E30" s="498"/>
      <c r="F30" s="824" t="s">
        <v>162</v>
      </c>
      <c r="G30" s="824"/>
      <c r="H30" s="824"/>
      <c r="I30" s="825"/>
      <c r="K30" s="221"/>
      <c r="L30" s="482"/>
      <c r="M30" s="494"/>
      <c r="N30" s="485"/>
      <c r="O30" s="459"/>
      <c r="Q30" s="458" t="s">
        <v>477</v>
      </c>
    </row>
    <row r="31" spans="1:17" ht="14.25" customHeight="1">
      <c r="A31" s="803" t="s">
        <v>1138</v>
      </c>
      <c r="B31" s="813"/>
      <c r="C31" s="499" t="s">
        <v>437</v>
      </c>
      <c r="D31" s="500"/>
      <c r="E31" s="501"/>
      <c r="F31" s="826" t="s">
        <v>420</v>
      </c>
      <c r="G31" s="826"/>
      <c r="H31" s="826"/>
      <c r="I31" s="827"/>
      <c r="K31" s="221"/>
      <c r="L31" s="482"/>
      <c r="M31" s="494"/>
      <c r="N31" s="485"/>
      <c r="Q31" s="458" t="s">
        <v>476</v>
      </c>
    </row>
    <row r="32" spans="1:17" ht="14.25" customHeight="1" thickBot="1">
      <c r="A32" s="840"/>
      <c r="B32" s="841"/>
      <c r="C32" s="500"/>
      <c r="D32" s="502"/>
      <c r="E32" s="501"/>
      <c r="F32" s="838"/>
      <c r="G32" s="838"/>
      <c r="H32" s="838"/>
      <c r="I32" s="847"/>
      <c r="K32" s="221"/>
      <c r="L32" s="486"/>
      <c r="M32" s="503"/>
      <c r="N32" s="485"/>
      <c r="Q32" s="458" t="s">
        <v>478</v>
      </c>
    </row>
    <row r="33" spans="1:17" ht="14.25" customHeight="1">
      <c r="A33" s="890" t="s">
        <v>163</v>
      </c>
      <c r="B33" s="891"/>
      <c r="C33" s="500"/>
      <c r="D33" s="502"/>
      <c r="E33" s="501"/>
      <c r="F33" s="848"/>
      <c r="G33" s="848"/>
      <c r="H33" s="848"/>
      <c r="I33" s="849"/>
      <c r="K33" s="221"/>
      <c r="N33" s="498"/>
    </row>
    <row r="34" spans="1:17" ht="15.95" customHeight="1">
      <c r="A34" s="840" t="s">
        <v>164</v>
      </c>
      <c r="B34" s="841"/>
      <c r="C34" s="499" t="s">
        <v>437</v>
      </c>
      <c r="D34" s="500"/>
      <c r="E34" s="501"/>
      <c r="F34" s="850" t="s">
        <v>165</v>
      </c>
      <c r="G34" s="850"/>
      <c r="H34" s="850"/>
      <c r="I34" s="851"/>
      <c r="K34" s="221"/>
      <c r="L34" s="483"/>
      <c r="M34" s="483"/>
      <c r="N34" s="498"/>
    </row>
    <row r="35" spans="1:17" ht="15.95" customHeight="1">
      <c r="A35" s="892" t="s">
        <v>166</v>
      </c>
      <c r="B35" s="893"/>
      <c r="C35" s="499" t="s">
        <v>437</v>
      </c>
      <c r="D35" s="500"/>
      <c r="E35" s="501"/>
      <c r="F35" s="850" t="s">
        <v>167</v>
      </c>
      <c r="G35" s="850"/>
      <c r="H35" s="850"/>
      <c r="I35" s="851"/>
      <c r="K35" s="221"/>
      <c r="L35" s="823"/>
      <c r="M35" s="823"/>
      <c r="N35" s="508"/>
      <c r="O35" s="76"/>
    </row>
    <row r="36" spans="1:17" ht="15.95" hidden="1" customHeight="1">
      <c r="A36" s="894" t="s">
        <v>168</v>
      </c>
      <c r="B36" s="895"/>
      <c r="C36" s="499" t="s">
        <v>437</v>
      </c>
      <c r="D36" s="500"/>
      <c r="E36" s="501"/>
      <c r="F36" s="850" t="s">
        <v>167</v>
      </c>
      <c r="G36" s="850"/>
      <c r="H36" s="850"/>
      <c r="I36" s="851"/>
      <c r="K36" s="221"/>
      <c r="L36" s="582"/>
      <c r="M36" s="485"/>
      <c r="N36" s="508"/>
    </row>
    <row r="37" spans="1:17" ht="15.95" hidden="1" customHeight="1">
      <c r="A37" s="896"/>
      <c r="B37" s="896"/>
      <c r="C37" s="499" t="s">
        <v>431</v>
      </c>
      <c r="D37" s="500"/>
      <c r="E37" s="501"/>
      <c r="F37" s="826" t="s">
        <v>169</v>
      </c>
      <c r="G37" s="826"/>
      <c r="H37" s="826"/>
      <c r="I37" s="827"/>
      <c r="K37" s="221"/>
      <c r="L37" s="485"/>
      <c r="M37" s="583"/>
      <c r="N37" s="508"/>
      <c r="Q37" s="458" t="s">
        <v>480</v>
      </c>
    </row>
    <row r="38" spans="1:17" ht="15.95" hidden="1" customHeight="1">
      <c r="A38" s="897" t="s">
        <v>170</v>
      </c>
      <c r="B38" s="898"/>
      <c r="C38" s="499" t="s">
        <v>431</v>
      </c>
      <c r="D38" s="500"/>
      <c r="E38" s="501"/>
      <c r="F38" s="850" t="s">
        <v>167</v>
      </c>
      <c r="G38" s="850"/>
      <c r="H38" s="850"/>
      <c r="I38" s="851"/>
      <c r="K38" s="221"/>
      <c r="L38" s="485"/>
      <c r="M38" s="485"/>
      <c r="N38" s="508"/>
      <c r="Q38" s="458" t="s">
        <v>481</v>
      </c>
    </row>
    <row r="39" spans="1:17" ht="15.95" customHeight="1">
      <c r="A39" s="803" t="s">
        <v>1139</v>
      </c>
      <c r="B39" s="810"/>
      <c r="C39" s="499" t="s">
        <v>437</v>
      </c>
      <c r="D39" s="500"/>
      <c r="E39" s="501"/>
      <c r="F39" s="807"/>
      <c r="G39" s="807"/>
      <c r="H39" s="807"/>
      <c r="I39" s="808"/>
      <c r="K39" s="221"/>
      <c r="L39" s="811"/>
      <c r="M39" s="811"/>
      <c r="N39" s="508"/>
    </row>
    <row r="40" spans="1:17" ht="15.95" customHeight="1">
      <c r="A40" s="803" t="s">
        <v>1140</v>
      </c>
      <c r="B40" s="813"/>
      <c r="C40" s="499" t="s">
        <v>437</v>
      </c>
      <c r="D40" s="500"/>
      <c r="E40" s="501"/>
      <c r="F40" s="850" t="s">
        <v>412</v>
      </c>
      <c r="G40" s="850"/>
      <c r="H40" s="850"/>
      <c r="I40" s="851"/>
      <c r="K40" s="221"/>
      <c r="L40" s="485"/>
      <c r="M40" s="485"/>
      <c r="N40" s="508"/>
      <c r="Q40" s="458" t="s">
        <v>482</v>
      </c>
    </row>
    <row r="41" spans="1:17" ht="15.95" customHeight="1">
      <c r="A41" s="803" t="s">
        <v>1137</v>
      </c>
      <c r="B41" s="813"/>
      <c r="C41" s="499" t="s">
        <v>437</v>
      </c>
      <c r="D41" s="500"/>
      <c r="E41" s="501"/>
      <c r="F41" s="899" t="s">
        <v>172</v>
      </c>
      <c r="G41" s="899"/>
      <c r="H41" s="899"/>
      <c r="I41" s="900"/>
      <c r="L41" s="498"/>
      <c r="M41" s="485"/>
      <c r="Q41" s="458" t="s">
        <v>483</v>
      </c>
    </row>
    <row r="42" spans="1:17" ht="15.95" hidden="1" customHeight="1">
      <c r="A42" s="840" t="s">
        <v>413</v>
      </c>
      <c r="B42" s="841"/>
      <c r="C42" s="499" t="s">
        <v>431</v>
      </c>
      <c r="D42" s="500"/>
      <c r="E42" s="501"/>
      <c r="F42" s="850" t="s">
        <v>432</v>
      </c>
      <c r="G42" s="850"/>
      <c r="H42" s="850"/>
      <c r="I42" s="851"/>
      <c r="L42" s="485"/>
      <c r="M42" s="584"/>
      <c r="N42" s="508"/>
      <c r="Q42" s="458" t="s">
        <v>484</v>
      </c>
    </row>
    <row r="43" spans="1:17" ht="15.95" hidden="1" customHeight="1">
      <c r="A43" s="840" t="s">
        <v>173</v>
      </c>
      <c r="B43" s="841"/>
      <c r="C43" s="499" t="s">
        <v>431</v>
      </c>
      <c r="D43" s="500"/>
      <c r="E43" s="501"/>
      <c r="F43" s="826"/>
      <c r="G43" s="826"/>
      <c r="H43" s="826"/>
      <c r="I43" s="827"/>
      <c r="L43" s="485"/>
      <c r="M43" s="585"/>
      <c r="N43" s="483"/>
      <c r="Q43" s="458" t="s">
        <v>485</v>
      </c>
    </row>
    <row r="44" spans="1:17" ht="14.25" customHeight="1">
      <c r="A44" s="907"/>
      <c r="B44" s="908"/>
      <c r="C44" s="500"/>
      <c r="D44" s="502"/>
      <c r="E44" s="501"/>
      <c r="F44" s="888"/>
      <c r="G44" s="888"/>
      <c r="H44" s="888"/>
      <c r="I44" s="889"/>
      <c r="N44" s="483"/>
      <c r="Q44" s="458" t="s">
        <v>486</v>
      </c>
    </row>
    <row r="45" spans="1:17">
      <c r="A45" s="511" t="s">
        <v>174</v>
      </c>
      <c r="B45" s="512"/>
      <c r="C45" s="513"/>
      <c r="D45" s="514"/>
      <c r="E45" s="514"/>
      <c r="F45" s="515"/>
      <c r="G45" s="515"/>
      <c r="H45" s="515"/>
      <c r="I45" s="516"/>
      <c r="N45" s="483"/>
      <c r="Q45" s="458" t="s">
        <v>487</v>
      </c>
    </row>
    <row r="46" spans="1:17" ht="14.25" customHeight="1">
      <c r="A46" s="909" t="s">
        <v>422</v>
      </c>
      <c r="B46" s="910"/>
      <c r="C46" s="500"/>
      <c r="D46" s="502"/>
      <c r="E46" s="501"/>
      <c r="F46" s="504"/>
      <c r="G46" s="903"/>
      <c r="H46" s="903"/>
      <c r="I46" s="904"/>
      <c r="K46" s="458"/>
      <c r="L46" s="483"/>
      <c r="Q46" s="458" t="s">
        <v>488</v>
      </c>
    </row>
    <row r="47" spans="1:17" ht="15.95" customHeight="1">
      <c r="A47" s="911" t="s">
        <v>175</v>
      </c>
      <c r="B47" s="912"/>
      <c r="C47" s="500"/>
      <c r="D47" s="502"/>
      <c r="E47" s="501"/>
      <c r="F47" s="504"/>
      <c r="G47" s="848"/>
      <c r="H47" s="848"/>
      <c r="I47" s="849"/>
      <c r="K47" s="458"/>
      <c r="L47" s="483"/>
      <c r="Q47" s="458" t="s">
        <v>489</v>
      </c>
    </row>
    <row r="48" spans="1:17" ht="15.95" hidden="1" customHeight="1">
      <c r="A48" s="911" t="s">
        <v>176</v>
      </c>
      <c r="B48" s="912"/>
      <c r="C48" s="499" t="s">
        <v>431</v>
      </c>
      <c r="D48" s="500"/>
      <c r="E48" s="501"/>
      <c r="F48" s="517">
        <v>0</v>
      </c>
      <c r="G48" s="838"/>
      <c r="H48" s="838"/>
      <c r="I48" s="847"/>
      <c r="K48" s="458"/>
      <c r="Q48" s="458" t="s">
        <v>490</v>
      </c>
    </row>
    <row r="49" spans="1:17" ht="15.95" customHeight="1">
      <c r="A49" s="913" t="s">
        <v>177</v>
      </c>
      <c r="B49" s="914"/>
      <c r="C49" s="499" t="s">
        <v>437</v>
      </c>
      <c r="D49" s="500"/>
      <c r="E49" s="501"/>
      <c r="F49" s="517">
        <f>'Tax Payment Sch'!E23</f>
        <v>7787.5</v>
      </c>
      <c r="G49" s="838"/>
      <c r="H49" s="838"/>
      <c r="I49" s="847"/>
      <c r="K49" s="458"/>
      <c r="Q49" s="458" t="s">
        <v>491</v>
      </c>
    </row>
    <row r="50" spans="1:17" ht="14.25" customHeight="1" thickBot="1">
      <c r="A50" s="901"/>
      <c r="B50" s="902"/>
      <c r="C50" s="500"/>
      <c r="D50" s="502"/>
      <c r="E50" s="501"/>
      <c r="F50" s="506"/>
      <c r="G50" s="905"/>
      <c r="H50" s="905"/>
      <c r="I50" s="906"/>
      <c r="K50" s="459"/>
    </row>
    <row r="51" spans="1:17" ht="14.25" customHeight="1" thickBot="1">
      <c r="A51" s="518" t="s">
        <v>178</v>
      </c>
      <c r="B51" s="519"/>
      <c r="C51" s="519"/>
      <c r="D51" s="520"/>
      <c r="E51" s="520"/>
      <c r="F51" s="521"/>
      <c r="G51" s="521"/>
      <c r="H51" s="521"/>
      <c r="I51" s="522"/>
      <c r="K51" s="459"/>
    </row>
    <row r="52" spans="1:17" ht="15.95" hidden="1" customHeight="1">
      <c r="A52" s="877" t="s">
        <v>179</v>
      </c>
      <c r="B52" s="878"/>
      <c r="C52" s="499" t="s">
        <v>431</v>
      </c>
      <c r="D52" s="500"/>
      <c r="E52" s="501"/>
      <c r="F52" s="915" t="s">
        <v>180</v>
      </c>
      <c r="G52" s="915"/>
      <c r="H52" s="915"/>
      <c r="I52" s="916"/>
      <c r="K52" s="459"/>
    </row>
    <row r="53" spans="1:17" ht="15.95" hidden="1" customHeight="1">
      <c r="A53" s="840" t="s">
        <v>181</v>
      </c>
      <c r="B53" s="841"/>
      <c r="C53" s="499" t="s">
        <v>431</v>
      </c>
      <c r="D53" s="500"/>
      <c r="E53" s="501"/>
      <c r="F53" s="826" t="s">
        <v>182</v>
      </c>
      <c r="G53" s="826"/>
      <c r="H53" s="826"/>
      <c r="I53" s="827"/>
      <c r="K53" s="458"/>
    </row>
    <row r="54" spans="1:17" ht="15.95" hidden="1" customHeight="1">
      <c r="A54" s="840" t="s">
        <v>183</v>
      </c>
      <c r="B54" s="841"/>
      <c r="C54" s="499" t="s">
        <v>431</v>
      </c>
      <c r="D54" s="500"/>
      <c r="E54" s="523"/>
      <c r="F54" s="917" t="s">
        <v>398</v>
      </c>
      <c r="G54" s="917"/>
      <c r="H54" s="917"/>
      <c r="I54" s="918"/>
      <c r="K54" s="458"/>
    </row>
    <row r="55" spans="1:17" ht="15.95" hidden="1" customHeight="1">
      <c r="A55" s="840" t="s">
        <v>184</v>
      </c>
      <c r="B55" s="841"/>
      <c r="C55" s="499" t="s">
        <v>431</v>
      </c>
      <c r="D55" s="500"/>
      <c r="E55" s="501"/>
      <c r="F55" s="850" t="s">
        <v>397</v>
      </c>
      <c r="G55" s="850"/>
      <c r="H55" s="850"/>
      <c r="I55" s="851"/>
      <c r="K55" s="458"/>
    </row>
    <row r="56" spans="1:17" ht="15.95" hidden="1" customHeight="1">
      <c r="A56" s="840" t="s">
        <v>510</v>
      </c>
      <c r="B56" s="841"/>
      <c r="C56" s="499" t="s">
        <v>431</v>
      </c>
      <c r="D56" s="500"/>
      <c r="E56" s="501"/>
      <c r="F56" s="850" t="s">
        <v>511</v>
      </c>
      <c r="G56" s="850"/>
      <c r="H56" s="850"/>
      <c r="I56" s="851"/>
      <c r="K56" s="458"/>
    </row>
    <row r="57" spans="1:17" ht="15.95" customHeight="1">
      <c r="A57" s="896" t="s">
        <v>976</v>
      </c>
      <c r="B57" s="896"/>
      <c r="C57" s="499" t="s">
        <v>437</v>
      </c>
      <c r="D57" s="500"/>
      <c r="E57" s="501"/>
      <c r="F57" s="826" t="s">
        <v>182</v>
      </c>
      <c r="G57" s="826"/>
      <c r="H57" s="826"/>
      <c r="I57" s="827"/>
      <c r="K57" s="458"/>
    </row>
    <row r="58" spans="1:17" ht="15.95" customHeight="1">
      <c r="A58" s="803" t="s">
        <v>1152</v>
      </c>
      <c r="B58" s="816"/>
      <c r="C58" s="499" t="s">
        <v>437</v>
      </c>
      <c r="D58" s="500"/>
      <c r="E58" s="501"/>
      <c r="F58" s="814"/>
      <c r="G58" s="814"/>
      <c r="H58" s="814"/>
      <c r="I58" s="815"/>
      <c r="K58" s="458"/>
    </row>
    <row r="59" spans="1:17" ht="15.95" customHeight="1">
      <c r="A59" s="803" t="s">
        <v>1153</v>
      </c>
      <c r="B59" s="816"/>
      <c r="C59" s="499" t="s">
        <v>437</v>
      </c>
      <c r="D59" s="500"/>
      <c r="E59" s="501"/>
      <c r="F59" s="814"/>
      <c r="G59" s="814"/>
      <c r="H59" s="814"/>
      <c r="I59" s="815"/>
      <c r="K59" s="458"/>
    </row>
    <row r="60" spans="1:17" ht="15.95" hidden="1" customHeight="1">
      <c r="A60" s="816"/>
      <c r="B60" s="816"/>
      <c r="C60" s="499"/>
      <c r="D60" s="500"/>
      <c r="E60" s="501"/>
      <c r="F60" s="814"/>
      <c r="G60" s="814"/>
      <c r="H60" s="814"/>
      <c r="I60" s="815"/>
      <c r="K60" s="458"/>
    </row>
    <row r="61" spans="1:17" ht="15.95" hidden="1" customHeight="1">
      <c r="A61" s="816"/>
      <c r="B61" s="816"/>
      <c r="C61" s="499"/>
      <c r="D61" s="500"/>
      <c r="E61" s="501"/>
      <c r="F61" s="814"/>
      <c r="G61" s="814"/>
      <c r="H61" s="814"/>
      <c r="I61" s="815"/>
      <c r="K61" s="458"/>
    </row>
    <row r="62" spans="1:17" ht="15.95" hidden="1" customHeight="1">
      <c r="A62" s="816"/>
      <c r="B62" s="816"/>
      <c r="C62" s="499"/>
      <c r="D62" s="500"/>
      <c r="E62" s="501"/>
      <c r="F62" s="814"/>
      <c r="G62" s="814"/>
      <c r="H62" s="814"/>
      <c r="I62" s="815"/>
      <c r="K62" s="458"/>
    </row>
    <row r="63" spans="1:17" ht="15.95" customHeight="1">
      <c r="A63" s="803" t="s">
        <v>1160</v>
      </c>
      <c r="B63" s="818"/>
      <c r="C63" s="499" t="s">
        <v>437</v>
      </c>
      <c r="D63" s="500"/>
      <c r="E63" s="501"/>
      <c r="F63" s="819"/>
      <c r="G63" s="819"/>
      <c r="H63" s="819"/>
      <c r="I63" s="820"/>
      <c r="K63" s="458"/>
    </row>
    <row r="64" spans="1:17" ht="15.95" customHeight="1">
      <c r="A64" s="803" t="s">
        <v>1161</v>
      </c>
      <c r="B64" s="818"/>
      <c r="C64" s="499" t="s">
        <v>437</v>
      </c>
      <c r="D64" s="500"/>
      <c r="E64" s="501"/>
      <c r="F64" s="819"/>
      <c r="G64" s="819"/>
      <c r="H64" s="819"/>
      <c r="I64" s="820"/>
      <c r="K64" s="458"/>
    </row>
    <row r="65" spans="1:17" ht="15.95" customHeight="1">
      <c r="A65" s="896" t="s">
        <v>1097</v>
      </c>
      <c r="B65" s="896"/>
      <c r="C65" s="499" t="s">
        <v>437</v>
      </c>
      <c r="D65" s="500"/>
      <c r="E65" s="501"/>
      <c r="F65" s="826" t="s">
        <v>182</v>
      </c>
      <c r="G65" s="826"/>
      <c r="H65" s="826"/>
      <c r="I65" s="827"/>
    </row>
    <row r="66" spans="1:17" s="459" customFormat="1" ht="15.95" hidden="1" customHeight="1">
      <c r="A66" s="840" t="s">
        <v>186</v>
      </c>
      <c r="B66" s="841"/>
      <c r="C66" s="499" t="s">
        <v>431</v>
      </c>
      <c r="D66" s="500"/>
      <c r="E66" s="501"/>
      <c r="F66" s="826" t="s">
        <v>182</v>
      </c>
      <c r="G66" s="826"/>
      <c r="H66" s="826"/>
      <c r="I66" s="827"/>
      <c r="K66" s="524"/>
      <c r="L66" s="458"/>
      <c r="M66" s="458"/>
      <c r="Q66" s="458"/>
    </row>
    <row r="67" spans="1:17" s="459" customFormat="1" ht="15.95" hidden="1" customHeight="1">
      <c r="A67" s="840" t="s">
        <v>396</v>
      </c>
      <c r="B67" s="841"/>
      <c r="C67" s="499" t="s">
        <v>431</v>
      </c>
      <c r="D67" s="500"/>
      <c r="E67" s="501"/>
      <c r="F67" s="919" t="s">
        <v>187</v>
      </c>
      <c r="G67" s="919"/>
      <c r="H67" s="919"/>
      <c r="I67" s="920"/>
      <c r="K67" s="526"/>
      <c r="L67" s="458"/>
      <c r="M67" s="458"/>
    </row>
    <row r="68" spans="1:17" ht="15.95" hidden="1" customHeight="1">
      <c r="A68" s="840" t="s">
        <v>188</v>
      </c>
      <c r="B68" s="841"/>
      <c r="C68" s="499" t="s">
        <v>431</v>
      </c>
      <c r="D68" s="500"/>
      <c r="E68" s="501"/>
      <c r="F68" s="826"/>
      <c r="G68" s="826"/>
      <c r="H68" s="826"/>
      <c r="I68" s="827"/>
      <c r="Q68" s="459"/>
    </row>
    <row r="69" spans="1:17" ht="14.25" customHeight="1" thickBot="1">
      <c r="A69" s="842"/>
      <c r="B69" s="843"/>
      <c r="C69" s="500"/>
      <c r="D69" s="502"/>
      <c r="E69" s="501"/>
      <c r="F69" s="875"/>
      <c r="G69" s="875"/>
      <c r="H69" s="875"/>
      <c r="I69" s="921"/>
    </row>
    <row r="70" spans="1:17" ht="15.75" customHeight="1" thickBot="1">
      <c r="A70" s="527" t="s">
        <v>189</v>
      </c>
      <c r="B70" s="519"/>
      <c r="C70" s="528"/>
      <c r="D70" s="529"/>
      <c r="E70" s="529"/>
      <c r="F70" s="530"/>
      <c r="G70" s="530"/>
      <c r="H70" s="530"/>
      <c r="I70" s="531"/>
    </row>
    <row r="71" spans="1:17" ht="15.6" customHeight="1">
      <c r="A71" s="803" t="s">
        <v>1101</v>
      </c>
      <c r="B71" s="804"/>
      <c r="C71" s="499" t="s">
        <v>437</v>
      </c>
      <c r="D71" s="500"/>
      <c r="E71" s="532"/>
      <c r="F71" s="922" t="s">
        <v>190</v>
      </c>
      <c r="G71" s="922"/>
      <c r="H71" s="922"/>
      <c r="I71" s="923"/>
    </row>
    <row r="72" spans="1:17" ht="15.6" hidden="1" customHeight="1">
      <c r="A72" s="896" t="s">
        <v>1035</v>
      </c>
      <c r="B72" s="896"/>
      <c r="C72" s="499" t="s">
        <v>431</v>
      </c>
      <c r="D72" s="500"/>
      <c r="E72" s="501"/>
      <c r="F72" s="838" t="s">
        <v>1100</v>
      </c>
      <c r="G72" s="838"/>
      <c r="H72" s="838"/>
      <c r="I72" s="847"/>
    </row>
    <row r="73" spans="1:17" ht="15.6" customHeight="1">
      <c r="A73" s="803" t="s">
        <v>1035</v>
      </c>
      <c r="B73" s="809"/>
      <c r="C73" s="499" t="s">
        <v>437</v>
      </c>
      <c r="D73" s="500"/>
      <c r="E73" s="501"/>
      <c r="F73" s="805"/>
      <c r="G73" s="805"/>
      <c r="H73" s="805"/>
      <c r="I73" s="806"/>
    </row>
    <row r="74" spans="1:17" ht="15.6" customHeight="1">
      <c r="A74" s="896" t="s">
        <v>1098</v>
      </c>
      <c r="B74" s="896"/>
      <c r="C74" s="499" t="s">
        <v>437</v>
      </c>
      <c r="D74" s="500"/>
      <c r="E74" s="501"/>
      <c r="F74" s="838" t="s">
        <v>1099</v>
      </c>
      <c r="G74" s="838"/>
      <c r="H74" s="838"/>
      <c r="I74" s="847"/>
      <c r="J74" s="483"/>
      <c r="K74" s="533"/>
    </row>
    <row r="75" spans="1:17" ht="15" customHeight="1" thickBot="1">
      <c r="A75" s="842"/>
      <c r="B75" s="843"/>
      <c r="C75" s="483"/>
      <c r="D75" s="508"/>
      <c r="E75" s="498"/>
      <c r="F75" s="875"/>
      <c r="G75" s="875"/>
      <c r="H75" s="875"/>
      <c r="I75" s="921"/>
      <c r="J75" s="483"/>
      <c r="K75" s="533"/>
    </row>
    <row r="76" spans="1:17" ht="14.25" customHeight="1" thickBot="1">
      <c r="A76" s="518" t="s">
        <v>408</v>
      </c>
      <c r="B76" s="534"/>
      <c r="C76" s="534"/>
      <c r="D76" s="534"/>
      <c r="E76" s="534"/>
      <c r="F76" s="534"/>
      <c r="G76" s="534"/>
      <c r="H76" s="534"/>
      <c r="I76" s="535"/>
    </row>
    <row r="77" spans="1:17" ht="15.95" customHeight="1">
      <c r="A77" s="482" t="s">
        <v>191</v>
      </c>
      <c r="B77" s="495" t="s">
        <v>192</v>
      </c>
      <c r="C77" s="483"/>
      <c r="D77" s="536"/>
      <c r="E77" s="536"/>
      <c r="F77" s="536"/>
      <c r="G77" s="537" t="s">
        <v>0</v>
      </c>
      <c r="H77" s="538"/>
      <c r="I77" s="227"/>
    </row>
    <row r="78" spans="1:17" ht="14.25" customHeight="1" thickBot="1">
      <c r="A78" s="924"/>
      <c r="B78" s="871"/>
      <c r="C78" s="871"/>
      <c r="D78" s="871"/>
      <c r="E78" s="871"/>
      <c r="F78" s="871"/>
      <c r="G78" s="871"/>
      <c r="H78" s="871"/>
      <c r="I78" s="925"/>
    </row>
    <row r="79" spans="1:17" ht="14.25" customHeight="1" thickBot="1">
      <c r="A79" s="540"/>
      <c r="B79" s="483"/>
      <c r="C79" s="483"/>
      <c r="D79" s="508"/>
      <c r="E79" s="498"/>
      <c r="F79" s="226"/>
      <c r="G79" s="226"/>
      <c r="H79" s="226"/>
      <c r="I79" s="226"/>
    </row>
    <row r="80" spans="1:17" ht="14.25" hidden="1" customHeight="1">
      <c r="A80" s="541" t="s">
        <v>193</v>
      </c>
      <c r="B80" s="542"/>
      <c r="C80" s="542"/>
      <c r="D80" s="542"/>
      <c r="E80" s="542"/>
      <c r="F80" s="542"/>
      <c r="G80" s="542"/>
      <c r="H80" s="542"/>
      <c r="I80" s="543"/>
    </row>
    <row r="81" spans="1:17" ht="13.5" hidden="1" thickBot="1">
      <c r="A81" s="544" t="s">
        <v>194</v>
      </c>
      <c r="B81" s="545"/>
      <c r="C81" s="546" t="s">
        <v>195</v>
      </c>
      <c r="D81" s="547"/>
      <c r="E81" s="547"/>
      <c r="F81" s="548" t="s">
        <v>196</v>
      </c>
      <c r="G81" s="548"/>
      <c r="H81" s="548"/>
      <c r="I81" s="549"/>
    </row>
    <row r="82" spans="1:17" ht="13.5" hidden="1" thickBot="1">
      <c r="A82" s="442" t="s">
        <v>197</v>
      </c>
      <c r="B82" s="550"/>
      <c r="C82" s="551"/>
      <c r="D82" s="532"/>
      <c r="E82" s="532"/>
      <c r="F82" s="505" t="s">
        <v>171</v>
      </c>
      <c r="G82" s="506"/>
      <c r="H82" s="506"/>
      <c r="I82" s="507"/>
    </row>
    <row r="83" spans="1:17" ht="13.5" hidden="1" thickBot="1">
      <c r="A83" s="442" t="s">
        <v>198</v>
      </c>
      <c r="B83" s="550"/>
      <c r="C83" s="551"/>
      <c r="D83" s="532"/>
      <c r="E83" s="532"/>
      <c r="F83" s="505" t="s">
        <v>171</v>
      </c>
      <c r="G83" s="506"/>
      <c r="H83" s="506"/>
      <c r="I83" s="507"/>
    </row>
    <row r="84" spans="1:17" ht="13.5" hidden="1" thickBot="1">
      <c r="A84" s="442" t="s">
        <v>199</v>
      </c>
      <c r="B84" s="550"/>
      <c r="C84" s="551"/>
      <c r="D84" s="502"/>
      <c r="E84" s="501"/>
      <c r="F84" s="505" t="s">
        <v>171</v>
      </c>
      <c r="G84" s="506"/>
      <c r="H84" s="506"/>
      <c r="I84" s="507"/>
    </row>
    <row r="85" spans="1:17" ht="14.25" hidden="1" customHeight="1">
      <c r="A85" s="442" t="s">
        <v>200</v>
      </c>
      <c r="B85" s="550"/>
      <c r="C85" s="551"/>
      <c r="D85" s="508"/>
      <c r="E85" s="498"/>
      <c r="F85" s="505" t="s">
        <v>171</v>
      </c>
      <c r="G85" s="506"/>
      <c r="H85" s="506"/>
      <c r="I85" s="507"/>
    </row>
    <row r="86" spans="1:17" ht="14.25" hidden="1" customHeight="1">
      <c r="A86" s="442" t="s">
        <v>201</v>
      </c>
      <c r="B86" s="550"/>
      <c r="C86" s="551"/>
      <c r="D86" s="508"/>
      <c r="E86" s="498"/>
      <c r="F86" s="505" t="s">
        <v>171</v>
      </c>
      <c r="G86" s="506"/>
      <c r="H86" s="506"/>
      <c r="I86" s="507"/>
    </row>
    <row r="87" spans="1:17" ht="13.5" hidden="1" thickBot="1">
      <c r="A87" s="442" t="s">
        <v>201</v>
      </c>
      <c r="B87" s="550"/>
      <c r="C87" s="551"/>
      <c r="D87" s="508"/>
      <c r="E87" s="498"/>
      <c r="F87" s="505" t="s">
        <v>171</v>
      </c>
      <c r="G87" s="506"/>
      <c r="H87" s="506"/>
      <c r="I87" s="507"/>
    </row>
    <row r="88" spans="1:17" ht="13.5" hidden="1" thickBot="1">
      <c r="A88" s="442" t="s">
        <v>201</v>
      </c>
      <c r="B88" s="550"/>
      <c r="C88" s="551"/>
      <c r="D88" s="508"/>
      <c r="E88" s="498"/>
      <c r="F88" s="505" t="s">
        <v>185</v>
      </c>
      <c r="G88" s="506"/>
      <c r="H88" s="506"/>
      <c r="I88" s="507"/>
    </row>
    <row r="89" spans="1:17" s="459" customFormat="1" ht="14.25" hidden="1" customHeight="1">
      <c r="A89" s="442" t="s">
        <v>201</v>
      </c>
      <c r="B89" s="550"/>
      <c r="C89" s="551"/>
      <c r="D89" s="508"/>
      <c r="E89" s="498"/>
      <c r="F89" s="505" t="s">
        <v>171</v>
      </c>
      <c r="G89" s="506"/>
      <c r="H89" s="506"/>
      <c r="I89" s="507"/>
      <c r="K89" s="524"/>
      <c r="Q89" s="458"/>
    </row>
    <row r="90" spans="1:17" ht="14.25" hidden="1" customHeight="1">
      <c r="A90" s="442" t="s">
        <v>201</v>
      </c>
      <c r="B90" s="550"/>
      <c r="C90" s="551"/>
      <c r="D90" s="508"/>
      <c r="E90" s="498"/>
      <c r="F90" s="505" t="s">
        <v>171</v>
      </c>
      <c r="G90" s="506"/>
      <c r="H90" s="506"/>
      <c r="I90" s="507"/>
      <c r="Q90" s="459"/>
    </row>
    <row r="91" spans="1:17" ht="14.25" hidden="1" customHeight="1">
      <c r="A91" s="442" t="s">
        <v>202</v>
      </c>
      <c r="B91" s="550"/>
      <c r="C91" s="551"/>
      <c r="D91" s="508"/>
      <c r="E91" s="498"/>
      <c r="F91" s="505" t="s">
        <v>171</v>
      </c>
      <c r="G91" s="506"/>
      <c r="H91" s="506"/>
      <c r="I91" s="507"/>
    </row>
    <row r="92" spans="1:17" ht="14.25" hidden="1" customHeight="1">
      <c r="A92" s="442" t="s">
        <v>203</v>
      </c>
      <c r="B92" s="550"/>
      <c r="C92" s="551"/>
      <c r="D92" s="508"/>
      <c r="E92" s="498"/>
      <c r="F92" s="509" t="s">
        <v>204</v>
      </c>
      <c r="G92" s="509"/>
      <c r="H92" s="509"/>
      <c r="I92" s="510"/>
    </row>
    <row r="93" spans="1:17" ht="14.25" hidden="1" customHeight="1">
      <c r="A93" s="442"/>
      <c r="B93" s="550"/>
      <c r="C93" s="552"/>
      <c r="D93" s="508"/>
      <c r="E93" s="498"/>
      <c r="F93" s="509"/>
      <c r="G93" s="509"/>
      <c r="H93" s="509"/>
      <c r="I93" s="510"/>
    </row>
    <row r="94" spans="1:17" ht="13.5" thickBot="1">
      <c r="A94" s="527" t="s">
        <v>205</v>
      </c>
      <c r="B94" s="519"/>
      <c r="C94" s="528"/>
      <c r="D94" s="529"/>
      <c r="E94" s="529"/>
      <c r="F94" s="553"/>
      <c r="G94" s="530"/>
      <c r="H94" s="530"/>
      <c r="I94" s="531"/>
    </row>
    <row r="95" spans="1:17" ht="15.6" customHeight="1">
      <c r="A95" s="926" t="s">
        <v>414</v>
      </c>
      <c r="B95" s="927"/>
      <c r="C95" s="579"/>
      <c r="D95" s="554"/>
      <c r="E95" s="555"/>
      <c r="F95" s="932" t="s">
        <v>415</v>
      </c>
      <c r="G95" s="932"/>
      <c r="H95" s="932"/>
      <c r="I95" s="933"/>
      <c r="J95" s="483"/>
    </row>
    <row r="96" spans="1:17" ht="15.6" customHeight="1">
      <c r="A96" s="928" t="s">
        <v>419</v>
      </c>
      <c r="B96" s="929"/>
      <c r="C96" s="562"/>
      <c r="D96" s="508"/>
      <c r="E96" s="498"/>
      <c r="F96" s="525" t="s">
        <v>430</v>
      </c>
      <c r="G96" s="505"/>
      <c r="H96" s="505"/>
      <c r="I96" s="670"/>
      <c r="J96" s="483"/>
    </row>
    <row r="97" spans="1:10" ht="15.6" customHeight="1">
      <c r="A97" s="928" t="s">
        <v>206</v>
      </c>
      <c r="B97" s="929"/>
      <c r="C97" s="562"/>
      <c r="D97" s="508"/>
      <c r="E97" s="498"/>
      <c r="F97" s="850" t="s">
        <v>415</v>
      </c>
      <c r="G97" s="850"/>
      <c r="H97" s="850"/>
      <c r="I97" s="851"/>
      <c r="J97" s="483"/>
    </row>
    <row r="98" spans="1:10" ht="15.6" customHeight="1" thickBot="1">
      <c r="A98" s="930" t="s">
        <v>417</v>
      </c>
      <c r="B98" s="931"/>
      <c r="C98" s="562"/>
      <c r="D98" s="508"/>
      <c r="E98" s="498"/>
      <c r="F98" s="905" t="s">
        <v>416</v>
      </c>
      <c r="G98" s="905"/>
      <c r="H98" s="905"/>
      <c r="I98" s="906"/>
      <c r="J98" s="483"/>
    </row>
    <row r="99" spans="1:10" ht="15.6" customHeight="1" thickBot="1">
      <c r="A99" s="593" t="s">
        <v>418</v>
      </c>
      <c r="B99" s="592"/>
      <c r="C99" s="580"/>
      <c r="D99" s="556"/>
      <c r="E99" s="557"/>
      <c r="F99" s="558"/>
      <c r="G99" s="558"/>
      <c r="H99" s="558"/>
      <c r="I99" s="559"/>
    </row>
    <row r="100" spans="1:10">
      <c r="A100" s="560"/>
      <c r="F100" s="226"/>
      <c r="G100" s="226"/>
      <c r="H100" s="226"/>
      <c r="I100" s="226"/>
    </row>
  </sheetData>
  <dataConsolidate/>
  <mergeCells count="108">
    <mergeCell ref="F71:I71"/>
    <mergeCell ref="F72:I72"/>
    <mergeCell ref="F74:I74"/>
    <mergeCell ref="F75:I75"/>
    <mergeCell ref="A78:I78"/>
    <mergeCell ref="A95:B95"/>
    <mergeCell ref="A96:B96"/>
    <mergeCell ref="A97:B97"/>
    <mergeCell ref="A98:B98"/>
    <mergeCell ref="F95:I95"/>
    <mergeCell ref="F97:I97"/>
    <mergeCell ref="F98:I98"/>
    <mergeCell ref="A72:B72"/>
    <mergeCell ref="A74:B74"/>
    <mergeCell ref="A75:B75"/>
    <mergeCell ref="A69:B69"/>
    <mergeCell ref="F52:I52"/>
    <mergeCell ref="F53:I53"/>
    <mergeCell ref="F54:I54"/>
    <mergeCell ref="F55:I55"/>
    <mergeCell ref="F56:I56"/>
    <mergeCell ref="F57:I57"/>
    <mergeCell ref="F65:I65"/>
    <mergeCell ref="F66:I66"/>
    <mergeCell ref="F67:I67"/>
    <mergeCell ref="F68:I68"/>
    <mergeCell ref="F69:I69"/>
    <mergeCell ref="A57:B57"/>
    <mergeCell ref="A65:B65"/>
    <mergeCell ref="A66:B66"/>
    <mergeCell ref="A67:B67"/>
    <mergeCell ref="A68:B68"/>
    <mergeCell ref="A52:B52"/>
    <mergeCell ref="A53:B53"/>
    <mergeCell ref="A54:B54"/>
    <mergeCell ref="A55:B55"/>
    <mergeCell ref="A56:B56"/>
    <mergeCell ref="A50:B50"/>
    <mergeCell ref="G48:I48"/>
    <mergeCell ref="G49:I49"/>
    <mergeCell ref="G47:I47"/>
    <mergeCell ref="G46:I46"/>
    <mergeCell ref="G50:I50"/>
    <mergeCell ref="A44:B44"/>
    <mergeCell ref="A46:B46"/>
    <mergeCell ref="A47:B47"/>
    <mergeCell ref="A48:B48"/>
    <mergeCell ref="A49:B49"/>
    <mergeCell ref="F42:I42"/>
    <mergeCell ref="F43:I43"/>
    <mergeCell ref="F44:I44"/>
    <mergeCell ref="A30:B30"/>
    <mergeCell ref="A32:B32"/>
    <mergeCell ref="A33:B33"/>
    <mergeCell ref="A34:B34"/>
    <mergeCell ref="A35:B35"/>
    <mergeCell ref="A36:B36"/>
    <mergeCell ref="A37:B37"/>
    <mergeCell ref="A38:B38"/>
    <mergeCell ref="A42:B42"/>
    <mergeCell ref="A43:B43"/>
    <mergeCell ref="F36:I36"/>
    <mergeCell ref="F37:I37"/>
    <mergeCell ref="F38:I38"/>
    <mergeCell ref="F40:I40"/>
    <mergeCell ref="F41:I41"/>
    <mergeCell ref="A10:I10"/>
    <mergeCell ref="A16:D16"/>
    <mergeCell ref="A26:I26"/>
    <mergeCell ref="B3:D3"/>
    <mergeCell ref="F16:H16"/>
    <mergeCell ref="F17:H17"/>
    <mergeCell ref="A18:C18"/>
    <mergeCell ref="A27:I27"/>
    <mergeCell ref="B14:D14"/>
    <mergeCell ref="B12:D12"/>
    <mergeCell ref="B11:D11"/>
    <mergeCell ref="L3:M3"/>
    <mergeCell ref="B4:D4"/>
    <mergeCell ref="B5:D5"/>
    <mergeCell ref="F5:G9"/>
    <mergeCell ref="B6:D6"/>
    <mergeCell ref="B7:D7"/>
    <mergeCell ref="B8:D8"/>
    <mergeCell ref="L8:M8"/>
    <mergeCell ref="B9:D9"/>
    <mergeCell ref="L35:M35"/>
    <mergeCell ref="F30:I30"/>
    <mergeCell ref="F31:I31"/>
    <mergeCell ref="B13:D13"/>
    <mergeCell ref="B15:D15"/>
    <mergeCell ref="F11:H11"/>
    <mergeCell ref="F12:H12"/>
    <mergeCell ref="F13:H13"/>
    <mergeCell ref="F14:H14"/>
    <mergeCell ref="F15:H15"/>
    <mergeCell ref="A24:C24"/>
    <mergeCell ref="A25:C25"/>
    <mergeCell ref="A19:C19"/>
    <mergeCell ref="A20:C20"/>
    <mergeCell ref="A21:C21"/>
    <mergeCell ref="A22:C22"/>
    <mergeCell ref="A23:C23"/>
    <mergeCell ref="A29:I29"/>
    <mergeCell ref="F32:I32"/>
    <mergeCell ref="F33:I33"/>
    <mergeCell ref="F34:I34"/>
    <mergeCell ref="F35:I35"/>
  </mergeCells>
  <conditionalFormatting sqref="A53:A56 A49 A66:A69 A34 A36 A82:A93 A42:A43 A95:A96">
    <cfRule type="expression" dxfId="463" priority="66">
      <formula>C34="No"</formula>
    </cfRule>
  </conditionalFormatting>
  <conditionalFormatting sqref="B82:B93">
    <cfRule type="expression" dxfId="462" priority="67">
      <formula>#REF!="No"</formula>
    </cfRule>
  </conditionalFormatting>
  <conditionalFormatting sqref="A52">
    <cfRule type="expression" dxfId="461" priority="65">
      <formula>$C$52="No"</formula>
    </cfRule>
  </conditionalFormatting>
  <conditionalFormatting sqref="A38 A48:A49 A34:A36">
    <cfRule type="expression" dxfId="460" priority="64">
      <formula>$C34="No"</formula>
    </cfRule>
  </conditionalFormatting>
  <conditionalFormatting sqref="A38">
    <cfRule type="expression" dxfId="459" priority="61">
      <formula>C38="No"</formula>
    </cfRule>
  </conditionalFormatting>
  <conditionalFormatting sqref="A32">
    <cfRule type="expression" dxfId="458" priority="68">
      <formula>#REF!="No"</formula>
    </cfRule>
  </conditionalFormatting>
  <conditionalFormatting sqref="D31 D95 D71:D74 D41:D43">
    <cfRule type="expression" dxfId="457" priority="58">
      <formula>D31="no"</formula>
    </cfRule>
  </conditionalFormatting>
  <conditionalFormatting sqref="D36 D38:D39">
    <cfRule type="expression" dxfId="456" priority="56">
      <formula>D36="no"</formula>
    </cfRule>
  </conditionalFormatting>
  <conditionalFormatting sqref="D34:D35 D40 D66">
    <cfRule type="expression" dxfId="455" priority="57">
      <formula>D34="no"</formula>
    </cfRule>
  </conditionalFormatting>
  <conditionalFormatting sqref="A50">
    <cfRule type="expression" dxfId="454" priority="69">
      <formula>#REF!="No"</formula>
    </cfRule>
  </conditionalFormatting>
  <conditionalFormatting sqref="D48">
    <cfRule type="expression" dxfId="453" priority="55">
      <formula>D48="no"</formula>
    </cfRule>
  </conditionalFormatting>
  <conditionalFormatting sqref="D49">
    <cfRule type="expression" dxfId="452" priority="54">
      <formula>D49="no"</formula>
    </cfRule>
  </conditionalFormatting>
  <conditionalFormatting sqref="A48">
    <cfRule type="expression" dxfId="451" priority="53">
      <formula>C48="No"</formula>
    </cfRule>
  </conditionalFormatting>
  <conditionalFormatting sqref="D52">
    <cfRule type="expression" dxfId="450" priority="50">
      <formula>D52="no"</formula>
    </cfRule>
  </conditionalFormatting>
  <conditionalFormatting sqref="D53:D54">
    <cfRule type="expression" dxfId="449" priority="49">
      <formula>D53="no"</formula>
    </cfRule>
  </conditionalFormatting>
  <conditionalFormatting sqref="D55:D56">
    <cfRule type="expression" dxfId="448" priority="48">
      <formula>D55="no"</formula>
    </cfRule>
  </conditionalFormatting>
  <conditionalFormatting sqref="D57:D65">
    <cfRule type="expression" dxfId="447" priority="47">
      <formula>D57="no"</formula>
    </cfRule>
  </conditionalFormatting>
  <conditionalFormatting sqref="D67:D68">
    <cfRule type="expression" dxfId="446" priority="44">
      <formula>D67="no"</formula>
    </cfRule>
  </conditionalFormatting>
  <conditionalFormatting sqref="A35">
    <cfRule type="expression" dxfId="445" priority="38">
      <formula>C35="No"</formula>
    </cfRule>
  </conditionalFormatting>
  <conditionalFormatting sqref="D37">
    <cfRule type="expression" dxfId="444" priority="32">
      <formula>D37="no"</formula>
    </cfRule>
  </conditionalFormatting>
  <conditionalFormatting sqref="A54">
    <cfRule type="expression" dxfId="443" priority="24">
      <formula>$B$54="Electronic"</formula>
    </cfRule>
  </conditionalFormatting>
  <conditionalFormatting sqref="A99">
    <cfRule type="expression" dxfId="442" priority="11">
      <formula>C99="No"</formula>
    </cfRule>
  </conditionalFormatting>
  <conditionalFormatting sqref="B99">
    <cfRule type="expression" dxfId="441" priority="12">
      <formula>#REF!="No"</formula>
    </cfRule>
  </conditionalFormatting>
  <conditionalFormatting sqref="A97">
    <cfRule type="expression" dxfId="440" priority="9">
      <formula>C97="No"</formula>
    </cfRule>
  </conditionalFormatting>
  <conditionalFormatting sqref="A98">
    <cfRule type="expression" dxfId="439" priority="7">
      <formula>C98="No"</formula>
    </cfRule>
  </conditionalFormatting>
  <dataValidations count="9">
    <dataValidation type="list" allowBlank="1" showInputMessage="1" showErrorMessage="1" sqref="I14" xr:uid="{00000000-0002-0000-0400-000000000000}">
      <formula1>"50% Balance, On Completion, Fee From Refund, 100% in Advance, Already Paid"</formula1>
    </dataValidation>
    <dataValidation type="list" allowBlank="1" showInputMessage="1" showErrorMessage="1" sqref="C48:D49 C31:D31 C34:D43 D95 C95:C99 C82:C93 C71:D74 C52:D68" xr:uid="{00000000-0002-0000-0400-000002000000}">
      <formula1>"Yes,No"</formula1>
    </dataValidation>
    <dataValidation type="list" allowBlank="1" showInputMessage="1" showErrorMessage="1" sqref="E17" xr:uid="{00000000-0002-0000-0400-000005000000}">
      <formula1>"Docusign,Email,Mail,Client Meeting"</formula1>
    </dataValidation>
    <dataValidation type="list" allowBlank="1" showInputMessage="1" showErrorMessage="1" sqref="R5" xr:uid="{00000000-0002-0000-0400-000006000000}">
      <formula1>$P$5:$P$7</formula1>
    </dataValidation>
    <dataValidation type="list" allowBlank="1" showInputMessage="1" showErrorMessage="1" sqref="S2 B5:D5" xr:uid="{00000000-0002-0000-0400-000007000000}">
      <formula1>$Q$2:$Q$6</formula1>
    </dataValidation>
    <dataValidation type="list" allowBlank="1" showInputMessage="1" showErrorMessage="1" sqref="I11:I12 D18:D25" xr:uid="{00000000-0002-0000-0400-000008000000}">
      <formula1>$Q$14:$Q$15</formula1>
    </dataValidation>
    <dataValidation type="list" allowBlank="1" showInputMessage="1" showErrorMessage="1" sqref="I16" xr:uid="{6545AFA2-585D-43BC-A0F9-3F82B8423B67}">
      <formula1>$Q$21:$Q$25</formula1>
    </dataValidation>
    <dataValidation type="list" allowBlank="1" showInputMessage="1" showErrorMessage="1" sqref="B13:D13" xr:uid="{764B6245-36B0-4C85-B987-63A7908456D6}">
      <formula1>$Q$29:$Q$32</formula1>
    </dataValidation>
    <dataValidation type="list" allowBlank="1" showInputMessage="1" showErrorMessage="1" sqref="I17" xr:uid="{4159BBD2-09B1-4D4B-AC49-5FD3D757ED5E}">
      <formula1>$Q$37:$Q$49</formula1>
    </dataValidation>
  </dataValidations>
  <hyperlinks>
    <hyperlink ref="A36" location="'Pension Advice Schedule'!A1" display="Pension Advice Schedule" xr:uid="{00000000-0004-0000-0400-000000000000}"/>
    <hyperlink ref="A38" location="'Assignment To do'!A1" display="GST &amp; BAS Rec" xr:uid="{00000000-0004-0000-0400-000001000000}"/>
    <hyperlink ref="A35" location="'Tax Payment Sch'!A1" display="Tax Payment Schedule" xr:uid="{00000000-0004-0000-0400-000003000000}"/>
    <hyperlink ref="F72" r:id="rId1" display="http://asic.gov.au/" xr:uid="{00000000-0004-0000-0400-000005000000}"/>
    <hyperlink ref="B11" r:id="rId2" xr:uid="{1A9B6FE9-4CDA-4B70-B554-9BFB77D439CC}"/>
    <hyperlink ref="B12" r:id="rId3" display="hownow://_r776306/" xr:uid="{298CCEE9-7A8F-4295-9FD9-536C0EC2A901}"/>
    <hyperlink ref="A72" r:id="rId4" display="hownow://_r919242/" xr:uid="{66BE12FB-2D3D-4299-A4BC-7A33881113CE}"/>
    <hyperlink ref="A57" r:id="rId5" display="hownow://_r920394/" xr:uid="{6F3B121B-ECEB-42E2-A647-9AE5977CD51F}"/>
    <hyperlink ref="A65" r:id="rId6" display="hownow://_r925602/" xr:uid="{FD19A566-55FF-4762-94F1-5A82E8D6D129}"/>
    <hyperlink ref="A74" r:id="rId7" display="hownow://_r925604/" xr:uid="{9A31BDFA-CC72-4FC1-9744-B2D1D349CA9C}"/>
    <hyperlink ref="A71" r:id="rId8" display="hownow://_r925612/" xr:uid="{2D62C472-B93E-41F3-859E-C366AF232D7A}"/>
    <hyperlink ref="A73" r:id="rId9" display="hownow://_r919242/" xr:uid="{BE9885B3-F173-4EA2-82E0-734266F23D71}"/>
    <hyperlink ref="A41" r:id="rId10" display="hownow://_r989611/" xr:uid="{67F23492-5781-4A0C-9B92-21B6B7FD8AE4}"/>
    <hyperlink ref="A31" r:id="rId11" display="hownow://_r989612/" xr:uid="{3F84F21B-507C-4E2B-B8E4-94CA0DA0AF63}"/>
    <hyperlink ref="A39" r:id="rId12" display="hownow://_r989615/" xr:uid="{031D6FF8-79BF-4CD5-A931-BECD961E6D3E}"/>
    <hyperlink ref="A40" r:id="rId13" display="hownow://_r989614/" xr:uid="{FC133E45-B383-4709-A6DC-25EEBA2AFA6F}"/>
    <hyperlink ref="A58" r:id="rId14" display="hownow://_r989933/" xr:uid="{A904EE6E-F11D-41AB-ABF4-3D1A22836043}"/>
    <hyperlink ref="A59" r:id="rId15" display="hownow://_r989934/" xr:uid="{539C8ECF-8C25-4574-9783-D913310F9746}"/>
    <hyperlink ref="A63" r:id="rId16" display="hownow://_r990660/" xr:uid="{B60AFD5B-4053-48D1-8C46-CE3D8A1ADD8B}"/>
    <hyperlink ref="A64" r:id="rId17" display="hownow://_r990633/" xr:uid="{1A967B38-A711-4271-A11A-1581E7D0FBF9}"/>
  </hyperlinks>
  <pageMargins left="0.23622047244094491" right="0.23622047244094491" top="0.35433070866141736" bottom="0.35433070866141736" header="0.31496062992125984" footer="0.31496062992125984"/>
  <pageSetup paperSize="9" scale="84" orientation="portrait" r:id="rId18"/>
  <customProperties>
    <customPr name="SheetId" r:id="rId19"/>
  </customProperties>
  <drawing r:id="rId20"/>
  <legacyDrawing r:id="rId2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E712DC-2536-440E-B045-FCF9F2E1A26E}">
  <dimension ref="A1:I35"/>
  <sheetViews>
    <sheetView zoomScale="80" zoomScaleNormal="80" workbookViewId="0">
      <selection activeCell="C38" sqref="C38:F38"/>
    </sheetView>
  </sheetViews>
  <sheetFormatPr defaultColWidth="9.140625" defaultRowHeight="15"/>
  <cols>
    <col min="1" max="1" width="39" style="74" customWidth="1"/>
    <col min="2" max="2" width="29.7109375" style="74" customWidth="1"/>
    <col min="3" max="3" width="21.7109375" style="74" customWidth="1"/>
    <col min="4" max="4" width="8" style="74" customWidth="1"/>
    <col min="5" max="5" width="20.140625" style="613" customWidth="1"/>
    <col min="6" max="7" width="9.140625" style="74" hidden="1" customWidth="1"/>
    <col min="8" max="8" width="16.42578125" style="74" customWidth="1"/>
    <col min="9" max="16384" width="9.140625" style="74"/>
  </cols>
  <sheetData>
    <row r="1" spans="1:9">
      <c r="A1" s="34"/>
      <c r="B1" s="34"/>
      <c r="C1" s="34"/>
      <c r="D1" s="34"/>
    </row>
    <row r="2" spans="1:9">
      <c r="A2" s="614" t="s">
        <v>219</v>
      </c>
      <c r="B2" s="935" t="str">
        <f>'Assignment To do'!B3:D3</f>
        <v>The Schubert Superannuation Fund</v>
      </c>
      <c r="C2" s="935"/>
      <c r="D2" s="34"/>
      <c r="F2" s="615"/>
      <c r="G2" s="616"/>
    </row>
    <row r="3" spans="1:9">
      <c r="A3" s="617"/>
      <c r="B3" s="617"/>
      <c r="C3" s="617"/>
      <c r="D3" s="34"/>
      <c r="F3" s="617"/>
      <c r="G3" s="618"/>
    </row>
    <row r="4" spans="1:9">
      <c r="A4" s="614" t="s">
        <v>223</v>
      </c>
      <c r="B4" s="935" t="str">
        <f>'Assignment To do'!B4:D4</f>
        <v>2018 Year End</v>
      </c>
      <c r="C4" s="935"/>
      <c r="D4" s="34"/>
      <c r="F4" s="619"/>
      <c r="G4" s="619"/>
    </row>
    <row r="5" spans="1:9">
      <c r="A5" s="617"/>
      <c r="B5" s="617"/>
      <c r="C5" s="617"/>
      <c r="D5" s="34"/>
      <c r="F5" s="617"/>
      <c r="G5" s="618"/>
    </row>
    <row r="6" spans="1:9">
      <c r="A6" s="614" t="s">
        <v>512</v>
      </c>
      <c r="B6" s="935" t="str">
        <f>'Assignment To do'!B6:D6</f>
        <v>David Edmunds</v>
      </c>
      <c r="C6" s="935"/>
      <c r="D6" s="34"/>
      <c r="F6" s="619"/>
      <c r="G6" s="619"/>
    </row>
    <row r="7" spans="1:9">
      <c r="A7" s="614"/>
      <c r="B7" s="614"/>
      <c r="C7" s="617"/>
      <c r="D7" s="34"/>
      <c r="F7" s="617"/>
      <c r="G7" s="618"/>
    </row>
    <row r="8" spans="1:9">
      <c r="A8" s="614" t="s">
        <v>513</v>
      </c>
      <c r="B8" s="935" t="str">
        <f>'Assignment To do'!B7:D7</f>
        <v>David Edmunds</v>
      </c>
      <c r="C8" s="935"/>
      <c r="D8" s="34"/>
      <c r="F8" s="619"/>
      <c r="G8" s="619"/>
    </row>
    <row r="9" spans="1:9">
      <c r="A9" s="614"/>
      <c r="B9" s="614"/>
      <c r="C9" s="617"/>
      <c r="D9" s="34"/>
      <c r="F9" s="617"/>
      <c r="G9" s="618"/>
    </row>
    <row r="10" spans="1:9">
      <c r="A10" s="614" t="s">
        <v>0</v>
      </c>
      <c r="B10" s="936">
        <f>'Assignment To do'!I7</f>
        <v>43482</v>
      </c>
      <c r="C10" s="936"/>
      <c r="D10" s="34"/>
      <c r="F10" s="619"/>
      <c r="G10" s="620"/>
      <c r="H10" s="34"/>
      <c r="I10" s="34"/>
    </row>
    <row r="11" spans="1:9">
      <c r="A11" s="937"/>
      <c r="B11" s="937"/>
      <c r="C11" s="937"/>
      <c r="D11" s="34"/>
      <c r="F11" s="621"/>
      <c r="G11" s="622"/>
      <c r="H11" s="34"/>
      <c r="I11" s="34"/>
    </row>
    <row r="12" spans="1:9">
      <c r="A12" s="623"/>
      <c r="B12" s="623"/>
      <c r="C12" s="617"/>
      <c r="F12" s="614"/>
      <c r="G12" s="617"/>
      <c r="H12" s="34"/>
      <c r="I12" s="34"/>
    </row>
    <row r="13" spans="1:9">
      <c r="A13" s="656"/>
      <c r="B13" s="657" t="s">
        <v>514</v>
      </c>
      <c r="C13" s="658" t="s">
        <v>515</v>
      </c>
      <c r="D13" s="624"/>
      <c r="E13" s="625"/>
      <c r="F13" s="938" t="s">
        <v>516</v>
      </c>
      <c r="G13" s="938"/>
      <c r="H13" s="34"/>
      <c r="I13" s="34"/>
    </row>
    <row r="14" spans="1:9">
      <c r="A14" s="664" t="s">
        <v>517</v>
      </c>
      <c r="B14" s="652"/>
      <c r="C14" s="663"/>
      <c r="D14" s="624"/>
      <c r="E14" s="625"/>
      <c r="F14" s="934">
        <v>8</v>
      </c>
      <c r="G14" s="934"/>
      <c r="H14" s="34"/>
      <c r="I14" s="34"/>
    </row>
    <row r="15" spans="1:9">
      <c r="A15" s="664" t="s">
        <v>517</v>
      </c>
      <c r="B15" s="652"/>
      <c r="C15" s="663"/>
      <c r="D15" s="624"/>
      <c r="E15" s="625"/>
      <c r="F15" s="934">
        <v>4</v>
      </c>
      <c r="G15" s="934"/>
      <c r="H15" s="34"/>
      <c r="I15" s="34"/>
    </row>
    <row r="16" spans="1:9">
      <c r="A16" s="664" t="s">
        <v>517</v>
      </c>
      <c r="B16" s="652"/>
      <c r="C16" s="663"/>
      <c r="D16" s="624"/>
      <c r="E16" s="625"/>
      <c r="F16" s="934">
        <v>2</v>
      </c>
      <c r="G16" s="934"/>
      <c r="H16" s="34"/>
      <c r="I16" s="34"/>
    </row>
    <row r="17" spans="1:9">
      <c r="A17" s="664" t="s">
        <v>518</v>
      </c>
      <c r="B17" s="652"/>
      <c r="C17" s="663"/>
      <c r="D17" s="624"/>
      <c r="E17" s="625"/>
      <c r="F17" s="934">
        <v>2</v>
      </c>
      <c r="G17" s="934"/>
      <c r="H17" s="34"/>
      <c r="I17" s="34"/>
    </row>
    <row r="18" spans="1:9">
      <c r="A18" s="664" t="s">
        <v>519</v>
      </c>
      <c r="B18" s="652"/>
      <c r="C18" s="663"/>
      <c r="D18" s="624"/>
      <c r="E18" s="625"/>
      <c r="F18" s="627"/>
      <c r="G18" s="627">
        <v>0.5</v>
      </c>
      <c r="H18" s="34"/>
      <c r="I18" s="34"/>
    </row>
    <row r="19" spans="1:9">
      <c r="A19" s="664" t="s">
        <v>478</v>
      </c>
      <c r="B19" s="652"/>
      <c r="C19" s="663"/>
      <c r="D19" s="624"/>
      <c r="E19" s="625"/>
      <c r="F19" s="934">
        <v>2</v>
      </c>
      <c r="G19" s="934"/>
      <c r="H19" s="34"/>
      <c r="I19" s="34"/>
    </row>
    <row r="20" spans="1:9">
      <c r="A20" s="664" t="s">
        <v>520</v>
      </c>
      <c r="B20" s="665"/>
      <c r="C20" s="628">
        <f>SUM(C14:C19)</f>
        <v>0</v>
      </c>
      <c r="D20" s="624"/>
      <c r="E20" s="625"/>
      <c r="F20" s="939">
        <f>SUM(F14:G19)</f>
        <v>18.5</v>
      </c>
      <c r="G20" s="939"/>
      <c r="H20" s="34"/>
      <c r="I20" s="34"/>
    </row>
    <row r="21" spans="1:9">
      <c r="A21" s="940"/>
      <c r="B21" s="941"/>
      <c r="C21" s="941"/>
      <c r="D21" s="624"/>
      <c r="E21" s="625"/>
      <c r="F21" s="629"/>
      <c r="G21" s="629"/>
      <c r="H21" s="34"/>
      <c r="I21" s="34"/>
    </row>
    <row r="22" spans="1:9">
      <c r="A22" s="942" t="s">
        <v>521</v>
      </c>
      <c r="B22" s="943"/>
      <c r="C22" s="943"/>
      <c r="D22" s="944"/>
      <c r="E22" s="625"/>
      <c r="F22" s="630"/>
      <c r="G22" s="630"/>
      <c r="H22" s="34"/>
      <c r="I22" s="34"/>
    </row>
    <row r="23" spans="1:9" hidden="1">
      <c r="A23" s="631"/>
      <c r="B23" s="631"/>
      <c r="C23" s="631"/>
      <c r="D23" s="624"/>
      <c r="E23" s="625"/>
      <c r="F23" s="632"/>
      <c r="G23" s="632"/>
      <c r="H23" s="34"/>
      <c r="I23" s="34"/>
    </row>
    <row r="24" spans="1:9" s="635" customFormat="1" ht="39" hidden="1" customHeight="1">
      <c r="A24" s="945"/>
      <c r="B24" s="946"/>
      <c r="C24" s="946"/>
      <c r="D24" s="947"/>
      <c r="E24" s="633"/>
      <c r="F24" s="634"/>
      <c r="G24" s="634"/>
    </row>
    <row r="25" spans="1:9" s="635" customFormat="1" ht="14.1" customHeight="1">
      <c r="A25" s="948" t="s">
        <v>522</v>
      </c>
      <c r="B25" s="949"/>
      <c r="C25" s="949"/>
      <c r="D25" s="950"/>
      <c r="E25" s="633"/>
      <c r="F25" s="634"/>
      <c r="G25" s="634"/>
    </row>
    <row r="26" spans="1:9" s="31" customFormat="1" ht="22.5" customHeight="1">
      <c r="A26" s="636"/>
      <c r="B26" s="636"/>
      <c r="C26" s="636"/>
      <c r="D26" s="624"/>
      <c r="E26" s="625"/>
      <c r="F26" s="636"/>
      <c r="G26" s="636"/>
    </row>
    <row r="27" spans="1:9" ht="22.5" customHeight="1">
      <c r="A27" s="953" t="s">
        <v>523</v>
      </c>
      <c r="B27" s="954"/>
      <c r="C27" s="657" t="s">
        <v>524</v>
      </c>
      <c r="D27" s="655"/>
      <c r="E27" s="638"/>
      <c r="F27" s="637"/>
      <c r="G27" s="639"/>
    </row>
    <row r="28" spans="1:9" ht="28.5" customHeight="1">
      <c r="A28" s="955" t="s">
        <v>547</v>
      </c>
      <c r="B28" s="956"/>
      <c r="C28" s="659" t="s">
        <v>404</v>
      </c>
      <c r="D28" s="640"/>
      <c r="E28" s="638"/>
      <c r="F28" s="641"/>
      <c r="G28" s="642"/>
    </row>
    <row r="29" spans="1:9" ht="28.5" customHeight="1">
      <c r="A29" s="955" t="s">
        <v>525</v>
      </c>
      <c r="B29" s="956"/>
      <c r="C29" s="660" t="s">
        <v>526</v>
      </c>
      <c r="D29" s="640"/>
      <c r="F29" s="641"/>
      <c r="G29" s="642"/>
    </row>
    <row r="30" spans="1:9" ht="23.25" customHeight="1">
      <c r="A30" s="955" t="s">
        <v>527</v>
      </c>
      <c r="B30" s="956"/>
      <c r="C30" s="659" t="s">
        <v>528</v>
      </c>
      <c r="D30" s="643"/>
      <c r="F30" s="644"/>
      <c r="G30" s="645"/>
    </row>
    <row r="31" spans="1:9" ht="27" customHeight="1">
      <c r="A31" s="955" t="s">
        <v>548</v>
      </c>
      <c r="B31" s="956"/>
      <c r="C31" s="659" t="s">
        <v>526</v>
      </c>
      <c r="D31" s="643"/>
      <c r="F31" s="644"/>
      <c r="G31" s="645"/>
    </row>
    <row r="32" spans="1:9" ht="27" customHeight="1">
      <c r="A32" s="955" t="s">
        <v>529</v>
      </c>
      <c r="B32" s="952"/>
      <c r="C32" s="659" t="s">
        <v>530</v>
      </c>
      <c r="D32" s="643"/>
      <c r="F32" s="644"/>
      <c r="G32" s="645"/>
    </row>
    <row r="33" spans="1:8" ht="27" customHeight="1">
      <c r="A33" s="955" t="s">
        <v>531</v>
      </c>
      <c r="B33" s="952"/>
      <c r="C33" s="659" t="s">
        <v>528</v>
      </c>
      <c r="D33" s="643"/>
      <c r="E33" s="653"/>
      <c r="F33" s="644"/>
      <c r="G33" s="645"/>
      <c r="H33" s="661" t="s">
        <v>532</v>
      </c>
    </row>
    <row r="34" spans="1:8" ht="27" customHeight="1">
      <c r="A34" s="955" t="s">
        <v>533</v>
      </c>
      <c r="B34" s="952"/>
      <c r="C34" s="659" t="s">
        <v>526</v>
      </c>
      <c r="D34" s="643"/>
      <c r="E34" s="654"/>
      <c r="F34" s="644"/>
      <c r="G34" s="645"/>
      <c r="H34" s="661" t="s">
        <v>532</v>
      </c>
    </row>
    <row r="35" spans="1:8" ht="27" customHeight="1">
      <c r="A35" s="951" t="s">
        <v>534</v>
      </c>
      <c r="B35" s="952"/>
      <c r="C35" s="659" t="s">
        <v>526</v>
      </c>
      <c r="D35" s="643"/>
      <c r="E35" s="654"/>
      <c r="F35" s="644"/>
      <c r="G35" s="645"/>
      <c r="H35" s="661" t="s">
        <v>532</v>
      </c>
    </row>
  </sheetData>
  <mergeCells count="26">
    <mergeCell ref="A35:B35"/>
    <mergeCell ref="A27:B27"/>
    <mergeCell ref="A29:B29"/>
    <mergeCell ref="A30:B30"/>
    <mergeCell ref="A31:B31"/>
    <mergeCell ref="A32:B32"/>
    <mergeCell ref="A33:B33"/>
    <mergeCell ref="A34:B34"/>
    <mergeCell ref="A28:B28"/>
    <mergeCell ref="F20:G20"/>
    <mergeCell ref="A21:C21"/>
    <mergeCell ref="A22:D22"/>
    <mergeCell ref="A24:D24"/>
    <mergeCell ref="A25:D25"/>
    <mergeCell ref="F19:G19"/>
    <mergeCell ref="B2:C2"/>
    <mergeCell ref="B4:C4"/>
    <mergeCell ref="B6:C6"/>
    <mergeCell ref="B8:C8"/>
    <mergeCell ref="B10:C10"/>
    <mergeCell ref="A11:C11"/>
    <mergeCell ref="F13:G13"/>
    <mergeCell ref="F14:G14"/>
    <mergeCell ref="F15:G15"/>
    <mergeCell ref="F16:G16"/>
    <mergeCell ref="F17:G17"/>
  </mergeCells>
  <pageMargins left="0.7" right="0.7" top="0.75" bottom="0.75" header="0.3" footer="0.3"/>
  <customProperties>
    <customPr name="SheetId" r:id="rId1"/>
  </customProperties>
  <drawing r:id="rId2"/>
  <legacyDrawing r:id="rId3"/>
  <mc:AlternateContent xmlns:mc="http://schemas.openxmlformats.org/markup-compatibility/2006">
    <mc:Choice Requires="x14">
      <controls>
        <mc:AlternateContent xmlns:mc="http://schemas.openxmlformats.org/markup-compatibility/2006">
          <mc:Choice Requires="x14">
            <control shapeId="19457" r:id="rId4" name="Check Box 1">
              <controlPr defaultSize="0" autoFill="0" autoLine="0" autoPict="0">
                <anchor moveWithCells="1" sizeWithCells="1">
                  <from>
                    <xdr:col>3</xdr:col>
                    <xdr:colOff>190500</xdr:colOff>
                    <xdr:row>27</xdr:row>
                    <xdr:rowOff>85725</xdr:rowOff>
                  </from>
                  <to>
                    <xdr:col>3</xdr:col>
                    <xdr:colOff>438150</xdr:colOff>
                    <xdr:row>27</xdr:row>
                    <xdr:rowOff>295275</xdr:rowOff>
                  </to>
                </anchor>
              </controlPr>
            </control>
          </mc:Choice>
        </mc:AlternateContent>
        <mc:AlternateContent xmlns:mc="http://schemas.openxmlformats.org/markup-compatibility/2006">
          <mc:Choice Requires="x14">
            <control shapeId="19458" r:id="rId5" name="Check Box 2">
              <controlPr defaultSize="0" autoFill="0" autoLine="0" autoPict="0">
                <anchor moveWithCells="1" sizeWithCells="1">
                  <from>
                    <xdr:col>3</xdr:col>
                    <xdr:colOff>190500</xdr:colOff>
                    <xdr:row>28</xdr:row>
                    <xdr:rowOff>85725</xdr:rowOff>
                  </from>
                  <to>
                    <xdr:col>3</xdr:col>
                    <xdr:colOff>438150</xdr:colOff>
                    <xdr:row>28</xdr:row>
                    <xdr:rowOff>295275</xdr:rowOff>
                  </to>
                </anchor>
              </controlPr>
            </control>
          </mc:Choice>
        </mc:AlternateContent>
        <mc:AlternateContent xmlns:mc="http://schemas.openxmlformats.org/markup-compatibility/2006">
          <mc:Choice Requires="x14">
            <control shapeId="19459" r:id="rId6" name="Check Box 3">
              <controlPr defaultSize="0" autoFill="0" autoLine="0" autoPict="0">
                <anchor moveWithCells="1" sizeWithCells="1">
                  <from>
                    <xdr:col>3</xdr:col>
                    <xdr:colOff>180975</xdr:colOff>
                    <xdr:row>29</xdr:row>
                    <xdr:rowOff>47625</xdr:rowOff>
                  </from>
                  <to>
                    <xdr:col>3</xdr:col>
                    <xdr:colOff>428625</xdr:colOff>
                    <xdr:row>29</xdr:row>
                    <xdr:rowOff>266700</xdr:rowOff>
                  </to>
                </anchor>
              </controlPr>
            </control>
          </mc:Choice>
        </mc:AlternateContent>
        <mc:AlternateContent xmlns:mc="http://schemas.openxmlformats.org/markup-compatibility/2006">
          <mc:Choice Requires="x14">
            <control shapeId="19460" r:id="rId7" name="Check Box 4">
              <controlPr defaultSize="0" autoFill="0" autoLine="0" autoPict="0">
                <anchor moveWithCells="1" sizeWithCells="1">
                  <from>
                    <xdr:col>3</xdr:col>
                    <xdr:colOff>180975</xdr:colOff>
                    <xdr:row>30</xdr:row>
                    <xdr:rowOff>85725</xdr:rowOff>
                  </from>
                  <to>
                    <xdr:col>3</xdr:col>
                    <xdr:colOff>428625</xdr:colOff>
                    <xdr:row>30</xdr:row>
                    <xdr:rowOff>295275</xdr:rowOff>
                  </to>
                </anchor>
              </controlPr>
            </control>
          </mc:Choice>
        </mc:AlternateContent>
        <mc:AlternateContent xmlns:mc="http://schemas.openxmlformats.org/markup-compatibility/2006">
          <mc:Choice Requires="x14">
            <control shapeId="19461" r:id="rId8" name="Check Box 5">
              <controlPr defaultSize="0" autoFill="0" autoLine="0" autoPict="0">
                <anchor moveWithCells="1" sizeWithCells="1">
                  <from>
                    <xdr:col>3</xdr:col>
                    <xdr:colOff>180975</xdr:colOff>
                    <xdr:row>31</xdr:row>
                    <xdr:rowOff>85725</xdr:rowOff>
                  </from>
                  <to>
                    <xdr:col>3</xdr:col>
                    <xdr:colOff>428625</xdr:colOff>
                    <xdr:row>31</xdr:row>
                    <xdr:rowOff>295275</xdr:rowOff>
                  </to>
                </anchor>
              </controlPr>
            </control>
          </mc:Choice>
        </mc:AlternateContent>
        <mc:AlternateContent xmlns:mc="http://schemas.openxmlformats.org/markup-compatibility/2006">
          <mc:Choice Requires="x14">
            <control shapeId="19462" r:id="rId9" name="Check Box 6">
              <controlPr defaultSize="0" autoFill="0" autoLine="0" autoPict="0">
                <anchor moveWithCells="1" sizeWithCells="1">
                  <from>
                    <xdr:col>3</xdr:col>
                    <xdr:colOff>180975</xdr:colOff>
                    <xdr:row>32</xdr:row>
                    <xdr:rowOff>85725</xdr:rowOff>
                  </from>
                  <to>
                    <xdr:col>3</xdr:col>
                    <xdr:colOff>428625</xdr:colOff>
                    <xdr:row>32</xdr:row>
                    <xdr:rowOff>295275</xdr:rowOff>
                  </to>
                </anchor>
              </controlPr>
            </control>
          </mc:Choice>
        </mc:AlternateContent>
        <mc:AlternateContent xmlns:mc="http://schemas.openxmlformats.org/markup-compatibility/2006">
          <mc:Choice Requires="x14">
            <control shapeId="19463" r:id="rId10" name="Check Box 7">
              <controlPr defaultSize="0" autoFill="0" autoLine="0" autoPict="0">
                <anchor moveWithCells="1" sizeWithCells="1">
                  <from>
                    <xdr:col>3</xdr:col>
                    <xdr:colOff>180975</xdr:colOff>
                    <xdr:row>33</xdr:row>
                    <xdr:rowOff>85725</xdr:rowOff>
                  </from>
                  <to>
                    <xdr:col>3</xdr:col>
                    <xdr:colOff>428625</xdr:colOff>
                    <xdr:row>33</xdr:row>
                    <xdr:rowOff>295275</xdr:rowOff>
                  </to>
                </anchor>
              </controlPr>
            </control>
          </mc:Choice>
        </mc:AlternateContent>
        <mc:AlternateContent xmlns:mc="http://schemas.openxmlformats.org/markup-compatibility/2006">
          <mc:Choice Requires="x14">
            <control shapeId="19464" r:id="rId11" name="Check Box 8">
              <controlPr defaultSize="0" autoFill="0" autoLine="0" autoPict="0">
                <anchor moveWithCells="1" sizeWithCells="1">
                  <from>
                    <xdr:col>3</xdr:col>
                    <xdr:colOff>180975</xdr:colOff>
                    <xdr:row>34</xdr:row>
                    <xdr:rowOff>85725</xdr:rowOff>
                  </from>
                  <to>
                    <xdr:col>3</xdr:col>
                    <xdr:colOff>428625</xdr:colOff>
                    <xdr:row>34</xdr:row>
                    <xdr:rowOff>295275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95CB74-8470-41BF-BB2E-580432CDE542}">
  <dimension ref="A1:I36"/>
  <sheetViews>
    <sheetView zoomScale="90" zoomScaleNormal="90" workbookViewId="0">
      <selection activeCell="C38" sqref="C38:F38"/>
    </sheetView>
  </sheetViews>
  <sheetFormatPr defaultColWidth="9.140625" defaultRowHeight="15"/>
  <cols>
    <col min="1" max="1" width="39" style="74" customWidth="1"/>
    <col min="2" max="2" width="18.140625" style="74" customWidth="1"/>
    <col min="3" max="3" width="16.140625" style="74" customWidth="1"/>
    <col min="4" max="4" width="18.5703125" style="74" customWidth="1"/>
    <col min="5" max="5" width="11.42578125" style="74" customWidth="1"/>
    <col min="6" max="7" width="9.140625" style="74" hidden="1" customWidth="1"/>
    <col min="8" max="8" width="16.42578125" style="74" customWidth="1"/>
    <col min="9" max="16384" width="9.140625" style="74"/>
  </cols>
  <sheetData>
    <row r="1" spans="1:9">
      <c r="A1" s="34"/>
    </row>
    <row r="2" spans="1:9">
      <c r="A2" s="614" t="s">
        <v>219</v>
      </c>
      <c r="B2" s="935" t="str">
        <f>'Assignment To do'!B3:D3</f>
        <v>The Schubert Superannuation Fund</v>
      </c>
      <c r="C2" s="935"/>
      <c r="D2" s="935"/>
      <c r="F2" s="615"/>
      <c r="G2" s="616"/>
    </row>
    <row r="3" spans="1:9">
      <c r="A3" s="646"/>
      <c r="B3" s="667"/>
      <c r="C3" s="667"/>
      <c r="D3" s="668"/>
      <c r="F3" s="617"/>
      <c r="G3" s="618"/>
    </row>
    <row r="4" spans="1:9">
      <c r="A4" s="626" t="s">
        <v>223</v>
      </c>
      <c r="B4" s="935" t="str">
        <f>'Assignment To do'!B4:D4</f>
        <v>2018 Year End</v>
      </c>
      <c r="C4" s="935"/>
      <c r="D4" s="935"/>
      <c r="F4" s="619"/>
      <c r="G4" s="619"/>
    </row>
    <row r="5" spans="1:9">
      <c r="A5" s="646"/>
      <c r="B5" s="667"/>
      <c r="C5" s="667"/>
      <c r="D5" s="668"/>
      <c r="F5" s="617"/>
      <c r="G5" s="618"/>
    </row>
    <row r="6" spans="1:9">
      <c r="A6" s="626" t="s">
        <v>512</v>
      </c>
      <c r="B6" s="935" t="str">
        <f>'Assignment To do'!B6:D6</f>
        <v>David Edmunds</v>
      </c>
      <c r="C6" s="935"/>
      <c r="D6" s="935"/>
      <c r="F6" s="619"/>
      <c r="G6" s="619"/>
    </row>
    <row r="7" spans="1:9">
      <c r="A7" s="626"/>
      <c r="B7" s="669"/>
      <c r="C7" s="667"/>
      <c r="D7" s="668"/>
      <c r="F7" s="617"/>
      <c r="G7" s="618"/>
    </row>
    <row r="8" spans="1:9">
      <c r="A8" s="626" t="s">
        <v>513</v>
      </c>
      <c r="B8" s="935" t="str">
        <f>'Assignment To do'!B7:D7</f>
        <v>David Edmunds</v>
      </c>
      <c r="C8" s="935"/>
      <c r="D8" s="935"/>
      <c r="F8" s="619"/>
      <c r="G8" s="619"/>
    </row>
    <row r="9" spans="1:9">
      <c r="A9" s="626"/>
      <c r="B9" s="669"/>
      <c r="C9" s="667"/>
      <c r="D9" s="668"/>
      <c r="F9" s="617"/>
      <c r="G9" s="618"/>
    </row>
    <row r="10" spans="1:9">
      <c r="A10" s="626" t="s">
        <v>0</v>
      </c>
      <c r="B10" s="936">
        <f>'Assignment To do'!I7</f>
        <v>43482</v>
      </c>
      <c r="C10" s="936"/>
      <c r="D10" s="936"/>
      <c r="F10" s="619"/>
      <c r="G10" s="620"/>
      <c r="H10" s="34"/>
      <c r="I10" s="34"/>
    </row>
    <row r="11" spans="1:9">
      <c r="A11" s="937"/>
      <c r="B11" s="937"/>
      <c r="C11" s="937"/>
      <c r="F11" s="621"/>
      <c r="G11" s="622"/>
      <c r="H11" s="34"/>
      <c r="I11" s="34"/>
    </row>
    <row r="12" spans="1:9">
      <c r="A12" s="623"/>
      <c r="B12" s="623"/>
      <c r="C12" s="617"/>
      <c r="F12" s="614"/>
      <c r="G12" s="617"/>
      <c r="H12" s="34"/>
      <c r="I12" s="34"/>
    </row>
    <row r="13" spans="1:9">
      <c r="A13" s="650"/>
      <c r="B13" s="657" t="s">
        <v>514</v>
      </c>
      <c r="C13" s="658" t="s">
        <v>516</v>
      </c>
      <c r="D13" s="658" t="s">
        <v>535</v>
      </c>
      <c r="E13" s="658" t="s">
        <v>79</v>
      </c>
      <c r="F13" s="938" t="s">
        <v>516</v>
      </c>
      <c r="G13" s="938"/>
      <c r="H13" s="34"/>
      <c r="I13" s="34"/>
    </row>
    <row r="14" spans="1:9">
      <c r="A14" s="664" t="s">
        <v>517</v>
      </c>
      <c r="B14" s="652"/>
      <c r="C14" s="651">
        <f>[3]Brief!C14</f>
        <v>0</v>
      </c>
      <c r="D14" s="651"/>
      <c r="E14" s="652"/>
      <c r="F14" s="934">
        <v>8</v>
      </c>
      <c r="G14" s="934"/>
      <c r="H14" s="34"/>
      <c r="I14" s="34"/>
    </row>
    <row r="15" spans="1:9">
      <c r="A15" s="664" t="s">
        <v>517</v>
      </c>
      <c r="B15" s="652"/>
      <c r="C15" s="651">
        <f>[3]Brief!C15</f>
        <v>0</v>
      </c>
      <c r="D15" s="651"/>
      <c r="E15" s="652">
        <f t="shared" ref="E15:E19" si="0">C15-D15</f>
        <v>0</v>
      </c>
      <c r="F15" s="934">
        <v>4</v>
      </c>
      <c r="G15" s="934"/>
      <c r="H15" s="34"/>
      <c r="I15" s="34"/>
    </row>
    <row r="16" spans="1:9">
      <c r="A16" s="664" t="s">
        <v>517</v>
      </c>
      <c r="B16" s="652"/>
      <c r="C16" s="651">
        <f>[3]Brief!C16</f>
        <v>0</v>
      </c>
      <c r="D16" s="651"/>
      <c r="E16" s="652">
        <f t="shared" si="0"/>
        <v>0</v>
      </c>
      <c r="F16" s="934">
        <v>2</v>
      </c>
      <c r="G16" s="934"/>
      <c r="H16" s="34"/>
      <c r="I16" s="34"/>
    </row>
    <row r="17" spans="1:9">
      <c r="A17" s="664" t="s">
        <v>518</v>
      </c>
      <c r="B17" s="652"/>
      <c r="C17" s="651">
        <f>[3]Brief!C17</f>
        <v>0</v>
      </c>
      <c r="D17" s="651"/>
      <c r="E17" s="652">
        <f t="shared" si="0"/>
        <v>0</v>
      </c>
      <c r="F17" s="934">
        <v>2</v>
      </c>
      <c r="G17" s="934"/>
      <c r="H17" s="34"/>
      <c r="I17" s="34"/>
    </row>
    <row r="18" spans="1:9">
      <c r="A18" s="664" t="s">
        <v>519</v>
      </c>
      <c r="B18" s="652"/>
      <c r="C18" s="651">
        <f>[3]Brief!C18</f>
        <v>0</v>
      </c>
      <c r="D18" s="651"/>
      <c r="E18" s="652">
        <f t="shared" si="0"/>
        <v>0</v>
      </c>
      <c r="F18" s="627"/>
      <c r="G18" s="627">
        <v>0.5</v>
      </c>
      <c r="H18" s="34"/>
      <c r="I18" s="34"/>
    </row>
    <row r="19" spans="1:9">
      <c r="A19" s="664" t="s">
        <v>478</v>
      </c>
      <c r="B19" s="652"/>
      <c r="C19" s="651">
        <f>[3]Brief!C19</f>
        <v>0</v>
      </c>
      <c r="D19" s="651"/>
      <c r="E19" s="652">
        <f t="shared" si="0"/>
        <v>0</v>
      </c>
      <c r="F19" s="934">
        <v>2</v>
      </c>
      <c r="G19" s="934"/>
      <c r="H19" s="34"/>
      <c r="I19" s="34"/>
    </row>
    <row r="20" spans="1:9">
      <c r="A20" s="664" t="s">
        <v>520</v>
      </c>
      <c r="B20" s="665"/>
      <c r="C20" s="666">
        <f>SUM(C14:C19)</f>
        <v>0</v>
      </c>
      <c r="D20" s="666">
        <f>SUM(D14:D19)</f>
        <v>0</v>
      </c>
      <c r="E20" s="666">
        <f>SUM(E14:E19)</f>
        <v>0</v>
      </c>
      <c r="F20" s="939">
        <f>SUM(F14:G19)</f>
        <v>18.5</v>
      </c>
      <c r="G20" s="939"/>
      <c r="H20" s="34"/>
      <c r="I20" s="34"/>
    </row>
    <row r="21" spans="1:9">
      <c r="A21" s="940"/>
      <c r="B21" s="941"/>
      <c r="C21" s="941"/>
      <c r="D21" s="624"/>
      <c r="E21" s="647"/>
      <c r="F21" s="629"/>
      <c r="G21" s="629"/>
      <c r="H21" s="34"/>
      <c r="I21" s="34"/>
    </row>
    <row r="22" spans="1:9" s="31" customFormat="1" ht="22.5" customHeight="1">
      <c r="A22" s="636"/>
      <c r="B22" s="636"/>
      <c r="C22" s="614"/>
      <c r="D22" s="624"/>
      <c r="E22" s="647"/>
      <c r="F22" s="636"/>
      <c r="G22" s="636"/>
    </row>
    <row r="23" spans="1:9">
      <c r="A23" s="963" t="s">
        <v>536</v>
      </c>
      <c r="B23" s="964"/>
      <c r="C23" s="964"/>
      <c r="D23" s="964"/>
      <c r="E23" s="617"/>
      <c r="F23" s="637"/>
      <c r="G23" s="639"/>
    </row>
    <row r="24" spans="1:9" ht="33.950000000000003" customHeight="1">
      <c r="A24" s="648" t="s">
        <v>537</v>
      </c>
      <c r="B24" s="957"/>
      <c r="C24" s="957"/>
      <c r="D24" s="957"/>
      <c r="E24" s="617"/>
      <c r="F24" s="641"/>
      <c r="G24" s="642"/>
    </row>
    <row r="25" spans="1:9" ht="33.950000000000003" customHeight="1">
      <c r="A25" s="648" t="s">
        <v>538</v>
      </c>
      <c r="B25" s="957"/>
      <c r="C25" s="957"/>
      <c r="D25" s="957"/>
      <c r="F25" s="641"/>
      <c r="G25" s="642"/>
    </row>
    <row r="26" spans="1:9" ht="36" customHeight="1">
      <c r="A26" s="648" t="s">
        <v>539</v>
      </c>
      <c r="B26" s="957"/>
      <c r="C26" s="957"/>
      <c r="D26" s="957"/>
      <c r="F26" s="644"/>
      <c r="G26" s="645"/>
    </row>
    <row r="27" spans="1:9" ht="39" customHeight="1">
      <c r="A27" s="648" t="s">
        <v>540</v>
      </c>
      <c r="B27" s="957"/>
      <c r="C27" s="957"/>
      <c r="D27" s="957"/>
      <c r="F27" s="644"/>
      <c r="G27" s="645"/>
    </row>
    <row r="28" spans="1:9" ht="27" customHeight="1">
      <c r="A28" s="648" t="s">
        <v>541</v>
      </c>
      <c r="B28" s="957"/>
      <c r="C28" s="957"/>
      <c r="D28" s="957"/>
      <c r="F28" s="644"/>
      <c r="G28" s="645"/>
    </row>
    <row r="29" spans="1:9" ht="15.95" customHeight="1">
      <c r="A29" s="965" t="s">
        <v>542</v>
      </c>
      <c r="B29" s="649"/>
      <c r="C29" s="958" t="s">
        <v>543</v>
      </c>
      <c r="D29" s="958"/>
      <c r="F29" s="644"/>
      <c r="G29" s="645"/>
    </row>
    <row r="30" spans="1:9" ht="14.1" customHeight="1">
      <c r="A30" s="966"/>
      <c r="B30" s="649"/>
      <c r="C30" s="662" t="s">
        <v>544</v>
      </c>
      <c r="D30" s="662"/>
      <c r="F30" s="644"/>
      <c r="G30" s="645"/>
    </row>
    <row r="31" spans="1:9" ht="15" customHeight="1">
      <c r="A31" s="966"/>
      <c r="B31" s="649"/>
      <c r="C31" s="959" t="s">
        <v>545</v>
      </c>
      <c r="D31" s="959"/>
      <c r="F31" s="644"/>
      <c r="G31" s="645"/>
    </row>
    <row r="32" spans="1:9" ht="12.95" customHeight="1">
      <c r="A32" s="967"/>
      <c r="B32" s="649"/>
      <c r="C32" s="959" t="s">
        <v>546</v>
      </c>
      <c r="D32" s="959"/>
      <c r="F32" s="644"/>
      <c r="G32" s="645"/>
    </row>
    <row r="33" spans="1:7" ht="81.599999999999994" customHeight="1">
      <c r="A33" s="648" t="s">
        <v>2</v>
      </c>
      <c r="B33" s="960"/>
      <c r="C33" s="961"/>
      <c r="D33" s="962"/>
      <c r="F33" s="644"/>
      <c r="G33" s="645"/>
    </row>
    <row r="34" spans="1:7">
      <c r="C34" s="614"/>
      <c r="D34" s="624"/>
      <c r="F34" s="644"/>
      <c r="G34" s="645"/>
    </row>
    <row r="35" spans="1:7">
      <c r="F35" s="644"/>
      <c r="G35" s="645"/>
    </row>
    <row r="36" spans="1:7">
      <c r="F36" s="644"/>
      <c r="G36" s="645"/>
    </row>
  </sheetData>
  <mergeCells count="25">
    <mergeCell ref="C29:D29"/>
    <mergeCell ref="C31:D31"/>
    <mergeCell ref="C32:D32"/>
    <mergeCell ref="B33:D33"/>
    <mergeCell ref="B2:D2"/>
    <mergeCell ref="B4:D4"/>
    <mergeCell ref="B6:D6"/>
    <mergeCell ref="B8:D8"/>
    <mergeCell ref="B10:D10"/>
    <mergeCell ref="A23:D23"/>
    <mergeCell ref="B24:D24"/>
    <mergeCell ref="B25:D25"/>
    <mergeCell ref="B26:D26"/>
    <mergeCell ref="A29:A32"/>
    <mergeCell ref="A11:C11"/>
    <mergeCell ref="F20:G20"/>
    <mergeCell ref="A21:C21"/>
    <mergeCell ref="B27:D27"/>
    <mergeCell ref="B28:D28"/>
    <mergeCell ref="F13:G13"/>
    <mergeCell ref="F14:G14"/>
    <mergeCell ref="F15:G15"/>
    <mergeCell ref="F16:G16"/>
    <mergeCell ref="F17:G17"/>
    <mergeCell ref="F19:G19"/>
  </mergeCells>
  <pageMargins left="0.7" right="0.7" top="0.75" bottom="0.75" header="0.3" footer="0.3"/>
  <customProperties>
    <customPr name="SheetId" r:id="rId1"/>
  </customProperties>
  <drawing r:id="rId2"/>
  <legacyDrawing r:id="rId3"/>
  <mc:AlternateContent xmlns:mc="http://schemas.openxmlformats.org/markup-compatibility/2006">
    <mc:Choice Requires="x14">
      <controls>
        <mc:AlternateContent xmlns:mc="http://schemas.openxmlformats.org/markup-compatibility/2006">
          <mc:Choice Requires="x14">
            <control shapeId="18441" r:id="rId4" name="Check Box 9">
              <controlPr defaultSize="0" autoFill="0" autoLine="0" autoPict="0">
                <anchor moveWithCells="1" sizeWithCells="1">
                  <from>
                    <xdr:col>1</xdr:col>
                    <xdr:colOff>419100</xdr:colOff>
                    <xdr:row>28</xdr:row>
                    <xdr:rowOff>9525</xdr:rowOff>
                  </from>
                  <to>
                    <xdr:col>1</xdr:col>
                    <xdr:colOff>666750</xdr:colOff>
                    <xdr:row>29</xdr:row>
                    <xdr:rowOff>28575</xdr:rowOff>
                  </to>
                </anchor>
              </controlPr>
            </control>
          </mc:Choice>
        </mc:AlternateContent>
        <mc:AlternateContent xmlns:mc="http://schemas.openxmlformats.org/markup-compatibility/2006">
          <mc:Choice Requires="x14">
            <control shapeId="18442" r:id="rId5" name="Check Box 10">
              <controlPr defaultSize="0" autoFill="0" autoLine="0" autoPict="0">
                <anchor moveWithCells="1" sizeWithCells="1">
                  <from>
                    <xdr:col>1</xdr:col>
                    <xdr:colOff>419100</xdr:colOff>
                    <xdr:row>30</xdr:row>
                    <xdr:rowOff>161925</xdr:rowOff>
                  </from>
                  <to>
                    <xdr:col>1</xdr:col>
                    <xdr:colOff>666750</xdr:colOff>
                    <xdr:row>32</xdr:row>
                    <xdr:rowOff>28575</xdr:rowOff>
                  </to>
                </anchor>
              </controlPr>
            </control>
          </mc:Choice>
        </mc:AlternateContent>
        <mc:AlternateContent xmlns:mc="http://schemas.openxmlformats.org/markup-compatibility/2006">
          <mc:Choice Requires="x14">
            <control shapeId="18443" r:id="rId6" name="Check Box 11">
              <controlPr defaultSize="0" autoFill="0" autoLine="0" autoPict="0">
                <anchor moveWithCells="1" sizeWithCells="1">
                  <from>
                    <xdr:col>1</xdr:col>
                    <xdr:colOff>419100</xdr:colOff>
                    <xdr:row>29</xdr:row>
                    <xdr:rowOff>171450</xdr:rowOff>
                  </from>
                  <to>
                    <xdr:col>1</xdr:col>
                    <xdr:colOff>666750</xdr:colOff>
                    <xdr:row>31</xdr:row>
                    <xdr:rowOff>19050</xdr:rowOff>
                  </to>
                </anchor>
              </controlPr>
            </control>
          </mc:Choice>
        </mc:AlternateContent>
        <mc:AlternateContent xmlns:mc="http://schemas.openxmlformats.org/markup-compatibility/2006">
          <mc:Choice Requires="x14">
            <control shapeId="18444" r:id="rId7" name="Check Box 12">
              <controlPr defaultSize="0" autoFill="0" autoLine="0" autoPict="0">
                <anchor moveWithCells="1" sizeWithCells="1">
                  <from>
                    <xdr:col>1</xdr:col>
                    <xdr:colOff>419100</xdr:colOff>
                    <xdr:row>28</xdr:row>
                    <xdr:rowOff>200025</xdr:rowOff>
                  </from>
                  <to>
                    <xdr:col>1</xdr:col>
                    <xdr:colOff>666750</xdr:colOff>
                    <xdr:row>30</xdr:row>
                    <xdr:rowOff>28575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U52"/>
  <sheetViews>
    <sheetView zoomScale="90" zoomScaleNormal="90" workbookViewId="0">
      <selection activeCell="C28" sqref="C28:F28"/>
    </sheetView>
  </sheetViews>
  <sheetFormatPr defaultColWidth="9.140625" defaultRowHeight="12.75"/>
  <cols>
    <col min="1" max="1" width="0.85546875" style="232" customWidth="1"/>
    <col min="2" max="2" width="3.28515625" style="232" customWidth="1"/>
    <col min="3" max="3" width="9.28515625" style="232" customWidth="1"/>
    <col min="4" max="4" width="47.42578125" style="232" customWidth="1"/>
    <col min="5" max="5" width="13.5703125" style="232" customWidth="1"/>
    <col min="6" max="6" width="13" style="232" customWidth="1"/>
    <col min="7" max="7" width="1.85546875" style="232" customWidth="1"/>
    <col min="8" max="11" width="11.140625" style="232" customWidth="1"/>
    <col min="12" max="16384" width="9.140625" style="232"/>
  </cols>
  <sheetData>
    <row r="1" spans="1:21">
      <c r="A1" s="230"/>
      <c r="B1" s="230"/>
      <c r="C1" s="230"/>
      <c r="D1" s="230"/>
      <c r="E1" s="231"/>
      <c r="F1" s="231"/>
      <c r="G1" s="231"/>
    </row>
    <row r="2" spans="1:21" ht="20.25">
      <c r="A2" s="215" t="s">
        <v>212</v>
      </c>
      <c r="B2" s="215"/>
      <c r="C2" s="215"/>
      <c r="D2" s="215"/>
      <c r="E2" s="231"/>
      <c r="F2" s="231"/>
      <c r="G2" s="231"/>
      <c r="I2" s="974" t="s">
        <v>213</v>
      </c>
      <c r="J2" s="974"/>
      <c r="K2" s="974"/>
      <c r="L2" s="974"/>
      <c r="M2" s="974"/>
      <c r="N2" s="974"/>
      <c r="O2" s="974"/>
      <c r="P2" s="974"/>
      <c r="Q2" s="233"/>
      <c r="R2" s="233"/>
      <c r="S2" s="233"/>
      <c r="T2" s="233"/>
      <c r="U2" s="233"/>
    </row>
    <row r="3" spans="1:21" ht="15" customHeight="1">
      <c r="A3" s="234"/>
      <c r="B3" s="234"/>
      <c r="C3" s="234"/>
      <c r="D3" s="234"/>
      <c r="G3" s="235"/>
      <c r="I3" s="591" t="s">
        <v>214</v>
      </c>
      <c r="P3" s="231"/>
    </row>
    <row r="4" spans="1:21" ht="15" hidden="1" customHeight="1">
      <c r="A4" s="234"/>
      <c r="B4" s="234"/>
      <c r="C4" s="234"/>
      <c r="D4" s="234"/>
      <c r="G4" s="236"/>
      <c r="I4" s="237" t="s">
        <v>215</v>
      </c>
      <c r="M4" s="232" t="s">
        <v>216</v>
      </c>
    </row>
    <row r="5" spans="1:21" ht="15" hidden="1" customHeight="1">
      <c r="G5" s="236"/>
      <c r="I5" s="237" t="s">
        <v>217</v>
      </c>
      <c r="M5" s="232" t="s">
        <v>218</v>
      </c>
    </row>
    <row r="6" spans="1:21" ht="15" hidden="1" customHeight="1">
      <c r="A6" s="238"/>
      <c r="B6" s="238" t="s">
        <v>219</v>
      </c>
      <c r="C6" s="238"/>
      <c r="D6" s="609" t="str">
        <f>'Assignment To do'!B3</f>
        <v>The Schubert Superannuation Fund</v>
      </c>
      <c r="E6" s="240" t="s">
        <v>220</v>
      </c>
      <c r="F6" s="610">
        <f>'Assignment To do'!I7</f>
        <v>43482</v>
      </c>
      <c r="I6" s="237" t="s">
        <v>221</v>
      </c>
      <c r="M6" s="232" t="s">
        <v>222</v>
      </c>
    </row>
    <row r="7" spans="1:21" ht="15" hidden="1" customHeight="1">
      <c r="A7" s="238"/>
      <c r="B7" s="238" t="s">
        <v>223</v>
      </c>
      <c r="C7" s="238"/>
      <c r="D7" s="239" t="str">
        <f>'Assignment To do'!B4</f>
        <v>2018 Year End</v>
      </c>
      <c r="E7" s="240" t="s">
        <v>224</v>
      </c>
      <c r="F7" s="241" t="str">
        <f>'Assignment To do'!I8</f>
        <v>Kristy Gorgievski</v>
      </c>
      <c r="I7" s="242" t="s">
        <v>225</v>
      </c>
    </row>
    <row r="8" spans="1:21" ht="15" hidden="1" customHeight="1">
      <c r="A8" s="238"/>
      <c r="B8" s="238" t="s">
        <v>226</v>
      </c>
      <c r="C8" s="238"/>
      <c r="D8" s="243" t="str">
        <f>+A2</f>
        <v>Agenda Items</v>
      </c>
      <c r="E8" s="240" t="s">
        <v>468</v>
      </c>
      <c r="F8" s="244">
        <f>'Assignment To do'!I9</f>
        <v>0</v>
      </c>
      <c r="I8" s="591" t="s">
        <v>227</v>
      </c>
      <c r="M8" s="591" t="s">
        <v>228</v>
      </c>
    </row>
    <row r="9" spans="1:21" ht="15" hidden="1" customHeight="1">
      <c r="A9" s="238"/>
      <c r="B9" s="245"/>
      <c r="C9" s="245"/>
      <c r="D9" s="246"/>
      <c r="E9" s="247"/>
      <c r="F9" s="248"/>
      <c r="I9" s="237" t="s">
        <v>229</v>
      </c>
      <c r="M9" s="249" t="s">
        <v>230</v>
      </c>
    </row>
    <row r="10" spans="1:21">
      <c r="A10" s="238"/>
      <c r="B10" s="250"/>
      <c r="C10" s="250"/>
      <c r="D10" s="251"/>
      <c r="E10" s="252"/>
      <c r="F10" s="253"/>
      <c r="I10" s="237" t="s">
        <v>231</v>
      </c>
    </row>
    <row r="11" spans="1:21" ht="18">
      <c r="B11" s="975" t="s">
        <v>212</v>
      </c>
      <c r="C11" s="976"/>
      <c r="D11" s="976"/>
      <c r="E11" s="976"/>
      <c r="F11" s="977"/>
      <c r="G11" s="254"/>
      <c r="H11" s="254"/>
      <c r="I11" s="255"/>
    </row>
    <row r="12" spans="1:21" s="231" customFormat="1" ht="12.75" customHeight="1">
      <c r="B12" s="256"/>
      <c r="C12" s="256"/>
      <c r="D12" s="256"/>
      <c r="E12" s="256"/>
      <c r="F12" s="256"/>
      <c r="G12" s="257"/>
      <c r="H12" s="257"/>
      <c r="M12" s="232"/>
      <c r="N12" s="232"/>
      <c r="O12" s="232"/>
      <c r="P12" s="232"/>
    </row>
    <row r="13" spans="1:21" ht="15">
      <c r="B13" s="972" t="s">
        <v>232</v>
      </c>
      <c r="C13" s="972"/>
      <c r="D13" s="972"/>
      <c r="E13" s="972"/>
      <c r="F13" s="972"/>
    </row>
    <row r="14" spans="1:21" ht="14.25" hidden="1">
      <c r="B14" s="258" t="s">
        <v>233</v>
      </c>
      <c r="C14" s="968"/>
      <c r="D14" s="968"/>
      <c r="E14" s="968"/>
      <c r="F14" s="968"/>
    </row>
    <row r="15" spans="1:21" ht="14.25" hidden="1">
      <c r="B15" s="258"/>
      <c r="C15" s="968"/>
      <c r="D15" s="968"/>
      <c r="E15" s="968"/>
      <c r="F15" s="968"/>
    </row>
    <row r="16" spans="1:21" ht="14.25" hidden="1">
      <c r="B16" s="258"/>
      <c r="C16" s="970"/>
      <c r="D16" s="970"/>
      <c r="E16" s="970"/>
      <c r="F16" s="970"/>
    </row>
    <row r="17" spans="2:6" ht="14.25">
      <c r="B17" s="258" t="s">
        <v>233</v>
      </c>
      <c r="C17" s="968" t="s">
        <v>1038</v>
      </c>
      <c r="D17" s="968"/>
      <c r="E17" s="968"/>
      <c r="F17" s="968"/>
    </row>
    <row r="18" spans="2:6" ht="14.25">
      <c r="B18" s="258"/>
      <c r="C18" s="968"/>
      <c r="D18" s="968"/>
      <c r="E18" s="968"/>
      <c r="F18" s="968"/>
    </row>
    <row r="19" spans="2:6" ht="14.25">
      <c r="B19" s="258"/>
      <c r="C19" s="969"/>
      <c r="D19" s="969"/>
      <c r="E19" s="969"/>
      <c r="F19" s="969"/>
    </row>
    <row r="20" spans="2:6" ht="14.25" hidden="1">
      <c r="B20" s="258" t="s">
        <v>233</v>
      </c>
      <c r="C20" s="968" t="s">
        <v>990</v>
      </c>
      <c r="D20" s="968"/>
      <c r="E20" s="968"/>
      <c r="F20" s="968"/>
    </row>
    <row r="21" spans="2:6" ht="14.25" hidden="1">
      <c r="B21" s="258"/>
      <c r="C21" s="968"/>
      <c r="D21" s="968"/>
      <c r="E21" s="968"/>
      <c r="F21" s="968"/>
    </row>
    <row r="22" spans="2:6" ht="14.25" hidden="1">
      <c r="B22" s="258"/>
      <c r="C22" s="970"/>
      <c r="D22" s="970"/>
      <c r="E22" s="970"/>
      <c r="F22" s="970"/>
    </row>
    <row r="23" spans="2:6" ht="14.25">
      <c r="B23" s="258" t="s">
        <v>233</v>
      </c>
      <c r="C23" s="968" t="s">
        <v>1082</v>
      </c>
      <c r="D23" s="968"/>
      <c r="E23" s="968"/>
      <c r="F23" s="968"/>
    </row>
    <row r="24" spans="2:6" ht="14.25">
      <c r="B24" s="258"/>
      <c r="C24" s="968"/>
      <c r="D24" s="968"/>
      <c r="E24" s="968"/>
      <c r="F24" s="968"/>
    </row>
    <row r="25" spans="2:6" ht="14.25">
      <c r="B25" s="258"/>
      <c r="C25" s="970"/>
      <c r="D25" s="970"/>
      <c r="E25" s="970"/>
      <c r="F25" s="970"/>
    </row>
    <row r="26" spans="2:6" ht="14.25">
      <c r="B26" s="258" t="s">
        <v>233</v>
      </c>
      <c r="C26" s="968" t="s">
        <v>1155</v>
      </c>
      <c r="D26" s="968"/>
      <c r="E26" s="968"/>
      <c r="F26" s="968"/>
    </row>
    <row r="27" spans="2:6" ht="14.25">
      <c r="B27" s="258"/>
      <c r="C27" s="968"/>
      <c r="D27" s="968"/>
      <c r="E27" s="968"/>
      <c r="F27" s="968"/>
    </row>
    <row r="28" spans="2:6" ht="14.25">
      <c r="B28" s="258"/>
      <c r="C28" s="970"/>
      <c r="D28" s="970"/>
      <c r="E28" s="970"/>
      <c r="F28" s="970"/>
    </row>
    <row r="29" spans="2:6" ht="14.25">
      <c r="B29" s="258" t="s">
        <v>233</v>
      </c>
      <c r="C29" s="968"/>
      <c r="D29" s="968"/>
      <c r="E29" s="968"/>
      <c r="F29" s="968"/>
    </row>
    <row r="30" spans="2:6" ht="14.25">
      <c r="B30" s="258"/>
      <c r="C30" s="968"/>
      <c r="D30" s="968"/>
      <c r="E30" s="968"/>
      <c r="F30" s="968"/>
    </row>
    <row r="31" spans="2:6" ht="14.25">
      <c r="B31" s="258"/>
      <c r="C31" s="970"/>
      <c r="D31" s="970"/>
      <c r="E31" s="970"/>
      <c r="F31" s="970"/>
    </row>
    <row r="32" spans="2:6" ht="14.25">
      <c r="B32" s="258" t="s">
        <v>233</v>
      </c>
      <c r="C32" s="971"/>
      <c r="D32" s="971"/>
      <c r="E32" s="971"/>
      <c r="F32" s="971"/>
    </row>
    <row r="33" spans="2:6" ht="14.25">
      <c r="B33" s="258"/>
      <c r="C33" s="971"/>
      <c r="D33" s="971"/>
      <c r="E33" s="971"/>
      <c r="F33" s="971"/>
    </row>
    <row r="34" spans="2:6" ht="14.25">
      <c r="B34" s="258"/>
      <c r="C34" s="969"/>
      <c r="D34" s="969"/>
      <c r="E34" s="969"/>
      <c r="F34" s="969"/>
    </row>
    <row r="35" spans="2:6" ht="15">
      <c r="B35" s="972" t="s">
        <v>234</v>
      </c>
      <c r="C35" s="972"/>
      <c r="D35" s="972"/>
      <c r="E35" s="972"/>
      <c r="F35" s="972"/>
    </row>
    <row r="36" spans="2:6" ht="14.25">
      <c r="B36" s="258" t="s">
        <v>233</v>
      </c>
      <c r="C36" s="973"/>
      <c r="D36" s="973"/>
      <c r="E36" s="973"/>
      <c r="F36" s="973"/>
    </row>
    <row r="37" spans="2:6" ht="28.5" customHeight="1">
      <c r="B37" s="258"/>
      <c r="C37" s="973"/>
      <c r="D37" s="973"/>
      <c r="E37" s="973"/>
      <c r="F37" s="973"/>
    </row>
    <row r="38" spans="2:6" ht="14.25">
      <c r="B38" s="258"/>
      <c r="C38" s="970"/>
      <c r="D38" s="970"/>
      <c r="E38" s="970"/>
      <c r="F38" s="970"/>
    </row>
    <row r="39" spans="2:6" ht="14.25">
      <c r="B39" s="258" t="s">
        <v>233</v>
      </c>
      <c r="C39" s="971"/>
      <c r="D39" s="971"/>
      <c r="E39" s="971"/>
      <c r="F39" s="971"/>
    </row>
    <row r="40" spans="2:6" ht="14.25">
      <c r="B40" s="258"/>
      <c r="C40" s="971"/>
      <c r="D40" s="971"/>
      <c r="E40" s="971"/>
      <c r="F40" s="971"/>
    </row>
    <row r="41" spans="2:6" ht="14.25">
      <c r="B41" s="258"/>
      <c r="C41" s="969"/>
      <c r="D41" s="969"/>
      <c r="E41" s="969"/>
      <c r="F41" s="969"/>
    </row>
    <row r="42" spans="2:6" ht="14.25">
      <c r="B42" s="258" t="s">
        <v>233</v>
      </c>
      <c r="C42" s="968"/>
      <c r="D42" s="968"/>
      <c r="E42" s="968"/>
      <c r="F42" s="968"/>
    </row>
    <row r="43" spans="2:6" ht="14.25">
      <c r="B43" s="258"/>
      <c r="C43" s="968"/>
      <c r="D43" s="968"/>
      <c r="E43" s="968"/>
      <c r="F43" s="968"/>
    </row>
    <row r="44" spans="2:6" ht="14.25">
      <c r="B44" s="258"/>
      <c r="C44" s="969"/>
      <c r="D44" s="969"/>
      <c r="E44" s="969"/>
      <c r="F44" s="969"/>
    </row>
    <row r="45" spans="2:6" ht="14.25">
      <c r="B45" s="258" t="s">
        <v>233</v>
      </c>
      <c r="C45" s="968"/>
      <c r="D45" s="968"/>
      <c r="E45" s="968"/>
      <c r="F45" s="968"/>
    </row>
    <row r="46" spans="2:6" ht="14.25">
      <c r="B46" s="258"/>
      <c r="C46" s="968"/>
      <c r="D46" s="968"/>
      <c r="E46" s="968"/>
      <c r="F46" s="968"/>
    </row>
    <row r="47" spans="2:6" ht="14.25">
      <c r="B47" s="258"/>
      <c r="C47" s="969"/>
      <c r="D47" s="969"/>
      <c r="E47" s="969"/>
      <c r="F47" s="969"/>
    </row>
    <row r="48" spans="2:6" ht="14.25">
      <c r="B48" s="258" t="s">
        <v>233</v>
      </c>
      <c r="C48" s="968"/>
      <c r="D48" s="968"/>
      <c r="E48" s="968"/>
      <c r="F48" s="968"/>
    </row>
    <row r="49" spans="2:6" ht="14.25">
      <c r="B49" s="258"/>
      <c r="C49" s="968"/>
      <c r="D49" s="968"/>
      <c r="E49" s="968"/>
      <c r="F49" s="968"/>
    </row>
    <row r="50" spans="2:6" ht="14.25">
      <c r="B50" s="258"/>
      <c r="C50" s="969"/>
      <c r="D50" s="969"/>
      <c r="E50" s="969"/>
      <c r="F50" s="969"/>
    </row>
    <row r="51" spans="2:6" ht="14.25">
      <c r="B51" s="258" t="s">
        <v>233</v>
      </c>
      <c r="C51" s="968"/>
      <c r="D51" s="968"/>
      <c r="E51" s="968"/>
      <c r="F51" s="968"/>
    </row>
    <row r="52" spans="2:6" ht="14.25">
      <c r="B52" s="258"/>
      <c r="C52" s="968"/>
      <c r="D52" s="968"/>
      <c r="E52" s="968"/>
      <c r="F52" s="968"/>
    </row>
  </sheetData>
  <mergeCells count="29">
    <mergeCell ref="C26:F27"/>
    <mergeCell ref="I2:P2"/>
    <mergeCell ref="B11:F11"/>
    <mergeCell ref="B13:F13"/>
    <mergeCell ref="C14:F15"/>
    <mergeCell ref="C16:F16"/>
    <mergeCell ref="C17:F18"/>
    <mergeCell ref="C19:F19"/>
    <mergeCell ref="C20:F21"/>
    <mergeCell ref="C22:F22"/>
    <mergeCell ref="C23:F24"/>
    <mergeCell ref="C25:F25"/>
    <mergeCell ref="C44:F44"/>
    <mergeCell ref="C28:F28"/>
    <mergeCell ref="C29:F30"/>
    <mergeCell ref="C31:F31"/>
    <mergeCell ref="C32:F33"/>
    <mergeCell ref="C34:F34"/>
    <mergeCell ref="B35:F35"/>
    <mergeCell ref="C36:F37"/>
    <mergeCell ref="C38:F38"/>
    <mergeCell ref="C39:F40"/>
    <mergeCell ref="C41:F41"/>
    <mergeCell ref="C42:F43"/>
    <mergeCell ref="C45:F46"/>
    <mergeCell ref="C47:F47"/>
    <mergeCell ref="C48:F49"/>
    <mergeCell ref="C50:F50"/>
    <mergeCell ref="C51:F52"/>
  </mergeCells>
  <hyperlinks>
    <hyperlink ref="I4" r:id="rId1" display="http://www.fitz.com.au/" xr:uid="{00000000-0004-0000-0500-000000000000}"/>
    <hyperlink ref="I5" r:id="rId2" display="http://www.politis.com.au/" xr:uid="{00000000-0004-0000-0500-000001000000}"/>
    <hyperlink ref="I6" r:id="rId3" display="https://www.morgans.com.au/" xr:uid="{00000000-0004-0000-0500-000002000000}"/>
    <hyperlink ref="I9" r:id="rId4" display="http://www.hunterfinancial.com.au/" xr:uid="{00000000-0004-0000-0500-000003000000}"/>
    <hyperlink ref="I10" r:id="rId5" display="http://www.pivotalfp.com/" xr:uid="{00000000-0004-0000-0500-000004000000}"/>
    <hyperlink ref="M9" r:id="rId6" display="http://www.capitalclaims.com.au/" xr:uid="{00000000-0004-0000-0500-000005000000}"/>
  </hyperlinks>
  <pageMargins left="0.7" right="0.7" top="0.75" bottom="0.75" header="0.3" footer="0.3"/>
  <pageSetup paperSize="9" orientation="portrait" r:id="rId7"/>
  <customProperties>
    <customPr name="SheetId" r:id="rId8"/>
  </customProperties>
  <drawing r:id="rId9"/>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78"/>
  <sheetViews>
    <sheetView topLeftCell="A22" zoomScale="80" zoomScaleNormal="80" workbookViewId="0">
      <selection activeCell="A58" sqref="A58:XFD58"/>
    </sheetView>
  </sheetViews>
  <sheetFormatPr defaultColWidth="12.7109375" defaultRowHeight="12.75" outlineLevelRow="1"/>
  <cols>
    <col min="1" max="1" width="3.140625" style="232" customWidth="1"/>
    <col min="2" max="2" width="8.28515625" style="232" customWidth="1"/>
    <col min="3" max="3" width="21.5703125" style="232" customWidth="1"/>
    <col min="4" max="6" width="16.140625" style="232" customWidth="1"/>
    <col min="7" max="7" width="13.42578125" style="232" customWidth="1"/>
    <col min="8" max="8" width="0.5703125" style="232" customWidth="1"/>
    <col min="9" max="9" width="12.7109375" style="232"/>
    <col min="10" max="12" width="12.7109375" style="232" customWidth="1"/>
    <col min="13" max="13" width="19.7109375" style="232" customWidth="1"/>
    <col min="14" max="14" width="12.7109375" style="232" customWidth="1"/>
    <col min="15" max="16384" width="12.7109375" style="232"/>
  </cols>
  <sheetData>
    <row r="1" spans="1:16" ht="14.25">
      <c r="A1" s="259"/>
      <c r="B1" s="259"/>
      <c r="C1" s="259"/>
      <c r="D1" s="259"/>
      <c r="E1" s="259"/>
      <c r="F1" s="259"/>
      <c r="G1" s="259"/>
      <c r="H1" s="260"/>
      <c r="J1" s="992" t="s">
        <v>238</v>
      </c>
      <c r="K1" s="992"/>
      <c r="L1" s="992"/>
      <c r="M1" s="992"/>
    </row>
    <row r="2" spans="1:16">
      <c r="A2" s="259"/>
      <c r="B2" s="259"/>
      <c r="C2" s="259"/>
      <c r="D2" s="259"/>
      <c r="E2" s="259"/>
      <c r="F2" s="259"/>
      <c r="G2" s="259"/>
      <c r="H2" s="261"/>
    </row>
    <row r="3" spans="1:16" ht="20.25">
      <c r="A3" s="262" t="s">
        <v>239</v>
      </c>
      <c r="H3" s="261"/>
      <c r="J3" s="997" t="s">
        <v>240</v>
      </c>
      <c r="K3" s="997"/>
      <c r="L3" s="263"/>
      <c r="M3" s="997" t="s">
        <v>241</v>
      </c>
    </row>
    <row r="4" spans="1:16" ht="15" customHeight="1">
      <c r="H4" s="261"/>
      <c r="J4" s="997"/>
      <c r="K4" s="997"/>
      <c r="L4" s="263"/>
      <c r="M4" s="997"/>
    </row>
    <row r="5" spans="1:16" ht="15" customHeight="1">
      <c r="H5" s="261"/>
      <c r="J5" s="997" t="s">
        <v>242</v>
      </c>
      <c r="K5" s="997"/>
      <c r="L5" s="263">
        <v>0</v>
      </c>
      <c r="M5" s="264">
        <v>0</v>
      </c>
    </row>
    <row r="6" spans="1:16" ht="15" customHeight="1">
      <c r="A6" s="265" t="s">
        <v>219</v>
      </c>
      <c r="C6" s="239" t="str">
        <f>'Assignment To do'!B3</f>
        <v>The Schubert Superannuation Fund</v>
      </c>
      <c r="D6" s="265"/>
      <c r="E6" s="265" t="s">
        <v>220</v>
      </c>
      <c r="F6" s="235"/>
      <c r="G6" s="235">
        <f>'Assignment To do'!I7</f>
        <v>43482</v>
      </c>
      <c r="J6" s="997" t="s">
        <v>243</v>
      </c>
      <c r="K6" s="997"/>
      <c r="L6" s="263">
        <v>55</v>
      </c>
      <c r="M6" s="264">
        <v>0.04</v>
      </c>
    </row>
    <row r="7" spans="1:16" ht="15" customHeight="1">
      <c r="A7" s="265" t="s">
        <v>223</v>
      </c>
      <c r="C7" s="239" t="str">
        <f>'Assignment To do'!B4</f>
        <v>2018 Year End</v>
      </c>
      <c r="D7" s="266"/>
      <c r="E7" s="265" t="s">
        <v>224</v>
      </c>
      <c r="F7" s="267"/>
      <c r="G7" s="241" t="str">
        <f>'Assignment To do'!I8</f>
        <v>Kristy Gorgievski</v>
      </c>
      <c r="J7" s="997" t="s">
        <v>244</v>
      </c>
      <c r="K7" s="997"/>
      <c r="L7" s="263">
        <v>65</v>
      </c>
      <c r="M7" s="264">
        <v>0.05</v>
      </c>
    </row>
    <row r="8" spans="1:16" ht="15" customHeight="1">
      <c r="A8" s="265" t="s">
        <v>245</v>
      </c>
      <c r="C8" s="239" t="str">
        <f>+A3</f>
        <v>Pension Advice Letter</v>
      </c>
      <c r="D8" s="265"/>
      <c r="E8" s="265" t="s">
        <v>468</v>
      </c>
      <c r="F8" s="267"/>
      <c r="G8" s="244">
        <f>'Assignment To do'!I9</f>
        <v>0</v>
      </c>
      <c r="J8" s="997" t="s">
        <v>246</v>
      </c>
      <c r="K8" s="997"/>
      <c r="L8" s="263">
        <v>75</v>
      </c>
      <c r="M8" s="264">
        <v>0.06</v>
      </c>
    </row>
    <row r="9" spans="1:16" ht="15" customHeight="1">
      <c r="J9" s="997" t="s">
        <v>247</v>
      </c>
      <c r="K9" s="997"/>
      <c r="L9" s="263">
        <v>80</v>
      </c>
      <c r="M9" s="264">
        <v>7.0000000000000007E-2</v>
      </c>
    </row>
    <row r="10" spans="1:16" ht="15" customHeight="1" thickBot="1">
      <c r="A10" s="268"/>
      <c r="B10" s="268"/>
      <c r="C10" s="268"/>
      <c r="D10" s="268"/>
      <c r="E10" s="268"/>
      <c r="F10" s="268"/>
      <c r="G10" s="268"/>
      <c r="J10" s="997" t="s">
        <v>248</v>
      </c>
      <c r="K10" s="997"/>
      <c r="L10" s="263">
        <v>85</v>
      </c>
      <c r="M10" s="264">
        <v>0.09</v>
      </c>
    </row>
    <row r="11" spans="1:16" ht="14.25">
      <c r="J11" s="997" t="s">
        <v>249</v>
      </c>
      <c r="K11" s="997"/>
      <c r="L11" s="263">
        <v>90</v>
      </c>
      <c r="M11" s="264">
        <v>0.11</v>
      </c>
      <c r="N11" s="269"/>
      <c r="O11" s="269"/>
      <c r="P11" s="269"/>
    </row>
    <row r="12" spans="1:16" ht="14.25" hidden="1">
      <c r="A12" s="998" t="s">
        <v>250</v>
      </c>
      <c r="B12" s="998"/>
      <c r="C12" s="998"/>
      <c r="D12" s="998"/>
      <c r="E12" s="998"/>
      <c r="F12" s="998"/>
      <c r="G12" s="998"/>
      <c r="J12" s="997" t="s">
        <v>251</v>
      </c>
      <c r="K12" s="997"/>
      <c r="L12" s="263">
        <v>120</v>
      </c>
      <c r="M12" s="264">
        <v>0.14000000000000001</v>
      </c>
      <c r="O12" s="270"/>
      <c r="P12" s="270"/>
    </row>
    <row r="13" spans="1:16" s="231" customFormat="1" ht="15">
      <c r="A13" s="271"/>
      <c r="B13" s="271"/>
      <c r="C13" s="271"/>
      <c r="D13" s="271"/>
      <c r="E13" s="271"/>
      <c r="F13" s="271"/>
      <c r="G13" s="271"/>
      <c r="J13" s="272"/>
      <c r="K13" s="232"/>
      <c r="L13" s="232"/>
      <c r="M13" s="232"/>
      <c r="O13" s="273"/>
      <c r="P13" s="274"/>
    </row>
    <row r="14" spans="1:16" ht="15" customHeight="1">
      <c r="J14" s="275"/>
      <c r="O14" s="273"/>
      <c r="P14" s="274"/>
    </row>
    <row r="15" spans="1:16" ht="15" customHeight="1">
      <c r="J15" s="275"/>
      <c r="O15" s="273"/>
      <c r="P15" s="274"/>
    </row>
    <row r="16" spans="1:16" ht="23.25">
      <c r="A16" s="989" t="str">
        <f>C6</f>
        <v>The Schubert Superannuation Fund</v>
      </c>
      <c r="B16" s="989"/>
      <c r="C16" s="989"/>
      <c r="D16" s="989"/>
      <c r="E16" s="989"/>
      <c r="F16" s="989"/>
      <c r="G16" s="989"/>
      <c r="H16" s="989"/>
      <c r="J16" s="275"/>
      <c r="O16" s="273"/>
      <c r="P16" s="276"/>
    </row>
    <row r="17" spans="1:16" s="231" customFormat="1" ht="23.25">
      <c r="A17" s="990" t="s">
        <v>168</v>
      </c>
      <c r="B17" s="990"/>
      <c r="C17" s="990"/>
      <c r="D17" s="990"/>
      <c r="E17" s="990"/>
      <c r="F17" s="990"/>
      <c r="G17" s="990"/>
      <c r="H17" s="277"/>
      <c r="J17" s="275"/>
      <c r="O17" s="273"/>
      <c r="P17" s="276"/>
    </row>
    <row r="18" spans="1:16" ht="15">
      <c r="A18" s="278"/>
      <c r="J18" s="275"/>
      <c r="K18" s="74"/>
      <c r="L18" s="231"/>
      <c r="M18" s="231"/>
      <c r="O18" s="273"/>
      <c r="P18" s="276"/>
    </row>
    <row r="19" spans="1:16" ht="15" customHeight="1">
      <c r="A19" s="991" t="s">
        <v>252</v>
      </c>
      <c r="B19" s="991"/>
      <c r="C19" s="991"/>
      <c r="D19" s="991"/>
      <c r="E19" s="991"/>
      <c r="F19" s="991"/>
      <c r="G19" s="991"/>
      <c r="H19" s="279"/>
      <c r="J19" s="275"/>
      <c r="O19" s="273"/>
      <c r="P19" s="276"/>
    </row>
    <row r="20" spans="1:16" ht="15" customHeight="1">
      <c r="A20" s="991"/>
      <c r="B20" s="991"/>
      <c r="C20" s="991"/>
      <c r="D20" s="991"/>
      <c r="E20" s="991"/>
      <c r="F20" s="991"/>
      <c r="G20" s="991"/>
      <c r="H20" s="279"/>
      <c r="J20" s="275"/>
    </row>
    <row r="21" spans="1:16" ht="15" customHeight="1">
      <c r="A21" s="991"/>
      <c r="B21" s="991"/>
      <c r="C21" s="991"/>
      <c r="D21" s="991"/>
      <c r="E21" s="991"/>
      <c r="F21" s="991"/>
      <c r="G21" s="991"/>
      <c r="H21" s="279"/>
    </row>
    <row r="22" spans="1:16" ht="14.25">
      <c r="A22" s="269"/>
      <c r="B22" s="269"/>
      <c r="C22" s="269"/>
      <c r="D22" s="269"/>
      <c r="E22" s="269"/>
      <c r="F22" s="269"/>
      <c r="G22" s="269"/>
      <c r="H22" s="279"/>
    </row>
    <row r="23" spans="1:16" ht="14.25">
      <c r="A23" s="992" t="s">
        <v>238</v>
      </c>
      <c r="B23" s="992"/>
      <c r="C23" s="992"/>
      <c r="D23" s="992"/>
      <c r="E23" s="269"/>
      <c r="F23" s="269"/>
      <c r="G23" s="269"/>
      <c r="H23" s="279"/>
    </row>
    <row r="24" spans="1:16" ht="14.25">
      <c r="E24" s="269"/>
      <c r="F24" s="269"/>
      <c r="G24" s="269"/>
      <c r="H24" s="279"/>
    </row>
    <row r="25" spans="1:16" ht="14.25" customHeight="1">
      <c r="C25" s="993" t="s">
        <v>240</v>
      </c>
      <c r="D25" s="994"/>
      <c r="E25" s="993" t="s">
        <v>241</v>
      </c>
      <c r="F25" s="994"/>
      <c r="G25" s="280"/>
      <c r="H25" s="280"/>
      <c r="I25" s="281"/>
    </row>
    <row r="26" spans="1:16" ht="14.25">
      <c r="C26" s="995"/>
      <c r="D26" s="996"/>
      <c r="E26" s="995"/>
      <c r="F26" s="996"/>
      <c r="G26" s="280"/>
      <c r="H26" s="280"/>
      <c r="I26" s="281"/>
    </row>
    <row r="27" spans="1:16" ht="14.25">
      <c r="C27" s="985" t="s">
        <v>253</v>
      </c>
      <c r="D27" s="986"/>
      <c r="E27" s="987">
        <v>0</v>
      </c>
      <c r="F27" s="988"/>
      <c r="G27" s="280"/>
      <c r="H27" s="280"/>
      <c r="I27" s="281"/>
    </row>
    <row r="28" spans="1:16" ht="14.25">
      <c r="C28" s="985" t="s">
        <v>254</v>
      </c>
      <c r="D28" s="986"/>
      <c r="E28" s="987">
        <v>0.04</v>
      </c>
      <c r="F28" s="988"/>
      <c r="G28" s="280"/>
      <c r="H28" s="280"/>
      <c r="I28" s="281"/>
    </row>
    <row r="29" spans="1:16" ht="14.25">
      <c r="C29" s="985" t="s">
        <v>244</v>
      </c>
      <c r="D29" s="986"/>
      <c r="E29" s="987">
        <v>0.05</v>
      </c>
      <c r="F29" s="988"/>
      <c r="G29" s="280"/>
      <c r="H29" s="280"/>
      <c r="I29" s="281"/>
    </row>
    <row r="30" spans="1:16" ht="14.25">
      <c r="C30" s="985" t="s">
        <v>246</v>
      </c>
      <c r="D30" s="986"/>
      <c r="E30" s="987">
        <v>0.06</v>
      </c>
      <c r="F30" s="988"/>
      <c r="G30" s="280"/>
      <c r="H30" s="280"/>
      <c r="I30" s="281"/>
    </row>
    <row r="31" spans="1:16" ht="14.25">
      <c r="C31" s="985" t="s">
        <v>247</v>
      </c>
      <c r="D31" s="986"/>
      <c r="E31" s="987">
        <v>7.0000000000000007E-2</v>
      </c>
      <c r="F31" s="988"/>
      <c r="G31" s="280"/>
      <c r="H31" s="280"/>
      <c r="I31" s="281"/>
    </row>
    <row r="32" spans="1:16" ht="14.25">
      <c r="C32" s="985" t="s">
        <v>248</v>
      </c>
      <c r="D32" s="986"/>
      <c r="E32" s="987">
        <v>0.09</v>
      </c>
      <c r="F32" s="988"/>
      <c r="G32" s="280"/>
      <c r="H32" s="280"/>
      <c r="I32" s="281"/>
    </row>
    <row r="33" spans="1:9" ht="14.25">
      <c r="C33" s="985" t="s">
        <v>249</v>
      </c>
      <c r="D33" s="986"/>
      <c r="E33" s="987">
        <v>0.11</v>
      </c>
      <c r="F33" s="988"/>
      <c r="G33" s="280"/>
      <c r="H33" s="280"/>
      <c r="I33" s="281"/>
    </row>
    <row r="34" spans="1:9" ht="14.25">
      <c r="C34" s="985" t="s">
        <v>251</v>
      </c>
      <c r="D34" s="986"/>
      <c r="E34" s="987">
        <v>0.14000000000000001</v>
      </c>
      <c r="F34" s="988"/>
      <c r="G34" s="280"/>
      <c r="H34" s="280"/>
      <c r="I34" s="281"/>
    </row>
    <row r="35" spans="1:9" ht="14.25" hidden="1">
      <c r="B35" s="270"/>
      <c r="C35" s="270"/>
      <c r="D35" s="270"/>
      <c r="E35" s="270"/>
      <c r="F35" s="270"/>
      <c r="G35" s="270"/>
      <c r="H35" s="276"/>
    </row>
    <row r="36" spans="1:9" ht="15" hidden="1">
      <c r="A36" s="444" t="s">
        <v>255</v>
      </c>
      <c r="B36" s="443"/>
      <c r="C36" s="443"/>
      <c r="D36" s="443"/>
      <c r="E36" s="270"/>
      <c r="F36" s="270"/>
      <c r="G36" s="276"/>
    </row>
    <row r="37" spans="1:9" ht="14.25">
      <c r="A37" s="270"/>
      <c r="B37" s="270"/>
      <c r="C37" s="270"/>
      <c r="D37" s="270"/>
      <c r="E37" s="270"/>
      <c r="F37" s="270"/>
      <c r="G37" s="276"/>
    </row>
    <row r="38" spans="1:9" ht="44.25" customHeight="1">
      <c r="A38" s="982" t="s">
        <v>433</v>
      </c>
      <c r="B38" s="982"/>
      <c r="C38" s="982"/>
      <c r="D38" s="982"/>
      <c r="E38" s="982"/>
      <c r="F38" s="982"/>
      <c r="G38" s="982"/>
    </row>
    <row r="39" spans="1:9" ht="14.25">
      <c r="A39" s="270"/>
      <c r="B39" s="270"/>
      <c r="C39" s="270"/>
      <c r="D39" s="270"/>
      <c r="E39" s="270"/>
      <c r="F39" s="270"/>
      <c r="G39" s="276"/>
    </row>
    <row r="40" spans="1:9" ht="40.5" customHeight="1">
      <c r="A40" s="982" t="s">
        <v>1158</v>
      </c>
      <c r="B40" s="982"/>
      <c r="C40" s="982"/>
      <c r="D40" s="982"/>
      <c r="E40" s="982"/>
      <c r="F40" s="982"/>
      <c r="G40" s="982"/>
    </row>
    <row r="41" spans="1:9" ht="14.25">
      <c r="A41" s="270"/>
      <c r="B41" s="270"/>
      <c r="C41" s="270"/>
      <c r="D41" s="270"/>
      <c r="E41" s="270"/>
      <c r="F41" s="270"/>
      <c r="G41" s="276"/>
    </row>
    <row r="42" spans="1:9" ht="15" hidden="1">
      <c r="A42" s="444" t="s">
        <v>256</v>
      </c>
      <c r="B42" s="443"/>
      <c r="C42" s="443"/>
      <c r="D42" s="443"/>
      <c r="E42" s="270"/>
      <c r="F42" s="270"/>
      <c r="G42" s="276"/>
    </row>
    <row r="43" spans="1:9" ht="14.25" hidden="1">
      <c r="A43" s="270"/>
      <c r="B43" s="270"/>
      <c r="C43" s="270"/>
      <c r="D43" s="270"/>
      <c r="E43" s="270"/>
      <c r="F43" s="270"/>
      <c r="G43" s="276"/>
    </row>
    <row r="44" spans="1:9" ht="42.75" hidden="1" customHeight="1">
      <c r="A44" s="982" t="s">
        <v>434</v>
      </c>
      <c r="B44" s="982"/>
      <c r="C44" s="982"/>
      <c r="D44" s="982"/>
      <c r="E44" s="982"/>
      <c r="F44" s="982"/>
      <c r="G44" s="982"/>
    </row>
    <row r="45" spans="1:9" ht="14.25" hidden="1">
      <c r="A45" s="282"/>
      <c r="B45" s="282"/>
      <c r="C45" s="282"/>
      <c r="D45" s="282"/>
      <c r="E45" s="282"/>
      <c r="F45" s="282"/>
      <c r="G45" s="282"/>
    </row>
    <row r="46" spans="1:9" ht="14.25" hidden="1">
      <c r="A46" s="282"/>
      <c r="B46" s="282"/>
      <c r="C46" s="282"/>
      <c r="D46" s="282"/>
      <c r="E46" s="282"/>
      <c r="F46" s="282"/>
      <c r="G46" s="282"/>
    </row>
    <row r="47" spans="1:9" ht="15" customHeight="1">
      <c r="A47" s="283" t="s">
        <v>494</v>
      </c>
      <c r="B47" s="270"/>
      <c r="C47" s="270"/>
      <c r="D47" s="270"/>
      <c r="E47" s="270"/>
      <c r="F47" s="270"/>
      <c r="G47" s="276"/>
    </row>
    <row r="48" spans="1:9" ht="15">
      <c r="A48" s="283"/>
      <c r="B48" s="270"/>
      <c r="C48" s="270"/>
      <c r="D48" s="270"/>
      <c r="E48" s="270"/>
      <c r="F48" s="270"/>
      <c r="G48" s="276"/>
    </row>
    <row r="49" spans="1:13" ht="15" hidden="1" customHeight="1">
      <c r="A49" s="444" t="s">
        <v>257</v>
      </c>
      <c r="B49" s="443"/>
      <c r="C49" s="443"/>
      <c r="D49" s="270"/>
      <c r="E49" s="270"/>
      <c r="F49" s="270"/>
      <c r="G49" s="276"/>
    </row>
    <row r="50" spans="1:13" ht="15" customHeight="1">
      <c r="A50" s="983" t="s">
        <v>495</v>
      </c>
      <c r="B50" s="983"/>
      <c r="C50" s="983"/>
      <c r="D50" s="983"/>
      <c r="E50" s="983"/>
      <c r="F50" s="983"/>
      <c r="G50" s="983"/>
    </row>
    <row r="51" spans="1:13" ht="15" customHeight="1">
      <c r="A51" s="983"/>
      <c r="B51" s="983"/>
      <c r="C51" s="983"/>
      <c r="D51" s="983"/>
      <c r="E51" s="983"/>
      <c r="F51" s="983"/>
      <c r="G51" s="983"/>
    </row>
    <row r="52" spans="1:13" ht="53.1" customHeight="1">
      <c r="A52" s="983"/>
      <c r="B52" s="983"/>
      <c r="C52" s="983"/>
      <c r="D52" s="983"/>
      <c r="E52" s="983"/>
      <c r="F52" s="983"/>
      <c r="G52" s="983"/>
    </row>
    <row r="53" spans="1:13" ht="15" customHeight="1">
      <c r="A53" s="284"/>
      <c r="B53" s="284"/>
      <c r="C53" s="284"/>
      <c r="D53" s="284"/>
      <c r="E53" s="284"/>
      <c r="F53" s="284"/>
      <c r="G53" s="284"/>
    </row>
    <row r="54" spans="1:13" ht="15" customHeight="1">
      <c r="A54" s="984" t="s">
        <v>496</v>
      </c>
      <c r="B54" s="984"/>
      <c r="C54" s="984"/>
      <c r="D54" s="984"/>
      <c r="E54" s="984"/>
      <c r="F54" s="984"/>
      <c r="G54" s="984"/>
    </row>
    <row r="55" spans="1:13" ht="15" customHeight="1">
      <c r="A55" s="984"/>
      <c r="B55" s="984"/>
      <c r="C55" s="984"/>
      <c r="D55" s="984"/>
      <c r="E55" s="984"/>
      <c r="F55" s="984"/>
      <c r="G55" s="984"/>
    </row>
    <row r="56" spans="1:13" ht="15" customHeight="1">
      <c r="A56" s="284"/>
      <c r="B56" s="284"/>
      <c r="C56" s="284"/>
      <c r="D56" s="284"/>
      <c r="E56" s="284"/>
      <c r="F56" s="284"/>
      <c r="G56" s="284"/>
    </row>
    <row r="57" spans="1:13" ht="15" customHeight="1">
      <c r="A57" s="270"/>
      <c r="B57" s="270"/>
      <c r="C57" s="285"/>
      <c r="D57" s="285" t="s">
        <v>258</v>
      </c>
      <c r="E57" s="285" t="s">
        <v>259</v>
      </c>
      <c r="F57" s="286" t="s">
        <v>260</v>
      </c>
      <c r="G57" s="276"/>
    </row>
    <row r="58" spans="1:13" ht="15" hidden="1" customHeight="1">
      <c r="A58" s="270"/>
      <c r="B58" s="980" t="str">
        <f>'Assignment To do'!M10</f>
        <v>Graeme Schubert</v>
      </c>
      <c r="C58" s="980"/>
      <c r="D58" s="287">
        <f>VLOOKUP('Assignment To do'!M13,$L$5:$M$12,2,TRUE)</f>
        <v>0</v>
      </c>
      <c r="E58" s="288">
        <v>0</v>
      </c>
      <c r="F58" s="289">
        <v>0</v>
      </c>
      <c r="G58" s="276"/>
      <c r="I58" s="981" t="s">
        <v>261</v>
      </c>
    </row>
    <row r="59" spans="1:13" ht="16.5" customHeight="1">
      <c r="A59" s="270"/>
      <c r="B59" s="980" t="str">
        <f>'Assignment To do'!M15</f>
        <v>Jennifer Schubert</v>
      </c>
      <c r="C59" s="980"/>
      <c r="D59" s="287">
        <f>VLOOKUP('Assignment To do'!M18,$L$5:$M$12,2,TRUE)</f>
        <v>0.04</v>
      </c>
      <c r="E59" s="288">
        <v>0</v>
      </c>
      <c r="F59" s="289">
        <v>0</v>
      </c>
      <c r="G59" s="276"/>
      <c r="I59" s="981"/>
    </row>
    <row r="60" spans="1:13" ht="15" customHeight="1" outlineLevel="1">
      <c r="A60" s="270"/>
      <c r="B60" s="980">
        <f>'Assignment To do'!M20</f>
        <v>0</v>
      </c>
      <c r="C60" s="980"/>
      <c r="D60" s="287">
        <f>VLOOKUP('Assignment To do'!M23,$L$5:$M$12,2,TRUE)</f>
        <v>0</v>
      </c>
      <c r="E60" s="288">
        <v>0</v>
      </c>
      <c r="F60" s="289">
        <v>0</v>
      </c>
      <c r="G60" s="276"/>
      <c r="I60" s="981"/>
    </row>
    <row r="61" spans="1:13" ht="15" customHeight="1" outlineLevel="1">
      <c r="A61" s="270"/>
      <c r="B61" s="980">
        <f>'Assignment To do'!M25</f>
        <v>0</v>
      </c>
      <c r="C61" s="980"/>
      <c r="D61" s="287">
        <f>VLOOKUP('Assignment To do'!M28,$L$5:$M$12,2,TRUE)</f>
        <v>0</v>
      </c>
      <c r="E61" s="290">
        <v>0</v>
      </c>
      <c r="F61" s="291">
        <v>0</v>
      </c>
      <c r="G61" s="276"/>
      <c r="I61" s="981"/>
    </row>
    <row r="62" spans="1:13" ht="15" customHeight="1" outlineLevel="1">
      <c r="A62" s="270"/>
      <c r="B62" s="270"/>
      <c r="C62" s="292"/>
      <c r="D62" s="288"/>
      <c r="E62" s="289">
        <f>SUM(E58:E61)</f>
        <v>0</v>
      </c>
      <c r="F62" s="289">
        <f>SUM(F58:F61)</f>
        <v>0</v>
      </c>
      <c r="G62" s="276"/>
    </row>
    <row r="63" spans="1:13" ht="15" hidden="1" customHeight="1" outlineLevel="1">
      <c r="A63" s="443" t="s">
        <v>262</v>
      </c>
      <c r="B63" s="270"/>
      <c r="C63" s="270"/>
      <c r="D63" s="270"/>
      <c r="E63" s="270"/>
      <c r="F63" s="270"/>
      <c r="G63" s="276"/>
    </row>
    <row r="64" spans="1:13" s="231" customFormat="1" ht="15" hidden="1" customHeight="1">
      <c r="A64" s="270"/>
      <c r="B64" s="270"/>
      <c r="C64" s="270"/>
      <c r="D64" s="270"/>
      <c r="E64" s="270"/>
      <c r="F64" s="270"/>
      <c r="G64" s="276"/>
      <c r="J64" s="232"/>
      <c r="K64" s="232"/>
      <c r="L64" s="232"/>
      <c r="M64" s="232"/>
    </row>
    <row r="65" spans="1:13" ht="15" hidden="1" customHeight="1">
      <c r="A65" s="444" t="s">
        <v>263</v>
      </c>
      <c r="B65" s="443"/>
      <c r="C65" s="443"/>
      <c r="D65" s="270"/>
      <c r="E65" s="270"/>
      <c r="F65" s="270"/>
      <c r="G65" s="276"/>
      <c r="J65" s="231"/>
      <c r="K65" s="231"/>
      <c r="L65" s="231"/>
      <c r="M65" s="231"/>
    </row>
    <row r="66" spans="1:13" ht="15" hidden="1" customHeight="1">
      <c r="A66" s="978" t="s">
        <v>497</v>
      </c>
      <c r="B66" s="978"/>
      <c r="C66" s="978"/>
      <c r="D66" s="978"/>
      <c r="E66" s="978"/>
      <c r="F66" s="978"/>
      <c r="G66" s="978"/>
    </row>
    <row r="67" spans="1:13" ht="29.25" hidden="1" customHeight="1">
      <c r="A67" s="978"/>
      <c r="B67" s="978"/>
      <c r="C67" s="978"/>
      <c r="D67" s="978"/>
      <c r="E67" s="978"/>
      <c r="F67" s="978"/>
      <c r="G67" s="978"/>
    </row>
    <row r="68" spans="1:13" ht="15" hidden="1" customHeight="1">
      <c r="A68" s="281"/>
      <c r="B68" s="281"/>
      <c r="C68" s="281"/>
      <c r="D68" s="281"/>
      <c r="E68" s="281"/>
      <c r="F68" s="281"/>
      <c r="G68" s="276"/>
    </row>
    <row r="69" spans="1:13" ht="15" hidden="1" customHeight="1">
      <c r="A69" s="979" t="s">
        <v>498</v>
      </c>
      <c r="B69" s="979"/>
      <c r="C69" s="979"/>
      <c r="D69" s="979"/>
      <c r="E69" s="979"/>
      <c r="F69" s="979"/>
      <c r="G69" s="979"/>
    </row>
    <row r="70" spans="1:13" ht="15" hidden="1" customHeight="1">
      <c r="A70" s="979"/>
      <c r="B70" s="979"/>
      <c r="C70" s="979"/>
      <c r="D70" s="979"/>
      <c r="E70" s="979"/>
      <c r="F70" s="979"/>
      <c r="G70" s="979"/>
    </row>
    <row r="71" spans="1:13" ht="15" hidden="1" customHeight="1">
      <c r="A71" s="281"/>
      <c r="B71" s="281"/>
      <c r="C71" s="281"/>
      <c r="D71" s="281"/>
      <c r="E71" s="281"/>
      <c r="F71" s="281"/>
      <c r="G71" s="276"/>
    </row>
    <row r="72" spans="1:13" ht="15" hidden="1" customHeight="1">
      <c r="A72" s="281"/>
      <c r="B72" s="281"/>
      <c r="C72" s="285"/>
      <c r="D72" s="285" t="s">
        <v>258</v>
      </c>
      <c r="E72" s="285" t="s">
        <v>259</v>
      </c>
      <c r="F72" s="286"/>
      <c r="G72" s="276"/>
    </row>
    <row r="73" spans="1:13" ht="15" hidden="1" customHeight="1">
      <c r="A73" s="281"/>
      <c r="B73" s="980" t="str">
        <f>'Assignment To do'!M10</f>
        <v>Graeme Schubert</v>
      </c>
      <c r="C73" s="980"/>
      <c r="D73" s="293">
        <f>VLOOKUP('Assignment To do'!M13,$L$5:$M$12,2,TRUE)</f>
        <v>0</v>
      </c>
      <c r="E73" s="288">
        <v>0</v>
      </c>
      <c r="F73" s="289"/>
      <c r="G73" s="276"/>
      <c r="I73" s="981" t="s">
        <v>261</v>
      </c>
    </row>
    <row r="74" spans="1:13" ht="15" hidden="1" customHeight="1">
      <c r="A74" s="281"/>
      <c r="B74" s="980" t="str">
        <f>'Assignment To do'!M15</f>
        <v>Jennifer Schubert</v>
      </c>
      <c r="C74" s="980"/>
      <c r="D74" s="293">
        <f>VLOOKUP('Assignment To do'!M18,$L$5:$M$12,2,TRUE)</f>
        <v>0.04</v>
      </c>
      <c r="E74" s="288">
        <v>17370</v>
      </c>
      <c r="F74" s="289"/>
      <c r="G74" s="276"/>
      <c r="I74" s="981"/>
    </row>
    <row r="75" spans="1:13" ht="15" hidden="1" customHeight="1" outlineLevel="1">
      <c r="A75" s="281"/>
      <c r="B75" s="980">
        <f>'Assignment To do'!M20</f>
        <v>0</v>
      </c>
      <c r="C75" s="980"/>
      <c r="D75" s="293">
        <f>VLOOKUP('Assignment To do'!M23,$L$5:$M$12,2,TRUE)</f>
        <v>0</v>
      </c>
      <c r="E75" s="288">
        <v>0</v>
      </c>
      <c r="F75" s="289"/>
      <c r="G75" s="276"/>
      <c r="I75" s="981"/>
    </row>
    <row r="76" spans="1:13" ht="15" hidden="1" customHeight="1" outlineLevel="1">
      <c r="A76" s="281"/>
      <c r="B76" s="980">
        <f>'Assignment To do'!M25</f>
        <v>0</v>
      </c>
      <c r="C76" s="980"/>
      <c r="D76" s="293">
        <f>VLOOKUP('Assignment To do'!M28,$L$5:$M$12,2,TRUE)</f>
        <v>0</v>
      </c>
      <c r="E76" s="290">
        <v>0</v>
      </c>
      <c r="F76" s="289"/>
      <c r="G76" s="276"/>
      <c r="I76" s="981"/>
    </row>
    <row r="77" spans="1:13" ht="15" hidden="1" customHeight="1" outlineLevel="1">
      <c r="C77" s="281"/>
      <c r="E77" s="288">
        <f>SUM(E73:E76)</f>
        <v>17370</v>
      </c>
    </row>
    <row r="78" spans="1:13" collapsed="1"/>
  </sheetData>
  <mergeCells count="51">
    <mergeCell ref="J7:K7"/>
    <mergeCell ref="J1:M1"/>
    <mergeCell ref="J3:K4"/>
    <mergeCell ref="M3:M4"/>
    <mergeCell ref="J5:K5"/>
    <mergeCell ref="J6:K6"/>
    <mergeCell ref="J8:K8"/>
    <mergeCell ref="J9:K9"/>
    <mergeCell ref="J10:K10"/>
    <mergeCell ref="J11:K11"/>
    <mergeCell ref="A12:G12"/>
    <mergeCell ref="J12:K12"/>
    <mergeCell ref="A16:H16"/>
    <mergeCell ref="A17:G17"/>
    <mergeCell ref="A19:G21"/>
    <mergeCell ref="A23:D23"/>
    <mergeCell ref="C25:D26"/>
    <mergeCell ref="E25:F26"/>
    <mergeCell ref="C27:D27"/>
    <mergeCell ref="E27:F27"/>
    <mergeCell ref="C28:D28"/>
    <mergeCell ref="E28:F28"/>
    <mergeCell ref="C29:D29"/>
    <mergeCell ref="E29:F29"/>
    <mergeCell ref="A40:G40"/>
    <mergeCell ref="C30:D30"/>
    <mergeCell ref="E30:F30"/>
    <mergeCell ref="C31:D31"/>
    <mergeCell ref="E31:F31"/>
    <mergeCell ref="C32:D32"/>
    <mergeCell ref="E32:F32"/>
    <mergeCell ref="C33:D33"/>
    <mergeCell ref="E33:F33"/>
    <mergeCell ref="C34:D34"/>
    <mergeCell ref="E34:F34"/>
    <mergeCell ref="A38:G38"/>
    <mergeCell ref="A44:G44"/>
    <mergeCell ref="A50:G52"/>
    <mergeCell ref="A54:G55"/>
    <mergeCell ref="B58:C58"/>
    <mergeCell ref="I58:I61"/>
    <mergeCell ref="B59:C59"/>
    <mergeCell ref="B60:C60"/>
    <mergeCell ref="B61:C61"/>
    <mergeCell ref="A66:G67"/>
    <mergeCell ref="A69:G70"/>
    <mergeCell ref="B73:C73"/>
    <mergeCell ref="I73:I76"/>
    <mergeCell ref="B74:C74"/>
    <mergeCell ref="B75:C75"/>
    <mergeCell ref="B76:C76"/>
  </mergeCells>
  <printOptions horizontalCentered="1"/>
  <pageMargins left="0.39370078740157483" right="0.39370078740157483" top="0.39370078740157483" bottom="0.39370078740157483" header="0.31496062992125984" footer="0.31496062992125984"/>
  <pageSetup paperSize="9" orientation="portrait" horizontalDpi="300" verticalDpi="300" r:id="rId1"/>
  <customProperties>
    <customPr name="Sheet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22</vt:i4>
      </vt:variant>
      <vt:variant>
        <vt:lpstr>Named Ranges</vt:lpstr>
      </vt:variant>
      <vt:variant>
        <vt:i4>290</vt:i4>
      </vt:variant>
    </vt:vector>
  </HeadingPairs>
  <TitlesOfParts>
    <vt:vector size="312" baseType="lpstr">
      <vt:lpstr>Rep_Settings</vt:lpstr>
      <vt:lpstr>Rep_Status</vt:lpstr>
      <vt:lpstr>Assignment To do</vt:lpstr>
      <vt:lpstr>Brief</vt:lpstr>
      <vt:lpstr>DeBrief</vt:lpstr>
      <vt:lpstr>Agenda &amp; Partner Points</vt:lpstr>
      <vt:lpstr>Pension Advice Schedule</vt:lpstr>
      <vt:lpstr>Tax Payment Sch</vt:lpstr>
      <vt:lpstr>Home</vt:lpstr>
      <vt:lpstr>Index</vt:lpstr>
      <vt:lpstr>Review Points</vt:lpstr>
      <vt:lpstr>Review 2</vt:lpstr>
      <vt:lpstr>Prov for Income Tax</vt:lpstr>
      <vt:lpstr>Super Contributions</vt:lpstr>
      <vt:lpstr>Investments</vt:lpstr>
      <vt:lpstr>Investment Summary</vt:lpstr>
      <vt:lpstr>Property CB &amp; MV</vt:lpstr>
      <vt:lpstr>M25 Rental Property</vt:lpstr>
      <vt:lpstr>N05 Fund Fees</vt:lpstr>
      <vt:lpstr>F05 Trade Debtors</vt:lpstr>
      <vt:lpstr>Rent Received</vt:lpstr>
      <vt:lpstr>GST Rec</vt:lpstr>
      <vt:lpstr>HNSW_Properties!BF_DocumentType</vt:lpstr>
      <vt:lpstr>HNSW_Properties!BF_LocalTemplateLocation</vt:lpstr>
      <vt:lpstr>HNSW_Properties!BF_ProductNumber</vt:lpstr>
      <vt:lpstr>HNSW_Properties!BF_StarterVersion</vt:lpstr>
      <vt:lpstr>HNSW_Properties!BF_WorkpaperId</vt:lpstr>
      <vt:lpstr>Cl_ABNTFN</vt:lpstr>
      <vt:lpstr>Cl_Code</vt:lpstr>
      <vt:lpstr>Cl_Connected</vt:lpstr>
      <vt:lpstr>Cl_Contact</vt:lpstr>
      <vt:lpstr>Cl_Email</vt:lpstr>
      <vt:lpstr>Cl_EntityType</vt:lpstr>
      <vt:lpstr>Cl_FileId</vt:lpstr>
      <vt:lpstr>Cl_FileName</vt:lpstr>
      <vt:lpstr>Cl_Member1</vt:lpstr>
      <vt:lpstr>Cl_Member2</vt:lpstr>
      <vt:lpstr>Cl_Member3</vt:lpstr>
      <vt:lpstr>Cl_Member4</vt:lpstr>
      <vt:lpstr>Cl_Member5</vt:lpstr>
      <vt:lpstr>Cl_Member6</vt:lpstr>
      <vt:lpstr>Cl_Member7</vt:lpstr>
      <vt:lpstr>Cl_Member8</vt:lpstr>
      <vt:lpstr>Cl_Name</vt:lpstr>
      <vt:lpstr>Cl_Phone</vt:lpstr>
      <vt:lpstr>Cl_Software</vt:lpstr>
      <vt:lpstr>Cl_SoftwareComparatives</vt:lpstr>
      <vt:lpstr>Cl_SoftwarePassword</vt:lpstr>
      <vt:lpstr>Cl_SoftwareUsername</vt:lpstr>
      <vt:lpstr>Cl_SoftwareVariance</vt:lpstr>
      <vt:lpstr>'M25 Rental Property'!DynamicCB_01</vt:lpstr>
      <vt:lpstr>'M25 Rental Property'!DynamicCB_02</vt:lpstr>
      <vt:lpstr>'M25 Rental Property'!DynamicCB_03</vt:lpstr>
      <vt:lpstr>'M25 Rental Property'!DynamicCB_04</vt:lpstr>
      <vt:lpstr>'M25 Rental Property'!DynamicCB_05</vt:lpstr>
      <vt:lpstr>'M25 Rental Property'!DynamicCB_06</vt:lpstr>
      <vt:lpstr>'M25 Rental Property'!DynamicCB_07</vt:lpstr>
      <vt:lpstr>'M25 Rental Property'!DynamicCB_08</vt:lpstr>
      <vt:lpstr>'M25 Rental Property'!DynamicCB_09</vt:lpstr>
      <vt:lpstr>'M25 Rental Property'!DynamicList_01</vt:lpstr>
      <vt:lpstr>'M25 Rental Property'!DynamicList_02</vt:lpstr>
      <vt:lpstr>'M25 Rental Property'!DynamicList_03</vt:lpstr>
      <vt:lpstr>'M25 Rental Property'!DynamicList_04</vt:lpstr>
      <vt:lpstr>'M25 Rental Property'!DynamicList_05</vt:lpstr>
      <vt:lpstr>'M25 Rental Property'!DynamicList_06</vt:lpstr>
      <vt:lpstr>'M25 Rental Property'!DynamicList_07</vt:lpstr>
      <vt:lpstr>'M25 Rental Property'!DynamicList_08</vt:lpstr>
      <vt:lpstr>'M25 Rental Property'!DynamicList_09</vt:lpstr>
      <vt:lpstr>'M25 Rental Property'!DynamicList_10</vt:lpstr>
      <vt:lpstr>'M25 Rental Property'!DynamicList_12</vt:lpstr>
      <vt:lpstr>'M25 Rental Property'!DynamicList_13</vt:lpstr>
      <vt:lpstr>'M25 Rental Property'!DynamicOB_01</vt:lpstr>
      <vt:lpstr>'M25 Rental Property'!DynamicOB_02</vt:lpstr>
      <vt:lpstr>'M25 Rental Property'!DynamicOB_03</vt:lpstr>
      <vt:lpstr>'M25 Rental Property'!DynamicOB_04</vt:lpstr>
      <vt:lpstr>'M25 Rental Property'!DynamicOB_05</vt:lpstr>
      <vt:lpstr>'M25 Rental Property'!DynamicOB_06</vt:lpstr>
      <vt:lpstr>'M25 Rental Property'!DynamicOB_07</vt:lpstr>
      <vt:lpstr>'M25 Rental Property'!DynamicOB_08</vt:lpstr>
      <vt:lpstr>'M25 Rental Property'!DynamicOB_09</vt:lpstr>
      <vt:lpstr>Firm_Name</vt:lpstr>
      <vt:lpstr>Firm_Partner</vt:lpstr>
      <vt:lpstr>Firm_PartnerId</vt:lpstr>
      <vt:lpstr>Firm_Preparer</vt:lpstr>
      <vt:lpstr>Firm_PreparerDate</vt:lpstr>
      <vt:lpstr>Firm_PreparerId</vt:lpstr>
      <vt:lpstr>Firm_Reviewer</vt:lpstr>
      <vt:lpstr>Firm_ReviewerDate</vt:lpstr>
      <vt:lpstr>Firm_ReviewerId</vt:lpstr>
      <vt:lpstr>FlaggedItems</vt:lpstr>
      <vt:lpstr>Go_CollapseAll</vt:lpstr>
      <vt:lpstr>Go_ConfigureFileSource</vt:lpstr>
      <vt:lpstr>Go_ExpandAll</vt:lpstr>
      <vt:lpstr>Go_Help</vt:lpstr>
      <vt:lpstr>Go_OpeningBalance</vt:lpstr>
      <vt:lpstr>Go_RefreshTrialBalance</vt:lpstr>
      <vt:lpstr>Home!Go_RollUp</vt:lpstr>
      <vt:lpstr>Go_SelectUser_Partner</vt:lpstr>
      <vt:lpstr>Go_SelectUser_Preparer</vt:lpstr>
      <vt:lpstr>Go_SelectUser_Reviewer</vt:lpstr>
      <vt:lpstr>IssueTypes</vt:lpstr>
      <vt:lpstr>'M25 Rental Property'!M25_Advertising</vt:lpstr>
      <vt:lpstr>'M25 Rental Property'!M25_Advertising_1</vt:lpstr>
      <vt:lpstr>'M25 Rental Property'!M25_Advertising_2</vt:lpstr>
      <vt:lpstr>'M25 Rental Property'!M25_Advertising_3</vt:lpstr>
      <vt:lpstr>'M25 Rental Property'!M25_AgentFees</vt:lpstr>
      <vt:lpstr>'M25 Rental Property'!M25_AgentFees_1</vt:lpstr>
      <vt:lpstr>'M25 Rental Property'!M25_AgentFees_2</vt:lpstr>
      <vt:lpstr>'M25 Rental Property'!M25_AgentFees_3</vt:lpstr>
      <vt:lpstr>'M25 Rental Property'!M25_BankCharges</vt:lpstr>
      <vt:lpstr>'M25 Rental Property'!M25_BankCharges_1</vt:lpstr>
      <vt:lpstr>'M25 Rental Property'!M25_BankCharges_2</vt:lpstr>
      <vt:lpstr>'M25 Rental Property'!M25_BankCharges_3</vt:lpstr>
      <vt:lpstr>'M25 Rental Property'!M25_BodyCorp_1</vt:lpstr>
      <vt:lpstr>'M25 Rental Property'!M25_BodyCorp_2</vt:lpstr>
      <vt:lpstr>'M25 Rental Property'!M25_BodyCorp_3</vt:lpstr>
      <vt:lpstr>'M25 Rental Property'!M25_BodyCorpTotal</vt:lpstr>
      <vt:lpstr>'M25 Rental Property'!M25_BorrowingExp</vt:lpstr>
      <vt:lpstr>'M25 Rental Property'!M25_BorrowingExp_1</vt:lpstr>
      <vt:lpstr>'M25 Rental Property'!M25_BorrowingExp_2</vt:lpstr>
      <vt:lpstr>'M25 Rental Property'!M25_BorrowingExp_3</vt:lpstr>
      <vt:lpstr>'M25 Rental Property'!M25_CapWorks</vt:lpstr>
      <vt:lpstr>'M25 Rental Property'!M25_CapWorks_1</vt:lpstr>
      <vt:lpstr>'M25 Rental Property'!M25_CapWorks_2</vt:lpstr>
      <vt:lpstr>'M25 Rental Property'!M25_CapWorks_3</vt:lpstr>
      <vt:lpstr>'M25 Rental Property'!M25_Cleaning_1</vt:lpstr>
      <vt:lpstr>'M25 Rental Property'!M25_Cleaning_2</vt:lpstr>
      <vt:lpstr>'M25 Rental Property'!M25_Cleaning_3</vt:lpstr>
      <vt:lpstr>'M25 Rental Property'!M25_CleaningTotal</vt:lpstr>
      <vt:lpstr>'M25 Rental Property'!M25_ClientRentProp1</vt:lpstr>
      <vt:lpstr>'M25 Rental Property'!M25_Depreciation</vt:lpstr>
      <vt:lpstr>'M25 Rental Property'!M25_Depreciation_1</vt:lpstr>
      <vt:lpstr>'M25 Rental Property'!M25_Depreciation_2</vt:lpstr>
      <vt:lpstr>'M25 Rental Property'!M25_Depreciation_3</vt:lpstr>
      <vt:lpstr>'M25 Rental Property'!M25_Gardening</vt:lpstr>
      <vt:lpstr>'M25 Rental Property'!M25_Gardening_1</vt:lpstr>
      <vt:lpstr>'M25 Rental Property'!M25_Gardening_2</vt:lpstr>
      <vt:lpstr>'M25 Rental Property'!M25_Gardening_3</vt:lpstr>
      <vt:lpstr>'M25 Rental Property'!M25_GrossRentAgent</vt:lpstr>
      <vt:lpstr>'M25 Rental Property'!M25_GrossRentAgent_1</vt:lpstr>
      <vt:lpstr>'M25 Rental Property'!M25_GrossRentAgent_2</vt:lpstr>
      <vt:lpstr>'M25 Rental Property'!M25_GrossRentAgent_3</vt:lpstr>
      <vt:lpstr>'M25 Rental Property'!M25_GrossRentDirect</vt:lpstr>
      <vt:lpstr>'M25 Rental Property'!M25_GrossRentDirect_1</vt:lpstr>
      <vt:lpstr>'M25 Rental Property'!M25_GrossRentDirect_2</vt:lpstr>
      <vt:lpstr>'M25 Rental Property'!M25_GrossRentDirect_3</vt:lpstr>
      <vt:lpstr>'M25 Rental Property'!M25_Insurance</vt:lpstr>
      <vt:lpstr>'M25 Rental Property'!M25_Insurance_1</vt:lpstr>
      <vt:lpstr>'M25 Rental Property'!M25_Insurance_2</vt:lpstr>
      <vt:lpstr>'M25 Rental Property'!M25_Insurance_3</vt:lpstr>
      <vt:lpstr>'M25 Rental Property'!M25_Interest</vt:lpstr>
      <vt:lpstr>'M25 Rental Property'!M25_Interest_1</vt:lpstr>
      <vt:lpstr>'M25 Rental Property'!M25_Interest_2</vt:lpstr>
      <vt:lpstr>'M25 Rental Property'!M25_Interest_3</vt:lpstr>
      <vt:lpstr>'M25 Rental Property'!M25_LandTax</vt:lpstr>
      <vt:lpstr>'M25 Rental Property'!M25_LandTax_1</vt:lpstr>
      <vt:lpstr>'M25 Rental Property'!M25_LandTax_2</vt:lpstr>
      <vt:lpstr>'M25 Rental Property'!M25_LandTax_3</vt:lpstr>
      <vt:lpstr>'M25 Rental Property'!M25_Legal</vt:lpstr>
      <vt:lpstr>'M25 Rental Property'!M25_Legal_1</vt:lpstr>
      <vt:lpstr>'M25 Rental Property'!M25_Legal_2</vt:lpstr>
      <vt:lpstr>'M25 Rental Property'!M25_Legal_3</vt:lpstr>
      <vt:lpstr>'M25 Rental Property'!M25_OtherInc_1</vt:lpstr>
      <vt:lpstr>'M25 Rental Property'!M25_OtherInc_2</vt:lpstr>
      <vt:lpstr>'M25 Rental Property'!M25_OtherInc_3</vt:lpstr>
      <vt:lpstr>'M25 Rental Property'!M25_OtherIncTotal</vt:lpstr>
      <vt:lpstr>'M25 Rental Property'!M25_PestControl</vt:lpstr>
      <vt:lpstr>'M25 Rental Property'!M25_PestControl_1</vt:lpstr>
      <vt:lpstr>'M25 Rental Property'!M25_PestControl_2</vt:lpstr>
      <vt:lpstr>'M25 Rental Property'!M25_PestControl_3</vt:lpstr>
      <vt:lpstr>'M25 Rental Property'!M25_Rates</vt:lpstr>
      <vt:lpstr>'M25 Rental Property'!M25_Rates_1</vt:lpstr>
      <vt:lpstr>'M25 Rental Property'!M25_Rates_2</vt:lpstr>
      <vt:lpstr>'M25 Rental Property'!M25_Rates_3</vt:lpstr>
      <vt:lpstr>'M25 Rental Property'!M25_RM</vt:lpstr>
      <vt:lpstr>'M25 Rental Property'!M25_RM_1</vt:lpstr>
      <vt:lpstr>'M25 Rental Property'!M25_RM_2</vt:lpstr>
      <vt:lpstr>'M25 Rental Property'!M25_RM_3</vt:lpstr>
      <vt:lpstr>'M25 Rental Property'!M25_Stationery</vt:lpstr>
      <vt:lpstr>'M25 Rental Property'!M25_Stationery_1</vt:lpstr>
      <vt:lpstr>'M25 Rental Property'!M25_Stationery_2</vt:lpstr>
      <vt:lpstr>'M25 Rental Property'!M25_Stationery_3</vt:lpstr>
      <vt:lpstr>'M25 Rental Property'!M25_Sundry</vt:lpstr>
      <vt:lpstr>'M25 Rental Property'!M25_Sundry_1</vt:lpstr>
      <vt:lpstr>'M25 Rental Property'!M25_Sundry_2</vt:lpstr>
      <vt:lpstr>'M25 Rental Property'!M25_Sundry_3</vt:lpstr>
      <vt:lpstr>'M25 Rental Property'!M25_TaxpayerExp</vt:lpstr>
      <vt:lpstr>'M25 Rental Property'!M25_TaxpayerExp_3</vt:lpstr>
      <vt:lpstr>'M25 Rental Property'!M25_Travel</vt:lpstr>
      <vt:lpstr>'M25 Rental Property'!M25_Travel_1</vt:lpstr>
      <vt:lpstr>'M25 Rental Property'!M25_Travel_2</vt:lpstr>
      <vt:lpstr>'M25 Rental Property'!M25_Travel_3</vt:lpstr>
      <vt:lpstr>'M25 Rental Property'!M25_Water</vt:lpstr>
      <vt:lpstr>'M25 Rental Property'!M25_Water_1</vt:lpstr>
      <vt:lpstr>'M25 Rental Property'!M25_Water_2</vt:lpstr>
      <vt:lpstr>'M25 Rental Property'!M25_Water_3</vt:lpstr>
      <vt:lpstr>'M25 Rental Property'!Model_Rental.Address</vt:lpstr>
      <vt:lpstr>'M25 Rental Property'!Model_Rental.Advertising</vt:lpstr>
      <vt:lpstr>'M25 Rental Property'!Model_Rental.BankCharges</vt:lpstr>
      <vt:lpstr>'M25 Rental Property'!Model_Rental.BodyCorporate</vt:lpstr>
      <vt:lpstr>'M25 Rental Property'!Model_Rental.BorrowingExpenses</vt:lpstr>
      <vt:lpstr>'M25 Rental Property'!Model_Rental.CapitalWorks</vt:lpstr>
      <vt:lpstr>'M25 Rental Property'!Model_Rental.Cleaning</vt:lpstr>
      <vt:lpstr>'M25 Rental Property'!Model_Rental.DateFirstRented</vt:lpstr>
      <vt:lpstr>'M25 Rental Property'!Model_Rental.Depreciation</vt:lpstr>
      <vt:lpstr>'M25 Rental Property'!Model_Rental.Distribution</vt:lpstr>
      <vt:lpstr>'M25 Rental Property'!Model_Rental.Gardening</vt:lpstr>
      <vt:lpstr>'M25 Rental Property'!Model_Rental.GrossRent</vt:lpstr>
      <vt:lpstr>'M25 Rental Property'!Model_Rental.Insurance</vt:lpstr>
      <vt:lpstr>'M25 Rental Property'!Model_Rental.Interest</vt:lpstr>
      <vt:lpstr>'M25 Rental Property'!Model_Rental.LandTax</vt:lpstr>
      <vt:lpstr>'M25 Rental Property'!Model_Rental.Legal</vt:lpstr>
      <vt:lpstr>'M25 Rental Property'!Model_Rental.NumberOfWeeksRented</vt:lpstr>
      <vt:lpstr>'M25 Rental Property'!Model_Rental.OtherIncome</vt:lpstr>
      <vt:lpstr>'M25 Rental Property'!Model_Rental.PestControl</vt:lpstr>
      <vt:lpstr>'M25 Rental Property'!Model_Rental.PropertyAgent</vt:lpstr>
      <vt:lpstr>'M25 Rental Property'!Model_Rental.PropertyName</vt:lpstr>
      <vt:lpstr>'M25 Rental Property'!Model_Rental.Rates</vt:lpstr>
      <vt:lpstr>'M25 Rental Property'!Model_Rental.Repairs</vt:lpstr>
      <vt:lpstr>'M25 Rental Property'!Model_Rental.Sundry</vt:lpstr>
      <vt:lpstr>'M25 Rental Property'!Model_Rental.Travel</vt:lpstr>
      <vt:lpstr>'M25 Rental Property'!Model_Rental.WaterCharges</vt:lpstr>
      <vt:lpstr>'N05 Fund Fees'!N5_Accountancy</vt:lpstr>
      <vt:lpstr>'N05 Fund Fees'!N5_Audit</vt:lpstr>
      <vt:lpstr>Options_Tolerance</vt:lpstr>
      <vt:lpstr>PeriodEndDate</vt:lpstr>
      <vt:lpstr>PeriodStartDate</vt:lpstr>
      <vt:lpstr>'Agenda &amp; Partner Points'!Print_Area</vt:lpstr>
      <vt:lpstr>'Assignment To do'!Print_Area</vt:lpstr>
      <vt:lpstr>'F05 Trade Debtors'!Print_Area</vt:lpstr>
      <vt:lpstr>Investments!Print_Area</vt:lpstr>
      <vt:lpstr>'M25 Rental Property'!Print_Area</vt:lpstr>
      <vt:lpstr>'N05 Fund Fees'!Print_Area</vt:lpstr>
      <vt:lpstr>'Pension Advice Schedule'!Print_Area</vt:lpstr>
      <vt:lpstr>'Rent Received'!Print_Area</vt:lpstr>
      <vt:lpstr>'Review Points'!Print_Area</vt:lpstr>
      <vt:lpstr>'Super Contributions'!Print_Area</vt:lpstr>
      <vt:lpstr>'Tax Payment Sch'!Print_Area</vt:lpstr>
      <vt:lpstr>Investments!Print_Titles</vt:lpstr>
      <vt:lpstr>Setting_CompareDataSetId</vt:lpstr>
      <vt:lpstr>Setting_CompareEntityId</vt:lpstr>
      <vt:lpstr>Setting_DataSetId</vt:lpstr>
      <vt:lpstr>Setting_EntityId</vt:lpstr>
      <vt:lpstr>Setting_FileConnectionString</vt:lpstr>
      <vt:lpstr>Setting_ShowSubTotals</vt:lpstr>
      <vt:lpstr>Setting_ShowVariance</vt:lpstr>
      <vt:lpstr>Settings_Version</vt:lpstr>
      <vt:lpstr>ShowAlert</vt:lpstr>
      <vt:lpstr>StatusBlank</vt:lpstr>
      <vt:lpstr>StatusDescriptions</vt:lpstr>
      <vt:lpstr>StatusDescriptionsOrder</vt:lpstr>
      <vt:lpstr>Tax_AccountingMethod</vt:lpstr>
      <vt:lpstr>Tax_SmallBusinessEntity</vt:lpstr>
      <vt:lpstr>Tax_Year</vt:lpstr>
      <vt:lpstr>'F05 Trade Debtors'!Tm_Account</vt:lpstr>
      <vt:lpstr>'M25 Rental Property'!Tm_Account</vt:lpstr>
      <vt:lpstr>'N05 Fund Fees'!Tm_Account</vt:lpstr>
      <vt:lpstr>Home!Tm_EndRollUp</vt:lpstr>
      <vt:lpstr>'F05 Trade Debtors'!Tm_EndRollUp_01</vt:lpstr>
      <vt:lpstr>'M25 Rental Property'!Tm_EndRollUp_01</vt:lpstr>
      <vt:lpstr>'N05 Fund Fees'!Tm_EndRollUp_01</vt:lpstr>
      <vt:lpstr>'F05 Trade Debtors'!Tm_EndRollUp_02</vt:lpstr>
      <vt:lpstr>'M25 Rental Property'!Tm_EndRollUp_02</vt:lpstr>
      <vt:lpstr>'N05 Fund Fees'!Tm_EndRollUp_02</vt:lpstr>
      <vt:lpstr>'F05 Trade Debtors'!Tm_EndRollUp_03</vt:lpstr>
      <vt:lpstr>'M25 Rental Property'!Tm_EndRollUp_03</vt:lpstr>
      <vt:lpstr>'N05 Fund Fees'!Tm_EndRollUp_03</vt:lpstr>
      <vt:lpstr>'F05 Trade Debtors'!Tm_EndRollUp_04</vt:lpstr>
      <vt:lpstr>'M25 Rental Property'!Tm_EndRollUp_04</vt:lpstr>
      <vt:lpstr>'N05 Fund Fees'!Tm_EndRollUp_04</vt:lpstr>
      <vt:lpstr>'F05 Trade Debtors'!Tm_EndRollUp_05</vt:lpstr>
      <vt:lpstr>'M25 Rental Property'!Tm_EndRollUp_05</vt:lpstr>
      <vt:lpstr>'M25 Rental Property'!Tm_EndRollUp_06</vt:lpstr>
      <vt:lpstr>'M25 Rental Property'!Tm_EndRollUp_07</vt:lpstr>
      <vt:lpstr>Home!Tm_StartRollUp</vt:lpstr>
      <vt:lpstr>'F05 Trade Debtors'!Tm_StartRollUp_01</vt:lpstr>
      <vt:lpstr>'M25 Rental Property'!Tm_StartRollUp_01</vt:lpstr>
      <vt:lpstr>'N05 Fund Fees'!Tm_StartRollUp_01</vt:lpstr>
      <vt:lpstr>'F05 Trade Debtors'!Tm_StartRollUp_02</vt:lpstr>
      <vt:lpstr>'M25 Rental Property'!Tm_StartRollUp_02</vt:lpstr>
      <vt:lpstr>'N05 Fund Fees'!Tm_StartRollUp_02</vt:lpstr>
      <vt:lpstr>'F05 Trade Debtors'!Tm_StartRollUp_03</vt:lpstr>
      <vt:lpstr>'M25 Rental Property'!Tm_StartRollUp_03</vt:lpstr>
      <vt:lpstr>'N05 Fund Fees'!Tm_StartRollUp_03</vt:lpstr>
      <vt:lpstr>'F05 Trade Debtors'!Tm_StartRollUp_04</vt:lpstr>
      <vt:lpstr>'M25 Rental Property'!Tm_StartRollUp_04</vt:lpstr>
      <vt:lpstr>'N05 Fund Fees'!Tm_StartRollUp_04</vt:lpstr>
      <vt:lpstr>'F05 Trade Debtors'!Tm_StartRollUp_05</vt:lpstr>
      <vt:lpstr>'M25 Rental Property'!Tm_StartRollUp_05</vt:lpstr>
      <vt:lpstr>'M25 Rental Property'!Tm_StartRollUp_06</vt:lpstr>
      <vt:lpstr>'M25 Rental Property'!Tm_StartRollUp_07</vt:lpstr>
      <vt:lpstr>'F05 Trade Debtors'!Tm_Status</vt:lpstr>
      <vt:lpstr>'M25 Rental Property'!Tm_Status</vt:lpstr>
      <vt:lpstr>'N05 Fund Fees'!Tm_Status</vt:lpstr>
      <vt:lpstr>'Rent Received'!Tm_Status</vt:lpstr>
      <vt:lpstr>'Super Contributions'!Tm_Status</vt:lpstr>
      <vt:lpstr>'F05 Trade Debtors'!Tm_Sub</vt:lpstr>
      <vt:lpstr>'M25 Rental Property'!Tm_Sub</vt:lpstr>
      <vt:lpstr>'N05 Fund Fees'!Tm_Sub</vt:lpstr>
      <vt:lpstr>'F05 Trade Debtors'!Tm_Title</vt:lpstr>
      <vt:lpstr>'M25 Rental Property'!Tm_Title</vt:lpstr>
      <vt:lpstr>'N05 Fund Fees'!Tm_Title</vt:lpstr>
      <vt:lpstr>'Rent Received'!Tm_Title</vt:lpstr>
      <vt:lpstr>'Super Contributions'!Tm_Title</vt:lpstr>
      <vt:lpstr>'F05 Trade Debtors'!Tm_WorksheetTitle</vt:lpstr>
      <vt:lpstr>'M25 Rental Property'!Tm_WorksheetTitle</vt:lpstr>
      <vt:lpstr>'N05 Fund Fees'!Tm_WorksheetTitle</vt:lpstr>
      <vt:lpstr>'Rent Received'!Tm_WorksheetTitle</vt:lpstr>
      <vt:lpstr>'Super Contributions'!Tm_WorksheetTitle</vt:lpstr>
      <vt:lpstr>TrialBalance</vt:lpstr>
      <vt:lpstr>UnreconciledWorkpapers</vt:lpstr>
      <vt:lpstr>UnresolvedItems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Workpapers</dc:title>
  <dc:creator>Jolene Hussain</dc:creator>
  <cp:lastModifiedBy>Christine McLetchie</cp:lastModifiedBy>
  <cp:lastPrinted>2019-04-03T22:59:36Z</cp:lastPrinted>
  <dcterms:created xsi:type="dcterms:W3CDTF">2013-10-15T13:40:19Z</dcterms:created>
  <dcterms:modified xsi:type="dcterms:W3CDTF">2019-09-16T04:26:33Z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BF_Document_ID">
    <vt:i4>15</vt:i4>
  </property>
  <property fmtid="{D5CDD505-2E9C-101B-9397-08002B2CF9AE}" pid="3" name="Starter_Version">
    <vt:lpwstr>2.2.0.0</vt:lpwstr>
  </property>
  <property fmtid="{D5CDD505-2E9C-101B-9397-08002B2CF9AE}" pid="4" name="Class_Workpaper">
    <vt:bool>true</vt:bool>
  </property>
  <property fmtid="{D5CDD505-2E9C-101B-9397-08002B2CF9AE}" pid="5" name="BF_WorkpaperId">
    <vt:lpwstr>a54da716-329e-4ba4-b77b-3fcd4f16b9df</vt:lpwstr>
  </property>
</Properties>
</file>