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onu\Desktop\MaxWealthCA\Clients\M\Michael_Bond\SMSF\2018 SMSF\"/>
    </mc:Choice>
  </mc:AlternateContent>
  <xr:revisionPtr revIDLastSave="0" documentId="13_ncr:1_{3AB43FE3-E4AB-44EE-B8C2-CCAFDDBFE957}" xr6:coauthVersionLast="47" xr6:coauthVersionMax="47" xr10:uidLastSave="{00000000-0000-0000-0000-000000000000}"/>
  <bookViews>
    <workbookView xWindow="-120" yWindow="-120" windowWidth="29040" windowHeight="15840" activeTab="10" xr2:uid="{00000000-000D-0000-FFFF-FFFF00000000}"/>
  </bookViews>
  <sheets>
    <sheet name="2020 BS" sheetId="19" r:id="rId1"/>
    <sheet name="2020 PL" sheetId="18" r:id="rId2"/>
    <sheet name="2019 BS" sheetId="17" r:id="rId3"/>
    <sheet name="2019 PL" sheetId="16" r:id="rId4"/>
    <sheet name="2018 BS" sheetId="15" r:id="rId5"/>
    <sheet name="2018 PL" sheetId="14" r:id="rId6"/>
    <sheet name="2017 PL" sheetId="5" state="hidden" r:id="rId7"/>
    <sheet name="2017 BS" sheetId="4" state="hidden" r:id="rId8"/>
    <sheet name=" PL Notes" sheetId="3" r:id="rId9"/>
    <sheet name="BS Notes" sheetId="6" r:id="rId10"/>
    <sheet name="losses cftd" sheetId="13" r:id="rId11"/>
    <sheet name="2017 Shares details" sheetId="8" state="hidden" r:id="rId12"/>
    <sheet name="2017 Shares Val" sheetId="7" state="hidden" r:id="rId13"/>
    <sheet name="Piv TB" sheetId="10" state="hidden" r:id="rId14"/>
    <sheet name="2017 data" sheetId="1" state="hidden" r:id="rId15"/>
    <sheet name="Liberty loan" sheetId="2" state="hidden" r:id="rId16"/>
  </sheets>
  <externalReferences>
    <externalReference r:id="rId17"/>
    <externalReference r:id="rId18"/>
    <externalReference r:id="rId19"/>
  </externalReferences>
  <definedNames>
    <definedName name="_xlnm._FilterDatabase" localSheetId="14" hidden="1">'2017 data'!$A$2:$P$114</definedName>
  </definedNames>
  <calcPr calcId="191029"/>
  <pivotCaches>
    <pivotCache cacheId="0" r:id="rId20"/>
    <pivotCache cacheId="1" r:id="rId21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19" l="1"/>
  <c r="E12" i="17"/>
  <c r="G6" i="6"/>
  <c r="G4" i="6"/>
  <c r="X16" i="18" l="1"/>
  <c r="D9" i="18"/>
  <c r="D9" i="16"/>
  <c r="D13" i="16"/>
  <c r="X17" i="16"/>
  <c r="E19" i="6"/>
  <c r="D20" i="6"/>
  <c r="E20" i="6"/>
  <c r="F20" i="6"/>
  <c r="E12" i="15" s="1"/>
  <c r="F19" i="6"/>
  <c r="D19" i="6"/>
  <c r="D14" i="14"/>
  <c r="Z18" i="16"/>
  <c r="W18" i="14"/>
  <c r="E6" i="17"/>
  <c r="H81" i="6"/>
  <c r="F6" i="6" l="1"/>
  <c r="D9" i="6" l="1"/>
  <c r="E9" i="6"/>
  <c r="N11" i="6" s="1"/>
  <c r="D8" i="18" s="1"/>
  <c r="H49" i="6"/>
  <c r="F9" i="6" s="1"/>
  <c r="E6" i="18"/>
  <c r="E18" i="19"/>
  <c r="E20" i="19" s="1"/>
  <c r="F20" i="15"/>
  <c r="E22" i="14"/>
  <c r="E16" i="14"/>
  <c r="E18" i="14" s="1"/>
  <c r="E11" i="14"/>
  <c r="N10" i="6" l="1"/>
  <c r="F6" i="17"/>
  <c r="E5" i="15"/>
  <c r="F5" i="17" s="1"/>
  <c r="F6" i="19"/>
  <c r="E18" i="17"/>
  <c r="F14" i="6"/>
  <c r="E11" i="15" s="1"/>
  <c r="F11" i="17" s="1"/>
  <c r="G24" i="19"/>
  <c r="H20" i="19"/>
  <c r="G20" i="19"/>
  <c r="H13" i="19"/>
  <c r="H15" i="19" s="1"/>
  <c r="H22" i="19" s="1"/>
  <c r="H26" i="19" s="1"/>
  <c r="G10" i="19"/>
  <c r="G13" i="19" s="1"/>
  <c r="H7" i="19"/>
  <c r="G7" i="19"/>
  <c r="G24" i="17"/>
  <c r="H20" i="17"/>
  <c r="G20" i="17"/>
  <c r="H13" i="17"/>
  <c r="H15" i="17" s="1"/>
  <c r="G10" i="17"/>
  <c r="G13" i="17" s="1"/>
  <c r="H7" i="17"/>
  <c r="G7" i="17"/>
  <c r="E18" i="15"/>
  <c r="E20" i="15" s="1"/>
  <c r="AL68" i="6"/>
  <c r="AL49" i="6"/>
  <c r="E14" i="6" s="1"/>
  <c r="E11" i="17" s="1"/>
  <c r="D5" i="14"/>
  <c r="D5" i="16"/>
  <c r="E5" i="18" s="1"/>
  <c r="D5" i="18"/>
  <c r="E6" i="16"/>
  <c r="E2" i="16"/>
  <c r="AL24" i="6"/>
  <c r="AL45" i="6" s="1"/>
  <c r="AL48" i="6" s="1"/>
  <c r="AL20" i="6"/>
  <c r="AL23" i="6" s="1"/>
  <c r="G89" i="2"/>
  <c r="I88" i="2"/>
  <c r="H88" i="2"/>
  <c r="I87" i="2"/>
  <c r="H86" i="2"/>
  <c r="I86" i="2" s="1"/>
  <c r="I85" i="2"/>
  <c r="I84" i="2"/>
  <c r="I89" i="2" s="1"/>
  <c r="G81" i="2"/>
  <c r="I80" i="2"/>
  <c r="H80" i="2"/>
  <c r="I79" i="2"/>
  <c r="H78" i="2"/>
  <c r="H81" i="2" s="1"/>
  <c r="I77" i="2"/>
  <c r="I76" i="2"/>
  <c r="G73" i="2"/>
  <c r="H72" i="2"/>
  <c r="I72" i="2" s="1"/>
  <c r="I71" i="2"/>
  <c r="H70" i="2"/>
  <c r="H73" i="2" s="1"/>
  <c r="I69" i="2"/>
  <c r="I68" i="2"/>
  <c r="D14" i="6"/>
  <c r="E11" i="19" s="1"/>
  <c r="D5" i="6"/>
  <c r="D6" i="6" s="1"/>
  <c r="E5" i="19" s="1"/>
  <c r="E7" i="19" s="1"/>
  <c r="E5" i="6"/>
  <c r="F18" i="19" l="1"/>
  <c r="F20" i="19" s="1"/>
  <c r="E20" i="17"/>
  <c r="D8" i="16"/>
  <c r="H22" i="17"/>
  <c r="H26" i="17" s="1"/>
  <c r="G15" i="17"/>
  <c r="G22" i="17" s="1"/>
  <c r="G26" i="17" s="1"/>
  <c r="E6" i="6"/>
  <c r="E5" i="17" s="1"/>
  <c r="F18" i="17"/>
  <c r="F20" i="17" s="1"/>
  <c r="AL25" i="6"/>
  <c r="D8" i="14" s="1"/>
  <c r="AL64" i="6"/>
  <c r="AL67" i="6" s="1"/>
  <c r="AL69" i="6" s="1"/>
  <c r="D7" i="18" s="1"/>
  <c r="F11" i="19"/>
  <c r="F7" i="17"/>
  <c r="G15" i="19"/>
  <c r="G22" i="19" s="1"/>
  <c r="G26" i="19" s="1"/>
  <c r="AL50" i="6"/>
  <c r="D7" i="16" s="1"/>
  <c r="H89" i="2"/>
  <c r="I81" i="2"/>
  <c r="I78" i="2"/>
  <c r="I70" i="2"/>
  <c r="I73" i="2" s="1"/>
  <c r="E13" i="16"/>
  <c r="D10" i="14"/>
  <c r="E9" i="16" s="1"/>
  <c r="F5" i="19" l="1"/>
  <c r="F7" i="19" s="1"/>
  <c r="E7" i="17"/>
  <c r="E7" i="18"/>
  <c r="E7" i="16"/>
  <c r="D21" i="3"/>
  <c r="D13" i="18" s="1"/>
  <c r="E21" i="3"/>
  <c r="F21" i="3"/>
  <c r="F14" i="18"/>
  <c r="F10" i="18"/>
  <c r="F14" i="16"/>
  <c r="E14" i="16"/>
  <c r="F10" i="16"/>
  <c r="G24" i="15"/>
  <c r="H20" i="15"/>
  <c r="G20" i="15"/>
  <c r="H13" i="15"/>
  <c r="H15" i="15" s="1"/>
  <c r="G10" i="15"/>
  <c r="G13" i="15" s="1"/>
  <c r="H7" i="15"/>
  <c r="G7" i="15"/>
  <c r="F16" i="14"/>
  <c r="F11" i="14"/>
  <c r="G65" i="2"/>
  <c r="I64" i="2"/>
  <c r="H64" i="2"/>
  <c r="I63" i="2"/>
  <c r="H62" i="2"/>
  <c r="H65" i="2" s="1"/>
  <c r="I61" i="2"/>
  <c r="I60" i="2"/>
  <c r="G57" i="2"/>
  <c r="I56" i="2"/>
  <c r="H56" i="2"/>
  <c r="I55" i="2"/>
  <c r="H54" i="2"/>
  <c r="H57" i="2" s="1"/>
  <c r="I53" i="2"/>
  <c r="I52" i="2"/>
  <c r="H49" i="2"/>
  <c r="G49" i="2"/>
  <c r="I48" i="2"/>
  <c r="I47" i="2"/>
  <c r="I46" i="2"/>
  <c r="I45" i="2"/>
  <c r="I44" i="2"/>
  <c r="H31" i="6"/>
  <c r="E13" i="4"/>
  <c r="E7" i="4"/>
  <c r="D11" i="4"/>
  <c r="F11" i="15" s="1"/>
  <c r="F6" i="13"/>
  <c r="F5" i="13"/>
  <c r="I4" i="13"/>
  <c r="J4" i="13" s="1"/>
  <c r="J3" i="13"/>
  <c r="G14" i="6"/>
  <c r="D14" i="5"/>
  <c r="G20" i="3"/>
  <c r="G18" i="3"/>
  <c r="G17" i="3"/>
  <c r="G13" i="3"/>
  <c r="D112" i="1"/>
  <c r="D109" i="1"/>
  <c r="D107" i="1"/>
  <c r="D106" i="1"/>
  <c r="A91" i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N68" i="1"/>
  <c r="S40" i="7"/>
  <c r="F69" i="8"/>
  <c r="D108" i="1" s="1"/>
  <c r="D6" i="4"/>
  <c r="D6" i="5"/>
  <c r="D7" i="5"/>
  <c r="D8" i="5"/>
  <c r="G9" i="3"/>
  <c r="F16" i="18" l="1"/>
  <c r="F20" i="18" s="1"/>
  <c r="H22" i="15"/>
  <c r="H26" i="15" s="1"/>
  <c r="F16" i="16"/>
  <c r="F20" i="16" s="1"/>
  <c r="F18" i="14"/>
  <c r="F22" i="14" s="1"/>
  <c r="G15" i="15"/>
  <c r="G22" i="15" s="1"/>
  <c r="G26" i="15" s="1"/>
  <c r="D5" i="3"/>
  <c r="E5" i="3"/>
  <c r="F5" i="3"/>
  <c r="E5" i="16" s="1"/>
  <c r="E10" i="16" s="1"/>
  <c r="E16" i="16" s="1"/>
  <c r="I49" i="2"/>
  <c r="I62" i="2"/>
  <c r="I65" i="2" s="1"/>
  <c r="I54" i="2"/>
  <c r="I57" i="2" s="1"/>
  <c r="F11" i="13"/>
  <c r="S39" i="7"/>
  <c r="S41" i="7" s="1"/>
  <c r="T26" i="7" s="1"/>
  <c r="D116" i="1" s="1"/>
  <c r="D115" i="1" s="1"/>
  <c r="K4" i="13"/>
  <c r="G11" i="6"/>
  <c r="N9" i="6" s="1"/>
  <c r="E15" i="4"/>
  <c r="E22" i="4" s="1"/>
  <c r="I5" i="13"/>
  <c r="D9" i="5"/>
  <c r="A110" i="1"/>
  <c r="A109" i="1"/>
  <c r="A111" i="1" s="1"/>
  <c r="A112" i="1" s="1"/>
  <c r="A113" i="1" s="1"/>
  <c r="A114" i="1" s="1"/>
  <c r="A115" i="1" s="1"/>
  <c r="A116" i="1" s="1"/>
  <c r="D9" i="14" l="1"/>
  <c r="O10" i="6"/>
  <c r="O11" i="6" s="1"/>
  <c r="E9" i="18"/>
  <c r="E10" i="18" s="1"/>
  <c r="F11" i="6"/>
  <c r="E10" i="15" s="1"/>
  <c r="F10" i="17" s="1"/>
  <c r="D10" i="4"/>
  <c r="D5" i="4"/>
  <c r="E7" i="15"/>
  <c r="J5" i="13"/>
  <c r="I6" i="13"/>
  <c r="N23" i="1"/>
  <c r="P23" i="1" s="1"/>
  <c r="N66" i="1"/>
  <c r="P66" i="1" s="1"/>
  <c r="N31" i="1"/>
  <c r="P31" i="1" s="1"/>
  <c r="N67" i="1"/>
  <c r="P67" i="1" s="1"/>
  <c r="N28" i="1"/>
  <c r="P28" i="1" s="1"/>
  <c r="N32" i="1"/>
  <c r="P32" i="1" s="1"/>
  <c r="K30" i="1"/>
  <c r="P30" i="1" s="1"/>
  <c r="K76" i="1"/>
  <c r="P76" i="1" s="1"/>
  <c r="N73" i="1"/>
  <c r="P73" i="1" s="1"/>
  <c r="N8" i="1"/>
  <c r="P8" i="1" s="1"/>
  <c r="N44" i="1"/>
  <c r="P44" i="1" s="1"/>
  <c r="N71" i="1"/>
  <c r="P71" i="1" s="1"/>
  <c r="N25" i="1"/>
  <c r="P25" i="1" s="1"/>
  <c r="N36" i="1"/>
  <c r="P36" i="1" s="1"/>
  <c r="P74" i="1"/>
  <c r="P60" i="1"/>
  <c r="P17" i="1"/>
  <c r="P18" i="1"/>
  <c r="P13" i="1"/>
  <c r="P7" i="1"/>
  <c r="P38" i="1"/>
  <c r="P52" i="1"/>
  <c r="P47" i="1"/>
  <c r="N79" i="1"/>
  <c r="P79" i="1" s="1"/>
  <c r="N20" i="1"/>
  <c r="P20" i="1" s="1"/>
  <c r="P29" i="1"/>
  <c r="P68" i="1"/>
  <c r="P81" i="1"/>
  <c r="P22" i="1"/>
  <c r="P63" i="1"/>
  <c r="P24" i="1"/>
  <c r="K72" i="1"/>
  <c r="P72" i="1" s="1"/>
  <c r="N64" i="1"/>
  <c r="P64" i="1" s="1"/>
  <c r="N21" i="1"/>
  <c r="P21" i="1" s="1"/>
  <c r="N65" i="1"/>
  <c r="P65" i="1" s="1"/>
  <c r="K53" i="1"/>
  <c r="P53" i="1" s="1"/>
  <c r="K10" i="1"/>
  <c r="P10" i="1" s="1"/>
  <c r="P58" i="1"/>
  <c r="G31" i="6"/>
  <c r="I32" i="6"/>
  <c r="I29" i="6"/>
  <c r="I31" i="6" s="1"/>
  <c r="I23" i="6"/>
  <c r="I20" i="6"/>
  <c r="J11" i="6"/>
  <c r="I9" i="6"/>
  <c r="I11" i="6" s="1"/>
  <c r="I4" i="6"/>
  <c r="I6" i="6" s="1"/>
  <c r="E19" i="5"/>
  <c r="F15" i="5"/>
  <c r="E13" i="5"/>
  <c r="E15" i="5" s="1"/>
  <c r="F10" i="5"/>
  <c r="E8" i="5"/>
  <c r="E5" i="5"/>
  <c r="F24" i="4"/>
  <c r="G20" i="4"/>
  <c r="F20" i="4"/>
  <c r="G13" i="4"/>
  <c r="G15" i="4" s="1"/>
  <c r="F10" i="4"/>
  <c r="F13" i="4" s="1"/>
  <c r="G7" i="4"/>
  <c r="F7" i="4"/>
  <c r="G21" i="3"/>
  <c r="H21" i="3"/>
  <c r="G5" i="3"/>
  <c r="I21" i="3"/>
  <c r="G40" i="2"/>
  <c r="I38" i="2"/>
  <c r="I37" i="2"/>
  <c r="I36" i="2"/>
  <c r="H39" i="2"/>
  <c r="I39" i="2" s="1"/>
  <c r="H37" i="2"/>
  <c r="H40" i="2" s="1"/>
  <c r="D113" i="1" s="1"/>
  <c r="D114" i="1" s="1"/>
  <c r="I35" i="2"/>
  <c r="H20" i="2"/>
  <c r="G20" i="2"/>
  <c r="I19" i="2"/>
  <c r="I18" i="2"/>
  <c r="I17" i="2"/>
  <c r="I16" i="2"/>
  <c r="I15" i="2"/>
  <c r="F15" i="1"/>
  <c r="I14" i="6"/>
  <c r="E9" i="5"/>
  <c r="E7" i="5"/>
  <c r="E6" i="5"/>
  <c r="E11" i="6" l="1"/>
  <c r="E10" i="17" s="1"/>
  <c r="F10" i="19" s="1"/>
  <c r="D7" i="4"/>
  <c r="F7" i="15"/>
  <c r="D13" i="5"/>
  <c r="D15" i="5" s="1"/>
  <c r="D14" i="18"/>
  <c r="E13" i="18"/>
  <c r="D16" i="14"/>
  <c r="D5" i="5"/>
  <c r="D10" i="5" s="1"/>
  <c r="D10" i="16"/>
  <c r="D10" i="18"/>
  <c r="D11" i="14"/>
  <c r="I40" i="2"/>
  <c r="J6" i="13"/>
  <c r="K6" i="13" s="1"/>
  <c r="I7" i="13"/>
  <c r="I8" i="13" s="1"/>
  <c r="I20" i="2"/>
  <c r="G22" i="4"/>
  <c r="G26" i="4" s="1"/>
  <c r="F17" i="5"/>
  <c r="F21" i="5" s="1"/>
  <c r="K5" i="13"/>
  <c r="I33" i="6"/>
  <c r="E10" i="5"/>
  <c r="E17" i="5" s="1"/>
  <c r="E21" i="5" s="1"/>
  <c r="E26" i="4"/>
  <c r="F15" i="4"/>
  <c r="F22" i="4" s="1"/>
  <c r="F26" i="4" s="1"/>
  <c r="D11" i="6" l="1"/>
  <c r="E10" i="19" s="1"/>
  <c r="D14" i="16"/>
  <c r="D16" i="16" s="1"/>
  <c r="E14" i="18"/>
  <c r="E16" i="18" s="1"/>
  <c r="I9" i="13"/>
  <c r="J8" i="13"/>
  <c r="J7" i="13"/>
  <c r="K7" i="13" s="1"/>
  <c r="D16" i="18"/>
  <c r="D17" i="5"/>
  <c r="D18" i="14"/>
  <c r="D18" i="4"/>
  <c r="D20" i="4" s="1"/>
  <c r="G23" i="6"/>
  <c r="G20" i="6" l="1"/>
  <c r="K8" i="13"/>
  <c r="D20" i="14" s="1"/>
  <c r="F12" i="17"/>
  <c r="F13" i="17" s="1"/>
  <c r="F15" i="17" s="1"/>
  <c r="F22" i="17" s="1"/>
  <c r="D12" i="4"/>
  <c r="D13" i="4" s="1"/>
  <c r="D15" i="4" s="1"/>
  <c r="D22" i="4" s="1"/>
  <c r="J9" i="13"/>
  <c r="I10" i="13"/>
  <c r="J10" i="13" s="1"/>
  <c r="E13" i="19" s="1"/>
  <c r="E15" i="19" s="1"/>
  <c r="E22" i="19" s="1"/>
  <c r="D19" i="5"/>
  <c r="D21" i="5" s="1"/>
  <c r="G33" i="6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4" i="1"/>
  <c r="F13" i="1"/>
  <c r="F12" i="1"/>
  <c r="F11" i="1"/>
  <c r="F10" i="1"/>
  <c r="F9" i="1"/>
  <c r="F7" i="1"/>
  <c r="F6" i="1"/>
  <c r="F5" i="1"/>
  <c r="F4" i="1"/>
  <c r="F8" i="1"/>
  <c r="F3" i="1"/>
  <c r="E13" i="15" l="1"/>
  <c r="E15" i="15" s="1"/>
  <c r="E22" i="15" s="1"/>
  <c r="K10" i="13"/>
  <c r="D18" i="18" s="1"/>
  <c r="D20" i="18" s="1"/>
  <c r="D32" i="6" s="1"/>
  <c r="K9" i="13"/>
  <c r="D18" i="16" s="1"/>
  <c r="D20" i="16" s="1"/>
  <c r="E32" i="6" s="1"/>
  <c r="D24" i="4"/>
  <c r="D26" i="4" s="1"/>
  <c r="F29" i="6"/>
  <c r="F31" i="6" s="1"/>
  <c r="D22" i="14"/>
  <c r="F32" i="6" s="1"/>
  <c r="E18" i="16"/>
  <c r="E20" i="16" s="1"/>
  <c r="F13" i="15"/>
  <c r="F15" i="15" s="1"/>
  <c r="F22" i="15" s="1"/>
  <c r="F26" i="15" s="1"/>
  <c r="F12" i="19"/>
  <c r="F13" i="19" s="1"/>
  <c r="F15" i="19" s="1"/>
  <c r="F22" i="19" s="1"/>
  <c r="E13" i="17"/>
  <c r="E15" i="17" s="1"/>
  <c r="E22" i="17" s="1"/>
  <c r="E18" i="18" l="1"/>
  <c r="E20" i="18" s="1"/>
  <c r="F33" i="6"/>
  <c r="E29" i="6" s="1"/>
  <c r="E31" i="6" s="1"/>
  <c r="E33" i="6" s="1"/>
  <c r="D29" i="6" s="1"/>
  <c r="D31" i="6" s="1"/>
  <c r="D33" i="6" s="1"/>
  <c r="E24" i="19" s="1"/>
  <c r="E26" i="19" s="1"/>
  <c r="E24" i="15" l="1"/>
  <c r="F24" i="17" s="1"/>
  <c r="F26" i="17" s="1"/>
  <c r="E24" i="17"/>
  <c r="F24" i="19" s="1"/>
  <c r="F26" i="19" s="1"/>
  <c r="E26" i="15" l="1"/>
  <c r="E26" i="17"/>
</calcChain>
</file>

<file path=xl/sharedStrings.xml><?xml version="1.0" encoding="utf-8"?>
<sst xmlns="http://schemas.openxmlformats.org/spreadsheetml/2006/main" count="1261" uniqueCount="300">
  <si>
    <t>M &amp; M Bond SMSF- 739830  1st July 2016 to 30 June 2017</t>
  </si>
  <si>
    <t>739830S15</t>
  </si>
  <si>
    <t>Dr- Cr $ entries</t>
  </si>
  <si>
    <t>Balance</t>
  </si>
  <si>
    <t>CHEVRON TEXACO DESPP   From: COLLINS FOODS Ref: JUL16/00804569</t>
  </si>
  <si>
    <t>DIRECT DEBIT From: ACT Revenue Offi Ref: DD3974028</t>
  </si>
  <si>
    <t>DIRECT DEBIT From: ACT Revenue Offi Ref: DD3974029</t>
  </si>
  <si>
    <t>SECURE FUNDING PTY LTD From: SECURE FUNDING P Ref: 2109357</t>
  </si>
  <si>
    <t>DEFENCE HOUSING AUSTRA From: Defence Housing Ref: 590303</t>
  </si>
  <si>
    <t>INTEREST CREDIT</t>
  </si>
  <si>
    <t>DUET DISTRIBUTION      From: DUET DIST Ref: RC816/00815975</t>
  </si>
  <si>
    <t>DIRECT DEBIT From: ACTEWAGL Ref: E0011609002</t>
  </si>
  <si>
    <t>DEFENCE HOUSING AUSTRA From: Defence Housing Ref: 607562</t>
  </si>
  <si>
    <t>BPAY THE IND GROUP #2214 TRF Ref-000067 #050192933</t>
  </si>
  <si>
    <t>TFR TO 032705 124229 TRF To-MA &amp; MJ BOND TF M&amp;M BOND SUPERAC Ref-Tfr AMB to Wpac Tfr SMSF Super to westpac SMSF</t>
  </si>
  <si>
    <t>DIRECT CREDIT From: MA &amp; MJ BOND TF M&amp;M BOND S Ref: Tfr AMB to Wpac</t>
  </si>
  <si>
    <t>SPARK INFRASTRUCTURE   From: SPARK INFRASTRUC Ref: SEP16/00814838</t>
  </si>
  <si>
    <t>APA GROUP              From: APA DISTRIBUTION Ref: 001191817308</t>
  </si>
  <si>
    <t>IMF INTEREST PAYMENT   From: BHP LTD DIVIDEND Ref: AF373/01246970</t>
  </si>
  <si>
    <t>ASX PERPETUAL REGISTRA From: ASX FNL DIV Ref: 001194231858</t>
  </si>
  <si>
    <t>IMF INTEREST PAYMENT   From: QBE DIVIDEND Ref: 16FPA/00890339</t>
  </si>
  <si>
    <t>IMF INTEREST PAYMENT   From: MEDIBANK DIV Ref: FIN16/00843489</t>
  </si>
  <si>
    <t>CHEVRON TEXACO DESPP   From: TOX FREE SOL LTD Ref: SEP16/00802115</t>
  </si>
  <si>
    <t>COMMONWEALTH BANK      From: CBA FNL DIV Ref: 001191589960</t>
  </si>
  <si>
    <t>DEFENCE HOUSING AUSTRA From: Defence Housing Ref: 624851</t>
  </si>
  <si>
    <t>IAG DIVIDEND PAYMENT   From: IAG DIVIDEND PYT Ref: OCT16/01298229</t>
  </si>
  <si>
    <t>IMF INTEREST PAYMENT   From: SOUTH32 LIMITED Ref: AF001/01144511</t>
  </si>
  <si>
    <t>CSL LIMITED DIVIDEND   From: CSL LTD DIVIDEND Ref: AUD16/00905532</t>
  </si>
  <si>
    <t>IOOF HOLDINGS LIMITED  From: IOOF DIVIDEND Ref: S00062583673</t>
  </si>
  <si>
    <t>CHEVRON TEXACO DESPP   From: FLT CENTRE LTD Ref: OCT16/00819795</t>
  </si>
  <si>
    <t>DIRECT DEBIT From: ACT Revenue Offi Ref: DD4053462</t>
  </si>
  <si>
    <t>DIRECT DEBIT From: ACT Revenue Offi Ref: DD4053463</t>
  </si>
  <si>
    <t>DIVIDEND PAYMENT From: CAR DIVIDEND Ref: OCT16/00809395</t>
  </si>
  <si>
    <t>DEFENCE HOUSING AUSTRA From: Defence Housing Ref: 642148</t>
  </si>
  <si>
    <t>BPAY THE IND GROUP #2214 TRF Ref-000067 #053506005</t>
  </si>
  <si>
    <t>DIRECT DEBIT From: ACTEWAGL Ref: E0011842115</t>
  </si>
  <si>
    <t>DEFENCE HOUSING AUSTRA From: Defence Housing Ref: 659194</t>
  </si>
  <si>
    <t>CHEVRON TEXACO DESPP   From: COLLINS FOODS Ref: DEC16/00804940</t>
  </si>
  <si>
    <t>DEFENCE HOUSING AUSTRA From: Defence Housing Ref: 676632</t>
  </si>
  <si>
    <t>DIRECT DEBIT From: ACT Revenue Offi Ref: DD4164580</t>
  </si>
  <si>
    <t>DIRECT DEBIT From: ACT Revenue Offi Ref: DD4164581</t>
  </si>
  <si>
    <t>DEFENCE HOUSING AUSTRA From: Defence Housing Ref: 694057</t>
  </si>
  <si>
    <t>DUET DISTRIBUTION      From: DUET DIST Ref: RC217/00812950</t>
  </si>
  <si>
    <t>DEFENCE HOUSING AUSTRA From: Defence Housing Ref: 711250</t>
  </si>
  <si>
    <t>BPAY THE IND GROUP #2214 TRF Ref-000067 #057145018</t>
  </si>
  <si>
    <t>APA GROUP              From: APA DISTRIBUTION Ref: 001197928331</t>
  </si>
  <si>
    <t>ICONWATER              From: ICONWATER Ref: 3397495</t>
  </si>
  <si>
    <t>METCASH LIMITED        From: SPARK INFRASTRUC Ref: S00062583673</t>
  </si>
  <si>
    <t>TFR TO 083052 301850853 TRF To-M &amp; M BOND SUPER FUND Ref-TFR to BUY SHARES</t>
  </si>
  <si>
    <t>CHEVRON TEXACO DESPP   From: TOX FREE SOL LTD Ref: MAR17/00802527</t>
  </si>
  <si>
    <t>IMF INTEREST PAYMENT   From: BHP LTD DIVIDEND Ref: AI374/01226992</t>
  </si>
  <si>
    <t>ASX PERPETUAL REGISTRA From: ASX ITM DIV Ref: 001201322902</t>
  </si>
  <si>
    <t>IMF INTEREST PAYMENT   From: MEDIBANK DIV Ref: INT17/00842084</t>
  </si>
  <si>
    <t>IAG DIVIDEND PAYMENT   From: IAG DIVIDEND PYT Ref: MAR17/01291353</t>
  </si>
  <si>
    <t>DEFENCE HOUSING AUSTRA From: Defence Housing Ref: 729888</t>
  </si>
  <si>
    <t>COMMONWEALTH BANK      From: CBA ITM DIV Ref: 001198661642</t>
  </si>
  <si>
    <t>IMF INTEREST PAYMENT   From: SOUTH32 DIVIDEND Ref: AI002/01091239</t>
  </si>
  <si>
    <t>CHEVRON TEXACO DESPP   From: FLT CENTRE LTD Ref: AU17A/00820649</t>
  </si>
  <si>
    <t>IMF INTEREST PAYMENT   From: QBE DIVIDEND Ref: FPA17/00883804</t>
  </si>
  <si>
    <t>CSL LIMITED DIVIDEND   From: CSL LTD DIVIDEND Ref: AUD17/00903709</t>
  </si>
  <si>
    <t>DIRECT DEBIT From: ACT Revenue Offi Ref: DD4270314</t>
  </si>
  <si>
    <t>DIRECT DEBIT From: ACT Revenue Offi Ref: DD4270315</t>
  </si>
  <si>
    <t>DIVIDEND PAYMENT From: CAR DIVIDEND Ref: APR17/00809609</t>
  </si>
  <si>
    <t>DEFENCE HOUSING AUSTRA From: Defence Housing Ref: 746411</t>
  </si>
  <si>
    <t>IMF INTEREST PAYMENT   From: DUET DIST &amp; SCHM Ref: 17RED/00812071</t>
  </si>
  <si>
    <t>DEFENCE HOUSING AUSTRA From: Defence Housing Ref: 764032</t>
  </si>
  <si>
    <t>BPAY THE IND GROUP #2214 TRF Ref-000067 #060742332</t>
  </si>
  <si>
    <t>ICONWATER              From: ICONWATER Ref: 3777357</t>
  </si>
  <si>
    <t>DEFENCE HOUSING AUSTRA From: Defence Housing Ref: 782368</t>
  </si>
  <si>
    <t>Amt</t>
  </si>
  <si>
    <t>ABS</t>
  </si>
  <si>
    <t xml:space="preserve">Type  </t>
  </si>
  <si>
    <t>Category 3</t>
  </si>
  <si>
    <t>Type 2</t>
  </si>
  <si>
    <t>Category</t>
  </si>
  <si>
    <t>Unfranked Div</t>
  </si>
  <si>
    <t>Trust Distt</t>
  </si>
  <si>
    <t>Tax Def Distt</t>
  </si>
  <si>
    <t>Franked Div</t>
  </si>
  <si>
    <t>FC</t>
  </si>
  <si>
    <t>Gross Dividend</t>
  </si>
  <si>
    <t>Tr Ref</t>
  </si>
  <si>
    <t>Description</t>
  </si>
  <si>
    <t>Payment</t>
  </si>
  <si>
    <t>Receipt</t>
  </si>
  <si>
    <t>BS</t>
  </si>
  <si>
    <t>PL</t>
  </si>
  <si>
    <t>Income</t>
  </si>
  <si>
    <t>Rental property</t>
  </si>
  <si>
    <t>SMSF</t>
  </si>
  <si>
    <t>Dividend</t>
  </si>
  <si>
    <t>Interest</t>
  </si>
  <si>
    <t>Distribution</t>
  </si>
  <si>
    <t>Loan from Liberty Financials</t>
  </si>
  <si>
    <t>Rates</t>
  </si>
  <si>
    <t>Water</t>
  </si>
  <si>
    <t>Land tax</t>
  </si>
  <si>
    <t>Closing balance</t>
  </si>
  <si>
    <t>Op balance</t>
  </si>
  <si>
    <t>Payments</t>
  </si>
  <si>
    <t>Intt paid</t>
  </si>
  <si>
    <t>Dr</t>
  </si>
  <si>
    <t>Cr</t>
  </si>
  <si>
    <t>Bal</t>
  </si>
  <si>
    <t>Op bal</t>
  </si>
  <si>
    <t>Repayment</t>
  </si>
  <si>
    <t>Intt</t>
  </si>
  <si>
    <t>Closing bal</t>
  </si>
  <si>
    <t>Interest received</t>
  </si>
  <si>
    <t>Amount in $</t>
  </si>
  <si>
    <t>ADCU</t>
  </si>
  <si>
    <t>Total</t>
  </si>
  <si>
    <t>Note 2</t>
  </si>
  <si>
    <t xml:space="preserve">Rental property income </t>
  </si>
  <si>
    <t>Rental property at</t>
  </si>
  <si>
    <t xml:space="preserve">6/121 Streeton Drive Stirling ACT </t>
  </si>
  <si>
    <t>Note 3</t>
  </si>
  <si>
    <t>Rental property expenses</t>
  </si>
  <si>
    <t>Body corporate fee</t>
  </si>
  <si>
    <t>GST paid</t>
  </si>
  <si>
    <t>Repairs</t>
  </si>
  <si>
    <t>Management fee</t>
  </si>
  <si>
    <t>Depreciation - Capital Works</t>
  </si>
  <si>
    <t>Capital Allowance</t>
  </si>
  <si>
    <t>Valuation fee</t>
  </si>
  <si>
    <t>Interest paid</t>
  </si>
  <si>
    <t>Note 4</t>
  </si>
  <si>
    <t>Adminstrative expenses</t>
  </si>
  <si>
    <t>ATO levy</t>
  </si>
  <si>
    <t>Notes</t>
  </si>
  <si>
    <t>Current assets</t>
  </si>
  <si>
    <t>Cash and Cash Equivalents</t>
  </si>
  <si>
    <t>Franking Credit receivable</t>
  </si>
  <si>
    <t>Total current assets</t>
  </si>
  <si>
    <t>Non-current assets</t>
  </si>
  <si>
    <t>Investment - Rental property</t>
  </si>
  <si>
    <t>Investments in Shares</t>
  </si>
  <si>
    <t>Deferred tax assets</t>
  </si>
  <si>
    <t>Total Assets</t>
  </si>
  <si>
    <t>Liabilities</t>
  </si>
  <si>
    <t>Loan against investment property</t>
  </si>
  <si>
    <t>Total Liabiliities</t>
  </si>
  <si>
    <t>Net Assets available to pay benefits</t>
  </si>
  <si>
    <t>Liability for Accrued benefits Allocated to Members' Accounts</t>
  </si>
  <si>
    <t>Dividend received</t>
  </si>
  <si>
    <t>Trust distribtion</t>
  </si>
  <si>
    <t>Gain on revaluation of shares</t>
  </si>
  <si>
    <t>Expenses</t>
  </si>
  <si>
    <t>Profit/(Loss) as a result of Operations before Income Tax</t>
  </si>
  <si>
    <t>Income Tax Credit/(Expense)</t>
  </si>
  <si>
    <t>Profit/(Loss) accrued as a result of Operations</t>
  </si>
  <si>
    <t>Note 5</t>
  </si>
  <si>
    <t>Cash at bank</t>
  </si>
  <si>
    <t>Note 6</t>
  </si>
  <si>
    <t>Rental investment property</t>
  </si>
  <si>
    <t>Rental property - 6/121 Streeton Dr Stirling ACT</t>
  </si>
  <si>
    <t>Less: Accum Depreciation</t>
  </si>
  <si>
    <t>Note 7</t>
  </si>
  <si>
    <t>Investment in shares</t>
  </si>
  <si>
    <t>Public listing companies</t>
  </si>
  <si>
    <t>Note 8</t>
  </si>
  <si>
    <t>Deferred Tax Assets</t>
  </si>
  <si>
    <t>Note 9</t>
  </si>
  <si>
    <t>Borrowings</t>
  </si>
  <si>
    <t>Michael Bond</t>
  </si>
  <si>
    <t>Rollover balance</t>
  </si>
  <si>
    <t>Personal contribution</t>
  </si>
  <si>
    <t>(Profit)/Loss accrued during the year</t>
  </si>
  <si>
    <t>Members's balance</t>
  </si>
  <si>
    <t>Rental income</t>
  </si>
  <si>
    <t>Purchases 2017 Fin Yr.</t>
  </si>
  <si>
    <t>Sales 2017 Fin Yr</t>
  </si>
  <si>
    <t>Dividends Rec'd 2017 Fin Yr</t>
  </si>
  <si>
    <t>Company name</t>
  </si>
  <si>
    <t xml:space="preserve">Co. ASX </t>
  </si>
  <si>
    <t>Date Purchased</t>
  </si>
  <si>
    <t>Qty purchased</t>
  </si>
  <si>
    <t>Total cost  $.</t>
  </si>
  <si>
    <t>Qty sold</t>
  </si>
  <si>
    <t>Net consideration received  $ .</t>
  </si>
  <si>
    <t>Date dividend received $</t>
  </si>
  <si>
    <t>Amount of dividend  $ .</t>
  </si>
  <si>
    <t>FC amount</t>
  </si>
  <si>
    <t>Gross amount $.</t>
  </si>
  <si>
    <t>APA Group Ltd</t>
  </si>
  <si>
    <t>APA</t>
  </si>
  <si>
    <t>ASX</t>
  </si>
  <si>
    <t>BHP SOUTH32</t>
  </si>
  <si>
    <t>BHP</t>
  </si>
  <si>
    <t>SOUTH 32</t>
  </si>
  <si>
    <t>SOUTH32</t>
  </si>
  <si>
    <t>S32</t>
  </si>
  <si>
    <t>BHP/S32</t>
  </si>
  <si>
    <t>Botanix Pharmaceuticals</t>
  </si>
  <si>
    <t>BOT</t>
  </si>
  <si>
    <t>n/a</t>
  </si>
  <si>
    <t>Car Sales .Com Ltd</t>
  </si>
  <si>
    <t>CAR</t>
  </si>
  <si>
    <t>CBA BANK</t>
  </si>
  <si>
    <t>CBA</t>
  </si>
  <si>
    <t>CHINESE MOBILE</t>
  </si>
  <si>
    <t>NNW</t>
  </si>
  <si>
    <t>CSL</t>
  </si>
  <si>
    <t>DUET GROUP</t>
  </si>
  <si>
    <t>DUE</t>
  </si>
  <si>
    <t>DUE 15/5/17</t>
  </si>
  <si>
    <t>Bal nil</t>
  </si>
  <si>
    <t>from Buyback</t>
  </si>
  <si>
    <t>COLLINS FOODS</t>
  </si>
  <si>
    <t>CKF</t>
  </si>
  <si>
    <t>FLIGHT CENTRE</t>
  </si>
  <si>
    <t>FLT</t>
  </si>
  <si>
    <t>IAG (isurance ust Group)</t>
  </si>
  <si>
    <t>IAG</t>
  </si>
  <si>
    <t>IOOF IFL HOLDINGS</t>
  </si>
  <si>
    <t>IFL</t>
  </si>
  <si>
    <t>Mantra Group</t>
  </si>
  <si>
    <t>MTR</t>
  </si>
  <si>
    <t>Medibank</t>
  </si>
  <si>
    <t>MPL</t>
  </si>
  <si>
    <t>Medlab</t>
  </si>
  <si>
    <t>MDC</t>
  </si>
  <si>
    <t>MGC Pharmaceuticals</t>
  </si>
  <si>
    <t>MXC</t>
  </si>
  <si>
    <t>Monash IVF Group</t>
  </si>
  <si>
    <t>MVF</t>
  </si>
  <si>
    <t>QBE Insurance</t>
  </si>
  <si>
    <t>QBE</t>
  </si>
  <si>
    <t>SKI</t>
  </si>
  <si>
    <t>RCG Corp</t>
  </si>
  <si>
    <t>RCG</t>
  </si>
  <si>
    <t>SPARK INFRASTRUCTURE</t>
  </si>
  <si>
    <t>TOX</t>
  </si>
  <si>
    <t>tox Free Solutions</t>
  </si>
  <si>
    <t>Purchases</t>
  </si>
  <si>
    <t>Sales</t>
  </si>
  <si>
    <t>BaLANCE</t>
  </si>
  <si>
    <t>2016 OPEN</t>
  </si>
  <si>
    <t>Shares purchases</t>
  </si>
  <si>
    <t>Sale of shares</t>
  </si>
  <si>
    <t>DTA - 30% losses cfd</t>
  </si>
  <si>
    <t>Grand Total</t>
  </si>
  <si>
    <t>Sum of Dr- Cr $ entries</t>
  </si>
  <si>
    <t>BS Total</t>
  </si>
  <si>
    <t>PL Total</t>
  </si>
  <si>
    <t>Rental property Total</t>
  </si>
  <si>
    <t>SMSF Total</t>
  </si>
  <si>
    <t>GST on Management fee</t>
  </si>
  <si>
    <t>Op Bal</t>
  </si>
  <si>
    <t>Cl Bal</t>
  </si>
  <si>
    <t>Values</t>
  </si>
  <si>
    <t>Sum of Gross Dividend</t>
  </si>
  <si>
    <t>Sum of FC</t>
  </si>
  <si>
    <t>FC receivable - Dividend</t>
  </si>
  <si>
    <t>FC receivable - Distribution</t>
  </si>
  <si>
    <t>Dividend Income</t>
  </si>
  <si>
    <t>Distribution income</t>
  </si>
  <si>
    <t>NAB Cash balance</t>
  </si>
  <si>
    <t>Purchase of shares</t>
  </si>
  <si>
    <t>Rental property - 6/121 Streeton Dr Stirling ACT - Cum dep</t>
  </si>
  <si>
    <t>Depreciation - Other assets</t>
  </si>
  <si>
    <t>NAB trade balance</t>
  </si>
  <si>
    <t>NAB Trade Balance</t>
  </si>
  <si>
    <t>Year</t>
  </si>
  <si>
    <t>Type</t>
  </si>
  <si>
    <t>Tax Losses  Cfd</t>
  </si>
  <si>
    <t>DTA</t>
  </si>
  <si>
    <t>2013 year</t>
  </si>
  <si>
    <t>Loss</t>
  </si>
  <si>
    <t>Loss incurred</t>
  </si>
  <si>
    <t>2014 year</t>
  </si>
  <si>
    <t>Profit</t>
  </si>
  <si>
    <t>loss deducted</t>
  </si>
  <si>
    <t>2015 year</t>
  </si>
  <si>
    <t>2016 year</t>
  </si>
  <si>
    <t>Sum of Unfranked Div</t>
  </si>
  <si>
    <t>Sum of Trust Distt</t>
  </si>
  <si>
    <t>Sum of Franked Div</t>
  </si>
  <si>
    <t>Sum of Tax Def Distt</t>
  </si>
  <si>
    <t>2017 year</t>
  </si>
  <si>
    <t>Agreed with Stt</t>
  </si>
  <si>
    <t>2018 year</t>
  </si>
  <si>
    <t>2019 year</t>
  </si>
  <si>
    <t>Pur</t>
  </si>
  <si>
    <t>Clos</t>
  </si>
  <si>
    <t>Book</t>
  </si>
  <si>
    <t>2020 year</t>
  </si>
  <si>
    <t>Average</t>
  </si>
  <si>
    <t>Gain on revaluation of Investment property</t>
  </si>
  <si>
    <t>Gain/(Loss) on revaluation of shares</t>
  </si>
  <si>
    <t>Gain /(Loss)on revaluation of Investment property</t>
  </si>
  <si>
    <t>Deferred tax assets/Liability</t>
  </si>
  <si>
    <t>Cash expenses</t>
  </si>
  <si>
    <t xml:space="preserve">Losses carried forward </t>
  </si>
  <si>
    <t>Unrealised gains</t>
  </si>
  <si>
    <t>Profit before Income Tax</t>
  </si>
  <si>
    <t>Profit after income tax</t>
  </si>
  <si>
    <t>Note 10</t>
  </si>
  <si>
    <t>Profit after Income Tax</t>
  </si>
  <si>
    <t xml:space="preserve">Profit after Income Tax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</si>
</sst>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8" formatCode="&quot;$&quot;#,##0.00;[Red]\-&quot;$&quot;#,##0.00"/>
    <numFmt numFmtId="43" formatCode="_-* #,##0.00_-;\-* #,##0.00_-;_-* &quot;-&quot;??_-;_-@_-"/>
    <numFmt numFmtId="164" formatCode="_-* #,##0_-;\-* #,##0_-;_-* &quot;-&quot;??_-;_-@_-"/>
    <numFmt numFmtId="165" formatCode="#,##0_);[Red]\(#,##0\)"/>
    <numFmt numFmtId="166" formatCode="#,##0;[Red]\(#,##0\)"/>
    <numFmt numFmtId="167" formatCode="_-* #,##0.0_-;\-* #,##0.0_-;_-* &quot;-&quot;??_-;_-@_-"/>
    <numFmt numFmtId="168" formatCode="#,##0.00;[Red]\(#,##0\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8.5"/>
      <color rgb="FF0066FF"/>
      <name val="Verdana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rgb="FF1F497D"/>
      <name val="Calibri"/>
      <family val="2"/>
    </font>
    <font>
      <u/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1">
    <xf numFmtId="0" fontId="0" fillId="0" borderId="0" xfId="0"/>
    <xf numFmtId="0" fontId="3" fillId="0" borderId="0" xfId="0" applyFont="1"/>
    <xf numFmtId="0" fontId="3" fillId="0" borderId="1" xfId="0" applyFont="1" applyBorder="1"/>
    <xf numFmtId="0" fontId="0" fillId="0" borderId="1" xfId="0" applyBorder="1"/>
    <xf numFmtId="0" fontId="4" fillId="2" borderId="0" xfId="0" applyFont="1" applyFill="1" applyBorder="1" applyAlignment="1">
      <alignment horizontal="right" vertical="top" wrapText="1"/>
    </xf>
    <xf numFmtId="0" fontId="4" fillId="2" borderId="1" xfId="0" applyFont="1" applyFill="1" applyBorder="1" applyAlignment="1">
      <alignment horizontal="right" vertical="top" wrapText="1"/>
    </xf>
    <xf numFmtId="0" fontId="0" fillId="0" borderId="0" xfId="0" applyBorder="1"/>
    <xf numFmtId="14" fontId="0" fillId="0" borderId="0" xfId="0" applyNumberFormat="1"/>
    <xf numFmtId="14" fontId="0" fillId="0" borderId="1" xfId="0" applyNumberFormat="1" applyBorder="1"/>
    <xf numFmtId="164" fontId="0" fillId="0" borderId="1" xfId="1" applyNumberFormat="1" applyFont="1" applyBorder="1"/>
    <xf numFmtId="164" fontId="0" fillId="0" borderId="0" xfId="0" applyNumberFormat="1"/>
    <xf numFmtId="164" fontId="0" fillId="0" borderId="1" xfId="1" applyNumberFormat="1" applyFont="1" applyFill="1" applyBorder="1"/>
    <xf numFmtId="164" fontId="2" fillId="3" borderId="1" xfId="1" applyNumberFormat="1" applyFont="1" applyFill="1" applyBorder="1"/>
    <xf numFmtId="0" fontId="0" fillId="4" borderId="0" xfId="0" applyFill="1"/>
    <xf numFmtId="0" fontId="0" fillId="4" borderId="0" xfId="0" applyFont="1" applyFill="1"/>
    <xf numFmtId="0" fontId="5" fillId="4" borderId="0" xfId="0" applyFont="1" applyFill="1"/>
    <xf numFmtId="0" fontId="6" fillId="4" borderId="0" xfId="0" applyFont="1" applyFill="1"/>
    <xf numFmtId="0" fontId="2" fillId="4" borderId="0" xfId="0" applyFont="1" applyFill="1"/>
    <xf numFmtId="0" fontId="5" fillId="4" borderId="0" xfId="0" applyFont="1" applyFill="1" applyAlignment="1">
      <alignment horizontal="right"/>
    </xf>
    <xf numFmtId="0" fontId="6" fillId="4" borderId="0" xfId="0" applyFont="1" applyFill="1" applyAlignment="1">
      <alignment horizontal="right"/>
    </xf>
    <xf numFmtId="164" fontId="2" fillId="4" borderId="0" xfId="0" applyNumberFormat="1" applyFont="1" applyFill="1"/>
    <xf numFmtId="164" fontId="0" fillId="4" borderId="0" xfId="0" applyNumberFormat="1" applyFont="1" applyFill="1"/>
    <xf numFmtId="164" fontId="1" fillId="4" borderId="0" xfId="1" applyNumberFormat="1" applyFont="1" applyFill="1"/>
    <xf numFmtId="164" fontId="2" fillId="4" borderId="0" xfId="1" applyNumberFormat="1" applyFont="1" applyFill="1"/>
    <xf numFmtId="164" fontId="2" fillId="4" borderId="2" xfId="0" applyNumberFormat="1" applyFont="1" applyFill="1" applyBorder="1"/>
    <xf numFmtId="164" fontId="0" fillId="4" borderId="2" xfId="0" applyNumberFormat="1" applyFont="1" applyFill="1" applyBorder="1"/>
    <xf numFmtId="164" fontId="2" fillId="4" borderId="3" xfId="1" applyNumberFormat="1" applyFont="1" applyFill="1" applyBorder="1"/>
    <xf numFmtId="164" fontId="1" fillId="4" borderId="3" xfId="1" applyNumberFormat="1" applyFont="1" applyFill="1" applyBorder="1"/>
    <xf numFmtId="0" fontId="2" fillId="0" borderId="0" xfId="0" applyFont="1"/>
    <xf numFmtId="0" fontId="0" fillId="0" borderId="0" xfId="0" applyFont="1"/>
    <xf numFmtId="0" fontId="0" fillId="4" borderId="0" xfId="0" applyFill="1" applyAlignment="1">
      <alignment horizontal="center"/>
    </xf>
    <xf numFmtId="164" fontId="5" fillId="4" borderId="0" xfId="0" applyNumberFormat="1" applyFont="1" applyFill="1"/>
    <xf numFmtId="164" fontId="6" fillId="4" borderId="0" xfId="0" applyNumberFormat="1" applyFont="1" applyFill="1"/>
    <xf numFmtId="164" fontId="5" fillId="4" borderId="0" xfId="1" applyNumberFormat="1" applyFont="1" applyFill="1"/>
    <xf numFmtId="164" fontId="6" fillId="4" borderId="0" xfId="1" applyNumberFormat="1" applyFont="1" applyFill="1"/>
    <xf numFmtId="164" fontId="5" fillId="4" borderId="4" xfId="0" applyNumberFormat="1" applyFont="1" applyFill="1" applyBorder="1"/>
    <xf numFmtId="164" fontId="6" fillId="4" borderId="4" xfId="0" applyNumberFormat="1" applyFont="1" applyFill="1" applyBorder="1"/>
    <xf numFmtId="164" fontId="5" fillId="4" borderId="4" xfId="1" applyNumberFormat="1" applyFont="1" applyFill="1" applyBorder="1"/>
    <xf numFmtId="164" fontId="6" fillId="4" borderId="4" xfId="1" applyNumberFormat="1" applyFont="1" applyFill="1" applyBorder="1"/>
    <xf numFmtId="164" fontId="5" fillId="4" borderId="5" xfId="1" applyNumberFormat="1" applyFont="1" applyFill="1" applyBorder="1"/>
    <xf numFmtId="164" fontId="6" fillId="4" borderId="5" xfId="1" applyNumberFormat="1" applyFont="1" applyFill="1" applyBorder="1"/>
    <xf numFmtId="165" fontId="5" fillId="4" borderId="0" xfId="1" applyNumberFormat="1" applyFont="1" applyFill="1"/>
    <xf numFmtId="165" fontId="6" fillId="4" borderId="0" xfId="1" applyNumberFormat="1" applyFont="1" applyFill="1"/>
    <xf numFmtId="165" fontId="5" fillId="4" borderId="2" xfId="1" applyNumberFormat="1" applyFont="1" applyFill="1" applyBorder="1"/>
    <xf numFmtId="165" fontId="6" fillId="4" borderId="2" xfId="1" applyNumberFormat="1" applyFont="1" applyFill="1" applyBorder="1"/>
    <xf numFmtId="164" fontId="5" fillId="4" borderId="2" xfId="1" applyNumberFormat="1" applyFont="1" applyFill="1" applyBorder="1"/>
    <xf numFmtId="164" fontId="6" fillId="4" borderId="2" xfId="1" applyNumberFormat="1" applyFont="1" applyFill="1" applyBorder="1"/>
    <xf numFmtId="0" fontId="5" fillId="4" borderId="0" xfId="0" applyFont="1" applyFill="1" applyAlignment="1">
      <alignment wrapText="1"/>
    </xf>
    <xf numFmtId="0" fontId="5" fillId="4" borderId="0" xfId="0" applyFont="1" applyFill="1" applyAlignment="1">
      <alignment horizontal="center" wrapText="1"/>
    </xf>
    <xf numFmtId="164" fontId="0" fillId="0" borderId="0" xfId="0" applyNumberFormat="1" applyFont="1"/>
    <xf numFmtId="165" fontId="0" fillId="0" borderId="0" xfId="0" applyNumberFormat="1" applyFont="1"/>
    <xf numFmtId="0" fontId="5" fillId="4" borderId="0" xfId="0" applyFont="1" applyFill="1" applyAlignment="1">
      <alignment horizontal="center"/>
    </xf>
    <xf numFmtId="165" fontId="5" fillId="4" borderId="0" xfId="1" applyNumberFormat="1" applyFont="1" applyFill="1" applyAlignment="1"/>
    <xf numFmtId="165" fontId="6" fillId="4" borderId="0" xfId="1" applyNumberFormat="1" applyFont="1" applyFill="1" applyAlignment="1"/>
    <xf numFmtId="165" fontId="5" fillId="4" borderId="2" xfId="1" applyNumberFormat="1" applyFont="1" applyFill="1" applyBorder="1" applyAlignment="1"/>
    <xf numFmtId="165" fontId="6" fillId="4" borderId="2" xfId="1" applyNumberFormat="1" applyFont="1" applyFill="1" applyBorder="1" applyAlignment="1"/>
    <xf numFmtId="0" fontId="6" fillId="4" borderId="0" xfId="0" applyFont="1" applyFill="1" applyAlignment="1">
      <alignment horizontal="center"/>
    </xf>
    <xf numFmtId="165" fontId="0" fillId="4" borderId="0" xfId="0" applyNumberFormat="1" applyFill="1"/>
    <xf numFmtId="164" fontId="2" fillId="4" borderId="2" xfId="1" applyNumberFormat="1" applyFont="1" applyFill="1" applyBorder="1"/>
    <xf numFmtId="164" fontId="1" fillId="4" borderId="2" xfId="1" applyNumberFormat="1" applyFont="1" applyFill="1" applyBorder="1"/>
    <xf numFmtId="164" fontId="1" fillId="4" borderId="0" xfId="1" applyNumberFormat="1" applyFont="1" applyFill="1" applyBorder="1"/>
    <xf numFmtId="164" fontId="2" fillId="4" borderId="0" xfId="1" applyNumberFormat="1" applyFont="1" applyFill="1" applyBorder="1"/>
    <xf numFmtId="165" fontId="0" fillId="4" borderId="0" xfId="0" applyNumberFormat="1" applyFont="1" applyFill="1"/>
    <xf numFmtId="165" fontId="5" fillId="4" borderId="0" xfId="1" applyNumberFormat="1" applyFont="1" applyFill="1" applyBorder="1"/>
    <xf numFmtId="165" fontId="5" fillId="4" borderId="3" xfId="1" applyNumberFormat="1" applyFont="1" applyFill="1" applyBorder="1"/>
    <xf numFmtId="165" fontId="6" fillId="4" borderId="3" xfId="1" applyNumberFormat="1" applyFont="1" applyFill="1" applyBorder="1"/>
    <xf numFmtId="0" fontId="6" fillId="4" borderId="0" xfId="0" applyFont="1" applyFill="1" applyAlignment="1">
      <alignment wrapText="1"/>
    </xf>
    <xf numFmtId="165" fontId="2" fillId="4" borderId="0" xfId="0" applyNumberFormat="1" applyFont="1" applyFill="1"/>
    <xf numFmtId="165" fontId="6" fillId="4" borderId="0" xfId="1" applyNumberFormat="1" applyFont="1" applyFill="1" applyBorder="1"/>
    <xf numFmtId="165" fontId="2" fillId="4" borderId="4" xfId="0" applyNumberFormat="1" applyFont="1" applyFill="1" applyBorder="1"/>
    <xf numFmtId="165" fontId="0" fillId="4" borderId="4" xfId="0" applyNumberFormat="1" applyFont="1" applyFill="1" applyBorder="1"/>
    <xf numFmtId="165" fontId="2" fillId="4" borderId="2" xfId="0" applyNumberFormat="1" applyFont="1" applyFill="1" applyBorder="1"/>
    <xf numFmtId="165" fontId="0" fillId="4" borderId="2" xfId="0" applyNumberFormat="1" applyFont="1" applyFill="1" applyBorder="1"/>
    <xf numFmtId="0" fontId="7" fillId="0" borderId="5" xfId="0" applyFont="1" applyBorder="1" applyAlignment="1">
      <alignment wrapText="1"/>
    </xf>
    <xf numFmtId="0" fontId="0" fillId="0" borderId="5" xfId="0" applyBorder="1"/>
    <xf numFmtId="0" fontId="8" fillId="5" borderId="1" xfId="0" applyFont="1" applyFill="1" applyBorder="1"/>
    <xf numFmtId="0" fontId="9" fillId="5" borderId="1" xfId="0" applyFont="1" applyFill="1" applyBorder="1" applyAlignment="1">
      <alignment wrapText="1"/>
    </xf>
    <xf numFmtId="0" fontId="9" fillId="5" borderId="6" xfId="0" applyFont="1" applyFill="1" applyBorder="1"/>
    <xf numFmtId="0" fontId="9" fillId="5" borderId="1" xfId="0" applyFont="1" applyFill="1" applyBorder="1"/>
    <xf numFmtId="0" fontId="9" fillId="5" borderId="7" xfId="0" applyFont="1" applyFill="1" applyBorder="1"/>
    <xf numFmtId="0" fontId="9" fillId="5" borderId="8" xfId="0" applyFont="1" applyFill="1" applyBorder="1"/>
    <xf numFmtId="0" fontId="8" fillId="0" borderId="0" xfId="0" applyFont="1"/>
    <xf numFmtId="0" fontId="9" fillId="5" borderId="6" xfId="0" applyFont="1" applyFill="1" applyBorder="1" applyAlignment="1">
      <alignment wrapText="1"/>
    </xf>
    <xf numFmtId="0" fontId="9" fillId="5" borderId="8" xfId="0" applyFont="1" applyFill="1" applyBorder="1" applyAlignment="1">
      <alignment wrapText="1"/>
    </xf>
    <xf numFmtId="0" fontId="9" fillId="5" borderId="1" xfId="0" applyFont="1" applyFill="1" applyBorder="1" applyAlignment="1">
      <alignment horizontal="left" wrapText="1"/>
    </xf>
    <xf numFmtId="0" fontId="9" fillId="5" borderId="7" xfId="0" applyFont="1" applyFill="1" applyBorder="1" applyAlignment="1">
      <alignment wrapText="1"/>
    </xf>
    <xf numFmtId="0" fontId="0" fillId="5" borderId="1" xfId="0" applyFill="1" applyBorder="1"/>
    <xf numFmtId="0" fontId="0" fillId="0" borderId="8" xfId="0" applyBorder="1" applyAlignment="1">
      <alignment wrapText="1"/>
    </xf>
    <xf numFmtId="0" fontId="0" fillId="0" borderId="6" xfId="0" applyBorder="1"/>
    <xf numFmtId="0" fontId="0" fillId="0" borderId="8" xfId="0" applyBorder="1"/>
    <xf numFmtId="0" fontId="0" fillId="5" borderId="7" xfId="0" applyFill="1" applyBorder="1"/>
    <xf numFmtId="8" fontId="0" fillId="0" borderId="1" xfId="0" applyNumberFormat="1" applyBorder="1"/>
    <xf numFmtId="8" fontId="0" fillId="0" borderId="1" xfId="0" applyNumberFormat="1" applyFill="1" applyBorder="1"/>
    <xf numFmtId="8" fontId="0" fillId="0" borderId="7" xfId="0" applyNumberFormat="1" applyBorder="1"/>
    <xf numFmtId="0" fontId="0" fillId="0" borderId="7" xfId="0" applyBorder="1"/>
    <xf numFmtId="0" fontId="0" fillId="0" borderId="1" xfId="0" applyFill="1" applyBorder="1"/>
    <xf numFmtId="0" fontId="2" fillId="3" borderId="8" xfId="0" applyFont="1" applyFill="1" applyBorder="1" applyAlignment="1">
      <alignment wrapText="1"/>
    </xf>
    <xf numFmtId="0" fontId="2" fillId="3" borderId="6" xfId="0" applyFont="1" applyFill="1" applyBorder="1"/>
    <xf numFmtId="14" fontId="2" fillId="3" borderId="6" xfId="0" applyNumberFormat="1" applyFont="1" applyFill="1" applyBorder="1"/>
    <xf numFmtId="0" fontId="2" fillId="3" borderId="1" xfId="0" applyFont="1" applyFill="1" applyBorder="1"/>
    <xf numFmtId="8" fontId="2" fillId="3" borderId="1" xfId="0" applyNumberFormat="1" applyFont="1" applyFill="1" applyBorder="1"/>
    <xf numFmtId="0" fontId="0" fillId="4" borderId="1" xfId="0" applyFill="1" applyBorder="1"/>
    <xf numFmtId="0" fontId="0" fillId="4" borderId="7" xfId="0" applyFill="1" applyBorder="1"/>
    <xf numFmtId="0" fontId="2" fillId="3" borderId="8" xfId="0" applyFont="1" applyFill="1" applyBorder="1"/>
    <xf numFmtId="14" fontId="0" fillId="0" borderId="1" xfId="0" applyNumberFormat="1" applyBorder="1" applyAlignment="1">
      <alignment wrapText="1"/>
    </xf>
    <xf numFmtId="8" fontId="0" fillId="3" borderId="1" xfId="0" applyNumberFormat="1" applyFill="1" applyBorder="1"/>
    <xf numFmtId="8" fontId="0" fillId="4" borderId="1" xfId="0" applyNumberFormat="1" applyFill="1" applyBorder="1"/>
    <xf numFmtId="8" fontId="0" fillId="4" borderId="7" xfId="0" applyNumberFormat="1" applyFill="1" applyBorder="1"/>
    <xf numFmtId="14" fontId="0" fillId="0" borderId="6" xfId="0" applyNumberFormat="1" applyBorder="1"/>
    <xf numFmtId="0" fontId="10" fillId="0" borderId="8" xfId="0" applyFont="1" applyBorder="1" applyAlignment="1">
      <alignment wrapText="1"/>
    </xf>
    <xf numFmtId="0" fontId="0" fillId="0" borderId="9" xfId="0" applyBorder="1" applyAlignment="1">
      <alignment wrapText="1"/>
    </xf>
    <xf numFmtId="0" fontId="0" fillId="0" borderId="10" xfId="0" applyBorder="1"/>
    <xf numFmtId="0" fontId="0" fillId="0" borderId="11" xfId="0" applyBorder="1"/>
    <xf numFmtId="0" fontId="0" fillId="5" borderId="11" xfId="0" applyFill="1" applyBorder="1"/>
    <xf numFmtId="0" fontId="0" fillId="0" borderId="9" xfId="0" applyBorder="1"/>
    <xf numFmtId="0" fontId="0" fillId="5" borderId="12" xfId="0" applyFill="1" applyBorder="1"/>
    <xf numFmtId="0" fontId="0" fillId="0" borderId="12" xfId="0" applyBorder="1"/>
    <xf numFmtId="0" fontId="11" fillId="0" borderId="13" xfId="0" applyFont="1" applyBorder="1" applyAlignment="1">
      <alignment wrapText="1"/>
    </xf>
    <xf numFmtId="0" fontId="11" fillId="5" borderId="13" xfId="0" applyFont="1" applyFill="1" applyBorder="1"/>
    <xf numFmtId="8" fontId="11" fillId="5" borderId="13" xfId="0" applyNumberFormat="1" applyFont="1" applyFill="1" applyBorder="1"/>
    <xf numFmtId="0" fontId="0" fillId="0" borderId="14" xfId="0" applyBorder="1" applyAlignment="1">
      <alignment wrapText="1"/>
    </xf>
    <xf numFmtId="0" fontId="0" fillId="0" borderId="15" xfId="0" applyBorder="1"/>
    <xf numFmtId="0" fontId="0" fillId="0" borderId="14" xfId="0" applyBorder="1"/>
    <xf numFmtId="0" fontId="0" fillId="5" borderId="14" xfId="0" applyFill="1" applyBorder="1"/>
    <xf numFmtId="0" fontId="0" fillId="5" borderId="16" xfId="0" applyFill="1" applyBorder="1"/>
    <xf numFmtId="0" fontId="0" fillId="0" borderId="17" xfId="0" applyBorder="1"/>
    <xf numFmtId="0" fontId="0" fillId="0" borderId="16" xfId="0" applyBorder="1"/>
    <xf numFmtId="0" fontId="0" fillId="0" borderId="1" xfId="0" applyBorder="1" applyAlignment="1">
      <alignment wrapText="1"/>
    </xf>
    <xf numFmtId="0" fontId="0" fillId="0" borderId="18" xfId="0" applyBorder="1"/>
    <xf numFmtId="0" fontId="0" fillId="0" borderId="19" xfId="0" applyBorder="1"/>
    <xf numFmtId="0" fontId="0" fillId="0" borderId="0" xfId="0" applyAlignment="1">
      <alignment wrapText="1"/>
    </xf>
    <xf numFmtId="0" fontId="0" fillId="0" borderId="20" xfId="0" applyBorder="1"/>
    <xf numFmtId="164" fontId="0" fillId="0" borderId="0" xfId="1" applyNumberFormat="1" applyFont="1"/>
    <xf numFmtId="164" fontId="4" fillId="2" borderId="0" xfId="1" applyNumberFormat="1" applyFont="1" applyFill="1" applyBorder="1" applyAlignment="1">
      <alignment horizontal="right" vertical="top" wrapText="1"/>
    </xf>
    <xf numFmtId="164" fontId="3" fillId="0" borderId="0" xfId="1" applyNumberFormat="1" applyFont="1"/>
    <xf numFmtId="164" fontId="3" fillId="0" borderId="1" xfId="1" applyNumberFormat="1" applyFont="1" applyBorder="1"/>
    <xf numFmtId="0" fontId="0" fillId="6" borderId="0" xfId="0" applyFill="1" applyBorder="1"/>
    <xf numFmtId="15" fontId="0" fillId="6" borderId="1" xfId="0" applyNumberFormat="1" applyFill="1" applyBorder="1"/>
    <xf numFmtId="0" fontId="0" fillId="6" borderId="1" xfId="0" applyFill="1" applyBorder="1"/>
    <xf numFmtId="164" fontId="0" fillId="6" borderId="1" xfId="1" applyNumberFormat="1" applyFont="1" applyFill="1" applyBorder="1"/>
    <xf numFmtId="164" fontId="0" fillId="6" borderId="0" xfId="1" applyNumberFormat="1" applyFont="1" applyFill="1"/>
    <xf numFmtId="0" fontId="0" fillId="6" borderId="0" xfId="0" applyFill="1"/>
    <xf numFmtId="0" fontId="0" fillId="6" borderId="21" xfId="0" applyFill="1" applyBorder="1"/>
    <xf numFmtId="0" fontId="0" fillId="4" borderId="0" xfId="0" applyFont="1" applyFill="1" applyBorder="1"/>
    <xf numFmtId="0" fontId="0" fillId="0" borderId="0" xfId="0" pivotButton="1"/>
    <xf numFmtId="0" fontId="0" fillId="0" borderId="0" xfId="0" applyFill="1"/>
    <xf numFmtId="0" fontId="0" fillId="0" borderId="0" xfId="0" applyFill="1" applyBorder="1"/>
    <xf numFmtId="164" fontId="2" fillId="7" borderId="1" xfId="1" applyNumberFormat="1" applyFont="1" applyFill="1" applyBorder="1"/>
    <xf numFmtId="0" fontId="0" fillId="8" borderId="0" xfId="0" applyFill="1"/>
    <xf numFmtId="0" fontId="2" fillId="8" borderId="0" xfId="0" applyFont="1" applyFill="1"/>
    <xf numFmtId="164" fontId="0" fillId="8" borderId="0" xfId="1" applyNumberFormat="1" applyFont="1" applyFill="1"/>
    <xf numFmtId="16" fontId="0" fillId="0" borderId="0" xfId="0" applyNumberFormat="1"/>
    <xf numFmtId="166" fontId="1" fillId="4" borderId="0" xfId="1" applyNumberFormat="1" applyFont="1" applyFill="1" applyAlignment="1">
      <alignment horizontal="right"/>
    </xf>
    <xf numFmtId="164" fontId="0" fillId="7" borderId="0" xfId="1" applyNumberFormat="1" applyFont="1" applyFill="1"/>
    <xf numFmtId="0" fontId="0" fillId="7" borderId="0" xfId="0" applyFill="1"/>
    <xf numFmtId="164" fontId="0" fillId="7" borderId="0" xfId="0" applyNumberFormat="1" applyFill="1"/>
    <xf numFmtId="165" fontId="0" fillId="7" borderId="0" xfId="0" applyNumberFormat="1" applyFill="1"/>
    <xf numFmtId="167" fontId="0" fillId="0" borderId="0" xfId="1" applyNumberFormat="1" applyFont="1"/>
    <xf numFmtId="164" fontId="0" fillId="4" borderId="0" xfId="1" applyNumberFormat="1" applyFont="1" applyFill="1"/>
    <xf numFmtId="0" fontId="6" fillId="4" borderId="0" xfId="0" applyFont="1" applyFill="1" applyAlignment="1">
      <alignment horizontal="center" wrapText="1"/>
    </xf>
    <xf numFmtId="168" fontId="1" fillId="4" borderId="0" xfId="1" applyNumberFormat="1" applyFont="1" applyFill="1"/>
  </cellXfs>
  <cellStyles count="2">
    <cellStyle name="Comma" xfId="1" builtinId="3"/>
    <cellStyle name="Normal" xfId="0" builtinId="0"/>
  </cellStyles>
  <dxfs count="6">
    <dxf>
      <numFmt numFmtId="164" formatCode="_-* #,##0_-;\-* #,##0_-;_-* &quot;-&quot;??_-;_-@_-"/>
    </dxf>
    <dxf>
      <numFmt numFmtId="167" formatCode="_-* #,##0.0_-;\-* #,##0.0_-;_-* &quot;-&quot;??_-;_-@_-"/>
    </dxf>
    <dxf>
      <numFmt numFmtId="35" formatCode="_-* #,##0.00_-;\-* #,##0.00_-;_-* &quot;-&quot;??_-;_-@_-"/>
    </dxf>
    <dxf>
      <numFmt numFmtId="164" formatCode="_-* #,##0_-;\-* #,##0_-;_-* &quot;-&quot;??_-;_-@_-"/>
    </dxf>
    <dxf>
      <numFmt numFmtId="167" formatCode="_-* #,##0.0_-;\-* #,##0.0_-;_-* &quot;-&quot;??_-;_-@_-"/>
    </dxf>
    <dxf>
      <numFmt numFmtId="35" formatCode="_-* #,##0.00_-;\-* #,##0.00_-;_-* &quot;-&quot;??_-;_-@_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21" Type="http://schemas.openxmlformats.org/officeDocument/2006/relationships/pivotCacheDefinition" Target="pivotCache/pivotCacheDefinition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image" Target="../media/image4.png"/><Relationship Id="rId6" Type="http://schemas.openxmlformats.org/officeDocument/2006/relationships/image" Target="../media/image9.png"/><Relationship Id="rId5" Type="http://schemas.openxmlformats.org/officeDocument/2006/relationships/image" Target="../media/image8.png"/><Relationship Id="rId4" Type="http://schemas.openxmlformats.org/officeDocument/2006/relationships/image" Target="../media/image7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1.png"/><Relationship Id="rId1" Type="http://schemas.openxmlformats.org/officeDocument/2006/relationships/image" Target="../media/image10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228600</xdr:colOff>
      <xdr:row>1</xdr:row>
      <xdr:rowOff>133350</xdr:rowOff>
    </xdr:from>
    <xdr:to>
      <xdr:col>22</xdr:col>
      <xdr:colOff>208714</xdr:colOff>
      <xdr:row>18</xdr:row>
      <xdr:rowOff>56750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670F641-052B-4695-940C-41D97115DA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801225" y="323850"/>
          <a:ext cx="6685714" cy="320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447675</xdr:colOff>
      <xdr:row>3</xdr:row>
      <xdr:rowOff>57150</xdr:rowOff>
    </xdr:from>
    <xdr:to>
      <xdr:col>22</xdr:col>
      <xdr:colOff>437313</xdr:colOff>
      <xdr:row>17</xdr:row>
      <xdr:rowOff>94907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422BB5F-BB1E-44CF-AEA0-813D037A14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115550" y="628650"/>
          <a:ext cx="6695238" cy="274285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0</xdr:colOff>
      <xdr:row>1</xdr:row>
      <xdr:rowOff>0</xdr:rowOff>
    </xdr:from>
    <xdr:to>
      <xdr:col>21</xdr:col>
      <xdr:colOff>465905</xdr:colOff>
      <xdr:row>17</xdr:row>
      <xdr:rowOff>37709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C09CF04-4FF8-4CF3-8186-34050FD7E9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905875" y="190500"/>
          <a:ext cx="6561905" cy="312380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85725</xdr:colOff>
      <xdr:row>3</xdr:row>
      <xdr:rowOff>76200</xdr:rowOff>
    </xdr:from>
    <xdr:to>
      <xdr:col>21</xdr:col>
      <xdr:colOff>446855</xdr:colOff>
      <xdr:row>20</xdr:row>
      <xdr:rowOff>113909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0579F4A-6816-44C0-B3A8-2BEB6041C4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687300" y="647700"/>
          <a:ext cx="6561905" cy="312380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247650</xdr:colOff>
      <xdr:row>2</xdr:row>
      <xdr:rowOff>28575</xdr:rowOff>
    </xdr:from>
    <xdr:to>
      <xdr:col>34</xdr:col>
      <xdr:colOff>446202</xdr:colOff>
      <xdr:row>26</xdr:row>
      <xdr:rowOff>37490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5A86D14-7973-4F4B-85BF-C8B8799AB3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011275" y="409575"/>
          <a:ext cx="11780952" cy="4876190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31</xdr:row>
      <xdr:rowOff>0</xdr:rowOff>
    </xdr:from>
    <xdr:to>
      <xdr:col>33</xdr:col>
      <xdr:colOff>160533</xdr:colOff>
      <xdr:row>57</xdr:row>
      <xdr:rowOff>56521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575DBDF-6D1F-4D75-8A76-384EFF2B3A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125450" y="5810250"/>
          <a:ext cx="11133333" cy="5028571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60</xdr:row>
      <xdr:rowOff>0</xdr:rowOff>
    </xdr:from>
    <xdr:to>
      <xdr:col>33</xdr:col>
      <xdr:colOff>322438</xdr:colOff>
      <xdr:row>82</xdr:row>
      <xdr:rowOff>161381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1CC1E3B-5AB7-4251-A59C-1D71FD2260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3125450" y="11353800"/>
          <a:ext cx="11295238" cy="4352381"/>
        </a:xfrm>
        <a:prstGeom prst="rect">
          <a:avLst/>
        </a:prstGeom>
      </xdr:spPr>
    </xdr:pic>
    <xdr:clientData/>
  </xdr:twoCellAnchor>
  <xdr:twoCellAnchor editAs="oneCell">
    <xdr:from>
      <xdr:col>1</xdr:col>
      <xdr:colOff>190501</xdr:colOff>
      <xdr:row>90</xdr:row>
      <xdr:rowOff>66675</xdr:rowOff>
    </xdr:from>
    <xdr:to>
      <xdr:col>12</xdr:col>
      <xdr:colOff>332508</xdr:colOff>
      <xdr:row>124</xdr:row>
      <xdr:rowOff>123825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9160A564-0A5F-44C9-B471-A7FABA969E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00101" y="16754475"/>
          <a:ext cx="8533532" cy="653415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37</xdr:row>
      <xdr:rowOff>0</xdr:rowOff>
    </xdr:from>
    <xdr:to>
      <xdr:col>13</xdr:col>
      <xdr:colOff>104775</xdr:colOff>
      <xdr:row>61</xdr:row>
      <xdr:rowOff>38595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9944273C-600A-4E9D-97BB-C8EAFAA375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123950" y="6591300"/>
          <a:ext cx="8591550" cy="4610595"/>
        </a:xfrm>
        <a:prstGeom prst="rect">
          <a:avLst/>
        </a:prstGeom>
      </xdr:spPr>
    </xdr:pic>
    <xdr:clientData/>
  </xdr:twoCellAnchor>
  <xdr:twoCellAnchor editAs="oneCell">
    <xdr:from>
      <xdr:col>2</xdr:col>
      <xdr:colOff>171450</xdr:colOff>
      <xdr:row>62</xdr:row>
      <xdr:rowOff>114300</xdr:rowOff>
    </xdr:from>
    <xdr:to>
      <xdr:col>12</xdr:col>
      <xdr:colOff>427608</xdr:colOff>
      <xdr:row>86</xdr:row>
      <xdr:rowOff>189919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5FF5FF39-F28F-432F-9938-6D53775F0F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295400" y="11468100"/>
          <a:ext cx="8133333" cy="4647619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15</xdr:col>
      <xdr:colOff>422650</xdr:colOff>
      <xdr:row>25</xdr:row>
      <xdr:rowOff>180975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1D5D338-4459-4479-BFFA-2B6625B988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90500"/>
          <a:ext cx="8957050" cy="4752975"/>
        </a:xfrm>
        <a:prstGeom prst="rect">
          <a:avLst/>
        </a:prstGeom>
      </xdr:spPr>
    </xdr:pic>
    <xdr:clientData/>
  </xdr:twoCellAnchor>
  <xdr:twoCellAnchor editAs="oneCell">
    <xdr:from>
      <xdr:col>0</xdr:col>
      <xdr:colOff>457200</xdr:colOff>
      <xdr:row>27</xdr:row>
      <xdr:rowOff>9525</xdr:rowOff>
    </xdr:from>
    <xdr:to>
      <xdr:col>16</xdr:col>
      <xdr:colOff>190500</xdr:colOff>
      <xdr:row>39</xdr:row>
      <xdr:rowOff>2204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4A785FD-4A48-4899-B1B0-C9F57257D5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57200" y="5153025"/>
          <a:ext cx="9486900" cy="2278679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104775</xdr:colOff>
      <xdr:row>4</xdr:row>
      <xdr:rowOff>47625</xdr:rowOff>
    </xdr:from>
    <xdr:to>
      <xdr:col>24</xdr:col>
      <xdr:colOff>599023</xdr:colOff>
      <xdr:row>49</xdr:row>
      <xdr:rowOff>27506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BE03277-6703-4D84-88B8-EE6C7BD1A2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58350" y="809625"/>
          <a:ext cx="8419048" cy="855238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onu/Desktop/MaxWealthCA/Clients/Michael_Bond/SMSF/2015_M_M_Super_Fund/M&amp;M%20Bond%20SMSF-%20AustMil%20Bank%201July14%20to%2030June2015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onu/Desktop/MaxWealthCA/Clients/M/Michael_Bond/SMSF/2016%20MM%20Super%20Fund/Audit/M%20&amp;%20M%20Bond%20SMSF%20Tax%20Yr%20ending%2030%20June%202016_audit%20workpapers.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onu/Desktop/MaxWealthCA/Clients/Michael_Bond/SMSF/2014_M_M_Super_Fund/2014_SMSF_Workings_v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5 Summary"/>
      <sheetName val="2015 Shares listing"/>
      <sheetName val="2015 BS Notes"/>
      <sheetName val="2015 BS"/>
      <sheetName val="2015 PL Note"/>
      <sheetName val="Losses cf"/>
      <sheetName val="2015 PL"/>
      <sheetName val="Sheet16"/>
      <sheetName val="Div"/>
      <sheetName val="Sheet17"/>
      <sheetName val="Piv Data"/>
      <sheetName val="Loan "/>
      <sheetName val="Data"/>
      <sheetName val="Sheet19"/>
    </sheetNames>
    <sheetDataSet>
      <sheetData sheetId="0" refreshError="1"/>
      <sheetData sheetId="1" refreshError="1"/>
      <sheetData sheetId="2" refreshError="1">
        <row r="12">
          <cell r="E12">
            <v>468935.72</v>
          </cell>
        </row>
        <row r="34">
          <cell r="E34">
            <v>-404807.70799999998</v>
          </cell>
        </row>
      </sheetData>
      <sheetData sheetId="3" refreshError="1"/>
      <sheetData sheetId="4" refreshError="1"/>
      <sheetData sheetId="5" refreshError="1"/>
      <sheetData sheetId="6" refreshError="1">
        <row r="17">
          <cell r="D17">
            <v>1185.1457142857107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6 Data"/>
      <sheetName val="2016 PL"/>
      <sheetName val="2016 BS"/>
      <sheetName val="2016 PL Notes"/>
      <sheetName val="2016 BS Notes"/>
      <sheetName val="Loan"/>
      <sheetName val="2016 Shares"/>
      <sheetName val="Piv Data"/>
      <sheetName val="2016 summary"/>
      <sheetName val="Div"/>
      <sheetName val="Piv 2016 2"/>
      <sheetName val="Dep"/>
      <sheetName val="Cfd losses"/>
    </sheetNames>
    <sheetDataSet>
      <sheetData sheetId="0"/>
      <sheetData sheetId="1">
        <row r="8">
          <cell r="D8">
            <v>9148.9899999999907</v>
          </cell>
        </row>
        <row r="18">
          <cell r="D18"/>
        </row>
      </sheetData>
      <sheetData sheetId="2"/>
      <sheetData sheetId="3">
        <row r="7">
          <cell r="D7">
            <v>2256.31</v>
          </cell>
        </row>
        <row r="25">
          <cell r="D25">
            <v>33019.869999999995</v>
          </cell>
        </row>
      </sheetData>
      <sheetData sheetId="4"/>
      <sheetData sheetId="5"/>
      <sheetData sheetId="6">
        <row r="21">
          <cell r="I21">
            <v>8198.9899999999907</v>
          </cell>
        </row>
      </sheetData>
      <sheetData sheetId="7">
        <row r="3">
          <cell r="A3" t="str">
            <v>Sum of Amt</v>
          </cell>
        </row>
      </sheetData>
      <sheetData sheetId="8"/>
      <sheetData sheetId="9"/>
      <sheetData sheetId="10"/>
      <sheetData sheetId="11"/>
      <sheetData sheetId="12">
        <row r="6">
          <cell r="K6">
            <v>-950.80200000000332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ares"/>
      <sheetName val="BS"/>
      <sheetName val="Piv Intt"/>
      <sheetName val="PL"/>
      <sheetName val="PL Notes"/>
      <sheetName val="PL-1"/>
      <sheetName val="Tax losses bfd"/>
      <sheetName val="Inv Loan details"/>
      <sheetName val="Data"/>
      <sheetName val="BS-1"/>
      <sheetName val="Notes-BS"/>
    </sheetNames>
    <sheetDataSet>
      <sheetData sheetId="0" refreshError="1"/>
      <sheetData sheetId="1" refreshError="1"/>
      <sheetData sheetId="2" refreshError="1">
        <row r="3">
          <cell r="A3" t="str">
            <v>Sum of Amt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11">
          <cell r="J11">
            <v>-281619.46999999997</v>
          </cell>
        </row>
      </sheetData>
      <sheetData sheetId="9" refreshError="1"/>
      <sheetData sheetId="10" refreshError="1">
        <row r="12">
          <cell r="E12">
            <v>5580.1080000000002</v>
          </cell>
        </row>
      </sheetData>
      <sheetData sheetId="11" refreshError="1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onu" refreshedDate="43139.021272685182" createdVersion="6" refreshedVersion="6" minRefreshableVersion="3" recordCount="101" xr:uid="{00000000-000A-0000-FFFF-FFFF76000000}">
  <cacheSource type="worksheet">
    <worksheetSource ref="A2:P103" sheet="2017 data"/>
  </cacheSource>
  <cacheFields count="16">
    <cacheField name="Tr Ref" numFmtId="0">
      <sharedItems containsSemiMixedTypes="0" containsString="0" containsNumber="1" containsInteger="1" minValue="1" maxValue="101"/>
    </cacheField>
    <cacheField name="739830S15" numFmtId="0">
      <sharedItems containsSemiMixedTypes="0" containsNonDate="0" containsDate="1" containsString="0" minDate="2016-07-01T00:00:00" maxDate="2017-07-01T00:00:00"/>
    </cacheField>
    <cacheField name="Description" numFmtId="0">
      <sharedItems/>
    </cacheField>
    <cacheField name="Dr- Cr $ entries" numFmtId="0">
      <sharedItems containsSemiMixedTypes="0" containsString="0" containsNumber="1" minValue="-412630.35399999999" maxValue="476357.72"/>
    </cacheField>
    <cacheField name="Balance" numFmtId="164">
      <sharedItems containsString="0" containsBlank="1" containsNumber="1" minValue="64859.26" maxValue="82114.83"/>
    </cacheField>
    <cacheField name="ABS" numFmtId="164">
      <sharedItems containsString="0" containsBlank="1" containsNumber="1" minValue="3.76" maxValue="15000"/>
    </cacheField>
    <cacheField name="Type  " numFmtId="0">
      <sharedItems count="4">
        <s v="Payment"/>
        <s v="Receipt"/>
        <s v="Op Bal"/>
        <s v="Cl Bal"/>
      </sharedItems>
    </cacheField>
    <cacheField name="Category 3" numFmtId="0">
      <sharedItems count="2">
        <s v="PL"/>
        <s v="BS"/>
      </sharedItems>
    </cacheField>
    <cacheField name="Type 2" numFmtId="0">
      <sharedItems count="2">
        <s v="Rental property"/>
        <s v="SMSF"/>
      </sharedItems>
    </cacheField>
    <cacheField name="Category" numFmtId="0">
      <sharedItems count="21">
        <s v="Rates"/>
        <s v="Land tax"/>
        <s v="Loan from Liberty Financials"/>
        <s v="Rental income"/>
        <s v="Interest"/>
        <s v="Dividend"/>
        <s v="Distribution"/>
        <s v="Water"/>
        <s v="Strata fee"/>
        <s v="Shares purchases"/>
        <s v="Sale of shares"/>
        <s v="ADCU"/>
        <s v="Rental property - 6/121 Streeton Dr Stirling ACT"/>
        <s v="Less: Accum Depreciation"/>
        <s v="Public listing companies"/>
        <s v="DTA - 30% losses cfd"/>
        <s v="Members's balance"/>
        <s v="Franking Credit receivable"/>
        <s v="Management fee"/>
        <s v="GST on Management fee"/>
        <s v="Repairs"/>
      </sharedItems>
    </cacheField>
    <cacheField name="Unfranked Div" numFmtId="0">
      <sharedItems containsString="0" containsBlank="1" containsNumber="1" minValue="13.58" maxValue="266.88"/>
    </cacheField>
    <cacheField name="Trust Distt" numFmtId="0">
      <sharedItems containsString="0" containsBlank="1" containsNumber="1" minValue="0" maxValue="206.48"/>
    </cacheField>
    <cacheField name="Tax Def Distt" numFmtId="0">
      <sharedItems containsString="0" containsBlank="1" containsNumber="1" minValue="0" maxValue="66.260000000000005"/>
    </cacheField>
    <cacheField name="Franked Div" numFmtId="0">
      <sharedItems containsString="0" containsBlank="1" containsNumber="1" minValue="0" maxValue="306.36"/>
    </cacheField>
    <cacheField name="FC" numFmtId="0">
      <sharedItems containsString="0" containsBlank="1" containsNumber="1" minValue="0" maxValue="131.30000000000001"/>
    </cacheField>
    <cacheField name="Gross Dividend" numFmtId="0">
      <sharedItems containsString="0" containsBlank="1" containsNumber="1" minValue="0" maxValue="437.66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onu" refreshedDate="43139.039358680559" createdVersion="6" refreshedVersion="6" minRefreshableVersion="3" recordCount="114" xr:uid="{00000000-000A-0000-FFFF-FFFF0D010000}">
  <cacheSource type="worksheet">
    <worksheetSource ref="A2:P116" sheet="2017 data"/>
  </cacheSource>
  <cacheFields count="16">
    <cacheField name="Tr Ref" numFmtId="0">
      <sharedItems containsSemiMixedTypes="0" containsString="0" containsNumber="1" containsInteger="1" minValue="1" maxValue="113"/>
    </cacheField>
    <cacheField name="739830S15" numFmtId="0">
      <sharedItems containsSemiMixedTypes="0" containsNonDate="0" containsDate="1" containsString="0" minDate="2016-07-01T00:00:00" maxDate="2017-07-01T00:00:00"/>
    </cacheField>
    <cacheField name="Description" numFmtId="0">
      <sharedItems/>
    </cacheField>
    <cacheField name="Dr- Cr $ entries" numFmtId="0">
      <sharedItems containsSemiMixedTypes="0" containsString="0" containsNumber="1" minValue="-412630.35399999999" maxValue="476357.72"/>
    </cacheField>
    <cacheField name="Balance" numFmtId="164">
      <sharedItems containsString="0" containsBlank="1" containsNumber="1" minValue="64859.26" maxValue="82114.83"/>
    </cacheField>
    <cacheField name="ABS" numFmtId="164">
      <sharedItems containsString="0" containsBlank="1" containsNumber="1" minValue="3.76" maxValue="15000"/>
    </cacheField>
    <cacheField name="Type  " numFmtId="0">
      <sharedItems count="4">
        <s v="Payment"/>
        <s v="Receipt"/>
        <s v="Op Bal"/>
        <s v="Cl Bal"/>
      </sharedItems>
    </cacheField>
    <cacheField name="Category 3" numFmtId="0">
      <sharedItems count="2">
        <s v="PL"/>
        <s v="BS"/>
      </sharedItems>
    </cacheField>
    <cacheField name="Type 2" numFmtId="0">
      <sharedItems count="2">
        <s v="Rental property"/>
        <s v="SMSF"/>
      </sharedItems>
    </cacheField>
    <cacheField name="Category" numFmtId="0">
      <sharedItems count="26">
        <s v="Rates"/>
        <s v="Land tax"/>
        <s v="Loan from Liberty Financials"/>
        <s v="Rental income"/>
        <s v="Interest"/>
        <s v="Dividend"/>
        <s v="Distribution"/>
        <s v="Water"/>
        <s v="Body corporate fee"/>
        <s v="Shares purchases"/>
        <s v="Sale of shares"/>
        <s v="ADCU"/>
        <s v="Rental property - 6/121 Streeton Dr Stirling ACT"/>
        <s v="Less: Accum Depreciation"/>
        <s v="Public listing companies"/>
        <s v="DTA - 30% losses cfd"/>
        <s v="Members's balance"/>
        <s v="Franking Credit receivable"/>
        <s v="Management fee"/>
        <s v="GST paid"/>
        <s v="Repairs"/>
        <s v="NAB Trade Balance"/>
        <s v="Depreciation - Capital Works"/>
        <s v="Capital Allowance"/>
        <s v="Interest paid"/>
        <s v="Gain on revaluation of shares"/>
      </sharedItems>
    </cacheField>
    <cacheField name="Unfranked Div" numFmtId="0">
      <sharedItems containsString="0" containsBlank="1" containsNumber="1" minValue="13.58" maxValue="266.88"/>
    </cacheField>
    <cacheField name="Trust Distt" numFmtId="0">
      <sharedItems containsString="0" containsBlank="1" containsNumber="1" minValue="0" maxValue="206.48"/>
    </cacheField>
    <cacheField name="Tax Def Distt" numFmtId="0">
      <sharedItems containsString="0" containsBlank="1" containsNumber="1" minValue="0" maxValue="66.260000000000005"/>
    </cacheField>
    <cacheField name="Franked Div" numFmtId="0">
      <sharedItems containsString="0" containsBlank="1" containsNumber="1" minValue="0" maxValue="306.36"/>
    </cacheField>
    <cacheField name="FC" numFmtId="0">
      <sharedItems containsString="0" containsBlank="1" containsNumber="1" minValue="0" maxValue="131.30000000000001"/>
    </cacheField>
    <cacheField name="Gross Dividend" numFmtId="0">
      <sharedItems containsString="0" containsBlank="1" containsNumber="1" minValue="0" maxValue="437.66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01">
  <r>
    <n v="1"/>
    <d v="2016-07-15T00:00:00"/>
    <s v="DIRECT DEBIT From: ACT Revenue Offi Ref: DD3974028"/>
    <n v="-301"/>
    <n v="79932"/>
    <n v="301"/>
    <x v="0"/>
    <x v="0"/>
    <x v="0"/>
    <x v="0"/>
    <m/>
    <m/>
    <m/>
    <m/>
    <m/>
    <m/>
  </r>
  <r>
    <n v="2"/>
    <d v="2016-07-15T00:00:00"/>
    <s v="DIRECT DEBIT From: ACT Revenue Offi Ref: DD3974029"/>
    <n v="-342.93"/>
    <n v="79589.070000000007"/>
    <n v="342.93"/>
    <x v="0"/>
    <x v="0"/>
    <x v="0"/>
    <x v="1"/>
    <m/>
    <m/>
    <m/>
    <m/>
    <m/>
    <m/>
  </r>
  <r>
    <n v="3"/>
    <d v="2016-07-15T00:00:00"/>
    <s v="SECURE FUNDING PTY LTD From: SECURE FUNDING P Ref: 2109357"/>
    <n v="-1694.14"/>
    <n v="77894.929999999993"/>
    <n v="1694.14"/>
    <x v="0"/>
    <x v="1"/>
    <x v="0"/>
    <x v="2"/>
    <m/>
    <m/>
    <m/>
    <m/>
    <m/>
    <m/>
  </r>
  <r>
    <n v="4"/>
    <d v="2016-07-28T00:00:00"/>
    <s v="DEFENCE HOUSING AUSTRA From: Defence Housing Ref: 590303"/>
    <n v="1779.08"/>
    <n v="79674.009999999995"/>
    <n v="1779.08"/>
    <x v="1"/>
    <x v="0"/>
    <x v="0"/>
    <x v="3"/>
    <m/>
    <m/>
    <m/>
    <m/>
    <m/>
    <m/>
  </r>
  <r>
    <n v="5"/>
    <d v="2016-07-31T00:00:00"/>
    <s v="INTEREST CREDIT"/>
    <n v="174.18"/>
    <n v="79848.19"/>
    <n v="174.18"/>
    <x v="1"/>
    <x v="0"/>
    <x v="1"/>
    <x v="4"/>
    <m/>
    <m/>
    <m/>
    <m/>
    <m/>
    <n v="0"/>
  </r>
  <r>
    <n v="6"/>
    <d v="2016-07-13T00:00:00"/>
    <s v="CHEVRON TEXACO DESPP   From: COLLINS FOODS Ref: JUL16/00804569"/>
    <n v="221.84"/>
    <n v="80233"/>
    <n v="221.84"/>
    <x v="1"/>
    <x v="0"/>
    <x v="1"/>
    <x v="5"/>
    <m/>
    <m/>
    <m/>
    <n v="221.84"/>
    <n v="95.07"/>
    <n v="316.90999999999997"/>
  </r>
  <r>
    <n v="7"/>
    <d v="2016-08-17T00:00:00"/>
    <s v="SECURE FUNDING PTY LTD From: SECURE FUNDING P Ref: 2109357"/>
    <n v="-1694.14"/>
    <n v="78154.05"/>
    <n v="1694.14"/>
    <x v="0"/>
    <x v="1"/>
    <x v="0"/>
    <x v="2"/>
    <m/>
    <m/>
    <m/>
    <m/>
    <m/>
    <m/>
  </r>
  <r>
    <n v="8"/>
    <d v="2016-08-18T00:00:00"/>
    <s v="DUET DISTRIBUTION      From: DUET DIST Ref: RC816/00815975"/>
    <n v="228.33"/>
    <n v="78382.38"/>
    <n v="228.33"/>
    <x v="1"/>
    <x v="0"/>
    <x v="1"/>
    <x v="6"/>
    <n v="228.33"/>
    <n v="0"/>
    <n v="0"/>
    <n v="0"/>
    <n v="0"/>
    <n v="228.33"/>
  </r>
  <r>
    <n v="9"/>
    <d v="2016-08-29T00:00:00"/>
    <s v="DIRECT DEBIT From: ACTEWAGL Ref: E0011609002"/>
    <n v="-153.13"/>
    <n v="78229.25"/>
    <n v="153.13"/>
    <x v="0"/>
    <x v="0"/>
    <x v="0"/>
    <x v="7"/>
    <m/>
    <m/>
    <m/>
    <m/>
    <m/>
    <m/>
  </r>
  <r>
    <n v="10"/>
    <d v="2016-08-30T00:00:00"/>
    <s v="DEFENCE HOUSING AUSTRA From: Defence Housing Ref: 607562"/>
    <n v="1779.08"/>
    <n v="80008.33"/>
    <n v="1779.08"/>
    <x v="1"/>
    <x v="0"/>
    <x v="0"/>
    <x v="3"/>
    <m/>
    <m/>
    <m/>
    <m/>
    <m/>
    <m/>
  </r>
  <r>
    <n v="11"/>
    <d v="2016-08-31T00:00:00"/>
    <s v="INTEREST CREDIT"/>
    <n v="174.48"/>
    <n v="80182.81"/>
    <n v="174.48"/>
    <x v="1"/>
    <x v="0"/>
    <x v="1"/>
    <x v="4"/>
    <m/>
    <m/>
    <m/>
    <m/>
    <m/>
    <n v="0"/>
  </r>
  <r>
    <n v="12"/>
    <d v="2016-09-05T00:00:00"/>
    <s v="BPAY THE IND GROUP #2214 TRF Ref-000067 #050192933"/>
    <n v="-621.4"/>
    <n v="79561.41"/>
    <n v="621.4"/>
    <x v="0"/>
    <x v="0"/>
    <x v="0"/>
    <x v="8"/>
    <m/>
    <m/>
    <m/>
    <m/>
    <m/>
    <m/>
  </r>
  <r>
    <n v="13"/>
    <d v="2016-09-09T00:00:00"/>
    <s v="TFR TO 032705 124229 TRF To-MA &amp; MJ BOND TF M&amp;M BOND SUPERAC Ref-Tfr AMB to Wpac Tfr SMSF Super to westpac SMSF"/>
    <n v="-10"/>
    <n v="79551.41"/>
    <n v="10"/>
    <x v="1"/>
    <x v="0"/>
    <x v="1"/>
    <x v="4"/>
    <m/>
    <m/>
    <m/>
    <m/>
    <m/>
    <m/>
  </r>
  <r>
    <n v="14"/>
    <d v="2016-09-14T00:00:00"/>
    <s v="DIRECT CREDIT From: MA &amp; MJ BOND TF M&amp;M BOND S Ref: Tfr AMB to Wpac"/>
    <n v="10"/>
    <n v="79561.41"/>
    <n v="10"/>
    <x v="1"/>
    <x v="0"/>
    <x v="1"/>
    <x v="4"/>
    <m/>
    <m/>
    <m/>
    <m/>
    <m/>
    <m/>
  </r>
  <r>
    <n v="15"/>
    <d v="2016-09-15T00:00:00"/>
    <s v="SPARK INFRASTRUCTURE   From: SPARK INFRASTRUC Ref: SEP16/00814838"/>
    <n v="206.48"/>
    <n v="79767.89"/>
    <n v="206.48"/>
    <x v="1"/>
    <x v="0"/>
    <x v="1"/>
    <x v="5"/>
    <m/>
    <n v="206.48"/>
    <m/>
    <m/>
    <m/>
    <n v="206.48"/>
  </r>
  <r>
    <n v="16"/>
    <d v="2016-09-16T00:00:00"/>
    <s v="APA GROUP              From: APA DISTRIBUTION Ref: 001191817308"/>
    <n v="187.42"/>
    <n v="79955.31"/>
    <n v="187.42"/>
    <x v="1"/>
    <x v="0"/>
    <x v="1"/>
    <x v="6"/>
    <n v="136.1"/>
    <n v="30.36"/>
    <n v="20.96"/>
    <n v="0"/>
    <n v="0"/>
    <n v="187.42"/>
  </r>
  <r>
    <n v="17"/>
    <d v="2016-09-16T00:00:00"/>
    <s v="SECURE FUNDING PTY LTD From: SECURE FUNDING P Ref: 2109357"/>
    <n v="-1694.14"/>
    <n v="78261.17"/>
    <n v="1694.14"/>
    <x v="0"/>
    <x v="1"/>
    <x v="0"/>
    <x v="2"/>
    <m/>
    <m/>
    <m/>
    <m/>
    <m/>
    <m/>
  </r>
  <r>
    <n v="18"/>
    <d v="2016-09-21T00:00:00"/>
    <s v="IMF INTEREST PAYMENT   From: BHP LTD DIVIDEND Ref: AF373/01246970"/>
    <n v="52.78"/>
    <n v="78313.95"/>
    <n v="52.78"/>
    <x v="1"/>
    <x v="0"/>
    <x v="1"/>
    <x v="5"/>
    <m/>
    <m/>
    <m/>
    <n v="52.78"/>
    <n v="22.62"/>
    <n v="75.400000000000006"/>
  </r>
  <r>
    <n v="19"/>
    <d v="2016-09-28T00:00:00"/>
    <s v="ASX PERPETUAL REGISTRA From: ASX FNL DIV Ref: 001194231858"/>
    <n v="277.2"/>
    <n v="78591.149999999994"/>
    <n v="277.2"/>
    <x v="1"/>
    <x v="0"/>
    <x v="1"/>
    <x v="5"/>
    <m/>
    <m/>
    <m/>
    <n v="277.2"/>
    <n v="122.4"/>
    <n v="399.6"/>
  </r>
  <r>
    <n v="20"/>
    <d v="2016-09-28T00:00:00"/>
    <s v="IMF INTEREST PAYMENT   From: QBE DIVIDEND Ref: 16FPA/00890339"/>
    <n v="132.51"/>
    <n v="78723.66"/>
    <n v="132.51"/>
    <x v="1"/>
    <x v="0"/>
    <x v="1"/>
    <x v="5"/>
    <n v="66.25"/>
    <m/>
    <n v="66.260000000000005"/>
    <m/>
    <n v="28.4"/>
    <n v="160.91"/>
  </r>
  <r>
    <n v="21"/>
    <d v="2016-09-29T00:00:00"/>
    <s v="IMF INTEREST PAYMENT   From: MEDIBANK DIV Ref: FIN16/00843489"/>
    <n v="211.26"/>
    <n v="78934.92"/>
    <n v="211.26"/>
    <x v="1"/>
    <x v="0"/>
    <x v="1"/>
    <x v="5"/>
    <m/>
    <m/>
    <m/>
    <n v="211.26"/>
    <n v="90.54"/>
    <n v="301.8"/>
  </r>
  <r>
    <n v="22"/>
    <d v="2016-09-29T00:00:00"/>
    <s v="CHEVRON TEXACO DESPP   From: TOX FREE SOL LTD Ref: SEP16/00802115"/>
    <n v="72.59"/>
    <n v="79007.509999999995"/>
    <n v="72.59"/>
    <x v="1"/>
    <x v="0"/>
    <x v="1"/>
    <x v="5"/>
    <m/>
    <m/>
    <m/>
    <n v="72.59"/>
    <n v="31.11"/>
    <n v="103.7"/>
  </r>
  <r>
    <n v="23"/>
    <d v="2016-09-29T00:00:00"/>
    <s v="COMMONWEALTH BANK      From: CBA FNL DIV Ref: 001191589960"/>
    <n v="306.36"/>
    <n v="79313.87"/>
    <n v="306.36"/>
    <x v="1"/>
    <x v="0"/>
    <x v="1"/>
    <x v="5"/>
    <m/>
    <m/>
    <m/>
    <n v="306.36"/>
    <n v="131.30000000000001"/>
    <n v="437.66"/>
  </r>
  <r>
    <n v="24"/>
    <d v="2016-09-29T00:00:00"/>
    <s v="DEFENCE HOUSING AUSTRA From: Defence Housing Ref: 624851"/>
    <n v="1779.08"/>
    <n v="81092.95"/>
    <n v="1779.08"/>
    <x v="1"/>
    <x v="0"/>
    <x v="0"/>
    <x v="3"/>
    <m/>
    <m/>
    <m/>
    <m/>
    <m/>
    <m/>
  </r>
  <r>
    <n v="25"/>
    <d v="2016-09-30T00:00:00"/>
    <s v="INTEREST CREDIT"/>
    <n v="166.68"/>
    <n v="81259.63"/>
    <n v="166.68"/>
    <x v="1"/>
    <x v="0"/>
    <x v="1"/>
    <x v="4"/>
    <m/>
    <m/>
    <m/>
    <m/>
    <m/>
    <m/>
  </r>
  <r>
    <n v="26"/>
    <d v="2016-10-05T00:00:00"/>
    <s v="IAG DIVIDEND PAYMENT   From: IAG DIVIDEND PYT Ref: OCT16/01298229"/>
    <n v="225.68"/>
    <n v="81485.31"/>
    <n v="225.68"/>
    <x v="1"/>
    <x v="0"/>
    <x v="1"/>
    <x v="5"/>
    <m/>
    <m/>
    <m/>
    <n v="225.68"/>
    <n v="96.72"/>
    <n v="322.39999999999998"/>
  </r>
  <r>
    <n v="27"/>
    <d v="2016-10-07T00:00:00"/>
    <s v="IMF INTEREST PAYMENT   From: SOUTH32 LIMITED Ref: AF001/01144511"/>
    <n v="3.76"/>
    <n v="81489.070000000007"/>
    <n v="3.76"/>
    <x v="1"/>
    <x v="0"/>
    <x v="1"/>
    <x v="4"/>
    <m/>
    <m/>
    <m/>
    <m/>
    <m/>
    <n v="0"/>
  </r>
  <r>
    <n v="28"/>
    <d v="2016-10-10T00:00:00"/>
    <s v="CSL LIMITED DIVIDEND   From: CSL LTD DIVIDEND Ref: AUD16/00905532"/>
    <n v="266.88"/>
    <n v="81755.95"/>
    <n v="266.88"/>
    <x v="1"/>
    <x v="0"/>
    <x v="1"/>
    <x v="5"/>
    <n v="266.88"/>
    <m/>
    <m/>
    <m/>
    <m/>
    <n v="266.88"/>
  </r>
  <r>
    <n v="29"/>
    <d v="2016-10-13T00:00:00"/>
    <s v="IOOF HOLDINGS LIMITED  From: IOOF DIVIDEND Ref: S00062583673"/>
    <n v="148.19999999999999"/>
    <n v="81904.149999999994"/>
    <n v="148.19999999999999"/>
    <x v="1"/>
    <x v="0"/>
    <x v="1"/>
    <x v="5"/>
    <m/>
    <m/>
    <m/>
    <n v="148.19999999999999"/>
    <n v="63.51"/>
    <n v="211.70999999999998"/>
  </r>
  <r>
    <n v="30"/>
    <d v="2016-10-14T00:00:00"/>
    <s v="CHEVRON TEXACO DESPP   From: FLT CENTRE LTD Ref: OCT16/00819795"/>
    <n v="210.68"/>
    <n v="82114.83"/>
    <n v="210.68"/>
    <x v="1"/>
    <x v="0"/>
    <x v="1"/>
    <x v="5"/>
    <m/>
    <m/>
    <m/>
    <n v="210.68"/>
    <n v="90.29"/>
    <n v="300.97000000000003"/>
  </r>
  <r>
    <n v="31"/>
    <d v="2016-10-17T00:00:00"/>
    <s v="DIRECT DEBIT From: ACT Revenue Offi Ref: DD4053462"/>
    <n v="-332.46"/>
    <n v="81782.37"/>
    <n v="332.46"/>
    <x v="0"/>
    <x v="0"/>
    <x v="0"/>
    <x v="0"/>
    <m/>
    <m/>
    <m/>
    <m/>
    <m/>
    <m/>
  </r>
  <r>
    <n v="32"/>
    <d v="2016-10-17T00:00:00"/>
    <s v="DIRECT DEBIT From: ACT Revenue Offi Ref: DD4053463"/>
    <n v="-384.19"/>
    <n v="81398.179999999993"/>
    <n v="384.19"/>
    <x v="0"/>
    <x v="0"/>
    <x v="0"/>
    <x v="1"/>
    <m/>
    <m/>
    <m/>
    <m/>
    <m/>
    <m/>
  </r>
  <r>
    <n v="33"/>
    <d v="2016-10-17T00:00:00"/>
    <s v="SECURE FUNDING PTY LTD From: SECURE FUNDING P Ref: 2109357"/>
    <n v="-1694.14"/>
    <n v="79704.039999999994"/>
    <n v="1694.14"/>
    <x v="0"/>
    <x v="1"/>
    <x v="0"/>
    <x v="2"/>
    <m/>
    <m/>
    <m/>
    <m/>
    <m/>
    <m/>
  </r>
  <r>
    <n v="34"/>
    <d v="2016-10-17T00:00:00"/>
    <s v="DIVIDEND PAYMENT From: CAR DIVIDEND Ref: OCT16/00809395"/>
    <n v="179.4"/>
    <n v="79883.44"/>
    <n v="179.4"/>
    <x v="1"/>
    <x v="0"/>
    <x v="1"/>
    <x v="5"/>
    <m/>
    <m/>
    <m/>
    <n v="179.4"/>
    <n v="76.89"/>
    <n v="256.29000000000002"/>
  </r>
  <r>
    <n v="35"/>
    <d v="2016-10-28T00:00:00"/>
    <s v="DEFENCE HOUSING AUSTRA From: Defence Housing Ref: 642148"/>
    <n v="1779.08"/>
    <n v="81662.52"/>
    <n v="1779.08"/>
    <x v="1"/>
    <x v="0"/>
    <x v="0"/>
    <x v="3"/>
    <m/>
    <m/>
    <m/>
    <m/>
    <m/>
    <m/>
  </r>
  <r>
    <n v="36"/>
    <d v="2016-10-31T00:00:00"/>
    <s v="INTEREST CREDIT"/>
    <n v="171.6"/>
    <n v="81834.12"/>
    <n v="171.6"/>
    <x v="1"/>
    <x v="0"/>
    <x v="1"/>
    <x v="4"/>
    <m/>
    <m/>
    <m/>
    <m/>
    <m/>
    <n v="0"/>
  </r>
  <r>
    <n v="37"/>
    <d v="2016-11-17T00:00:00"/>
    <s v="SECURE FUNDING PTY LTD From: SECURE FUNDING P Ref: 2109357"/>
    <n v="-1694.14"/>
    <n v="80139.98"/>
    <n v="1694.14"/>
    <x v="0"/>
    <x v="1"/>
    <x v="0"/>
    <x v="2"/>
    <m/>
    <m/>
    <m/>
    <m/>
    <m/>
    <m/>
  </r>
  <r>
    <n v="38"/>
    <d v="2016-11-28T00:00:00"/>
    <s v="BPAY THE IND GROUP #2214 TRF Ref-000067 #053506005"/>
    <n v="-621.4"/>
    <n v="79518.58"/>
    <n v="621.4"/>
    <x v="0"/>
    <x v="0"/>
    <x v="0"/>
    <x v="8"/>
    <m/>
    <m/>
    <m/>
    <m/>
    <m/>
    <m/>
  </r>
  <r>
    <n v="39"/>
    <d v="2016-11-29T00:00:00"/>
    <s v="DIRECT DEBIT From: ACTEWAGL Ref: E0011842115"/>
    <n v="-153.13"/>
    <n v="79365.45"/>
    <n v="153.13"/>
    <x v="0"/>
    <x v="0"/>
    <x v="0"/>
    <x v="7"/>
    <m/>
    <m/>
    <m/>
    <m/>
    <m/>
    <m/>
  </r>
  <r>
    <n v="40"/>
    <d v="2016-11-29T00:00:00"/>
    <s v="DEFENCE HOUSING AUSTRA From: Defence Housing Ref: 659194"/>
    <n v="1779.08"/>
    <n v="81144.53"/>
    <n v="1779.08"/>
    <x v="1"/>
    <x v="0"/>
    <x v="0"/>
    <x v="3"/>
    <m/>
    <m/>
    <m/>
    <m/>
    <m/>
    <m/>
  </r>
  <r>
    <n v="41"/>
    <d v="2016-11-30T00:00:00"/>
    <s v="INTEREST CREDIT"/>
    <n v="166.17"/>
    <n v="81310.7"/>
    <n v="166.17"/>
    <x v="1"/>
    <x v="0"/>
    <x v="1"/>
    <x v="4"/>
    <m/>
    <m/>
    <m/>
    <m/>
    <m/>
    <m/>
  </r>
  <r>
    <n v="42"/>
    <d v="2016-12-15T00:00:00"/>
    <s v="CHEVRON TEXACO DESPP   From: COLLINS FOODS Ref: DEC16/00804940"/>
    <n v="221.84"/>
    <n v="81532.539999999994"/>
    <n v="221.84"/>
    <x v="1"/>
    <x v="0"/>
    <x v="1"/>
    <x v="5"/>
    <m/>
    <m/>
    <m/>
    <n v="221.84"/>
    <n v="95.07"/>
    <n v="316.90999999999997"/>
  </r>
  <r>
    <n v="43"/>
    <d v="2016-12-16T00:00:00"/>
    <s v="SECURE FUNDING PTY LTD From: SECURE FUNDING P Ref: 2109357"/>
    <n v="-1694.14"/>
    <n v="79838.399999999994"/>
    <n v="1694.14"/>
    <x v="0"/>
    <x v="1"/>
    <x v="0"/>
    <x v="2"/>
    <m/>
    <m/>
    <m/>
    <m/>
    <m/>
    <m/>
  </r>
  <r>
    <n v="44"/>
    <d v="2016-12-29T00:00:00"/>
    <s v="DEFENCE HOUSING AUSTRA From: Defence Housing Ref: 676632"/>
    <n v="1869.84"/>
    <n v="81708.240000000005"/>
    <n v="1869.84"/>
    <x v="1"/>
    <x v="0"/>
    <x v="0"/>
    <x v="3"/>
    <m/>
    <m/>
    <m/>
    <m/>
    <m/>
    <m/>
  </r>
  <r>
    <n v="45"/>
    <d v="2016-12-31T00:00:00"/>
    <s v="INTEREST CREDIT"/>
    <n v="170.96"/>
    <n v="81879.199999999997"/>
    <n v="170.96"/>
    <x v="1"/>
    <x v="0"/>
    <x v="1"/>
    <x v="4"/>
    <m/>
    <m/>
    <m/>
    <m/>
    <m/>
    <n v="0"/>
  </r>
  <r>
    <n v="46"/>
    <d v="2017-01-16T00:00:00"/>
    <s v="DIRECT DEBIT From: ACT Revenue Offi Ref: DD4164580"/>
    <n v="-331"/>
    <n v="81548.2"/>
    <n v="331"/>
    <x v="0"/>
    <x v="0"/>
    <x v="0"/>
    <x v="0"/>
    <m/>
    <m/>
    <m/>
    <m/>
    <m/>
    <m/>
  </r>
  <r>
    <n v="47"/>
    <d v="2017-01-16T00:00:00"/>
    <s v="DIRECT DEBIT From: ACT Revenue Offi Ref: DD4164581"/>
    <n v="-384.19"/>
    <n v="81164.009999999995"/>
    <n v="384.19"/>
    <x v="0"/>
    <x v="0"/>
    <x v="0"/>
    <x v="1"/>
    <m/>
    <m/>
    <m/>
    <m/>
    <m/>
    <m/>
  </r>
  <r>
    <n v="48"/>
    <d v="2017-01-17T00:00:00"/>
    <s v="SECURE FUNDING PTY LTD From: SECURE FUNDING P Ref: 2109357"/>
    <n v="-1736.37"/>
    <n v="79427.64"/>
    <n v="1736.37"/>
    <x v="0"/>
    <x v="1"/>
    <x v="0"/>
    <x v="2"/>
    <m/>
    <m/>
    <m/>
    <m/>
    <m/>
    <m/>
  </r>
  <r>
    <n v="49"/>
    <d v="2017-01-30T00:00:00"/>
    <s v="DEFENCE HOUSING AUSTRA From: Defence Housing Ref: 694057"/>
    <n v="1869.84"/>
    <n v="81297.48"/>
    <n v="1869.84"/>
    <x v="1"/>
    <x v="0"/>
    <x v="0"/>
    <x v="3"/>
    <m/>
    <m/>
    <m/>
    <m/>
    <m/>
    <m/>
  </r>
  <r>
    <n v="50"/>
    <d v="2017-01-31T00:00:00"/>
    <s v="INTEREST CREDIT"/>
    <n v="171.54"/>
    <n v="81469.02"/>
    <n v="171.54"/>
    <x v="1"/>
    <x v="0"/>
    <x v="1"/>
    <x v="4"/>
    <m/>
    <m/>
    <m/>
    <m/>
    <m/>
    <n v="0"/>
  </r>
  <r>
    <n v="51"/>
    <d v="2017-02-16T00:00:00"/>
    <s v="DUET DISTRIBUTION      From: DUET DIST Ref: RC217/00812950"/>
    <n v="234.68"/>
    <n v="81703.7"/>
    <n v="234.68"/>
    <x v="1"/>
    <x v="0"/>
    <x v="1"/>
    <x v="6"/>
    <n v="234.68"/>
    <n v="0"/>
    <n v="0"/>
    <n v="0"/>
    <n v="0"/>
    <n v="234.68"/>
  </r>
  <r>
    <n v="52"/>
    <d v="2017-02-17T00:00:00"/>
    <s v="SECURE FUNDING PTY LTD From: SECURE FUNDING P Ref: 2109357"/>
    <n v="-1736.37"/>
    <n v="79967.33"/>
    <n v="1736.37"/>
    <x v="0"/>
    <x v="1"/>
    <x v="0"/>
    <x v="2"/>
    <m/>
    <m/>
    <m/>
    <m/>
    <m/>
    <m/>
  </r>
  <r>
    <n v="53"/>
    <d v="2017-02-27T00:00:00"/>
    <s v="DEFENCE HOUSING AUSTRA From: Defence Housing Ref: 711250"/>
    <n v="1869.84"/>
    <n v="81837.17"/>
    <n v="1869.84"/>
    <x v="1"/>
    <x v="0"/>
    <x v="0"/>
    <x v="3"/>
    <m/>
    <m/>
    <m/>
    <m/>
    <m/>
    <m/>
  </r>
  <r>
    <n v="54"/>
    <d v="2017-02-28T00:00:00"/>
    <s v="BPAY THE IND GROUP #2214 TRF Ref-000067 #057145018"/>
    <n v="-621.4"/>
    <n v="81215.77"/>
    <n v="621.4"/>
    <x v="0"/>
    <x v="0"/>
    <x v="0"/>
    <x v="8"/>
    <m/>
    <m/>
    <m/>
    <m/>
    <m/>
    <m/>
  </r>
  <r>
    <n v="55"/>
    <d v="2017-02-28T00:00:00"/>
    <s v="INTEREST CREDIT"/>
    <n v="155.24"/>
    <n v="81371.009999999995"/>
    <n v="155.24"/>
    <x v="1"/>
    <x v="0"/>
    <x v="1"/>
    <x v="4"/>
    <m/>
    <m/>
    <m/>
    <m/>
    <m/>
    <m/>
  </r>
  <r>
    <n v="56"/>
    <d v="2017-03-15T00:00:00"/>
    <s v="APA GROUP              From: APA DISTRIBUTION Ref: 001197928331"/>
    <n v="170.77"/>
    <n v="81541.78"/>
    <n v="170.77"/>
    <x v="1"/>
    <x v="0"/>
    <x v="1"/>
    <x v="6"/>
    <n v="41.04"/>
    <n v="28.98"/>
    <n v="61.88"/>
    <n v="38.869999999999997"/>
    <n v="16.66"/>
    <n v="187.43"/>
  </r>
  <r>
    <n v="57"/>
    <d v="2017-03-15T00:00:00"/>
    <s v="ICONWATER              From: ICONWATER Ref: 3397495"/>
    <n v="-152.63"/>
    <n v="81389.149999999994"/>
    <n v="152.63"/>
    <x v="0"/>
    <x v="0"/>
    <x v="0"/>
    <x v="7"/>
    <m/>
    <m/>
    <m/>
    <m/>
    <m/>
    <m/>
  </r>
  <r>
    <n v="58"/>
    <d v="2017-03-16T00:00:00"/>
    <s v="METCASH LIMITED        From: SPARK INFRASTRUC Ref: S00062583673"/>
    <n v="206.48"/>
    <n v="81595.63"/>
    <n v="206.48"/>
    <x v="1"/>
    <x v="0"/>
    <x v="1"/>
    <x v="5"/>
    <m/>
    <n v="206.48"/>
    <m/>
    <m/>
    <m/>
    <n v="206.48"/>
  </r>
  <r>
    <n v="59"/>
    <d v="2017-03-17T00:00:00"/>
    <s v="SECURE FUNDING PTY LTD From: SECURE FUNDING P Ref: 2109357"/>
    <n v="-1736.37"/>
    <n v="79859.259999999995"/>
    <n v="1736.37"/>
    <x v="0"/>
    <x v="1"/>
    <x v="0"/>
    <x v="2"/>
    <m/>
    <m/>
    <m/>
    <m/>
    <m/>
    <m/>
  </r>
  <r>
    <n v="60"/>
    <d v="2017-03-23T00:00:00"/>
    <s v="TFR TO 083052 301850853 TRF To-M &amp; M BOND SUPER FUND Ref-TFR to BUY SHARES"/>
    <n v="-15000"/>
    <n v="64859.26"/>
    <n v="15000"/>
    <x v="0"/>
    <x v="1"/>
    <x v="1"/>
    <x v="9"/>
    <m/>
    <m/>
    <m/>
    <m/>
    <m/>
    <m/>
  </r>
  <r>
    <n v="61"/>
    <d v="2017-03-24T00:00:00"/>
    <s v="CHEVRON TEXACO DESPP   From: TOX FREE SOL LTD Ref: MAR17/00802527"/>
    <n v="72.59"/>
    <n v="64931.85"/>
    <n v="72.59"/>
    <x v="1"/>
    <x v="0"/>
    <x v="1"/>
    <x v="5"/>
    <m/>
    <m/>
    <m/>
    <n v="72.59"/>
    <n v="31.11"/>
    <n v="103.7"/>
  </r>
  <r>
    <n v="62"/>
    <d v="2017-03-28T00:00:00"/>
    <s v="IMF INTEREST PAYMENT   From: BHP LTD DIVIDEND Ref: AI374/01226992"/>
    <n v="151.56"/>
    <n v="65083.41"/>
    <n v="151.56"/>
    <x v="1"/>
    <x v="0"/>
    <x v="1"/>
    <x v="5"/>
    <m/>
    <m/>
    <m/>
    <n v="151.56"/>
    <n v="64.95"/>
    <n v="216.51"/>
  </r>
  <r>
    <n v="63"/>
    <d v="2017-03-29T00:00:00"/>
    <s v="ASX PERPETUAL REGISTRA From: ASX ITM DIV Ref: 001201322902"/>
    <n v="285.60000000000002"/>
    <n v="65369.01"/>
    <n v="285.60000000000002"/>
    <x v="1"/>
    <x v="0"/>
    <x v="1"/>
    <x v="5"/>
    <m/>
    <m/>
    <m/>
    <n v="285.60000000000002"/>
    <n v="122.4"/>
    <n v="408"/>
  </r>
  <r>
    <n v="64"/>
    <d v="2017-03-30T00:00:00"/>
    <s v="IMF INTEREST PAYMENT   From: MEDIBANK DIV Ref: INT17/00842084"/>
    <n v="184.85"/>
    <n v="65553.86"/>
    <n v="184.85"/>
    <x v="1"/>
    <x v="0"/>
    <x v="1"/>
    <x v="5"/>
    <m/>
    <m/>
    <m/>
    <n v="184.85"/>
    <n v="79.22"/>
    <n v="264.07"/>
  </r>
  <r>
    <n v="65"/>
    <d v="2017-03-30T00:00:00"/>
    <s v="IAG DIVIDEND PAYMENT   From: IAG DIVIDEND PYT Ref: MAR17/01291353"/>
    <n v="225.68"/>
    <n v="65779.539999999994"/>
    <n v="225.68"/>
    <x v="1"/>
    <x v="0"/>
    <x v="1"/>
    <x v="5"/>
    <m/>
    <m/>
    <m/>
    <n v="225.68"/>
    <n v="96.72"/>
    <n v="322.39999999999998"/>
  </r>
  <r>
    <n v="66"/>
    <d v="2017-03-30T00:00:00"/>
    <s v="IOOF HOLDINGS LIMITED  From: IOOF DIVIDEND Ref: S00062583673"/>
    <n v="148.19999999999999"/>
    <n v="65927.740000000005"/>
    <n v="148.19999999999999"/>
    <x v="1"/>
    <x v="0"/>
    <x v="1"/>
    <x v="5"/>
    <m/>
    <m/>
    <m/>
    <n v="148.19999999999999"/>
    <n v="63.51"/>
    <n v="211.70999999999998"/>
  </r>
  <r>
    <n v="67"/>
    <d v="2017-03-30T00:00:00"/>
    <s v="DEFENCE HOUSING AUSTRA From: Defence Housing Ref: 729888"/>
    <n v="1869.84"/>
    <n v="67797.58"/>
    <n v="1869.84"/>
    <x v="1"/>
    <x v="0"/>
    <x v="0"/>
    <x v="3"/>
    <m/>
    <m/>
    <m/>
    <m/>
    <m/>
    <m/>
  </r>
  <r>
    <n v="68"/>
    <d v="2017-03-31T00:00:00"/>
    <s v="INTEREST CREDIT"/>
    <n v="161.44999999999999"/>
    <n v="67959.03"/>
    <n v="161.44999999999999"/>
    <x v="1"/>
    <x v="0"/>
    <x v="1"/>
    <x v="4"/>
    <m/>
    <m/>
    <m/>
    <m/>
    <m/>
    <m/>
  </r>
  <r>
    <n v="69"/>
    <d v="2017-04-04T00:00:00"/>
    <s v="COMMONWEALTH BANK      From: CBA ITM DIV Ref: 001198661642"/>
    <n v="274.62"/>
    <n v="68233.649999999994"/>
    <n v="274.62"/>
    <x v="1"/>
    <x v="0"/>
    <x v="1"/>
    <x v="5"/>
    <m/>
    <m/>
    <m/>
    <n v="274.62"/>
    <n v="117.69"/>
    <n v="392.31"/>
  </r>
  <r>
    <n v="70"/>
    <d v="2017-04-06T00:00:00"/>
    <s v="IMF INTEREST PAYMENT   From: SOUTH32 DIVIDEND Ref: AI002/01091239"/>
    <n v="13.58"/>
    <n v="68247.23"/>
    <n v="13.58"/>
    <x v="1"/>
    <x v="0"/>
    <x v="1"/>
    <x v="5"/>
    <n v="13.58"/>
    <m/>
    <m/>
    <m/>
    <m/>
    <n v="13.58"/>
  </r>
  <r>
    <n v="71"/>
    <d v="2017-04-13T00:00:00"/>
    <s v="CHEVRON TEXACO DESPP   From: FLT CENTRE LTD Ref: AU17A/00820649"/>
    <n v="103.05"/>
    <n v="68350.28"/>
    <n v="103.05"/>
    <x v="1"/>
    <x v="0"/>
    <x v="1"/>
    <x v="5"/>
    <m/>
    <m/>
    <m/>
    <n v="103.05"/>
    <n v="44.16"/>
    <n v="147.20999999999998"/>
  </r>
  <r>
    <n v="72"/>
    <d v="2017-04-13T00:00:00"/>
    <s v="IMF INTEREST PAYMENT   From: QBE DIVIDEND Ref: FPA17/00883804"/>
    <n v="208.23"/>
    <n v="68558.509999999995"/>
    <n v="208.23"/>
    <x v="1"/>
    <x v="0"/>
    <x v="1"/>
    <x v="5"/>
    <n v="104.11"/>
    <m/>
    <m/>
    <n v="104.12"/>
    <n v="44.62"/>
    <n v="252.85000000000002"/>
  </r>
  <r>
    <n v="73"/>
    <d v="2017-04-13T00:00:00"/>
    <s v="SECURE FUNDING PTY LTD From: SECURE FUNDING P Ref: 2109357"/>
    <n v="-1711.43"/>
    <n v="66847.08"/>
    <n v="1711.43"/>
    <x v="0"/>
    <x v="1"/>
    <x v="0"/>
    <x v="2"/>
    <m/>
    <m/>
    <m/>
    <m/>
    <m/>
    <m/>
  </r>
  <r>
    <n v="74"/>
    <d v="2017-04-13T00:00:00"/>
    <s v="CSL LIMITED DIVIDEND   From: CSL LTD DIVIDEND Ref: AUD17/00903709"/>
    <n v="252.17"/>
    <n v="67099.25"/>
    <n v="252.17"/>
    <x v="1"/>
    <x v="0"/>
    <x v="1"/>
    <x v="5"/>
    <n v="252.17"/>
    <m/>
    <m/>
    <m/>
    <m/>
    <n v="252.17"/>
  </r>
  <r>
    <n v="75"/>
    <d v="2017-04-18T00:00:00"/>
    <s v="DIRECT DEBIT From: ACT Revenue Offi Ref: DD4270314"/>
    <n v="-331"/>
    <n v="66768.25"/>
    <n v="331"/>
    <x v="0"/>
    <x v="0"/>
    <x v="0"/>
    <x v="0"/>
    <m/>
    <m/>
    <m/>
    <m/>
    <m/>
    <m/>
  </r>
  <r>
    <n v="76"/>
    <d v="2017-04-18T00:00:00"/>
    <s v="DIRECT DEBIT From: ACT Revenue Offi Ref: DD4270315"/>
    <n v="-375.84"/>
    <n v="66392.41"/>
    <n v="375.84"/>
    <x v="0"/>
    <x v="0"/>
    <x v="0"/>
    <x v="1"/>
    <m/>
    <m/>
    <m/>
    <m/>
    <m/>
    <m/>
  </r>
  <r>
    <n v="77"/>
    <d v="2017-04-20T00:00:00"/>
    <s v="DIVIDEND PAYMENT From: CAR DIVIDEND Ref: APR17/00809609"/>
    <n v="172.04"/>
    <n v="66564.45"/>
    <n v="172.04"/>
    <x v="1"/>
    <x v="0"/>
    <x v="1"/>
    <x v="5"/>
    <m/>
    <m/>
    <m/>
    <n v="172.04"/>
    <n v="73.73"/>
    <n v="245.76999999999998"/>
  </r>
  <r>
    <n v="78"/>
    <d v="2017-04-27T00:00:00"/>
    <s v="DEFENCE HOUSING AUSTRA From: Defence Housing Ref: 746411"/>
    <n v="1869.84"/>
    <n v="68434.289999999994"/>
    <n v="1869.84"/>
    <x v="1"/>
    <x v="0"/>
    <x v="0"/>
    <x v="3"/>
    <m/>
    <m/>
    <m/>
    <m/>
    <m/>
    <m/>
  </r>
  <r>
    <n v="79"/>
    <d v="2017-04-30T00:00:00"/>
    <s v="INTEREST CREDIT"/>
    <n v="138.77000000000001"/>
    <n v="68573.06"/>
    <n v="138.77000000000001"/>
    <x v="1"/>
    <x v="0"/>
    <x v="1"/>
    <x v="4"/>
    <m/>
    <m/>
    <m/>
    <m/>
    <m/>
    <n v="0"/>
  </r>
  <r>
    <n v="80"/>
    <d v="2017-05-16T00:00:00"/>
    <s v="IMF INTEREST PAYMENT   From: DUET DIST &amp; SCHM Ref: 17RED/00812071"/>
    <n v="7687.1"/>
    <n v="76260.160000000003"/>
    <n v="7687.1"/>
    <x v="1"/>
    <x v="1"/>
    <x v="1"/>
    <x v="10"/>
    <m/>
    <m/>
    <m/>
    <m/>
    <m/>
    <m/>
  </r>
  <r>
    <n v="81"/>
    <d v="2017-05-17T00:00:00"/>
    <s v="SECURE FUNDING PTY LTD From: SECURE FUNDING P Ref: 2109357"/>
    <n v="-1711.43"/>
    <n v="74548.73"/>
    <n v="1711.43"/>
    <x v="0"/>
    <x v="1"/>
    <x v="0"/>
    <x v="2"/>
    <m/>
    <m/>
    <m/>
    <m/>
    <m/>
    <m/>
  </r>
  <r>
    <n v="82"/>
    <d v="2017-05-30T00:00:00"/>
    <s v="DEFENCE HOUSING AUSTRA From: Defence Housing Ref: 764032"/>
    <n v="1671.84"/>
    <n v="76220.570000000007"/>
    <n v="1671.84"/>
    <x v="1"/>
    <x v="0"/>
    <x v="0"/>
    <x v="3"/>
    <m/>
    <m/>
    <m/>
    <m/>
    <m/>
    <m/>
  </r>
  <r>
    <n v="83"/>
    <d v="2017-05-31T00:00:00"/>
    <s v="BPAY THE IND GROUP #2214 TRF Ref-000067 #060742332"/>
    <n v="-621.4"/>
    <n v="75599.17"/>
    <n v="621.4"/>
    <x v="0"/>
    <x v="0"/>
    <x v="0"/>
    <x v="8"/>
    <m/>
    <m/>
    <m/>
    <m/>
    <m/>
    <m/>
  </r>
  <r>
    <n v="84"/>
    <d v="2017-05-31T00:00:00"/>
    <s v="INTEREST CREDIT"/>
    <n v="152.97999999999999"/>
    <n v="75752.149999999994"/>
    <n v="152.97999999999999"/>
    <x v="1"/>
    <x v="0"/>
    <x v="1"/>
    <x v="4"/>
    <m/>
    <m/>
    <m/>
    <m/>
    <m/>
    <m/>
  </r>
  <r>
    <n v="85"/>
    <d v="2017-06-09T00:00:00"/>
    <s v="ICONWATER              From: ICONWATER Ref: 3777357"/>
    <n v="-153.66999999999999"/>
    <n v="75598.48"/>
    <n v="153.66999999999999"/>
    <x v="0"/>
    <x v="0"/>
    <x v="0"/>
    <x v="7"/>
    <m/>
    <m/>
    <m/>
    <m/>
    <m/>
    <m/>
  </r>
  <r>
    <n v="86"/>
    <d v="2017-06-16T00:00:00"/>
    <s v="SECURE FUNDING PTY LTD From: SECURE FUNDING P Ref: 2109357"/>
    <n v="-1758.01"/>
    <n v="73840.47"/>
    <n v="1758.01"/>
    <x v="0"/>
    <x v="1"/>
    <x v="0"/>
    <x v="2"/>
    <m/>
    <m/>
    <m/>
    <m/>
    <m/>
    <m/>
  </r>
  <r>
    <n v="87"/>
    <d v="2017-06-29T00:00:00"/>
    <s v="DEFENCE HOUSING AUSTRA From: Defence Housing Ref: 782368"/>
    <n v="1869.84"/>
    <n v="75710.31"/>
    <n v="1869.84"/>
    <x v="1"/>
    <x v="0"/>
    <x v="0"/>
    <x v="3"/>
    <m/>
    <m/>
    <m/>
    <m/>
    <m/>
    <m/>
  </r>
  <r>
    <n v="88"/>
    <d v="2017-06-30T00:00:00"/>
    <s v="INTEREST CREDIT"/>
    <n v="153.86000000000001"/>
    <n v="75864.17"/>
    <n v="153.86000000000001"/>
    <x v="1"/>
    <x v="0"/>
    <x v="1"/>
    <x v="4"/>
    <m/>
    <m/>
    <m/>
    <m/>
    <m/>
    <m/>
  </r>
  <r>
    <n v="89"/>
    <d v="2016-07-01T00:00:00"/>
    <s v="ADCU"/>
    <n v="80011.16"/>
    <m/>
    <m/>
    <x v="2"/>
    <x v="1"/>
    <x v="1"/>
    <x v="11"/>
    <m/>
    <m/>
    <m/>
    <m/>
    <m/>
    <m/>
  </r>
  <r>
    <n v="90"/>
    <d v="2016-07-01T00:00:00"/>
    <s v="Rental property - 6/121 Streeton Dr Stirling ACT"/>
    <n v="476357.72"/>
    <m/>
    <m/>
    <x v="2"/>
    <x v="1"/>
    <x v="1"/>
    <x v="12"/>
    <m/>
    <m/>
    <m/>
    <m/>
    <m/>
    <m/>
  </r>
  <r>
    <n v="91"/>
    <d v="2016-07-01T00:00:00"/>
    <s v="Less: Accum Depreciation"/>
    <n v="-20402"/>
    <m/>
    <m/>
    <x v="2"/>
    <x v="1"/>
    <x v="1"/>
    <x v="13"/>
    <m/>
    <m/>
    <m/>
    <m/>
    <m/>
    <m/>
  </r>
  <r>
    <n v="92"/>
    <d v="2016-07-01T00:00:00"/>
    <s v="Public listing companies"/>
    <n v="140943.76999999999"/>
    <m/>
    <m/>
    <x v="2"/>
    <x v="1"/>
    <x v="1"/>
    <x v="14"/>
    <m/>
    <m/>
    <m/>
    <m/>
    <m/>
    <m/>
  </r>
  <r>
    <n v="93"/>
    <d v="2016-07-01T00:00:00"/>
    <s v="DTA - 30% losses cfd"/>
    <n v="4378.3542857142829"/>
    <m/>
    <m/>
    <x v="2"/>
    <x v="1"/>
    <x v="1"/>
    <x v="15"/>
    <m/>
    <m/>
    <m/>
    <m/>
    <m/>
    <m/>
  </r>
  <r>
    <n v="94"/>
    <d v="2016-07-01T00:00:00"/>
    <s v="Loan from Liberty Financials"/>
    <n v="-273973.37999999995"/>
    <m/>
    <m/>
    <x v="2"/>
    <x v="1"/>
    <x v="1"/>
    <x v="2"/>
    <m/>
    <m/>
    <m/>
    <m/>
    <m/>
    <m/>
  </r>
  <r>
    <n v="95"/>
    <d v="2016-07-01T00:00:00"/>
    <s v="Members's balance"/>
    <n v="-412630.35399999999"/>
    <m/>
    <m/>
    <x v="2"/>
    <x v="1"/>
    <x v="1"/>
    <x v="16"/>
    <m/>
    <m/>
    <m/>
    <m/>
    <m/>
    <m/>
  </r>
  <r>
    <n v="96"/>
    <d v="2016-07-01T00:00:00"/>
    <s v="Franking Credit receivable"/>
    <n v="5314"/>
    <m/>
    <m/>
    <x v="2"/>
    <x v="1"/>
    <x v="1"/>
    <x v="17"/>
    <m/>
    <m/>
    <m/>
    <m/>
    <m/>
    <m/>
  </r>
  <r>
    <n v="97"/>
    <d v="2017-06-30T00:00:00"/>
    <s v="Rental property - 6/121 Streeton Dr Stirling ACT"/>
    <n v="4542.18"/>
    <m/>
    <m/>
    <x v="1"/>
    <x v="0"/>
    <x v="0"/>
    <x v="3"/>
    <m/>
    <m/>
    <m/>
    <m/>
    <m/>
    <m/>
  </r>
  <r>
    <n v="98"/>
    <d v="2017-06-30T00:00:00"/>
    <s v="Management fee"/>
    <n v="-3949.25"/>
    <m/>
    <m/>
    <x v="0"/>
    <x v="0"/>
    <x v="0"/>
    <x v="18"/>
    <m/>
    <m/>
    <m/>
    <m/>
    <m/>
    <m/>
  </r>
  <r>
    <n v="99"/>
    <d v="2017-06-30T00:00:00"/>
    <s v="GST on Management fee"/>
    <n v="-394.93"/>
    <m/>
    <m/>
    <x v="0"/>
    <x v="0"/>
    <x v="0"/>
    <x v="19"/>
    <m/>
    <m/>
    <m/>
    <m/>
    <m/>
    <m/>
  </r>
  <r>
    <n v="100"/>
    <d v="2017-06-30T00:00:00"/>
    <s v="Repairs"/>
    <n v="-198"/>
    <m/>
    <m/>
    <x v="0"/>
    <x v="0"/>
    <x v="0"/>
    <x v="20"/>
    <m/>
    <m/>
    <m/>
    <m/>
    <m/>
    <m/>
  </r>
  <r>
    <n v="101"/>
    <d v="2017-06-30T00:00:00"/>
    <s v="ADCU"/>
    <n v="75864.17"/>
    <m/>
    <m/>
    <x v="3"/>
    <x v="1"/>
    <x v="1"/>
    <x v="11"/>
    <m/>
    <m/>
    <m/>
    <m/>
    <m/>
    <m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114">
  <r>
    <n v="1"/>
    <d v="2016-07-15T00:00:00"/>
    <s v="DIRECT DEBIT From: ACT Revenue Offi Ref: DD3974028"/>
    <n v="-301"/>
    <n v="79932"/>
    <n v="301"/>
    <x v="0"/>
    <x v="0"/>
    <x v="0"/>
    <x v="0"/>
    <m/>
    <m/>
    <m/>
    <m/>
    <m/>
    <m/>
  </r>
  <r>
    <n v="2"/>
    <d v="2016-07-15T00:00:00"/>
    <s v="DIRECT DEBIT From: ACT Revenue Offi Ref: DD3974029"/>
    <n v="-342.93"/>
    <n v="79589.070000000007"/>
    <n v="342.93"/>
    <x v="0"/>
    <x v="0"/>
    <x v="0"/>
    <x v="1"/>
    <m/>
    <m/>
    <m/>
    <m/>
    <m/>
    <m/>
  </r>
  <r>
    <n v="3"/>
    <d v="2016-07-15T00:00:00"/>
    <s v="SECURE FUNDING PTY LTD From: SECURE FUNDING P Ref: 2109357"/>
    <n v="-1694.14"/>
    <n v="77894.929999999993"/>
    <n v="1694.14"/>
    <x v="0"/>
    <x v="1"/>
    <x v="0"/>
    <x v="2"/>
    <m/>
    <m/>
    <m/>
    <m/>
    <m/>
    <m/>
  </r>
  <r>
    <n v="4"/>
    <d v="2016-07-28T00:00:00"/>
    <s v="DEFENCE HOUSING AUSTRA From: Defence Housing Ref: 590303"/>
    <n v="1779.08"/>
    <n v="79674.009999999995"/>
    <n v="1779.08"/>
    <x v="1"/>
    <x v="0"/>
    <x v="0"/>
    <x v="3"/>
    <m/>
    <m/>
    <m/>
    <m/>
    <m/>
    <m/>
  </r>
  <r>
    <n v="5"/>
    <d v="2016-07-31T00:00:00"/>
    <s v="INTEREST CREDIT"/>
    <n v="174.18"/>
    <n v="79848.19"/>
    <n v="174.18"/>
    <x v="1"/>
    <x v="0"/>
    <x v="1"/>
    <x v="4"/>
    <m/>
    <m/>
    <m/>
    <m/>
    <m/>
    <n v="0"/>
  </r>
  <r>
    <n v="6"/>
    <d v="2016-07-13T00:00:00"/>
    <s v="CHEVRON TEXACO DESPP   From: COLLINS FOODS Ref: JUL16/00804569"/>
    <n v="221.84"/>
    <n v="80233"/>
    <n v="221.84"/>
    <x v="1"/>
    <x v="0"/>
    <x v="1"/>
    <x v="5"/>
    <m/>
    <m/>
    <m/>
    <n v="221.84"/>
    <n v="95.07"/>
    <n v="316.90999999999997"/>
  </r>
  <r>
    <n v="7"/>
    <d v="2016-08-17T00:00:00"/>
    <s v="SECURE FUNDING PTY LTD From: SECURE FUNDING P Ref: 2109357"/>
    <n v="-1694.14"/>
    <n v="78154.05"/>
    <n v="1694.14"/>
    <x v="0"/>
    <x v="1"/>
    <x v="0"/>
    <x v="2"/>
    <m/>
    <m/>
    <m/>
    <m/>
    <m/>
    <m/>
  </r>
  <r>
    <n v="8"/>
    <d v="2016-08-18T00:00:00"/>
    <s v="DUET DISTRIBUTION      From: DUET DIST Ref: RC816/00815975"/>
    <n v="228.33"/>
    <n v="78382.38"/>
    <n v="228.33"/>
    <x v="1"/>
    <x v="0"/>
    <x v="1"/>
    <x v="6"/>
    <n v="228.33"/>
    <n v="0"/>
    <n v="0"/>
    <n v="0"/>
    <n v="0"/>
    <n v="228.33"/>
  </r>
  <r>
    <n v="9"/>
    <d v="2016-08-29T00:00:00"/>
    <s v="DIRECT DEBIT From: ACTEWAGL Ref: E0011609002"/>
    <n v="-153.13"/>
    <n v="78229.25"/>
    <n v="153.13"/>
    <x v="0"/>
    <x v="0"/>
    <x v="0"/>
    <x v="7"/>
    <m/>
    <m/>
    <m/>
    <m/>
    <m/>
    <m/>
  </r>
  <r>
    <n v="10"/>
    <d v="2016-08-30T00:00:00"/>
    <s v="DEFENCE HOUSING AUSTRA From: Defence Housing Ref: 607562"/>
    <n v="1779.08"/>
    <n v="80008.33"/>
    <n v="1779.08"/>
    <x v="1"/>
    <x v="0"/>
    <x v="0"/>
    <x v="3"/>
    <m/>
    <m/>
    <m/>
    <m/>
    <m/>
    <m/>
  </r>
  <r>
    <n v="11"/>
    <d v="2016-08-31T00:00:00"/>
    <s v="INTEREST CREDIT"/>
    <n v="174.48"/>
    <n v="80182.81"/>
    <n v="174.48"/>
    <x v="1"/>
    <x v="0"/>
    <x v="1"/>
    <x v="4"/>
    <m/>
    <m/>
    <m/>
    <m/>
    <m/>
    <n v="0"/>
  </r>
  <r>
    <n v="12"/>
    <d v="2016-09-05T00:00:00"/>
    <s v="BPAY THE IND GROUP #2214 TRF Ref-000067 #050192933"/>
    <n v="-621.4"/>
    <n v="79561.41"/>
    <n v="621.4"/>
    <x v="0"/>
    <x v="0"/>
    <x v="0"/>
    <x v="8"/>
    <m/>
    <m/>
    <m/>
    <m/>
    <m/>
    <m/>
  </r>
  <r>
    <n v="13"/>
    <d v="2016-09-09T00:00:00"/>
    <s v="TFR TO 032705 124229 TRF To-MA &amp; MJ BOND TF M&amp;M BOND SUPERAC Ref-Tfr AMB to Wpac Tfr SMSF Super to westpac SMSF"/>
    <n v="-10"/>
    <n v="79551.41"/>
    <n v="10"/>
    <x v="1"/>
    <x v="0"/>
    <x v="1"/>
    <x v="4"/>
    <m/>
    <m/>
    <m/>
    <m/>
    <m/>
    <m/>
  </r>
  <r>
    <n v="14"/>
    <d v="2016-09-14T00:00:00"/>
    <s v="DIRECT CREDIT From: MA &amp; MJ BOND TF M&amp;M BOND S Ref: Tfr AMB to Wpac"/>
    <n v="10"/>
    <n v="79561.41"/>
    <n v="10"/>
    <x v="1"/>
    <x v="0"/>
    <x v="1"/>
    <x v="4"/>
    <m/>
    <m/>
    <m/>
    <m/>
    <m/>
    <m/>
  </r>
  <r>
    <n v="15"/>
    <d v="2016-09-15T00:00:00"/>
    <s v="SPARK INFRASTRUCTURE   From: SPARK INFRASTRUC Ref: SEP16/00814838"/>
    <n v="206.48"/>
    <n v="79767.89"/>
    <n v="206.48"/>
    <x v="1"/>
    <x v="0"/>
    <x v="1"/>
    <x v="5"/>
    <m/>
    <n v="206.48"/>
    <m/>
    <m/>
    <m/>
    <n v="206.48"/>
  </r>
  <r>
    <n v="16"/>
    <d v="2016-09-16T00:00:00"/>
    <s v="APA GROUP              From: APA DISTRIBUTION Ref: 001191817308"/>
    <n v="187.42"/>
    <n v="79955.31"/>
    <n v="187.42"/>
    <x v="1"/>
    <x v="0"/>
    <x v="1"/>
    <x v="6"/>
    <n v="136.1"/>
    <n v="30.36"/>
    <n v="20.96"/>
    <n v="0"/>
    <n v="0"/>
    <n v="187.42"/>
  </r>
  <r>
    <n v="17"/>
    <d v="2016-09-16T00:00:00"/>
    <s v="SECURE FUNDING PTY LTD From: SECURE FUNDING P Ref: 2109357"/>
    <n v="-1694.14"/>
    <n v="78261.17"/>
    <n v="1694.14"/>
    <x v="0"/>
    <x v="1"/>
    <x v="0"/>
    <x v="2"/>
    <m/>
    <m/>
    <m/>
    <m/>
    <m/>
    <m/>
  </r>
  <r>
    <n v="18"/>
    <d v="2016-09-21T00:00:00"/>
    <s v="IMF INTEREST PAYMENT   From: BHP LTD DIVIDEND Ref: AF373/01246970"/>
    <n v="52.78"/>
    <n v="78313.95"/>
    <n v="52.78"/>
    <x v="1"/>
    <x v="0"/>
    <x v="1"/>
    <x v="5"/>
    <m/>
    <m/>
    <m/>
    <n v="52.78"/>
    <n v="22.62"/>
    <n v="75.400000000000006"/>
  </r>
  <r>
    <n v="19"/>
    <d v="2016-09-28T00:00:00"/>
    <s v="ASX PERPETUAL REGISTRA From: ASX FNL DIV Ref: 001194231858"/>
    <n v="277.2"/>
    <n v="78591.149999999994"/>
    <n v="277.2"/>
    <x v="1"/>
    <x v="0"/>
    <x v="1"/>
    <x v="5"/>
    <m/>
    <m/>
    <m/>
    <n v="277.2"/>
    <n v="122.4"/>
    <n v="399.6"/>
  </r>
  <r>
    <n v="20"/>
    <d v="2016-09-28T00:00:00"/>
    <s v="IMF INTEREST PAYMENT   From: QBE DIVIDEND Ref: 16FPA/00890339"/>
    <n v="132.51"/>
    <n v="78723.66"/>
    <n v="132.51"/>
    <x v="1"/>
    <x v="0"/>
    <x v="1"/>
    <x v="5"/>
    <n v="66.25"/>
    <m/>
    <n v="66.260000000000005"/>
    <m/>
    <n v="28.4"/>
    <n v="160.91"/>
  </r>
  <r>
    <n v="21"/>
    <d v="2016-09-29T00:00:00"/>
    <s v="IMF INTEREST PAYMENT   From: MEDIBANK DIV Ref: FIN16/00843489"/>
    <n v="211.26"/>
    <n v="78934.92"/>
    <n v="211.26"/>
    <x v="1"/>
    <x v="0"/>
    <x v="1"/>
    <x v="5"/>
    <m/>
    <m/>
    <m/>
    <n v="211.26"/>
    <n v="90.54"/>
    <n v="301.8"/>
  </r>
  <r>
    <n v="22"/>
    <d v="2016-09-29T00:00:00"/>
    <s v="CHEVRON TEXACO DESPP   From: TOX FREE SOL LTD Ref: SEP16/00802115"/>
    <n v="72.59"/>
    <n v="79007.509999999995"/>
    <n v="72.59"/>
    <x v="1"/>
    <x v="0"/>
    <x v="1"/>
    <x v="5"/>
    <m/>
    <m/>
    <m/>
    <n v="72.59"/>
    <n v="31.11"/>
    <n v="103.7"/>
  </r>
  <r>
    <n v="23"/>
    <d v="2016-09-29T00:00:00"/>
    <s v="COMMONWEALTH BANK      From: CBA FNL DIV Ref: 001191589960"/>
    <n v="306.36"/>
    <n v="79313.87"/>
    <n v="306.36"/>
    <x v="1"/>
    <x v="0"/>
    <x v="1"/>
    <x v="5"/>
    <m/>
    <m/>
    <m/>
    <n v="306.36"/>
    <n v="131.30000000000001"/>
    <n v="437.66"/>
  </r>
  <r>
    <n v="24"/>
    <d v="2016-09-29T00:00:00"/>
    <s v="DEFENCE HOUSING AUSTRA From: Defence Housing Ref: 624851"/>
    <n v="1779.08"/>
    <n v="81092.95"/>
    <n v="1779.08"/>
    <x v="1"/>
    <x v="0"/>
    <x v="0"/>
    <x v="3"/>
    <m/>
    <m/>
    <m/>
    <m/>
    <m/>
    <m/>
  </r>
  <r>
    <n v="25"/>
    <d v="2016-09-30T00:00:00"/>
    <s v="INTEREST CREDIT"/>
    <n v="166.68"/>
    <n v="81259.63"/>
    <n v="166.68"/>
    <x v="1"/>
    <x v="0"/>
    <x v="1"/>
    <x v="4"/>
    <m/>
    <m/>
    <m/>
    <m/>
    <m/>
    <m/>
  </r>
  <r>
    <n v="26"/>
    <d v="2016-10-05T00:00:00"/>
    <s v="IAG DIVIDEND PAYMENT   From: IAG DIVIDEND PYT Ref: OCT16/01298229"/>
    <n v="225.68"/>
    <n v="81485.31"/>
    <n v="225.68"/>
    <x v="1"/>
    <x v="0"/>
    <x v="1"/>
    <x v="5"/>
    <m/>
    <m/>
    <m/>
    <n v="225.68"/>
    <n v="96.72"/>
    <n v="322.39999999999998"/>
  </r>
  <r>
    <n v="27"/>
    <d v="2016-10-07T00:00:00"/>
    <s v="IMF INTEREST PAYMENT   From: SOUTH32 LIMITED Ref: AF001/01144511"/>
    <n v="3.76"/>
    <n v="81489.070000000007"/>
    <n v="3.76"/>
    <x v="1"/>
    <x v="0"/>
    <x v="1"/>
    <x v="4"/>
    <m/>
    <m/>
    <m/>
    <m/>
    <m/>
    <n v="0"/>
  </r>
  <r>
    <n v="28"/>
    <d v="2016-10-10T00:00:00"/>
    <s v="CSL LIMITED DIVIDEND   From: CSL LTD DIVIDEND Ref: AUD16/00905532"/>
    <n v="266.88"/>
    <n v="81755.95"/>
    <n v="266.88"/>
    <x v="1"/>
    <x v="0"/>
    <x v="1"/>
    <x v="5"/>
    <n v="266.88"/>
    <m/>
    <m/>
    <m/>
    <m/>
    <n v="266.88"/>
  </r>
  <r>
    <n v="29"/>
    <d v="2016-10-13T00:00:00"/>
    <s v="IOOF HOLDINGS LIMITED  From: IOOF DIVIDEND Ref: S00062583673"/>
    <n v="148.19999999999999"/>
    <n v="81904.149999999994"/>
    <n v="148.19999999999999"/>
    <x v="1"/>
    <x v="0"/>
    <x v="1"/>
    <x v="5"/>
    <m/>
    <m/>
    <m/>
    <n v="148.19999999999999"/>
    <n v="63.51"/>
    <n v="211.70999999999998"/>
  </r>
  <r>
    <n v="30"/>
    <d v="2016-10-14T00:00:00"/>
    <s v="CHEVRON TEXACO DESPP   From: FLT CENTRE LTD Ref: OCT16/00819795"/>
    <n v="210.68"/>
    <n v="82114.83"/>
    <n v="210.68"/>
    <x v="1"/>
    <x v="0"/>
    <x v="1"/>
    <x v="5"/>
    <m/>
    <m/>
    <m/>
    <n v="210.68"/>
    <n v="90.29"/>
    <n v="300.97000000000003"/>
  </r>
  <r>
    <n v="31"/>
    <d v="2016-10-17T00:00:00"/>
    <s v="DIRECT DEBIT From: ACT Revenue Offi Ref: DD4053462"/>
    <n v="-332.46"/>
    <n v="81782.37"/>
    <n v="332.46"/>
    <x v="0"/>
    <x v="0"/>
    <x v="0"/>
    <x v="0"/>
    <m/>
    <m/>
    <m/>
    <m/>
    <m/>
    <m/>
  </r>
  <r>
    <n v="32"/>
    <d v="2016-10-17T00:00:00"/>
    <s v="DIRECT DEBIT From: ACT Revenue Offi Ref: DD4053463"/>
    <n v="-384.19"/>
    <n v="81398.179999999993"/>
    <n v="384.19"/>
    <x v="0"/>
    <x v="0"/>
    <x v="0"/>
    <x v="1"/>
    <m/>
    <m/>
    <m/>
    <m/>
    <m/>
    <m/>
  </r>
  <r>
    <n v="33"/>
    <d v="2016-10-17T00:00:00"/>
    <s v="SECURE FUNDING PTY LTD From: SECURE FUNDING P Ref: 2109357"/>
    <n v="-1694.14"/>
    <n v="79704.039999999994"/>
    <n v="1694.14"/>
    <x v="0"/>
    <x v="1"/>
    <x v="0"/>
    <x v="2"/>
    <m/>
    <m/>
    <m/>
    <m/>
    <m/>
    <m/>
  </r>
  <r>
    <n v="34"/>
    <d v="2016-10-17T00:00:00"/>
    <s v="DIVIDEND PAYMENT From: CAR DIVIDEND Ref: OCT16/00809395"/>
    <n v="179.4"/>
    <n v="79883.44"/>
    <n v="179.4"/>
    <x v="1"/>
    <x v="0"/>
    <x v="1"/>
    <x v="5"/>
    <m/>
    <m/>
    <m/>
    <n v="179.4"/>
    <n v="76.89"/>
    <n v="256.29000000000002"/>
  </r>
  <r>
    <n v="35"/>
    <d v="2016-10-28T00:00:00"/>
    <s v="DEFENCE HOUSING AUSTRA From: Defence Housing Ref: 642148"/>
    <n v="1779.08"/>
    <n v="81662.52"/>
    <n v="1779.08"/>
    <x v="1"/>
    <x v="0"/>
    <x v="0"/>
    <x v="3"/>
    <m/>
    <m/>
    <m/>
    <m/>
    <m/>
    <m/>
  </r>
  <r>
    <n v="36"/>
    <d v="2016-10-31T00:00:00"/>
    <s v="INTEREST CREDIT"/>
    <n v="171.6"/>
    <n v="81834.12"/>
    <n v="171.6"/>
    <x v="1"/>
    <x v="0"/>
    <x v="1"/>
    <x v="4"/>
    <m/>
    <m/>
    <m/>
    <m/>
    <m/>
    <n v="0"/>
  </r>
  <r>
    <n v="37"/>
    <d v="2016-11-17T00:00:00"/>
    <s v="SECURE FUNDING PTY LTD From: SECURE FUNDING P Ref: 2109357"/>
    <n v="-1694.14"/>
    <n v="80139.98"/>
    <n v="1694.14"/>
    <x v="0"/>
    <x v="1"/>
    <x v="0"/>
    <x v="2"/>
    <m/>
    <m/>
    <m/>
    <m/>
    <m/>
    <m/>
  </r>
  <r>
    <n v="38"/>
    <d v="2016-11-28T00:00:00"/>
    <s v="BPAY THE IND GROUP #2214 TRF Ref-000067 #053506005"/>
    <n v="-621.4"/>
    <n v="79518.58"/>
    <n v="621.4"/>
    <x v="0"/>
    <x v="0"/>
    <x v="0"/>
    <x v="8"/>
    <m/>
    <m/>
    <m/>
    <m/>
    <m/>
    <m/>
  </r>
  <r>
    <n v="39"/>
    <d v="2016-11-29T00:00:00"/>
    <s v="DIRECT DEBIT From: ACTEWAGL Ref: E0011842115"/>
    <n v="-153.13"/>
    <n v="79365.45"/>
    <n v="153.13"/>
    <x v="0"/>
    <x v="0"/>
    <x v="0"/>
    <x v="7"/>
    <m/>
    <m/>
    <m/>
    <m/>
    <m/>
    <m/>
  </r>
  <r>
    <n v="40"/>
    <d v="2016-11-29T00:00:00"/>
    <s v="DEFENCE HOUSING AUSTRA From: Defence Housing Ref: 659194"/>
    <n v="1779.08"/>
    <n v="81144.53"/>
    <n v="1779.08"/>
    <x v="1"/>
    <x v="0"/>
    <x v="0"/>
    <x v="3"/>
    <m/>
    <m/>
    <m/>
    <m/>
    <m/>
    <m/>
  </r>
  <r>
    <n v="41"/>
    <d v="2016-11-30T00:00:00"/>
    <s v="INTEREST CREDIT"/>
    <n v="166.17"/>
    <n v="81310.7"/>
    <n v="166.17"/>
    <x v="1"/>
    <x v="0"/>
    <x v="1"/>
    <x v="4"/>
    <m/>
    <m/>
    <m/>
    <m/>
    <m/>
    <m/>
  </r>
  <r>
    <n v="42"/>
    <d v="2016-12-15T00:00:00"/>
    <s v="CHEVRON TEXACO DESPP   From: COLLINS FOODS Ref: DEC16/00804940"/>
    <n v="221.84"/>
    <n v="81532.539999999994"/>
    <n v="221.84"/>
    <x v="1"/>
    <x v="0"/>
    <x v="1"/>
    <x v="5"/>
    <m/>
    <m/>
    <m/>
    <n v="221.84"/>
    <n v="95.07"/>
    <n v="316.90999999999997"/>
  </r>
  <r>
    <n v="43"/>
    <d v="2016-12-16T00:00:00"/>
    <s v="SECURE FUNDING PTY LTD From: SECURE FUNDING P Ref: 2109357"/>
    <n v="-1694.14"/>
    <n v="79838.399999999994"/>
    <n v="1694.14"/>
    <x v="0"/>
    <x v="1"/>
    <x v="0"/>
    <x v="2"/>
    <m/>
    <m/>
    <m/>
    <m/>
    <m/>
    <m/>
  </r>
  <r>
    <n v="44"/>
    <d v="2016-12-29T00:00:00"/>
    <s v="DEFENCE HOUSING AUSTRA From: Defence Housing Ref: 676632"/>
    <n v="1869.84"/>
    <n v="81708.240000000005"/>
    <n v="1869.84"/>
    <x v="1"/>
    <x v="0"/>
    <x v="0"/>
    <x v="3"/>
    <m/>
    <m/>
    <m/>
    <m/>
    <m/>
    <m/>
  </r>
  <r>
    <n v="45"/>
    <d v="2016-12-31T00:00:00"/>
    <s v="INTEREST CREDIT"/>
    <n v="170.96"/>
    <n v="81879.199999999997"/>
    <n v="170.96"/>
    <x v="1"/>
    <x v="0"/>
    <x v="1"/>
    <x v="4"/>
    <m/>
    <m/>
    <m/>
    <m/>
    <m/>
    <n v="0"/>
  </r>
  <r>
    <n v="46"/>
    <d v="2017-01-16T00:00:00"/>
    <s v="DIRECT DEBIT From: ACT Revenue Offi Ref: DD4164580"/>
    <n v="-331"/>
    <n v="81548.2"/>
    <n v="331"/>
    <x v="0"/>
    <x v="0"/>
    <x v="0"/>
    <x v="0"/>
    <m/>
    <m/>
    <m/>
    <m/>
    <m/>
    <m/>
  </r>
  <r>
    <n v="47"/>
    <d v="2017-01-16T00:00:00"/>
    <s v="DIRECT DEBIT From: ACT Revenue Offi Ref: DD4164581"/>
    <n v="-384.19"/>
    <n v="81164.009999999995"/>
    <n v="384.19"/>
    <x v="0"/>
    <x v="0"/>
    <x v="0"/>
    <x v="1"/>
    <m/>
    <m/>
    <m/>
    <m/>
    <m/>
    <m/>
  </r>
  <r>
    <n v="48"/>
    <d v="2017-01-17T00:00:00"/>
    <s v="SECURE FUNDING PTY LTD From: SECURE FUNDING P Ref: 2109357"/>
    <n v="-1736.37"/>
    <n v="79427.64"/>
    <n v="1736.37"/>
    <x v="0"/>
    <x v="1"/>
    <x v="0"/>
    <x v="2"/>
    <m/>
    <m/>
    <m/>
    <m/>
    <m/>
    <m/>
  </r>
  <r>
    <n v="49"/>
    <d v="2017-01-30T00:00:00"/>
    <s v="DEFENCE HOUSING AUSTRA From: Defence Housing Ref: 694057"/>
    <n v="1869.84"/>
    <n v="81297.48"/>
    <n v="1869.84"/>
    <x v="1"/>
    <x v="0"/>
    <x v="0"/>
    <x v="3"/>
    <m/>
    <m/>
    <m/>
    <m/>
    <m/>
    <m/>
  </r>
  <r>
    <n v="50"/>
    <d v="2017-01-31T00:00:00"/>
    <s v="INTEREST CREDIT"/>
    <n v="171.54"/>
    <n v="81469.02"/>
    <n v="171.54"/>
    <x v="1"/>
    <x v="0"/>
    <x v="1"/>
    <x v="4"/>
    <m/>
    <m/>
    <m/>
    <m/>
    <m/>
    <n v="0"/>
  </r>
  <r>
    <n v="51"/>
    <d v="2017-02-16T00:00:00"/>
    <s v="DUET DISTRIBUTION      From: DUET DIST Ref: RC217/00812950"/>
    <n v="234.68"/>
    <n v="81703.7"/>
    <n v="234.68"/>
    <x v="1"/>
    <x v="0"/>
    <x v="1"/>
    <x v="6"/>
    <n v="234.68"/>
    <n v="0"/>
    <n v="0"/>
    <n v="0"/>
    <n v="0"/>
    <n v="234.68"/>
  </r>
  <r>
    <n v="52"/>
    <d v="2017-02-17T00:00:00"/>
    <s v="SECURE FUNDING PTY LTD From: SECURE FUNDING P Ref: 2109357"/>
    <n v="-1736.37"/>
    <n v="79967.33"/>
    <n v="1736.37"/>
    <x v="0"/>
    <x v="1"/>
    <x v="0"/>
    <x v="2"/>
    <m/>
    <m/>
    <m/>
    <m/>
    <m/>
    <m/>
  </r>
  <r>
    <n v="53"/>
    <d v="2017-02-27T00:00:00"/>
    <s v="DEFENCE HOUSING AUSTRA From: Defence Housing Ref: 711250"/>
    <n v="1869.84"/>
    <n v="81837.17"/>
    <n v="1869.84"/>
    <x v="1"/>
    <x v="0"/>
    <x v="0"/>
    <x v="3"/>
    <m/>
    <m/>
    <m/>
    <m/>
    <m/>
    <m/>
  </r>
  <r>
    <n v="54"/>
    <d v="2017-02-28T00:00:00"/>
    <s v="BPAY THE IND GROUP #2214 TRF Ref-000067 #057145018"/>
    <n v="-621.4"/>
    <n v="81215.77"/>
    <n v="621.4"/>
    <x v="0"/>
    <x v="0"/>
    <x v="0"/>
    <x v="8"/>
    <m/>
    <m/>
    <m/>
    <m/>
    <m/>
    <m/>
  </r>
  <r>
    <n v="55"/>
    <d v="2017-02-28T00:00:00"/>
    <s v="INTEREST CREDIT"/>
    <n v="155.24"/>
    <n v="81371.009999999995"/>
    <n v="155.24"/>
    <x v="1"/>
    <x v="0"/>
    <x v="1"/>
    <x v="4"/>
    <m/>
    <m/>
    <m/>
    <m/>
    <m/>
    <m/>
  </r>
  <r>
    <n v="56"/>
    <d v="2017-03-15T00:00:00"/>
    <s v="APA GROUP              From: APA DISTRIBUTION Ref: 001197928331"/>
    <n v="170.77"/>
    <n v="81541.78"/>
    <n v="170.77"/>
    <x v="1"/>
    <x v="0"/>
    <x v="1"/>
    <x v="6"/>
    <n v="41.04"/>
    <n v="28.98"/>
    <n v="61.88"/>
    <n v="38.869999999999997"/>
    <n v="16.66"/>
    <n v="187.43"/>
  </r>
  <r>
    <n v="57"/>
    <d v="2017-03-15T00:00:00"/>
    <s v="ICONWATER              From: ICONWATER Ref: 3397495"/>
    <n v="-152.63"/>
    <n v="81389.149999999994"/>
    <n v="152.63"/>
    <x v="0"/>
    <x v="0"/>
    <x v="0"/>
    <x v="7"/>
    <m/>
    <m/>
    <m/>
    <m/>
    <m/>
    <m/>
  </r>
  <r>
    <n v="58"/>
    <d v="2017-03-16T00:00:00"/>
    <s v="METCASH LIMITED        From: SPARK INFRASTRUC Ref: S00062583673"/>
    <n v="206.48"/>
    <n v="81595.63"/>
    <n v="206.48"/>
    <x v="1"/>
    <x v="0"/>
    <x v="1"/>
    <x v="5"/>
    <m/>
    <n v="206.48"/>
    <m/>
    <m/>
    <m/>
    <n v="206.48"/>
  </r>
  <r>
    <n v="59"/>
    <d v="2017-03-17T00:00:00"/>
    <s v="SECURE FUNDING PTY LTD From: SECURE FUNDING P Ref: 2109357"/>
    <n v="-1736.37"/>
    <n v="79859.259999999995"/>
    <n v="1736.37"/>
    <x v="0"/>
    <x v="1"/>
    <x v="0"/>
    <x v="2"/>
    <m/>
    <m/>
    <m/>
    <m/>
    <m/>
    <m/>
  </r>
  <r>
    <n v="60"/>
    <d v="2017-03-23T00:00:00"/>
    <s v="TFR TO 083052 301850853 TRF To-M &amp; M BOND SUPER FUND Ref-TFR to BUY SHARES"/>
    <n v="-15000"/>
    <n v="64859.26"/>
    <n v="15000"/>
    <x v="0"/>
    <x v="1"/>
    <x v="1"/>
    <x v="9"/>
    <m/>
    <m/>
    <m/>
    <m/>
    <m/>
    <m/>
  </r>
  <r>
    <n v="61"/>
    <d v="2017-03-24T00:00:00"/>
    <s v="CHEVRON TEXACO DESPP   From: TOX FREE SOL LTD Ref: MAR17/00802527"/>
    <n v="72.59"/>
    <n v="64931.85"/>
    <n v="72.59"/>
    <x v="1"/>
    <x v="0"/>
    <x v="1"/>
    <x v="5"/>
    <m/>
    <m/>
    <m/>
    <n v="72.59"/>
    <n v="31.11"/>
    <n v="103.7"/>
  </r>
  <r>
    <n v="62"/>
    <d v="2017-03-28T00:00:00"/>
    <s v="IMF INTEREST PAYMENT   From: BHP LTD DIVIDEND Ref: AI374/01226992"/>
    <n v="151.56"/>
    <n v="65083.41"/>
    <n v="151.56"/>
    <x v="1"/>
    <x v="0"/>
    <x v="1"/>
    <x v="5"/>
    <m/>
    <m/>
    <m/>
    <n v="151.56"/>
    <n v="64.95"/>
    <n v="216.51"/>
  </r>
  <r>
    <n v="63"/>
    <d v="2017-03-29T00:00:00"/>
    <s v="ASX PERPETUAL REGISTRA From: ASX ITM DIV Ref: 001201322902"/>
    <n v="285.60000000000002"/>
    <n v="65369.01"/>
    <n v="285.60000000000002"/>
    <x v="1"/>
    <x v="0"/>
    <x v="1"/>
    <x v="5"/>
    <m/>
    <m/>
    <m/>
    <n v="285.60000000000002"/>
    <n v="122.4"/>
    <n v="408"/>
  </r>
  <r>
    <n v="64"/>
    <d v="2017-03-30T00:00:00"/>
    <s v="IMF INTEREST PAYMENT   From: MEDIBANK DIV Ref: INT17/00842084"/>
    <n v="184.85"/>
    <n v="65553.86"/>
    <n v="184.85"/>
    <x v="1"/>
    <x v="0"/>
    <x v="1"/>
    <x v="5"/>
    <m/>
    <m/>
    <m/>
    <n v="184.85"/>
    <n v="79.22"/>
    <n v="264.07"/>
  </r>
  <r>
    <n v="65"/>
    <d v="2017-03-30T00:00:00"/>
    <s v="IAG DIVIDEND PAYMENT   From: IAG DIVIDEND PYT Ref: MAR17/01291353"/>
    <n v="225.68"/>
    <n v="65779.539999999994"/>
    <n v="225.68"/>
    <x v="1"/>
    <x v="0"/>
    <x v="1"/>
    <x v="5"/>
    <m/>
    <m/>
    <m/>
    <n v="225.68"/>
    <n v="96.72"/>
    <n v="322.39999999999998"/>
  </r>
  <r>
    <n v="66"/>
    <d v="2017-03-30T00:00:00"/>
    <s v="IOOF HOLDINGS LIMITED  From: IOOF DIVIDEND Ref: S00062583673"/>
    <n v="148.19999999999999"/>
    <n v="65927.740000000005"/>
    <n v="148.19999999999999"/>
    <x v="1"/>
    <x v="0"/>
    <x v="1"/>
    <x v="5"/>
    <m/>
    <m/>
    <m/>
    <n v="148.19999999999999"/>
    <n v="63.51"/>
    <n v="211.70999999999998"/>
  </r>
  <r>
    <n v="67"/>
    <d v="2017-03-30T00:00:00"/>
    <s v="DEFENCE HOUSING AUSTRA From: Defence Housing Ref: 729888"/>
    <n v="1869.84"/>
    <n v="67797.58"/>
    <n v="1869.84"/>
    <x v="1"/>
    <x v="0"/>
    <x v="0"/>
    <x v="3"/>
    <m/>
    <m/>
    <m/>
    <m/>
    <m/>
    <m/>
  </r>
  <r>
    <n v="68"/>
    <d v="2017-03-31T00:00:00"/>
    <s v="INTEREST CREDIT"/>
    <n v="161.44999999999999"/>
    <n v="67959.03"/>
    <n v="161.44999999999999"/>
    <x v="1"/>
    <x v="0"/>
    <x v="1"/>
    <x v="4"/>
    <m/>
    <m/>
    <m/>
    <m/>
    <m/>
    <m/>
  </r>
  <r>
    <n v="69"/>
    <d v="2017-04-04T00:00:00"/>
    <s v="COMMONWEALTH BANK      From: CBA ITM DIV Ref: 001198661642"/>
    <n v="274.62"/>
    <n v="68233.649999999994"/>
    <n v="274.62"/>
    <x v="1"/>
    <x v="0"/>
    <x v="1"/>
    <x v="5"/>
    <m/>
    <m/>
    <m/>
    <n v="274.62"/>
    <n v="117.69"/>
    <n v="392.31"/>
  </r>
  <r>
    <n v="70"/>
    <d v="2017-04-06T00:00:00"/>
    <s v="IMF INTEREST PAYMENT   From: SOUTH32 DIVIDEND Ref: AI002/01091239"/>
    <n v="13.58"/>
    <n v="68247.23"/>
    <n v="13.58"/>
    <x v="1"/>
    <x v="0"/>
    <x v="1"/>
    <x v="5"/>
    <n v="13.58"/>
    <m/>
    <m/>
    <m/>
    <m/>
    <n v="13.58"/>
  </r>
  <r>
    <n v="71"/>
    <d v="2017-04-13T00:00:00"/>
    <s v="CHEVRON TEXACO DESPP   From: FLT CENTRE LTD Ref: AU17A/00820649"/>
    <n v="103.05"/>
    <n v="68350.28"/>
    <n v="103.05"/>
    <x v="1"/>
    <x v="0"/>
    <x v="1"/>
    <x v="5"/>
    <m/>
    <m/>
    <m/>
    <n v="103.05"/>
    <n v="44.16"/>
    <n v="147.20999999999998"/>
  </r>
  <r>
    <n v="72"/>
    <d v="2017-04-13T00:00:00"/>
    <s v="IMF INTEREST PAYMENT   From: QBE DIVIDEND Ref: FPA17/00883804"/>
    <n v="208.23"/>
    <n v="68558.509999999995"/>
    <n v="208.23"/>
    <x v="1"/>
    <x v="0"/>
    <x v="1"/>
    <x v="5"/>
    <n v="104.11"/>
    <m/>
    <m/>
    <n v="104.12"/>
    <n v="44.62"/>
    <n v="252.85000000000002"/>
  </r>
  <r>
    <n v="73"/>
    <d v="2017-04-13T00:00:00"/>
    <s v="SECURE FUNDING PTY LTD From: SECURE FUNDING P Ref: 2109357"/>
    <n v="-1711.43"/>
    <n v="66847.08"/>
    <n v="1711.43"/>
    <x v="0"/>
    <x v="1"/>
    <x v="0"/>
    <x v="2"/>
    <m/>
    <m/>
    <m/>
    <m/>
    <m/>
    <m/>
  </r>
  <r>
    <n v="74"/>
    <d v="2017-04-13T00:00:00"/>
    <s v="CSL LIMITED DIVIDEND   From: CSL LTD DIVIDEND Ref: AUD17/00903709"/>
    <n v="252.17"/>
    <n v="67099.25"/>
    <n v="252.17"/>
    <x v="1"/>
    <x v="0"/>
    <x v="1"/>
    <x v="5"/>
    <n v="252.17"/>
    <m/>
    <m/>
    <m/>
    <m/>
    <n v="252.17"/>
  </r>
  <r>
    <n v="75"/>
    <d v="2017-04-18T00:00:00"/>
    <s v="DIRECT DEBIT From: ACT Revenue Offi Ref: DD4270314"/>
    <n v="-331"/>
    <n v="66768.25"/>
    <n v="331"/>
    <x v="0"/>
    <x v="0"/>
    <x v="0"/>
    <x v="0"/>
    <m/>
    <m/>
    <m/>
    <m/>
    <m/>
    <m/>
  </r>
  <r>
    <n v="76"/>
    <d v="2017-04-18T00:00:00"/>
    <s v="DIRECT DEBIT From: ACT Revenue Offi Ref: DD4270315"/>
    <n v="-375.84"/>
    <n v="66392.41"/>
    <n v="375.84"/>
    <x v="0"/>
    <x v="0"/>
    <x v="0"/>
    <x v="1"/>
    <m/>
    <m/>
    <m/>
    <m/>
    <m/>
    <m/>
  </r>
  <r>
    <n v="77"/>
    <d v="2017-04-20T00:00:00"/>
    <s v="DIVIDEND PAYMENT From: CAR DIVIDEND Ref: APR17/00809609"/>
    <n v="172.04"/>
    <n v="66564.45"/>
    <n v="172.04"/>
    <x v="1"/>
    <x v="0"/>
    <x v="1"/>
    <x v="5"/>
    <m/>
    <m/>
    <m/>
    <n v="172.04"/>
    <n v="73.73"/>
    <n v="245.76999999999998"/>
  </r>
  <r>
    <n v="78"/>
    <d v="2017-04-27T00:00:00"/>
    <s v="DEFENCE HOUSING AUSTRA From: Defence Housing Ref: 746411"/>
    <n v="1869.84"/>
    <n v="68434.289999999994"/>
    <n v="1869.84"/>
    <x v="1"/>
    <x v="0"/>
    <x v="0"/>
    <x v="3"/>
    <m/>
    <m/>
    <m/>
    <m/>
    <m/>
    <m/>
  </r>
  <r>
    <n v="79"/>
    <d v="2017-04-30T00:00:00"/>
    <s v="INTEREST CREDIT"/>
    <n v="138.77000000000001"/>
    <n v="68573.06"/>
    <n v="138.77000000000001"/>
    <x v="1"/>
    <x v="0"/>
    <x v="1"/>
    <x v="4"/>
    <m/>
    <m/>
    <m/>
    <m/>
    <m/>
    <n v="0"/>
  </r>
  <r>
    <n v="80"/>
    <d v="2017-05-16T00:00:00"/>
    <s v="IMF INTEREST PAYMENT   From: DUET DIST &amp; SCHM Ref: 17RED/00812071"/>
    <n v="7687.1"/>
    <n v="76260.160000000003"/>
    <n v="7687.1"/>
    <x v="1"/>
    <x v="1"/>
    <x v="1"/>
    <x v="10"/>
    <m/>
    <m/>
    <m/>
    <m/>
    <m/>
    <m/>
  </r>
  <r>
    <n v="81"/>
    <d v="2017-05-17T00:00:00"/>
    <s v="SECURE FUNDING PTY LTD From: SECURE FUNDING P Ref: 2109357"/>
    <n v="-1711.43"/>
    <n v="74548.73"/>
    <n v="1711.43"/>
    <x v="0"/>
    <x v="1"/>
    <x v="0"/>
    <x v="2"/>
    <m/>
    <m/>
    <m/>
    <m/>
    <m/>
    <m/>
  </r>
  <r>
    <n v="82"/>
    <d v="2017-05-30T00:00:00"/>
    <s v="DEFENCE HOUSING AUSTRA From: Defence Housing Ref: 764032"/>
    <n v="1671.84"/>
    <n v="76220.570000000007"/>
    <n v="1671.84"/>
    <x v="1"/>
    <x v="0"/>
    <x v="0"/>
    <x v="3"/>
    <m/>
    <m/>
    <m/>
    <m/>
    <m/>
    <m/>
  </r>
  <r>
    <n v="83"/>
    <d v="2017-05-31T00:00:00"/>
    <s v="BPAY THE IND GROUP #2214 TRF Ref-000067 #060742332"/>
    <n v="-621.4"/>
    <n v="75599.17"/>
    <n v="621.4"/>
    <x v="0"/>
    <x v="0"/>
    <x v="0"/>
    <x v="8"/>
    <m/>
    <m/>
    <m/>
    <m/>
    <m/>
    <m/>
  </r>
  <r>
    <n v="84"/>
    <d v="2017-05-31T00:00:00"/>
    <s v="INTEREST CREDIT"/>
    <n v="152.97999999999999"/>
    <n v="75752.149999999994"/>
    <n v="152.97999999999999"/>
    <x v="1"/>
    <x v="0"/>
    <x v="1"/>
    <x v="4"/>
    <m/>
    <m/>
    <m/>
    <m/>
    <m/>
    <m/>
  </r>
  <r>
    <n v="85"/>
    <d v="2017-06-09T00:00:00"/>
    <s v="ICONWATER              From: ICONWATER Ref: 3777357"/>
    <n v="-153.66999999999999"/>
    <n v="75598.48"/>
    <n v="153.66999999999999"/>
    <x v="0"/>
    <x v="0"/>
    <x v="0"/>
    <x v="7"/>
    <m/>
    <m/>
    <m/>
    <m/>
    <m/>
    <m/>
  </r>
  <r>
    <n v="86"/>
    <d v="2017-06-16T00:00:00"/>
    <s v="SECURE FUNDING PTY LTD From: SECURE FUNDING P Ref: 2109357"/>
    <n v="-1758.01"/>
    <n v="73840.47"/>
    <n v="1758.01"/>
    <x v="0"/>
    <x v="1"/>
    <x v="0"/>
    <x v="2"/>
    <m/>
    <m/>
    <m/>
    <m/>
    <m/>
    <m/>
  </r>
  <r>
    <n v="87"/>
    <d v="2017-06-29T00:00:00"/>
    <s v="DEFENCE HOUSING AUSTRA From: Defence Housing Ref: 782368"/>
    <n v="1869.84"/>
    <n v="75710.31"/>
    <n v="1869.84"/>
    <x v="1"/>
    <x v="0"/>
    <x v="0"/>
    <x v="3"/>
    <m/>
    <m/>
    <m/>
    <m/>
    <m/>
    <m/>
  </r>
  <r>
    <n v="88"/>
    <d v="2017-06-30T00:00:00"/>
    <s v="INTEREST CREDIT"/>
    <n v="153.86000000000001"/>
    <n v="75864.17"/>
    <n v="153.86000000000001"/>
    <x v="1"/>
    <x v="0"/>
    <x v="1"/>
    <x v="4"/>
    <m/>
    <m/>
    <m/>
    <m/>
    <m/>
    <m/>
  </r>
  <r>
    <n v="89"/>
    <d v="2016-07-01T00:00:00"/>
    <s v="ADCU"/>
    <n v="80011.16"/>
    <m/>
    <m/>
    <x v="2"/>
    <x v="1"/>
    <x v="1"/>
    <x v="11"/>
    <m/>
    <m/>
    <m/>
    <m/>
    <m/>
    <m/>
  </r>
  <r>
    <n v="90"/>
    <d v="2016-07-01T00:00:00"/>
    <s v="Rental property - 6/121 Streeton Dr Stirling ACT"/>
    <n v="476357.72"/>
    <m/>
    <m/>
    <x v="2"/>
    <x v="1"/>
    <x v="1"/>
    <x v="12"/>
    <m/>
    <m/>
    <m/>
    <m/>
    <m/>
    <m/>
  </r>
  <r>
    <n v="91"/>
    <d v="2016-07-01T00:00:00"/>
    <s v="Less: Accum Depreciation"/>
    <n v="-20402"/>
    <m/>
    <m/>
    <x v="2"/>
    <x v="1"/>
    <x v="1"/>
    <x v="13"/>
    <m/>
    <m/>
    <m/>
    <m/>
    <m/>
    <m/>
  </r>
  <r>
    <n v="92"/>
    <d v="2016-07-01T00:00:00"/>
    <s v="Public listing companies"/>
    <n v="140943.76999999999"/>
    <m/>
    <m/>
    <x v="2"/>
    <x v="1"/>
    <x v="1"/>
    <x v="14"/>
    <m/>
    <m/>
    <m/>
    <m/>
    <m/>
    <m/>
  </r>
  <r>
    <n v="93"/>
    <d v="2016-07-01T00:00:00"/>
    <s v="DTA - 30% losses cfd"/>
    <n v="4378.3542857142829"/>
    <m/>
    <m/>
    <x v="2"/>
    <x v="1"/>
    <x v="1"/>
    <x v="15"/>
    <m/>
    <m/>
    <m/>
    <m/>
    <m/>
    <m/>
  </r>
  <r>
    <n v="94"/>
    <d v="2016-07-01T00:00:00"/>
    <s v="Loan from Liberty Financials"/>
    <n v="-273973.37999999995"/>
    <m/>
    <m/>
    <x v="2"/>
    <x v="1"/>
    <x v="1"/>
    <x v="2"/>
    <m/>
    <m/>
    <m/>
    <m/>
    <m/>
    <m/>
  </r>
  <r>
    <n v="95"/>
    <d v="2016-07-01T00:00:00"/>
    <s v="Members's balance"/>
    <n v="-412630.35399999999"/>
    <m/>
    <m/>
    <x v="2"/>
    <x v="1"/>
    <x v="1"/>
    <x v="16"/>
    <m/>
    <m/>
    <m/>
    <m/>
    <m/>
    <m/>
  </r>
  <r>
    <n v="96"/>
    <d v="2016-07-01T00:00:00"/>
    <s v="Franking Credit receivable"/>
    <n v="5314"/>
    <m/>
    <m/>
    <x v="2"/>
    <x v="1"/>
    <x v="1"/>
    <x v="17"/>
    <m/>
    <m/>
    <m/>
    <m/>
    <m/>
    <m/>
  </r>
  <r>
    <n v="97"/>
    <d v="2017-06-30T00:00:00"/>
    <s v="Rental property - 6/121 Streeton Dr Stirling ACT"/>
    <n v="4542.18"/>
    <m/>
    <m/>
    <x v="1"/>
    <x v="0"/>
    <x v="0"/>
    <x v="3"/>
    <m/>
    <m/>
    <m/>
    <m/>
    <m/>
    <m/>
  </r>
  <r>
    <n v="98"/>
    <d v="2017-06-30T00:00:00"/>
    <s v="Management fee"/>
    <n v="-3949.25"/>
    <m/>
    <m/>
    <x v="0"/>
    <x v="0"/>
    <x v="0"/>
    <x v="18"/>
    <m/>
    <m/>
    <m/>
    <m/>
    <m/>
    <m/>
  </r>
  <r>
    <n v="99"/>
    <d v="2017-06-30T00:00:00"/>
    <s v="GST on Management fee"/>
    <n v="-394.93"/>
    <m/>
    <m/>
    <x v="0"/>
    <x v="0"/>
    <x v="0"/>
    <x v="19"/>
    <m/>
    <m/>
    <m/>
    <m/>
    <m/>
    <m/>
  </r>
  <r>
    <n v="100"/>
    <d v="2017-06-30T00:00:00"/>
    <s v="Repairs"/>
    <n v="-198"/>
    <m/>
    <m/>
    <x v="0"/>
    <x v="0"/>
    <x v="0"/>
    <x v="20"/>
    <m/>
    <m/>
    <m/>
    <m/>
    <m/>
    <m/>
  </r>
  <r>
    <n v="101"/>
    <d v="2017-06-30T00:00:00"/>
    <s v="ADCU"/>
    <n v="75864.17"/>
    <m/>
    <m/>
    <x v="3"/>
    <x v="1"/>
    <x v="1"/>
    <x v="11"/>
    <m/>
    <m/>
    <m/>
    <m/>
    <m/>
    <m/>
  </r>
  <r>
    <n v="102"/>
    <d v="2017-06-30T00:00:00"/>
    <s v="FC receivable - Dividend"/>
    <n v="-1682.03"/>
    <m/>
    <m/>
    <x v="0"/>
    <x v="1"/>
    <x v="1"/>
    <x v="17"/>
    <m/>
    <m/>
    <m/>
    <m/>
    <m/>
    <m/>
  </r>
  <r>
    <n v="103"/>
    <d v="2017-06-30T00:00:00"/>
    <s v="FC receivable - Distribution"/>
    <n v="-16.66"/>
    <m/>
    <m/>
    <x v="0"/>
    <x v="1"/>
    <x v="1"/>
    <x v="17"/>
    <m/>
    <m/>
    <m/>
    <m/>
    <m/>
    <m/>
  </r>
  <r>
    <n v="104"/>
    <d v="2017-06-30T00:00:00"/>
    <s v="Dividend Income"/>
    <n v="1682.03"/>
    <m/>
    <m/>
    <x v="1"/>
    <x v="0"/>
    <x v="1"/>
    <x v="5"/>
    <m/>
    <m/>
    <m/>
    <m/>
    <m/>
    <m/>
  </r>
  <r>
    <n v="105"/>
    <d v="2017-06-30T00:00:00"/>
    <s v="Distribution income"/>
    <n v="16.66"/>
    <m/>
    <m/>
    <x v="1"/>
    <x v="0"/>
    <x v="1"/>
    <x v="6"/>
    <m/>
    <m/>
    <m/>
    <m/>
    <m/>
    <m/>
  </r>
  <r>
    <n v="106"/>
    <d v="2017-06-30T00:00:00"/>
    <s v="Purchase of shares"/>
    <n v="14805.169999999998"/>
    <m/>
    <m/>
    <x v="0"/>
    <x v="1"/>
    <x v="1"/>
    <x v="14"/>
    <m/>
    <m/>
    <m/>
    <m/>
    <m/>
    <m/>
  </r>
  <r>
    <n v="107"/>
    <d v="2017-06-30T00:00:00"/>
    <s v="NAB trade balance"/>
    <n v="195.53"/>
    <m/>
    <m/>
    <x v="0"/>
    <x v="1"/>
    <x v="1"/>
    <x v="21"/>
    <m/>
    <m/>
    <m/>
    <m/>
    <m/>
    <m/>
  </r>
  <r>
    <n v="107"/>
    <d v="2017-06-30T00:00:00"/>
    <s v="Depreciation - Capital Works"/>
    <n v="-4573"/>
    <m/>
    <m/>
    <x v="0"/>
    <x v="0"/>
    <x v="0"/>
    <x v="22"/>
    <m/>
    <m/>
    <m/>
    <m/>
    <m/>
    <m/>
  </r>
  <r>
    <n v="108"/>
    <d v="2017-06-30T00:00:00"/>
    <s v="Depreciation - Other assets"/>
    <n v="-1201"/>
    <m/>
    <m/>
    <x v="0"/>
    <x v="0"/>
    <x v="0"/>
    <x v="23"/>
    <m/>
    <m/>
    <m/>
    <m/>
    <m/>
    <m/>
  </r>
  <r>
    <n v="109"/>
    <d v="2017-06-30T00:00:00"/>
    <s v="Rental property - 6/121 Streeton Dr Stirling ACT - Cum dep"/>
    <n v="5774"/>
    <m/>
    <m/>
    <x v="1"/>
    <x v="1"/>
    <x v="1"/>
    <x v="13"/>
    <m/>
    <m/>
    <m/>
    <m/>
    <m/>
    <m/>
  </r>
  <r>
    <n v="110"/>
    <d v="2017-06-30T00:00:00"/>
    <s v="Interest paid"/>
    <n v="-16232.25"/>
    <m/>
    <m/>
    <x v="0"/>
    <x v="0"/>
    <x v="0"/>
    <x v="24"/>
    <m/>
    <m/>
    <m/>
    <m/>
    <m/>
    <m/>
  </r>
  <r>
    <n v="111"/>
    <d v="2017-06-30T00:00:00"/>
    <s v="Loan from Liberty Financials"/>
    <n v="16232.25"/>
    <m/>
    <m/>
    <x v="1"/>
    <x v="1"/>
    <x v="0"/>
    <x v="2"/>
    <m/>
    <m/>
    <m/>
    <m/>
    <m/>
    <m/>
  </r>
  <r>
    <n v="112"/>
    <d v="2017-06-30T00:00:00"/>
    <s v="Public listing companies"/>
    <n v="-21068.550000000017"/>
    <m/>
    <m/>
    <x v="0"/>
    <x v="1"/>
    <x v="1"/>
    <x v="14"/>
    <m/>
    <m/>
    <m/>
    <m/>
    <m/>
    <m/>
  </r>
  <r>
    <n v="113"/>
    <d v="2017-06-30T00:00:00"/>
    <s v="Gain on revaluation of shares"/>
    <n v="21068.550000000017"/>
    <m/>
    <m/>
    <x v="1"/>
    <x v="0"/>
    <x v="1"/>
    <x v="25"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700-000001000000}" name="PivotTable5" cacheId="0" applyNumberFormats="0" applyBorderFormats="0" applyFontFormats="0" applyPatternFormats="0" applyAlignmentFormats="0" applyWidthHeightFormats="1" dataCaption="Values" updatedVersion="6" minRefreshableVersion="3" useAutoFormatting="1" colGrandTotals="0" itemPrintTitles="1" createdVersion="6" indent="0" compact="0" compactData="0" gridDropZones="1" multipleFieldFilters="0">
  <location ref="A43:J51" firstHeaderRow="1" firstDataRow="3" firstDataCol="3"/>
  <pivotFields count="16">
    <pivotField compact="0" outline="0" subtotalTop="0" showAll="0"/>
    <pivotField compact="0" outline="0" subtotalTop="0" showAll="0"/>
    <pivotField compact="0" outline="0" subtotalTop="0" showAll="0"/>
    <pivotField dataField="1" compact="0" outline="0" subtotalTop="0" showAll="0"/>
    <pivotField compact="0" outline="0" subtotalTop="0" showAll="0"/>
    <pivotField compact="0" outline="0" subtotalTop="0" showAll="0"/>
    <pivotField axis="axisCol" compact="0" outline="0" subtotalTop="0" showAll="0">
      <items count="5">
        <item x="0"/>
        <item x="1"/>
        <item x="2"/>
        <item x="3"/>
        <item t="default"/>
      </items>
    </pivotField>
    <pivotField axis="axisRow" compact="0" outline="0" subtotalTop="0" showAll="0">
      <items count="3">
        <item h="1" x="1"/>
        <item x="0"/>
        <item t="default"/>
      </items>
    </pivotField>
    <pivotField axis="axisRow" compact="0" outline="0" subtotalTop="0" showAll="0">
      <items count="3">
        <item h="1" x="0"/>
        <item x="1"/>
        <item t="default"/>
      </items>
    </pivotField>
    <pivotField axis="axisRow" compact="0" outline="0" subtotalTop="0" showAll="0">
      <items count="22">
        <item x="6"/>
        <item x="5"/>
        <item x="4"/>
        <item x="1"/>
        <item x="2"/>
        <item x="0"/>
        <item x="3"/>
        <item x="10"/>
        <item x="9"/>
        <item x="8"/>
        <item x="7"/>
        <item x="18"/>
        <item x="19"/>
        <item x="20"/>
        <item x="11"/>
        <item x="12"/>
        <item x="13"/>
        <item x="14"/>
        <item x="15"/>
        <item x="16"/>
        <item x="17"/>
        <item t="default"/>
      </items>
    </pivotField>
    <pivotField dataField="1" compact="0" outline="0" subtotalTop="0" showAll="0"/>
    <pivotField dataField="1" compact="0" outline="0" subtotalTop="0" showAll="0"/>
    <pivotField dataField="1" compact="0" outline="0" subtotalTop="0" showAll="0"/>
    <pivotField dataField="1" compact="0" outline="0" subtotalTop="0" showAll="0"/>
    <pivotField dataField="1" compact="0" outline="0" subtotalTop="0" showAll="0"/>
    <pivotField dataField="1" compact="0" outline="0" subtotalTop="0" showAll="0"/>
  </pivotFields>
  <rowFields count="3">
    <field x="7"/>
    <field x="8"/>
    <field x="9"/>
  </rowFields>
  <rowItems count="6">
    <i>
      <x v="1"/>
      <x v="1"/>
      <x/>
    </i>
    <i r="2">
      <x v="1"/>
    </i>
    <i r="2">
      <x v="2"/>
    </i>
    <i t="default" r="1">
      <x v="1"/>
    </i>
    <i t="default">
      <x v="1"/>
    </i>
    <i t="grand">
      <x/>
    </i>
  </rowItems>
  <colFields count="2">
    <field x="6"/>
    <field x="-2"/>
  </colFields>
  <colItems count="7">
    <i>
      <x v="1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</colItems>
  <dataFields count="7">
    <dataField name="Sum of Dr- Cr $ entries" fld="3" baseField="0" baseItem="0" numFmtId="164"/>
    <dataField name="Sum of FC" fld="14" baseField="9" baseItem="0"/>
    <dataField name="Sum of Gross Dividend" fld="15" baseField="9" baseItem="0"/>
    <dataField name="Sum of Unfranked Div" fld="10" baseField="9" baseItem="0"/>
    <dataField name="Sum of Trust Distt" fld="11" baseField="9" baseItem="0"/>
    <dataField name="Sum of Franked Div" fld="13" baseField="9" baseItem="0"/>
    <dataField name="Sum of Tax Def Distt" fld="12" baseField="9" baseItem="0"/>
  </dataFields>
  <formats count="3">
    <format dxfId="2">
      <pivotArea outline="0" collapsedLevelsAreSubtotals="1" fieldPosition="0"/>
    </format>
    <format dxfId="1">
      <pivotArea outline="0" collapsedLevelsAreSubtotals="1" fieldPosition="0"/>
    </format>
    <format dxfId="0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700-000000000000}" name="PivotTable4" cacheId="1" applyNumberFormats="0" applyBorderFormats="0" applyFontFormats="0" applyPatternFormats="0" applyAlignmentFormats="0" applyWidthHeightFormats="1" dataCaption="Values" updatedVersion="6" minRefreshableVersion="3" useAutoFormatting="1" colGrandTotals="0" itemPrintTitles="1" createdVersion="6" indent="0" compact="0" compactData="0" gridDropZones="1" multipleFieldFilters="0">
  <location ref="A3:G38" firstHeaderRow="1" firstDataRow="2" firstDataCol="3"/>
  <pivotFields count="16">
    <pivotField compact="0" outline="0" subtotalTop="0" showAll="0"/>
    <pivotField compact="0" outline="0" subtotalTop="0" showAll="0"/>
    <pivotField compact="0" outline="0" subtotalTop="0" showAll="0"/>
    <pivotField dataField="1" compact="0" outline="0" subtotalTop="0" showAll="0"/>
    <pivotField compact="0" outline="0" subtotalTop="0" showAll="0"/>
    <pivotField compact="0" outline="0" subtotalTop="0" showAll="0"/>
    <pivotField axis="axisCol" compact="0" outline="0" subtotalTop="0" showAll="0">
      <items count="5">
        <item x="0"/>
        <item x="1"/>
        <item x="2"/>
        <item x="3"/>
        <item t="default"/>
      </items>
    </pivotField>
    <pivotField axis="axisRow" compact="0" outline="0" subtotalTop="0" showAll="0">
      <items count="3">
        <item x="1"/>
        <item x="0"/>
        <item t="default"/>
      </items>
    </pivotField>
    <pivotField axis="axisRow" compact="0" outline="0" subtotalTop="0" showAll="0">
      <items count="3">
        <item x="0"/>
        <item x="1"/>
        <item t="default"/>
      </items>
    </pivotField>
    <pivotField axis="axisRow" compact="0" outline="0" subtotalTop="0" showAll="0">
      <items count="27">
        <item x="6"/>
        <item x="5"/>
        <item x="4"/>
        <item x="1"/>
        <item x="2"/>
        <item x="0"/>
        <item x="3"/>
        <item x="10"/>
        <item x="9"/>
        <item x="7"/>
        <item x="18"/>
        <item x="20"/>
        <item x="11"/>
        <item x="12"/>
        <item x="13"/>
        <item x="14"/>
        <item x="15"/>
        <item x="16"/>
        <item x="17"/>
        <item x="24"/>
        <item x="22"/>
        <item x="8"/>
        <item x="19"/>
        <item x="23"/>
        <item x="21"/>
        <item x="25"/>
        <item t="default"/>
      </items>
    </pivotField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</pivotFields>
  <rowFields count="3">
    <field x="7"/>
    <field x="8"/>
    <field x="9"/>
  </rowFields>
  <rowItems count="34">
    <i>
      <x/>
      <x/>
      <x v="4"/>
    </i>
    <i t="default" r="1">
      <x/>
    </i>
    <i r="1">
      <x v="1"/>
      <x v="4"/>
    </i>
    <i r="2">
      <x v="7"/>
    </i>
    <i r="2">
      <x v="8"/>
    </i>
    <i r="2">
      <x v="12"/>
    </i>
    <i r="2">
      <x v="13"/>
    </i>
    <i r="2">
      <x v="14"/>
    </i>
    <i r="2">
      <x v="15"/>
    </i>
    <i r="2">
      <x v="16"/>
    </i>
    <i r="2">
      <x v="17"/>
    </i>
    <i r="2">
      <x v="18"/>
    </i>
    <i r="2">
      <x v="24"/>
    </i>
    <i t="default" r="1">
      <x v="1"/>
    </i>
    <i t="default">
      <x/>
    </i>
    <i>
      <x v="1"/>
      <x/>
      <x v="3"/>
    </i>
    <i r="2">
      <x v="5"/>
    </i>
    <i r="2">
      <x v="6"/>
    </i>
    <i r="2">
      <x v="9"/>
    </i>
    <i r="2">
      <x v="10"/>
    </i>
    <i r="2">
      <x v="11"/>
    </i>
    <i r="2">
      <x v="19"/>
    </i>
    <i r="2">
      <x v="20"/>
    </i>
    <i r="2">
      <x v="21"/>
    </i>
    <i r="2">
      <x v="22"/>
    </i>
    <i r="2">
      <x v="23"/>
    </i>
    <i t="default" r="1">
      <x/>
    </i>
    <i r="1">
      <x v="1"/>
      <x/>
    </i>
    <i r="2">
      <x v="1"/>
    </i>
    <i r="2">
      <x v="2"/>
    </i>
    <i r="2">
      <x v="25"/>
    </i>
    <i t="default" r="1">
      <x v="1"/>
    </i>
    <i t="default">
      <x v="1"/>
    </i>
    <i t="grand">
      <x/>
    </i>
  </rowItems>
  <colFields count="1">
    <field x="6"/>
  </colFields>
  <colItems count="4">
    <i>
      <x/>
    </i>
    <i>
      <x v="1"/>
    </i>
    <i>
      <x v="2"/>
    </i>
    <i>
      <x v="3"/>
    </i>
  </colItems>
  <dataFields count="1">
    <dataField name="Sum of Dr- Cr $ entries" fld="3" baseField="0" baseItem="0" numFmtId="164"/>
  </dataFields>
  <formats count="3">
    <format dxfId="5">
      <pivotArea outline="0" collapsedLevelsAreSubtotals="1" fieldPosition="0"/>
    </format>
    <format dxfId="4">
      <pivotArea outline="0" collapsedLevelsAreSubtotals="1" fieldPosition="0"/>
    </format>
    <format dxfId="3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B3A5C9-FBB9-4D4B-9BD7-8962A3BA95C2}">
  <dimension ref="A1:I29"/>
  <sheetViews>
    <sheetView zoomScale="130" zoomScaleNormal="130" workbookViewId="0">
      <selection activeCell="F2" sqref="F2:H2"/>
    </sheetView>
  </sheetViews>
  <sheetFormatPr defaultRowHeight="15" x14ac:dyDescent="0.25"/>
  <cols>
    <col min="2" max="2" width="50.7109375" customWidth="1"/>
    <col min="3" max="3" width="5.7109375" customWidth="1"/>
    <col min="4" max="4" width="0.42578125" customWidth="1"/>
    <col min="5" max="6" width="15.7109375" customWidth="1"/>
    <col min="7" max="7" width="13.42578125" hidden="1" customWidth="1"/>
    <col min="8" max="8" width="13.140625" hidden="1" customWidth="1"/>
    <col min="9" max="9" width="13.140625" customWidth="1"/>
  </cols>
  <sheetData>
    <row r="1" spans="1:9" x14ac:dyDescent="0.25">
      <c r="A1" s="13"/>
      <c r="B1" s="13"/>
      <c r="C1" s="13"/>
      <c r="D1" s="13"/>
      <c r="E1" s="13"/>
      <c r="F1" s="14"/>
      <c r="G1" s="13"/>
      <c r="H1" s="13"/>
      <c r="I1" s="13"/>
    </row>
    <row r="2" spans="1:9" x14ac:dyDescent="0.25">
      <c r="A2" s="13"/>
      <c r="B2" s="13"/>
      <c r="C2" s="30" t="s">
        <v>129</v>
      </c>
      <c r="D2" s="30"/>
      <c r="E2" s="15">
        <v>2020</v>
      </c>
      <c r="F2" s="16">
        <v>2019</v>
      </c>
      <c r="G2" s="15">
        <v>2014</v>
      </c>
      <c r="H2" s="15">
        <v>2013</v>
      </c>
      <c r="I2" s="13"/>
    </row>
    <row r="3" spans="1:9" x14ac:dyDescent="0.25">
      <c r="A3" s="13"/>
      <c r="B3" s="13"/>
      <c r="C3" s="13"/>
      <c r="D3" s="13"/>
      <c r="E3" s="18" t="s">
        <v>109</v>
      </c>
      <c r="F3" s="19" t="s">
        <v>109</v>
      </c>
      <c r="G3" s="18" t="s">
        <v>109</v>
      </c>
      <c r="H3" s="18" t="s">
        <v>109</v>
      </c>
      <c r="I3" s="13"/>
    </row>
    <row r="4" spans="1:9" x14ac:dyDescent="0.25">
      <c r="A4" s="13"/>
      <c r="B4" s="15" t="s">
        <v>130</v>
      </c>
      <c r="C4" s="13"/>
      <c r="D4" s="13"/>
      <c r="E4" s="13"/>
      <c r="F4" s="14"/>
      <c r="G4" s="13"/>
      <c r="H4" s="13"/>
      <c r="I4" s="13"/>
    </row>
    <row r="5" spans="1:9" x14ac:dyDescent="0.25">
      <c r="A5" s="13"/>
      <c r="B5" s="13" t="s">
        <v>131</v>
      </c>
      <c r="C5" s="30">
        <v>5</v>
      </c>
      <c r="D5" s="30"/>
      <c r="E5" s="31">
        <f>+'BS Notes'!D6</f>
        <v>75659.710000000006</v>
      </c>
      <c r="F5" s="32">
        <f>+'2019 BS'!E5</f>
        <v>87330</v>
      </c>
      <c r="G5" s="31">
        <v>75523.589999999982</v>
      </c>
      <c r="H5" s="31">
        <v>206671</v>
      </c>
      <c r="I5" s="13"/>
    </row>
    <row r="6" spans="1:9" x14ac:dyDescent="0.25">
      <c r="A6" s="13"/>
      <c r="B6" s="13" t="s">
        <v>132</v>
      </c>
      <c r="C6" s="30"/>
      <c r="D6" s="30"/>
      <c r="E6" s="33">
        <v>7818</v>
      </c>
      <c r="F6" s="32">
        <f>+'2019 BS'!E6</f>
        <v>5399</v>
      </c>
      <c r="G6" s="33">
        <v>1402</v>
      </c>
      <c r="H6" s="33">
        <v>0</v>
      </c>
      <c r="I6" s="13"/>
    </row>
    <row r="7" spans="1:9" x14ac:dyDescent="0.25">
      <c r="A7" s="13"/>
      <c r="B7" s="17" t="s">
        <v>133</v>
      </c>
      <c r="C7" s="30"/>
      <c r="D7" s="30"/>
      <c r="E7" s="35">
        <f>+E5+E6</f>
        <v>83477.710000000006</v>
      </c>
      <c r="F7" s="36">
        <f>+F5+F6</f>
        <v>92729</v>
      </c>
      <c r="G7" s="35">
        <f>+G5+G6</f>
        <v>76925.589999999982</v>
      </c>
      <c r="H7" s="35">
        <f>+H5+H6</f>
        <v>206671</v>
      </c>
      <c r="I7" s="13"/>
    </row>
    <row r="8" spans="1:9" x14ac:dyDescent="0.25">
      <c r="A8" s="13"/>
      <c r="B8" s="13"/>
      <c r="C8" s="13"/>
      <c r="D8" s="13"/>
      <c r="E8" s="13"/>
      <c r="F8" s="14"/>
      <c r="G8" s="13"/>
      <c r="H8" s="13"/>
      <c r="I8" s="13"/>
    </row>
    <row r="9" spans="1:9" x14ac:dyDescent="0.25">
      <c r="A9" s="13"/>
      <c r="B9" s="15" t="s">
        <v>134</v>
      </c>
      <c r="C9" s="15"/>
      <c r="D9" s="15"/>
      <c r="E9" s="15"/>
      <c r="F9" s="16"/>
      <c r="G9" s="15"/>
      <c r="H9" s="15"/>
      <c r="I9" s="13"/>
    </row>
    <row r="10" spans="1:9" x14ac:dyDescent="0.25">
      <c r="A10" s="13"/>
      <c r="B10" s="13" t="s">
        <v>135</v>
      </c>
      <c r="C10" s="30">
        <v>6</v>
      </c>
      <c r="D10" s="30"/>
      <c r="E10" s="33">
        <f>+'BS Notes'!D11</f>
        <v>705000</v>
      </c>
      <c r="F10" s="32">
        <f>+'2019 BS'!E10</f>
        <v>582500</v>
      </c>
      <c r="G10" s="33">
        <f>+'[1]2015 BS Notes'!E12</f>
        <v>468935.72</v>
      </c>
      <c r="H10" s="33">
        <v>476358</v>
      </c>
      <c r="I10" s="13"/>
    </row>
    <row r="11" spans="1:9" x14ac:dyDescent="0.25">
      <c r="A11" s="13"/>
      <c r="B11" s="13" t="s">
        <v>136</v>
      </c>
      <c r="C11" s="30">
        <v>7</v>
      </c>
      <c r="D11" s="30"/>
      <c r="E11" s="33">
        <f>+'BS Notes'!D14</f>
        <v>242681.69</v>
      </c>
      <c r="F11" s="32">
        <f>+'2019 BS'!E11</f>
        <v>227139.65</v>
      </c>
      <c r="G11" s="33">
        <v>135092.16</v>
      </c>
      <c r="H11" s="33">
        <v>0</v>
      </c>
      <c r="I11" s="13"/>
    </row>
    <row r="12" spans="1:9" x14ac:dyDescent="0.25">
      <c r="A12" s="13"/>
      <c r="B12" s="13" t="s">
        <v>291</v>
      </c>
      <c r="C12" s="30">
        <v>8</v>
      </c>
      <c r="D12" s="30"/>
      <c r="E12" s="41">
        <f>5682-4064</f>
        <v>1618</v>
      </c>
      <c r="F12" s="32">
        <f>+'2019 BS'!E12</f>
        <v>8541</v>
      </c>
      <c r="G12" s="33">
        <v>5474.1080000000002</v>
      </c>
      <c r="H12" s="33">
        <v>5580.1080000000002</v>
      </c>
      <c r="I12" s="13"/>
    </row>
    <row r="13" spans="1:9" x14ac:dyDescent="0.25">
      <c r="A13" s="13"/>
      <c r="B13" s="17" t="s">
        <v>111</v>
      </c>
      <c r="C13" s="30"/>
      <c r="D13" s="30"/>
      <c r="E13" s="37">
        <f>SUM(E10:E12)</f>
        <v>949299.69</v>
      </c>
      <c r="F13" s="38">
        <f>SUM(F10:F12)</f>
        <v>818180.65</v>
      </c>
      <c r="G13" s="37">
        <f>SUM(G10:G12)</f>
        <v>609501.98800000001</v>
      </c>
      <c r="H13" s="37">
        <f>SUM(H10:H12)</f>
        <v>481938.10800000001</v>
      </c>
      <c r="I13" s="13"/>
    </row>
    <row r="14" spans="1:9" x14ac:dyDescent="0.25">
      <c r="A14" s="13"/>
      <c r="B14" s="13"/>
      <c r="C14" s="13"/>
      <c r="D14" s="13"/>
      <c r="E14" s="13"/>
      <c r="F14" s="14"/>
      <c r="G14" s="13"/>
      <c r="H14" s="13"/>
      <c r="I14" s="13"/>
    </row>
    <row r="15" spans="1:9" x14ac:dyDescent="0.25">
      <c r="A15" s="13"/>
      <c r="B15" s="15" t="s">
        <v>138</v>
      </c>
      <c r="C15" s="15"/>
      <c r="D15" s="15"/>
      <c r="E15" s="39">
        <f>+E13+E7</f>
        <v>1032777.3999999999</v>
      </c>
      <c r="F15" s="40">
        <f>+F13+F7</f>
        <v>910909.65</v>
      </c>
      <c r="G15" s="39">
        <f>+G7+G13</f>
        <v>686427.57799999998</v>
      </c>
      <c r="H15" s="39">
        <f>+H13+H5</f>
        <v>688609.10800000001</v>
      </c>
      <c r="I15" s="13"/>
    </row>
    <row r="16" spans="1:9" x14ac:dyDescent="0.25">
      <c r="A16" s="13"/>
      <c r="B16" s="13"/>
      <c r="C16" s="13"/>
      <c r="D16" s="13"/>
      <c r="E16" s="13"/>
      <c r="F16" s="14"/>
      <c r="G16" s="13"/>
      <c r="H16" s="13"/>
      <c r="I16" s="13"/>
    </row>
    <row r="17" spans="1:9" x14ac:dyDescent="0.25">
      <c r="A17" s="13"/>
      <c r="B17" s="15" t="s">
        <v>139</v>
      </c>
      <c r="C17" s="13"/>
      <c r="D17" s="13"/>
      <c r="E17" s="13"/>
      <c r="F17" s="41"/>
      <c r="G17" s="31"/>
      <c r="H17" s="31"/>
      <c r="I17" s="13"/>
    </row>
    <row r="18" spans="1:9" x14ac:dyDescent="0.25">
      <c r="A18" s="13"/>
      <c r="B18" s="13" t="s">
        <v>140</v>
      </c>
      <c r="C18" s="30">
        <v>9</v>
      </c>
      <c r="D18" s="30"/>
      <c r="E18" s="41">
        <f>+'BS Notes'!D23</f>
        <v>-254846</v>
      </c>
      <c r="F18" s="42">
        <f>+'2019 BS'!E18</f>
        <v>-260605</v>
      </c>
      <c r="G18" s="41">
        <v>-281619.46999999997</v>
      </c>
      <c r="H18" s="41">
        <v>-284786</v>
      </c>
      <c r="I18" s="13"/>
    </row>
    <row r="19" spans="1:9" x14ac:dyDescent="0.25">
      <c r="A19" s="13"/>
      <c r="B19" s="13"/>
      <c r="C19" s="13"/>
      <c r="D19" s="13"/>
      <c r="E19" s="13"/>
      <c r="F19" s="14"/>
      <c r="G19" s="13"/>
      <c r="H19" s="13"/>
      <c r="I19" s="13"/>
    </row>
    <row r="20" spans="1:9" ht="15.75" thickBot="1" x14ac:dyDescent="0.3">
      <c r="A20" s="13"/>
      <c r="B20" s="15" t="s">
        <v>141</v>
      </c>
      <c r="C20" s="13"/>
      <c r="D20" s="13"/>
      <c r="E20" s="43">
        <f>+E18</f>
        <v>-254846</v>
      </c>
      <c r="F20" s="43">
        <f>+F18</f>
        <v>-260605</v>
      </c>
      <c r="G20" s="43">
        <f>+G18</f>
        <v>-281619.46999999997</v>
      </c>
      <c r="H20" s="43">
        <f>+H18</f>
        <v>-284786</v>
      </c>
      <c r="I20" s="13"/>
    </row>
    <row r="21" spans="1:9" ht="15.75" thickTop="1" x14ac:dyDescent="0.25">
      <c r="A21" s="13"/>
      <c r="B21" s="13"/>
      <c r="C21" s="13"/>
      <c r="D21" s="13"/>
      <c r="E21" s="13"/>
      <c r="F21" s="14"/>
      <c r="G21" s="13"/>
      <c r="H21" s="13"/>
      <c r="I21" s="13"/>
    </row>
    <row r="22" spans="1:9" ht="15.75" thickBot="1" x14ac:dyDescent="0.3">
      <c r="A22" s="13"/>
      <c r="B22" s="15" t="s">
        <v>142</v>
      </c>
      <c r="C22" s="15"/>
      <c r="D22" s="15"/>
      <c r="E22" s="45">
        <f>+E15+E20</f>
        <v>777931.39999999991</v>
      </c>
      <c r="F22" s="46">
        <f>+F15+F20</f>
        <v>650304.65</v>
      </c>
      <c r="G22" s="45">
        <f>+G15+G20</f>
        <v>404808.10800000001</v>
      </c>
      <c r="H22" s="45">
        <f>+H15+H20</f>
        <v>403823.10800000001</v>
      </c>
      <c r="I22" s="13"/>
    </row>
    <row r="23" spans="1:9" ht="15.75" thickTop="1" x14ac:dyDescent="0.25">
      <c r="A23" s="13"/>
      <c r="B23" s="15"/>
      <c r="C23" s="15"/>
      <c r="D23" s="15"/>
      <c r="E23" s="15"/>
      <c r="F23" s="16"/>
      <c r="G23" s="15"/>
      <c r="H23" s="15"/>
      <c r="I23" s="13"/>
    </row>
    <row r="24" spans="1:9" ht="27" thickBot="1" x14ac:dyDescent="0.3">
      <c r="A24" s="13"/>
      <c r="B24" s="47" t="s">
        <v>143</v>
      </c>
      <c r="C24" s="48">
        <v>10</v>
      </c>
      <c r="D24" s="48"/>
      <c r="E24" s="43">
        <f>+'BS Notes'!D33</f>
        <v>-777931.34000000008</v>
      </c>
      <c r="F24" s="44">
        <f>+'2019 BS'!E24</f>
        <v>-650304.65</v>
      </c>
      <c r="G24" s="43">
        <f>+'[1]2015 BS Notes'!E34</f>
        <v>-404807.70799999998</v>
      </c>
      <c r="H24" s="43">
        <v>-403823</v>
      </c>
      <c r="I24" s="13"/>
    </row>
    <row r="25" spans="1:9" ht="15.75" thickTop="1" x14ac:dyDescent="0.25">
      <c r="A25" s="13"/>
      <c r="B25" s="13"/>
      <c r="C25" s="15"/>
      <c r="D25" s="15"/>
      <c r="E25" s="15"/>
      <c r="F25" s="16"/>
      <c r="G25" s="15"/>
      <c r="H25" s="15"/>
      <c r="I25" s="13"/>
    </row>
    <row r="26" spans="1:9" x14ac:dyDescent="0.25">
      <c r="E26" s="10">
        <f>+E22+E24</f>
        <v>5.9999999823048711E-2</v>
      </c>
      <c r="F26" s="49">
        <f>+F22+F24</f>
        <v>0</v>
      </c>
      <c r="G26" s="10">
        <f>+G22+G24</f>
        <v>0.40000000002328306</v>
      </c>
      <c r="H26" s="10">
        <f>+H22+H24</f>
        <v>0.10800000000745058</v>
      </c>
    </row>
    <row r="27" spans="1:9" x14ac:dyDescent="0.25">
      <c r="F27" s="29"/>
    </row>
    <row r="28" spans="1:9" x14ac:dyDescent="0.25">
      <c r="F28" s="50"/>
      <c r="G28" s="10"/>
    </row>
    <row r="29" spans="1:9" x14ac:dyDescent="0.25">
      <c r="F29" s="29"/>
    </row>
  </sheetData>
  <pageMargins left="0.7" right="0.7" top="0.75" bottom="0.75" header="0.3" footer="0.3"/>
  <pageSetup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L113"/>
  <sheetViews>
    <sheetView topLeftCell="A5" zoomScaleNormal="100" workbookViewId="0">
      <selection activeCell="M19" sqref="M19"/>
    </sheetView>
  </sheetViews>
  <sheetFormatPr defaultRowHeight="15" x14ac:dyDescent="0.25"/>
  <cols>
    <col min="2" max="2" width="7.7109375" customWidth="1"/>
    <col min="3" max="3" width="50.7109375" customWidth="1"/>
    <col min="4" max="5" width="15.7109375" hidden="1" customWidth="1"/>
    <col min="6" max="7" width="15.7109375" customWidth="1"/>
    <col min="8" max="8" width="17.7109375" customWidth="1"/>
    <col min="9" max="9" width="14.7109375" hidden="1" customWidth="1"/>
    <col min="10" max="10" width="12.7109375" hidden="1" customWidth="1"/>
    <col min="36" max="36" width="11.5703125" bestFit="1" customWidth="1"/>
    <col min="37" max="37" width="7.140625" customWidth="1"/>
    <col min="38" max="38" width="11.5703125" bestFit="1" customWidth="1"/>
  </cols>
  <sheetData>
    <row r="1" spans="1:15" x14ac:dyDescent="0.25">
      <c r="A1" s="13"/>
      <c r="B1" s="13"/>
      <c r="C1" s="13"/>
      <c r="D1" s="13"/>
      <c r="E1" s="14"/>
      <c r="F1" s="14"/>
      <c r="G1" s="13"/>
      <c r="H1" s="13"/>
      <c r="I1" s="13"/>
      <c r="J1" s="13"/>
      <c r="K1" s="13"/>
    </row>
    <row r="2" spans="1:15" x14ac:dyDescent="0.25">
      <c r="A2" s="13"/>
      <c r="B2" s="13"/>
      <c r="C2" s="13"/>
      <c r="D2" s="15">
        <v>2020</v>
      </c>
      <c r="E2" s="16">
        <v>2019</v>
      </c>
      <c r="F2" s="16">
        <v>2018</v>
      </c>
      <c r="G2" s="16">
        <v>2017</v>
      </c>
      <c r="H2" s="16">
        <v>2016</v>
      </c>
      <c r="I2" s="15">
        <v>2014</v>
      </c>
      <c r="J2" s="16">
        <v>2013</v>
      </c>
      <c r="K2" s="13"/>
    </row>
    <row r="3" spans="1:15" x14ac:dyDescent="0.25">
      <c r="A3" s="13"/>
      <c r="B3" s="13" t="s">
        <v>151</v>
      </c>
      <c r="C3" s="17" t="s">
        <v>152</v>
      </c>
      <c r="D3" s="18" t="s">
        <v>109</v>
      </c>
      <c r="E3" s="19" t="s">
        <v>109</v>
      </c>
      <c r="F3" s="19" t="s">
        <v>109</v>
      </c>
      <c r="G3" s="19" t="s">
        <v>109</v>
      </c>
      <c r="H3" s="19" t="s">
        <v>109</v>
      </c>
      <c r="I3" s="18" t="s">
        <v>109</v>
      </c>
      <c r="J3" s="19" t="s">
        <v>109</v>
      </c>
      <c r="K3" s="13"/>
    </row>
    <row r="4" spans="1:15" ht="30.75" customHeight="1" x14ac:dyDescent="0.25">
      <c r="A4" s="13"/>
      <c r="B4" s="13"/>
      <c r="C4" s="13" t="s">
        <v>110</v>
      </c>
      <c r="D4" s="23">
        <v>75336</v>
      </c>
      <c r="E4" s="22">
        <v>82130</v>
      </c>
      <c r="F4" s="152">
        <v>76991</v>
      </c>
      <c r="G4" s="22">
        <f>+GETPIVOTDATA("Dr- Cr $ entries",'Piv TB'!$A$3,"Type  ","Cl Bal","Category 3","BS","Type 2","SMSF","Category","ADCU")</f>
        <v>75864.17</v>
      </c>
      <c r="H4" s="22">
        <v>80011.16</v>
      </c>
      <c r="I4" s="23" t="e">
        <f>+#REF!</f>
        <v>#REF!</v>
      </c>
      <c r="J4" s="22">
        <v>159422.21</v>
      </c>
      <c r="K4" s="13"/>
    </row>
    <row r="5" spans="1:15" x14ac:dyDescent="0.25">
      <c r="A5" s="13"/>
      <c r="B5" s="13"/>
      <c r="C5" s="13" t="s">
        <v>257</v>
      </c>
      <c r="D5" s="23">
        <f>+AJ74</f>
        <v>323.70999999999998</v>
      </c>
      <c r="E5" s="22">
        <f>+AJ55</f>
        <v>5200</v>
      </c>
      <c r="F5" s="22">
        <v>5196.59</v>
      </c>
      <c r="G5" s="22">
        <v>195</v>
      </c>
      <c r="H5" s="22"/>
      <c r="I5" s="23"/>
      <c r="J5" s="22"/>
      <c r="K5" s="13"/>
    </row>
    <row r="6" spans="1:15" ht="15.75" thickBot="1" x14ac:dyDescent="0.3">
      <c r="A6" s="13"/>
      <c r="B6" s="13"/>
      <c r="C6" s="17" t="s">
        <v>111</v>
      </c>
      <c r="D6" s="58">
        <f>+D4+D5</f>
        <v>75659.710000000006</v>
      </c>
      <c r="E6" s="58">
        <f>+E4+E5</f>
        <v>87330</v>
      </c>
      <c r="F6" s="59">
        <f>+F4+F5</f>
        <v>82187.59</v>
      </c>
      <c r="G6" s="59">
        <f>+G4+G5</f>
        <v>76059.17</v>
      </c>
      <c r="H6" s="59">
        <v>80011.16</v>
      </c>
      <c r="I6" s="58" t="e">
        <f>SUM(I4:I4)</f>
        <v>#REF!</v>
      </c>
      <c r="J6" s="59">
        <v>206671.19</v>
      </c>
      <c r="K6" s="13"/>
    </row>
    <row r="7" spans="1:15" ht="15.75" thickTop="1" x14ac:dyDescent="0.25">
      <c r="A7" s="13"/>
      <c r="B7" s="13"/>
      <c r="C7" s="17"/>
      <c r="D7" s="17"/>
      <c r="E7" s="14"/>
      <c r="F7" s="14"/>
      <c r="G7" s="14"/>
      <c r="H7" s="14"/>
      <c r="I7" s="17"/>
      <c r="J7" s="60"/>
      <c r="K7" s="13"/>
    </row>
    <row r="8" spans="1:15" x14ac:dyDescent="0.25">
      <c r="A8" s="13"/>
      <c r="B8" s="13" t="s">
        <v>153</v>
      </c>
      <c r="C8" s="17" t="s">
        <v>154</v>
      </c>
      <c r="D8" s="17"/>
      <c r="E8" s="14"/>
      <c r="F8" s="14"/>
      <c r="G8" s="14"/>
      <c r="H8" s="14"/>
      <c r="I8" s="17"/>
      <c r="J8" s="60"/>
      <c r="K8" s="13"/>
    </row>
    <row r="9" spans="1:15" x14ac:dyDescent="0.25">
      <c r="A9" s="13"/>
      <c r="B9" s="13"/>
      <c r="C9" s="14" t="s">
        <v>155</v>
      </c>
      <c r="D9" s="21">
        <f>+H113</f>
        <v>705000</v>
      </c>
      <c r="E9" s="21">
        <f>+H81</f>
        <v>582500</v>
      </c>
      <c r="F9" s="21">
        <f>+H49</f>
        <v>587500</v>
      </c>
      <c r="G9" s="21">
        <v>580358</v>
      </c>
      <c r="H9" s="21">
        <v>476357.72</v>
      </c>
      <c r="I9" s="61">
        <f>+J9</f>
        <v>476357.72</v>
      </c>
      <c r="J9" s="60">
        <v>476357.72</v>
      </c>
      <c r="K9" s="13"/>
      <c r="M9" s="154">
        <v>2018</v>
      </c>
      <c r="N9" s="155">
        <f>+F9-G11</f>
        <v>33730</v>
      </c>
      <c r="O9" s="155"/>
    </row>
    <row r="10" spans="1:15" x14ac:dyDescent="0.25">
      <c r="A10" s="13"/>
      <c r="B10" s="13"/>
      <c r="C10" s="14"/>
      <c r="D10" s="62"/>
      <c r="E10" s="62"/>
      <c r="F10" s="62"/>
      <c r="G10" s="62">
        <v>-26588</v>
      </c>
      <c r="H10" s="62">
        <v>-20402</v>
      </c>
      <c r="I10" s="63">
        <v>-7422</v>
      </c>
      <c r="J10" s="63"/>
      <c r="K10" s="13"/>
      <c r="M10" s="154">
        <v>2019</v>
      </c>
      <c r="N10" s="156">
        <f>+E9-F9</f>
        <v>-5000</v>
      </c>
      <c r="O10" s="156">
        <f>+N10+N9</f>
        <v>28730</v>
      </c>
    </row>
    <row r="11" spans="1:15" ht="15.75" thickBot="1" x14ac:dyDescent="0.3">
      <c r="A11" s="13"/>
      <c r="B11" s="13"/>
      <c r="C11" s="14"/>
      <c r="D11" s="58">
        <f>+D9+D10</f>
        <v>705000</v>
      </c>
      <c r="E11" s="59">
        <f>+E9+E10</f>
        <v>582500</v>
      </c>
      <c r="F11" s="59">
        <f>+F9+F10</f>
        <v>587500</v>
      </c>
      <c r="G11" s="59">
        <f>+G9+G10</f>
        <v>553770</v>
      </c>
      <c r="H11" s="59">
        <v>455955.72</v>
      </c>
      <c r="I11" s="58">
        <f>+I9+I10</f>
        <v>468935.72</v>
      </c>
      <c r="J11" s="58">
        <f>SUM(J9:J10)</f>
        <v>476357.72</v>
      </c>
      <c r="K11" s="13"/>
      <c r="M11">
        <v>2020</v>
      </c>
      <c r="N11" s="10">
        <f>+D9-E9</f>
        <v>122500</v>
      </c>
      <c r="O11" s="10">
        <f>+O10+N11</f>
        <v>151230</v>
      </c>
    </row>
    <row r="12" spans="1:15" ht="15.75" thickTop="1" x14ac:dyDescent="0.25">
      <c r="A12" s="13"/>
      <c r="B12" s="13"/>
      <c r="C12" s="17"/>
      <c r="D12" s="17"/>
      <c r="E12" s="14"/>
      <c r="F12" s="14"/>
      <c r="G12" s="14"/>
      <c r="H12" s="14"/>
      <c r="I12" s="17"/>
      <c r="J12" s="60"/>
      <c r="K12" s="13"/>
    </row>
    <row r="13" spans="1:15" x14ac:dyDescent="0.25">
      <c r="A13" s="13"/>
      <c r="B13" s="13" t="s">
        <v>157</v>
      </c>
      <c r="C13" s="17" t="s">
        <v>158</v>
      </c>
      <c r="D13" s="17"/>
      <c r="E13" s="14"/>
      <c r="F13" s="14"/>
      <c r="G13" s="14"/>
      <c r="H13" s="14"/>
      <c r="I13" s="17"/>
      <c r="J13" s="60"/>
      <c r="K13" s="13"/>
    </row>
    <row r="14" spans="1:15" ht="15.75" thickBot="1" x14ac:dyDescent="0.3">
      <c r="A14" s="13"/>
      <c r="B14" s="13"/>
      <c r="C14" s="14" t="s">
        <v>159</v>
      </c>
      <c r="D14" s="26">
        <f>+AJ68</f>
        <v>242681.69</v>
      </c>
      <c r="E14" s="27">
        <f>+AL49</f>
        <v>227139.65</v>
      </c>
      <c r="F14" s="27">
        <f>+AJ20</f>
        <v>207937</v>
      </c>
      <c r="G14" s="27">
        <f>+'2017 Shares Val'!S26</f>
        <v>169130.39</v>
      </c>
      <c r="H14" s="27">
        <v>140943.76999999999</v>
      </c>
      <c r="I14" s="26" t="e">
        <f>+GETPIVOTDATA("Amt",[3]BS!$A$3,"Category 2","BS","type 1","Capital Asset - SMSF","Type 2","SMSF")</f>
        <v>#REF!</v>
      </c>
      <c r="J14" s="27">
        <v>0</v>
      </c>
      <c r="K14" s="13"/>
    </row>
    <row r="15" spans="1:15" ht="15.75" thickTop="1" x14ac:dyDescent="0.25">
      <c r="A15" s="13"/>
      <c r="B15" s="13"/>
      <c r="C15" s="17"/>
      <c r="D15" s="17"/>
      <c r="E15" s="14"/>
      <c r="F15" s="14"/>
      <c r="G15" s="14"/>
      <c r="H15" s="14"/>
      <c r="I15" s="17"/>
      <c r="J15" s="60"/>
      <c r="K15" s="13"/>
    </row>
    <row r="16" spans="1:15" x14ac:dyDescent="0.25">
      <c r="A16" s="13"/>
      <c r="B16" s="13"/>
      <c r="C16" s="13"/>
      <c r="D16" s="13"/>
      <c r="E16" s="14"/>
      <c r="F16" s="14"/>
      <c r="G16" s="14"/>
      <c r="H16" s="14"/>
      <c r="I16" s="17"/>
      <c r="J16" s="14"/>
      <c r="K16" s="13"/>
    </row>
    <row r="17" spans="1:38" x14ac:dyDescent="0.25">
      <c r="A17" s="13"/>
      <c r="B17" s="13" t="s">
        <v>160</v>
      </c>
      <c r="C17" s="17" t="s">
        <v>161</v>
      </c>
      <c r="D17" s="17"/>
      <c r="E17" s="14"/>
      <c r="F17" s="14"/>
      <c r="G17" s="14"/>
      <c r="H17" s="14"/>
      <c r="I17" s="17"/>
      <c r="J17" s="14"/>
      <c r="K17" s="13"/>
    </row>
    <row r="18" spans="1:38" x14ac:dyDescent="0.25">
      <c r="A18" s="13"/>
      <c r="B18" s="13"/>
      <c r="C18" s="13" t="s">
        <v>294</v>
      </c>
      <c r="D18" s="160">
        <v>-5306</v>
      </c>
      <c r="E18" s="22">
        <v>763</v>
      </c>
      <c r="F18" s="22">
        <v>6240</v>
      </c>
      <c r="G18" s="22">
        <v>0</v>
      </c>
      <c r="H18" s="14"/>
      <c r="I18" s="17"/>
      <c r="J18" s="14"/>
      <c r="K18" s="13"/>
      <c r="AL18" s="132"/>
    </row>
    <row r="19" spans="1:38" x14ac:dyDescent="0.25">
      <c r="A19" s="13"/>
      <c r="B19" s="13"/>
      <c r="C19" s="13" t="s">
        <v>293</v>
      </c>
      <c r="D19" s="22">
        <f>+'losses cftd'!J10</f>
        <v>6923.953285714284</v>
      </c>
      <c r="E19" s="62">
        <f>+'losses cftd'!J9</f>
        <v>7778.3532857142836</v>
      </c>
      <c r="F19" s="62">
        <f>+'losses cftd'!J8</f>
        <v>8188.453285714284</v>
      </c>
      <c r="G19" s="158">
        <v>6657</v>
      </c>
      <c r="H19" s="14"/>
      <c r="I19" s="17"/>
      <c r="J19" s="14"/>
      <c r="K19" s="13"/>
      <c r="AL19" s="132"/>
    </row>
    <row r="20" spans="1:38" ht="15.75" thickBot="1" x14ac:dyDescent="0.3">
      <c r="A20" s="13"/>
      <c r="B20" s="13"/>
      <c r="D20" s="59">
        <f>SUM(D18:D19)</f>
        <v>1617.953285714284</v>
      </c>
      <c r="E20" s="59">
        <f>SUM(E18:E19)</f>
        <v>8541.3532857142836</v>
      </c>
      <c r="F20" s="59">
        <f>SUM(F18:F19)</f>
        <v>14428.453285714284</v>
      </c>
      <c r="G20" s="58">
        <f>+'losses cftd'!J7</f>
        <v>7049.953285714284</v>
      </c>
      <c r="H20" s="58">
        <v>4378.3542857142829</v>
      </c>
      <c r="I20" s="64" t="e">
        <f>+'[3]PL-1'!G19</f>
        <v>#REF!</v>
      </c>
      <c r="J20" s="65">
        <v>5580.1080000000002</v>
      </c>
      <c r="K20" s="13"/>
      <c r="AJ20" s="132">
        <v>207937</v>
      </c>
      <c r="AK20" s="3" t="s">
        <v>248</v>
      </c>
      <c r="AL20" s="9">
        <f>+'2017 Shares Val'!S26</f>
        <v>169130.39</v>
      </c>
    </row>
    <row r="21" spans="1:38" ht="15.75" thickTop="1" x14ac:dyDescent="0.25">
      <c r="A21" s="13"/>
      <c r="B21" s="13"/>
      <c r="C21" s="17"/>
      <c r="D21" s="17"/>
      <c r="E21" s="14"/>
      <c r="F21" s="14"/>
      <c r="G21" s="14"/>
      <c r="H21" s="14"/>
      <c r="I21" s="17"/>
      <c r="J21" s="60"/>
      <c r="K21" s="13"/>
      <c r="AJ21">
        <v>2018</v>
      </c>
      <c r="AK21" s="3" t="s">
        <v>283</v>
      </c>
      <c r="AL21" s="9"/>
    </row>
    <row r="22" spans="1:38" x14ac:dyDescent="0.25">
      <c r="A22" s="13"/>
      <c r="B22" s="13" t="s">
        <v>162</v>
      </c>
      <c r="C22" s="17" t="s">
        <v>163</v>
      </c>
      <c r="D22" s="17"/>
      <c r="E22" s="14"/>
      <c r="F22" s="14"/>
      <c r="G22" s="14"/>
      <c r="H22" s="14"/>
      <c r="I22" s="17"/>
      <c r="J22" s="14"/>
      <c r="K22" s="13"/>
      <c r="AK22" s="3" t="s">
        <v>235</v>
      </c>
      <c r="AL22" s="9">
        <v>-4588.99</v>
      </c>
    </row>
    <row r="23" spans="1:38" ht="15.75" thickBot="1" x14ac:dyDescent="0.3">
      <c r="A23" s="13"/>
      <c r="B23" s="13"/>
      <c r="C23" s="13" t="s">
        <v>93</v>
      </c>
      <c r="D23" s="64">
        <v>-254846</v>
      </c>
      <c r="E23" s="65">
        <v>-260605</v>
      </c>
      <c r="F23" s="65">
        <v>-265320</v>
      </c>
      <c r="G23" s="65">
        <f>+'Liberty loan'!I40</f>
        <v>-269650.80999999988</v>
      </c>
      <c r="H23" s="65">
        <v>-273973.37999999995</v>
      </c>
      <c r="I23" s="64">
        <f>+'[3]Inv Loan details'!J11</f>
        <v>-281619.46999999997</v>
      </c>
      <c r="J23" s="65">
        <v>-284787.46000000002</v>
      </c>
      <c r="K23" s="13"/>
      <c r="AJ23" t="s">
        <v>285</v>
      </c>
      <c r="AK23" s="3" t="s">
        <v>284</v>
      </c>
      <c r="AL23" s="9">
        <f>+AL20+AL22</f>
        <v>164541.40000000002</v>
      </c>
    </row>
    <row r="24" spans="1:38" ht="15.75" thickTop="1" x14ac:dyDescent="0.25">
      <c r="A24" s="13"/>
      <c r="B24" s="13"/>
      <c r="C24" s="13"/>
      <c r="D24" s="13"/>
      <c r="E24" s="14"/>
      <c r="F24" s="14"/>
      <c r="G24" s="14"/>
      <c r="H24" s="14"/>
      <c r="I24" s="17"/>
      <c r="J24" s="14"/>
      <c r="K24" s="13"/>
      <c r="AJ24" s="151">
        <v>44377</v>
      </c>
      <c r="AK24" s="10"/>
      <c r="AL24" s="132">
        <f>+AJ20</f>
        <v>207937</v>
      </c>
    </row>
    <row r="25" spans="1:38" x14ac:dyDescent="0.25">
      <c r="A25" s="13"/>
      <c r="B25" s="13"/>
      <c r="C25" s="13"/>
      <c r="D25" s="13"/>
      <c r="E25" s="14"/>
      <c r="F25" s="14"/>
      <c r="G25" s="14"/>
      <c r="H25" s="14"/>
      <c r="I25" s="17"/>
      <c r="J25" s="14"/>
      <c r="K25" s="13"/>
      <c r="AK25" t="s">
        <v>271</v>
      </c>
      <c r="AL25" s="153">
        <f>+AL24-AL23</f>
        <v>43395.599999999977</v>
      </c>
    </row>
    <row r="26" spans="1:38" x14ac:dyDescent="0.25">
      <c r="A26" s="13"/>
      <c r="B26" s="13" t="s">
        <v>297</v>
      </c>
      <c r="C26" s="47" t="s">
        <v>143</v>
      </c>
      <c r="D26" s="47"/>
      <c r="E26" s="66"/>
      <c r="F26" s="66"/>
      <c r="G26" s="66"/>
      <c r="H26" s="66"/>
      <c r="I26" s="47"/>
      <c r="J26" s="14"/>
      <c r="K26" s="13"/>
      <c r="AJ26">
        <v>5196.59</v>
      </c>
      <c r="AL26" s="132"/>
    </row>
    <row r="27" spans="1:38" x14ac:dyDescent="0.25">
      <c r="A27" s="13"/>
      <c r="B27" s="13"/>
      <c r="C27" s="13"/>
      <c r="D27" s="13"/>
      <c r="E27" s="14"/>
      <c r="F27" s="14"/>
      <c r="G27" s="14"/>
      <c r="H27" s="14"/>
      <c r="I27" s="17"/>
      <c r="J27" s="14"/>
      <c r="K27" s="13"/>
    </row>
    <row r="28" spans="1:38" x14ac:dyDescent="0.25">
      <c r="A28" s="13"/>
      <c r="B28" s="13"/>
      <c r="C28" s="17" t="s">
        <v>164</v>
      </c>
      <c r="D28" s="17"/>
      <c r="E28" s="14"/>
      <c r="F28" s="14"/>
      <c r="G28" s="14"/>
      <c r="H28" s="14"/>
      <c r="I28" s="17"/>
      <c r="J28" s="14"/>
      <c r="K28" s="13"/>
    </row>
    <row r="29" spans="1:38" x14ac:dyDescent="0.25">
      <c r="A29" s="13"/>
      <c r="B29" s="13"/>
      <c r="C29" s="13" t="s">
        <v>165</v>
      </c>
      <c r="D29" s="57">
        <f>+E33</f>
        <v>-650304.65</v>
      </c>
      <c r="E29" s="62">
        <f>+F33</f>
        <v>-629321.1</v>
      </c>
      <c r="F29" s="62">
        <f>+G33</f>
        <v>-541107</v>
      </c>
      <c r="G29" s="62">
        <v>-491775</v>
      </c>
      <c r="H29" s="62">
        <v>-404711.234</v>
      </c>
      <c r="I29" s="67">
        <f>+J33</f>
        <v>-403822.85800000001</v>
      </c>
      <c r="J29" s="68">
        <v>-415063.64999999997</v>
      </c>
      <c r="K29" s="13"/>
    </row>
    <row r="30" spans="1:38" hidden="1" x14ac:dyDescent="0.25">
      <c r="A30" s="13"/>
      <c r="B30" s="13"/>
      <c r="C30" s="13" t="s">
        <v>166</v>
      </c>
      <c r="D30" s="57">
        <v>0</v>
      </c>
      <c r="E30" s="62">
        <v>0</v>
      </c>
      <c r="F30" s="62">
        <v>0</v>
      </c>
      <c r="G30" s="62">
        <v>0</v>
      </c>
      <c r="H30" s="68">
        <v>-33.79</v>
      </c>
      <c r="I30" s="63">
        <v>-5</v>
      </c>
      <c r="J30" s="68">
        <v>-1020</v>
      </c>
      <c r="K30" s="13"/>
    </row>
    <row r="31" spans="1:38" x14ac:dyDescent="0.25">
      <c r="A31" s="13"/>
      <c r="B31" s="13"/>
      <c r="C31" s="17" t="s">
        <v>111</v>
      </c>
      <c r="D31" s="69">
        <f>+D29+D30</f>
        <v>-650304.65</v>
      </c>
      <c r="E31" s="70">
        <f>+E29+E30</f>
        <v>-629321.1</v>
      </c>
      <c r="F31" s="70">
        <f>+F29+F30</f>
        <v>-541107</v>
      </c>
      <c r="G31" s="70">
        <f>+G29+G30</f>
        <v>-491775</v>
      </c>
      <c r="H31" s="69">
        <f>+H29+H30</f>
        <v>-404745.02399999998</v>
      </c>
      <c r="I31" s="69">
        <f>SUM(I29:I30)</f>
        <v>-403827.85800000001</v>
      </c>
      <c r="J31" s="70">
        <v>-416843.11</v>
      </c>
      <c r="K31" s="13"/>
    </row>
    <row r="32" spans="1:38" x14ac:dyDescent="0.25">
      <c r="A32" s="13"/>
      <c r="B32" s="13"/>
      <c r="C32" s="13" t="s">
        <v>167</v>
      </c>
      <c r="D32" s="63">
        <f>-'2020 PL'!D20</f>
        <v>-127626.69</v>
      </c>
      <c r="E32" s="68">
        <f>-'2019 PL'!D20</f>
        <v>-20983.549999999996</v>
      </c>
      <c r="F32" s="68">
        <f>-'2018 PL'!D22</f>
        <v>-88214.099999999977</v>
      </c>
      <c r="G32" s="68">
        <v>-49332</v>
      </c>
      <c r="H32" s="68">
        <v>-7885.3300000000017</v>
      </c>
      <c r="I32" s="63" t="e">
        <f>-'[3]PL-1'!D21</f>
        <v>#REF!</v>
      </c>
      <c r="J32" s="68">
        <v>13020.252</v>
      </c>
      <c r="K32" s="13"/>
    </row>
    <row r="33" spans="1:38" ht="15.75" thickBot="1" x14ac:dyDescent="0.3">
      <c r="A33" s="13"/>
      <c r="B33" s="13"/>
      <c r="C33" s="13" t="s">
        <v>168</v>
      </c>
      <c r="D33" s="71">
        <f>+D31+D32</f>
        <v>-777931.34000000008</v>
      </c>
      <c r="E33" s="72">
        <f>+E31+E32</f>
        <v>-650304.65</v>
      </c>
      <c r="F33" s="72">
        <f>+F31+F32</f>
        <v>-629321.1</v>
      </c>
      <c r="G33" s="72">
        <f>+G31+G32</f>
        <v>-541107</v>
      </c>
      <c r="H33" s="72">
        <v>-412630.35399999999</v>
      </c>
      <c r="I33" s="71" t="e">
        <f>+I31+I32</f>
        <v>#REF!</v>
      </c>
      <c r="J33" s="72">
        <v>-403822.85800000001</v>
      </c>
      <c r="K33" s="13"/>
    </row>
    <row r="34" spans="1:38" ht="15.75" thickTop="1" x14ac:dyDescent="0.25">
      <c r="A34" s="13"/>
      <c r="B34" s="13"/>
      <c r="C34" s="13"/>
      <c r="D34" s="13"/>
      <c r="E34" s="14"/>
      <c r="F34" s="14"/>
      <c r="G34" s="14"/>
      <c r="H34" s="14"/>
      <c r="I34" s="17"/>
      <c r="J34" s="14"/>
      <c r="K34" s="13"/>
    </row>
    <row r="35" spans="1:38" x14ac:dyDescent="0.25">
      <c r="A35" s="13"/>
      <c r="B35" s="13"/>
      <c r="C35" s="13"/>
      <c r="D35" s="13"/>
      <c r="E35" s="14"/>
      <c r="F35" s="17"/>
      <c r="G35" s="13"/>
      <c r="H35" s="14"/>
      <c r="I35" s="17"/>
      <c r="J35" s="14"/>
      <c r="K35" s="13"/>
    </row>
    <row r="36" spans="1:38" x14ac:dyDescent="0.25">
      <c r="E36" s="29"/>
      <c r="F36" s="28"/>
      <c r="H36" s="29"/>
      <c r="I36" s="28"/>
      <c r="J36" s="29"/>
    </row>
    <row r="37" spans="1:38" x14ac:dyDescent="0.25">
      <c r="E37" s="29"/>
      <c r="F37" s="28"/>
      <c r="H37" s="29"/>
    </row>
    <row r="38" spans="1:38" x14ac:dyDescent="0.25">
      <c r="H38" s="29"/>
    </row>
    <row r="39" spans="1:38" x14ac:dyDescent="0.25">
      <c r="H39" s="29"/>
    </row>
    <row r="40" spans="1:38" x14ac:dyDescent="0.25">
      <c r="H40" s="29"/>
    </row>
    <row r="45" spans="1:38" x14ac:dyDescent="0.25">
      <c r="AJ45" s="148"/>
      <c r="AK45" s="3" t="s">
        <v>248</v>
      </c>
      <c r="AL45" s="9">
        <f>+AL24</f>
        <v>207937</v>
      </c>
    </row>
    <row r="46" spans="1:38" x14ac:dyDescent="0.25">
      <c r="AJ46" s="149">
        <v>2019</v>
      </c>
      <c r="AK46" s="3" t="s">
        <v>283</v>
      </c>
      <c r="AL46" s="9"/>
    </row>
    <row r="47" spans="1:38" x14ac:dyDescent="0.25">
      <c r="AJ47" s="148">
        <v>227139.65</v>
      </c>
      <c r="AK47" s="3" t="s">
        <v>235</v>
      </c>
      <c r="AL47" s="9">
        <v>0</v>
      </c>
    </row>
    <row r="48" spans="1:38" x14ac:dyDescent="0.25">
      <c r="H48" t="s">
        <v>287</v>
      </c>
      <c r="AJ48" t="s">
        <v>285</v>
      </c>
      <c r="AK48" s="3" t="s">
        <v>284</v>
      </c>
      <c r="AL48" s="9">
        <f>+AL45+AL46-AL47</f>
        <v>207937</v>
      </c>
    </row>
    <row r="49" spans="8:38" x14ac:dyDescent="0.25">
      <c r="H49">
        <f>(575000+600000)/2</f>
        <v>587500</v>
      </c>
      <c r="K49">
        <v>2018</v>
      </c>
      <c r="AJ49" s="151">
        <v>44377</v>
      </c>
      <c r="AK49" s="3" t="s">
        <v>284</v>
      </c>
      <c r="AL49" s="132">
        <f>+AJ47</f>
        <v>227139.65</v>
      </c>
    </row>
    <row r="50" spans="8:38" x14ac:dyDescent="0.25">
      <c r="AJ50" s="150"/>
      <c r="AK50" t="s">
        <v>271</v>
      </c>
      <c r="AL50" s="132">
        <f>+AL49-AL48</f>
        <v>19202.649999999994</v>
      </c>
    </row>
    <row r="51" spans="8:38" x14ac:dyDescent="0.25">
      <c r="AJ51" s="150"/>
    </row>
    <row r="52" spans="8:38" x14ac:dyDescent="0.25">
      <c r="AJ52" s="150"/>
    </row>
    <row r="53" spans="8:38" x14ac:dyDescent="0.25">
      <c r="AJ53" s="150"/>
    </row>
    <row r="54" spans="8:38" x14ac:dyDescent="0.25">
      <c r="AI54">
        <v>5200.2299999999996</v>
      </c>
      <c r="AJ54" s="150"/>
    </row>
    <row r="55" spans="8:38" x14ac:dyDescent="0.25">
      <c r="AJ55" s="150">
        <v>5200</v>
      </c>
    </row>
    <row r="64" spans="8:38" x14ac:dyDescent="0.25">
      <c r="AJ64" s="148"/>
      <c r="AK64" s="3" t="s">
        <v>248</v>
      </c>
      <c r="AL64" s="9">
        <f>+AL49</f>
        <v>227139.65</v>
      </c>
    </row>
    <row r="65" spans="8:38" x14ac:dyDescent="0.25">
      <c r="AJ65" s="149">
        <v>2020</v>
      </c>
      <c r="AK65" s="3" t="s">
        <v>283</v>
      </c>
      <c r="AL65" s="9">
        <v>14879.95</v>
      </c>
    </row>
    <row r="66" spans="8:38" x14ac:dyDescent="0.25">
      <c r="AJ66" s="148"/>
      <c r="AK66" s="3" t="s">
        <v>235</v>
      </c>
      <c r="AL66" s="9">
        <v>0</v>
      </c>
    </row>
    <row r="67" spans="8:38" x14ac:dyDescent="0.25">
      <c r="AJ67" s="150"/>
      <c r="AK67" s="3" t="s">
        <v>284</v>
      </c>
      <c r="AL67" s="9">
        <f>+AL64+AL65-AL66</f>
        <v>242019.6</v>
      </c>
    </row>
    <row r="68" spans="8:38" x14ac:dyDescent="0.25">
      <c r="AJ68" s="150">
        <v>242681.69</v>
      </c>
      <c r="AK68" s="3" t="s">
        <v>284</v>
      </c>
      <c r="AL68" s="132">
        <f>+AJ68</f>
        <v>242681.69</v>
      </c>
    </row>
    <row r="69" spans="8:38" x14ac:dyDescent="0.25">
      <c r="AJ69" s="150"/>
      <c r="AK69" t="s">
        <v>271</v>
      </c>
      <c r="AL69" s="132">
        <f>+AL68-AL67</f>
        <v>662.08999999999651</v>
      </c>
    </row>
    <row r="70" spans="8:38" x14ac:dyDescent="0.25">
      <c r="AJ70" s="150"/>
    </row>
    <row r="71" spans="8:38" x14ac:dyDescent="0.25">
      <c r="AJ71" s="150"/>
    </row>
    <row r="72" spans="8:38" x14ac:dyDescent="0.25">
      <c r="AJ72" s="150"/>
    </row>
    <row r="73" spans="8:38" x14ac:dyDescent="0.25">
      <c r="AJ73" s="150"/>
    </row>
    <row r="74" spans="8:38" x14ac:dyDescent="0.25">
      <c r="AJ74" s="150">
        <v>323.70999999999998</v>
      </c>
    </row>
    <row r="80" spans="8:38" x14ac:dyDescent="0.25">
      <c r="H80" t="s">
        <v>287</v>
      </c>
      <c r="AI80">
        <v>323.70999999999998</v>
      </c>
    </row>
    <row r="81" spans="8:11" x14ac:dyDescent="0.25">
      <c r="H81">
        <f>(565000+600000)/2</f>
        <v>582500</v>
      </c>
      <c r="K81" s="28">
        <v>2019</v>
      </c>
    </row>
    <row r="112" spans="8:8" x14ac:dyDescent="0.25">
      <c r="H112" t="s">
        <v>287</v>
      </c>
    </row>
    <row r="113" spans="8:11" x14ac:dyDescent="0.25">
      <c r="H113" s="150">
        <v>705000</v>
      </c>
      <c r="K113">
        <v>2020</v>
      </c>
    </row>
  </sheetData>
  <pageMargins left="0.7" right="0.7" top="0.75" bottom="0.75" header="0.3" footer="0.3"/>
  <pageSetup orientation="portrait" horizontalDpi="0" verticalDpi="0" r:id="rId1"/>
  <ignoredErrors>
    <ignoredError sqref="D32:F32" formula="1"/>
  </ignoredError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E2:K15"/>
  <sheetViews>
    <sheetView tabSelected="1" workbookViewId="0">
      <selection activeCell="J8" sqref="J8"/>
    </sheetView>
  </sheetViews>
  <sheetFormatPr defaultRowHeight="15" x14ac:dyDescent="0.25"/>
  <cols>
    <col min="6" max="6" width="10.5703125" style="132" bestFit="1" customWidth="1"/>
    <col min="7" max="7" width="10.5703125" style="132" customWidth="1"/>
    <col min="8" max="8" width="16.85546875" customWidth="1"/>
    <col min="9" max="9" width="11.5703125" customWidth="1"/>
    <col min="10" max="10" width="9.5703125" bestFit="1" customWidth="1"/>
    <col min="11" max="11" width="9.28515625" bestFit="1" customWidth="1"/>
  </cols>
  <sheetData>
    <row r="2" spans="5:11" x14ac:dyDescent="0.25">
      <c r="E2" s="3" t="s">
        <v>263</v>
      </c>
      <c r="F2" s="9" t="s">
        <v>69</v>
      </c>
      <c r="G2" s="9" t="s">
        <v>264</v>
      </c>
      <c r="H2" s="3" t="s">
        <v>82</v>
      </c>
      <c r="I2" s="146" t="s">
        <v>265</v>
      </c>
      <c r="J2" s="146" t="s">
        <v>266</v>
      </c>
    </row>
    <row r="3" spans="5:11" x14ac:dyDescent="0.25">
      <c r="E3" s="3" t="s">
        <v>267</v>
      </c>
      <c r="F3" s="9">
        <v>20035</v>
      </c>
      <c r="G3" s="9" t="s">
        <v>268</v>
      </c>
      <c r="H3" s="3" t="s">
        <v>269</v>
      </c>
      <c r="J3" s="132">
        <f>+'[3]BS-1'!E12</f>
        <v>5580.1080000000002</v>
      </c>
      <c r="K3" s="132"/>
    </row>
    <row r="4" spans="5:11" x14ac:dyDescent="0.25">
      <c r="E4" s="3" t="s">
        <v>270</v>
      </c>
      <c r="F4" s="9">
        <v>-1086</v>
      </c>
      <c r="G4" s="9" t="s">
        <v>271</v>
      </c>
      <c r="H4" s="3" t="s">
        <v>272</v>
      </c>
      <c r="I4" s="10">
        <f>+F3+F4</f>
        <v>18949</v>
      </c>
      <c r="J4" s="132">
        <f t="shared" ref="J4:J10" si="0">+I4*0.3</f>
        <v>5684.7</v>
      </c>
      <c r="K4" s="132">
        <f t="shared" ref="K4:K10" si="1">+J3-J4</f>
        <v>-104.59199999999964</v>
      </c>
    </row>
    <row r="5" spans="5:11" x14ac:dyDescent="0.25">
      <c r="E5" s="3" t="s">
        <v>273</v>
      </c>
      <c r="F5" s="9">
        <f>-'[1]2015 PL'!D17</f>
        <v>-1185.1457142857107</v>
      </c>
      <c r="G5" s="9" t="s">
        <v>271</v>
      </c>
      <c r="H5" s="3" t="s">
        <v>272</v>
      </c>
      <c r="I5" s="10">
        <f t="shared" ref="I5:I10" si="2">+I4+F5</f>
        <v>17763.854285714289</v>
      </c>
      <c r="J5" s="132">
        <f t="shared" si="0"/>
        <v>5329.1562857142862</v>
      </c>
      <c r="K5" s="132">
        <f t="shared" si="1"/>
        <v>355.54371428571358</v>
      </c>
    </row>
    <row r="6" spans="5:11" x14ac:dyDescent="0.25">
      <c r="E6" s="3" t="s">
        <v>274</v>
      </c>
      <c r="F6" s="9">
        <f>-'[2]2016 PL'!D18+'[2]2016 PL'!D8</f>
        <v>9148.9899999999907</v>
      </c>
      <c r="G6" s="9" t="s">
        <v>271</v>
      </c>
      <c r="H6" s="3" t="s">
        <v>272</v>
      </c>
      <c r="I6" s="10">
        <f t="shared" si="2"/>
        <v>26912.84428571428</v>
      </c>
      <c r="J6" s="132">
        <f t="shared" si="0"/>
        <v>8073.8532857142836</v>
      </c>
      <c r="K6" s="132">
        <f t="shared" si="1"/>
        <v>-2744.6969999999974</v>
      </c>
    </row>
    <row r="7" spans="5:11" x14ac:dyDescent="0.25">
      <c r="E7" s="3" t="s">
        <v>279</v>
      </c>
      <c r="F7" s="9">
        <v>-3413</v>
      </c>
      <c r="G7" s="9" t="s">
        <v>271</v>
      </c>
      <c r="H7" s="3" t="s">
        <v>272</v>
      </c>
      <c r="I7" s="10">
        <f t="shared" si="2"/>
        <v>23499.84428571428</v>
      </c>
      <c r="J7" s="132">
        <f t="shared" si="0"/>
        <v>7049.953285714284</v>
      </c>
      <c r="K7" s="132">
        <f t="shared" si="1"/>
        <v>1023.8999999999996</v>
      </c>
    </row>
    <row r="8" spans="5:11" x14ac:dyDescent="0.25">
      <c r="E8" s="3" t="s">
        <v>281</v>
      </c>
      <c r="F8" s="9">
        <v>3795</v>
      </c>
      <c r="G8" s="9" t="s">
        <v>268</v>
      </c>
      <c r="H8" s="3" t="s">
        <v>272</v>
      </c>
      <c r="I8" s="10">
        <f t="shared" si="2"/>
        <v>27294.84428571428</v>
      </c>
      <c r="J8" s="132">
        <f t="shared" si="0"/>
        <v>8188.453285714284</v>
      </c>
      <c r="K8" s="132">
        <f t="shared" si="1"/>
        <v>-1138.5</v>
      </c>
    </row>
    <row r="9" spans="5:11" x14ac:dyDescent="0.25">
      <c r="E9" s="3" t="s">
        <v>282</v>
      </c>
      <c r="F9" s="9">
        <v>-1367</v>
      </c>
      <c r="G9" s="9" t="s">
        <v>271</v>
      </c>
      <c r="H9" s="3" t="s">
        <v>272</v>
      </c>
      <c r="I9" s="10">
        <f t="shared" si="2"/>
        <v>25927.84428571428</v>
      </c>
      <c r="J9" s="132">
        <f t="shared" si="0"/>
        <v>7778.3532857142836</v>
      </c>
      <c r="K9" s="132">
        <f t="shared" si="1"/>
        <v>410.10000000000036</v>
      </c>
    </row>
    <row r="10" spans="5:11" x14ac:dyDescent="0.25">
      <c r="E10" s="3" t="s">
        <v>286</v>
      </c>
      <c r="F10" s="9">
        <v>-2848</v>
      </c>
      <c r="G10" s="9" t="s">
        <v>271</v>
      </c>
      <c r="H10" s="3" t="s">
        <v>272</v>
      </c>
      <c r="I10" s="10">
        <f t="shared" si="2"/>
        <v>23079.84428571428</v>
      </c>
      <c r="J10" s="132">
        <f t="shared" si="0"/>
        <v>6923.953285714284</v>
      </c>
      <c r="K10" s="132">
        <f t="shared" si="1"/>
        <v>854.39999999999964</v>
      </c>
    </row>
    <row r="11" spans="5:11" x14ac:dyDescent="0.25">
      <c r="E11" s="3"/>
      <c r="F11" s="9">
        <f>SUM(F3:F10)</f>
        <v>23079.84428571428</v>
      </c>
      <c r="G11" s="9"/>
      <c r="H11" s="3"/>
    </row>
    <row r="12" spans="5:11" x14ac:dyDescent="0.25">
      <c r="E12" s="3"/>
      <c r="F12" s="9"/>
      <c r="G12" s="9"/>
      <c r="H12" s="3"/>
    </row>
    <row r="13" spans="5:11" x14ac:dyDescent="0.25">
      <c r="E13" s="3"/>
      <c r="F13" s="9"/>
      <c r="G13" s="9"/>
      <c r="H13" s="3"/>
    </row>
    <row r="14" spans="5:11" x14ac:dyDescent="0.25">
      <c r="E14" s="3"/>
      <c r="F14" s="9"/>
      <c r="G14" s="9"/>
      <c r="H14" s="3"/>
    </row>
    <row r="15" spans="5:11" x14ac:dyDescent="0.25">
      <c r="E15" s="3"/>
      <c r="F15" s="9"/>
      <c r="G15" s="9"/>
      <c r="H15" s="3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T106"/>
  <sheetViews>
    <sheetView topLeftCell="A45" workbookViewId="0">
      <selection activeCell="I5" sqref="I5"/>
    </sheetView>
  </sheetViews>
  <sheetFormatPr defaultRowHeight="15" x14ac:dyDescent="0.25"/>
  <cols>
    <col min="1" max="1" width="2.140625" customWidth="1"/>
    <col min="2" max="2" width="16.7109375" style="130" customWidth="1"/>
    <col min="3" max="3" width="8.42578125" customWidth="1"/>
    <col min="4" max="4" width="12.85546875" customWidth="1"/>
    <col min="5" max="5" width="16" customWidth="1"/>
    <col min="6" max="6" width="16.5703125" customWidth="1"/>
    <col min="7" max="7" width="1.42578125" customWidth="1"/>
    <col min="8" max="8" width="17.140625" customWidth="1"/>
    <col min="9" max="9" width="16.85546875" customWidth="1"/>
    <col min="10" max="10" width="8.28515625" customWidth="1"/>
    <col min="11" max="11" width="13.5703125" customWidth="1"/>
    <col min="12" max="12" width="3.7109375" customWidth="1"/>
    <col min="13" max="13" width="17.140625" customWidth="1"/>
    <col min="14" max="14" width="8.42578125" customWidth="1"/>
    <col min="15" max="15" width="15.7109375" customWidth="1"/>
    <col min="16" max="16" width="15.5703125" customWidth="1"/>
    <col min="17" max="17" width="11.5703125" customWidth="1"/>
    <col min="18" max="18" width="16" customWidth="1"/>
    <col min="19" max="19" width="2.28515625" customWidth="1"/>
  </cols>
  <sheetData>
    <row r="1" spans="1:20" x14ac:dyDescent="0.25">
      <c r="B1" s="73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</row>
    <row r="2" spans="1:20" ht="37.5" x14ac:dyDescent="0.3">
      <c r="A2" s="75"/>
      <c r="B2" s="76" t="s">
        <v>170</v>
      </c>
      <c r="C2" s="77"/>
      <c r="D2" s="77"/>
      <c r="E2" s="78"/>
      <c r="F2" s="78"/>
      <c r="G2" s="78"/>
      <c r="H2" s="78" t="s">
        <v>171</v>
      </c>
      <c r="I2" s="77"/>
      <c r="J2" s="78"/>
      <c r="K2" s="78"/>
      <c r="L2" s="79"/>
      <c r="M2" s="80" t="s">
        <v>172</v>
      </c>
      <c r="N2" s="77"/>
      <c r="O2" s="78"/>
      <c r="P2" s="78"/>
      <c r="Q2" s="78"/>
      <c r="R2" s="79"/>
      <c r="S2" s="75"/>
      <c r="T2" s="81"/>
    </row>
    <row r="3" spans="1:20" ht="93.75" x14ac:dyDescent="0.3">
      <c r="A3" s="75"/>
      <c r="B3" s="76" t="s">
        <v>173</v>
      </c>
      <c r="C3" s="82" t="s">
        <v>174</v>
      </c>
      <c r="D3" s="82" t="s">
        <v>175</v>
      </c>
      <c r="E3" s="76" t="s">
        <v>176</v>
      </c>
      <c r="F3" s="76" t="s">
        <v>177</v>
      </c>
      <c r="G3" s="78"/>
      <c r="H3" s="76" t="s">
        <v>173</v>
      </c>
      <c r="I3" s="82" t="s">
        <v>174</v>
      </c>
      <c r="J3" s="76" t="s">
        <v>178</v>
      </c>
      <c r="K3" s="76" t="s">
        <v>179</v>
      </c>
      <c r="L3" s="79"/>
      <c r="M3" s="83" t="s">
        <v>173</v>
      </c>
      <c r="N3" s="82" t="s">
        <v>174</v>
      </c>
      <c r="O3" s="84" t="s">
        <v>180</v>
      </c>
      <c r="P3" s="76" t="s">
        <v>181</v>
      </c>
      <c r="Q3" s="76" t="s">
        <v>182</v>
      </c>
      <c r="R3" s="85" t="s">
        <v>183</v>
      </c>
      <c r="S3" s="75"/>
      <c r="T3" s="81"/>
    </row>
    <row r="4" spans="1:20" x14ac:dyDescent="0.25">
      <c r="A4" s="86"/>
      <c r="B4" s="87" t="s">
        <v>184</v>
      </c>
      <c r="C4" s="88" t="s">
        <v>185</v>
      </c>
      <c r="D4" s="88"/>
      <c r="E4" s="3"/>
      <c r="F4" s="3"/>
      <c r="G4" s="86"/>
      <c r="H4" s="89" t="s">
        <v>184</v>
      </c>
      <c r="I4" s="88" t="s">
        <v>185</v>
      </c>
      <c r="J4" s="3"/>
      <c r="K4" s="3"/>
      <c r="L4" s="90"/>
      <c r="M4" s="89" t="s">
        <v>184</v>
      </c>
      <c r="N4" s="88" t="s">
        <v>185</v>
      </c>
      <c r="O4" s="8">
        <v>42629</v>
      </c>
      <c r="P4" s="91">
        <v>187.42</v>
      </c>
      <c r="Q4" s="92">
        <v>51.32</v>
      </c>
      <c r="R4" s="93">
        <v>187.42</v>
      </c>
      <c r="S4" s="86"/>
    </row>
    <row r="5" spans="1:20" x14ac:dyDescent="0.25">
      <c r="A5" s="86"/>
      <c r="B5" s="87" t="s">
        <v>184</v>
      </c>
      <c r="C5" s="88" t="s">
        <v>185</v>
      </c>
      <c r="D5" s="88"/>
      <c r="E5" s="3"/>
      <c r="F5" s="3"/>
      <c r="G5" s="86"/>
      <c r="H5" s="89" t="s">
        <v>184</v>
      </c>
      <c r="I5" s="88" t="s">
        <v>185</v>
      </c>
      <c r="J5" s="3"/>
      <c r="K5" s="3"/>
      <c r="L5" s="90"/>
      <c r="M5" s="89" t="s">
        <v>184</v>
      </c>
      <c r="N5" s="88" t="s">
        <v>185</v>
      </c>
      <c r="O5" s="8">
        <v>42809</v>
      </c>
      <c r="P5" s="91">
        <v>170.77</v>
      </c>
      <c r="Q5" s="91">
        <v>16.66</v>
      </c>
      <c r="R5" s="93">
        <v>170.77</v>
      </c>
      <c r="S5" s="86"/>
    </row>
    <row r="6" spans="1:20" x14ac:dyDescent="0.25">
      <c r="A6" s="86"/>
      <c r="B6" s="87"/>
      <c r="C6" s="88"/>
      <c r="D6" s="88"/>
      <c r="E6" s="3"/>
      <c r="F6" s="3"/>
      <c r="G6" s="86"/>
      <c r="H6" s="89"/>
      <c r="I6" s="88"/>
      <c r="J6" s="3"/>
      <c r="K6" s="3"/>
      <c r="L6" s="90"/>
      <c r="M6" s="89"/>
      <c r="N6" s="88"/>
      <c r="O6" s="3"/>
      <c r="P6" s="3"/>
      <c r="Q6" s="3"/>
      <c r="R6" s="94"/>
      <c r="S6" s="86"/>
    </row>
    <row r="7" spans="1:20" x14ac:dyDescent="0.25">
      <c r="A7" s="86"/>
      <c r="B7" s="87" t="s">
        <v>186</v>
      </c>
      <c r="C7" s="88" t="s">
        <v>186</v>
      </c>
      <c r="D7" s="88"/>
      <c r="E7" s="3"/>
      <c r="F7" s="3"/>
      <c r="G7" s="86"/>
      <c r="H7" s="89" t="s">
        <v>186</v>
      </c>
      <c r="I7" s="88" t="s">
        <v>186</v>
      </c>
      <c r="J7" s="3"/>
      <c r="K7" s="3"/>
      <c r="L7" s="90"/>
      <c r="M7" s="89" t="s">
        <v>186</v>
      </c>
      <c r="N7" s="88" t="s">
        <v>186</v>
      </c>
      <c r="O7" s="8">
        <v>42641</v>
      </c>
      <c r="P7" s="91">
        <v>277.2</v>
      </c>
      <c r="Q7" s="91">
        <v>118.8</v>
      </c>
      <c r="R7" s="93">
        <v>277.2</v>
      </c>
      <c r="S7" s="86"/>
    </row>
    <row r="8" spans="1:20" x14ac:dyDescent="0.25">
      <c r="A8" s="86"/>
      <c r="B8" s="87" t="s">
        <v>186</v>
      </c>
      <c r="C8" s="88" t="s">
        <v>186</v>
      </c>
      <c r="D8" s="88"/>
      <c r="E8" s="3"/>
      <c r="F8" s="3"/>
      <c r="G8" s="86"/>
      <c r="H8" s="89" t="s">
        <v>186</v>
      </c>
      <c r="I8" s="88" t="s">
        <v>186</v>
      </c>
      <c r="J8" s="3"/>
      <c r="K8" s="3"/>
      <c r="L8" s="90"/>
      <c r="M8" s="89" t="s">
        <v>186</v>
      </c>
      <c r="N8" s="88" t="s">
        <v>186</v>
      </c>
      <c r="O8" s="8">
        <v>42823</v>
      </c>
      <c r="P8" s="91">
        <v>285.60000000000002</v>
      </c>
      <c r="Q8" s="95">
        <v>122.4</v>
      </c>
      <c r="R8" s="93">
        <v>285.60000000000002</v>
      </c>
      <c r="S8" s="86"/>
    </row>
    <row r="9" spans="1:20" x14ac:dyDescent="0.25">
      <c r="A9" s="86"/>
      <c r="B9" s="87"/>
      <c r="C9" s="88"/>
      <c r="D9" s="88"/>
      <c r="E9" s="3"/>
      <c r="F9" s="3"/>
      <c r="G9" s="86"/>
      <c r="H9" s="89"/>
      <c r="I9" s="88"/>
      <c r="J9" s="3"/>
      <c r="K9" s="3"/>
      <c r="L9" s="90"/>
      <c r="M9" s="89"/>
      <c r="N9" s="88"/>
      <c r="O9" s="3"/>
      <c r="P9" s="3"/>
      <c r="Q9" s="3"/>
      <c r="R9" s="94"/>
      <c r="S9" s="86"/>
    </row>
    <row r="10" spans="1:20" x14ac:dyDescent="0.25">
      <c r="A10" s="86"/>
      <c r="B10" s="87"/>
      <c r="C10" s="88"/>
      <c r="D10" s="88"/>
      <c r="E10" s="3"/>
      <c r="F10" s="3"/>
      <c r="G10" s="86"/>
      <c r="H10" s="89"/>
      <c r="I10" s="88"/>
      <c r="J10" s="3"/>
      <c r="K10" s="3"/>
      <c r="L10" s="90"/>
      <c r="M10" s="89"/>
      <c r="N10" s="88"/>
      <c r="O10" s="3"/>
      <c r="P10" s="3"/>
      <c r="Q10" s="3"/>
      <c r="R10" s="94"/>
      <c r="S10" s="86"/>
    </row>
    <row r="11" spans="1:20" x14ac:dyDescent="0.25">
      <c r="A11" s="86"/>
      <c r="B11" s="87"/>
      <c r="C11" s="88"/>
      <c r="D11" s="88"/>
      <c r="E11" s="3"/>
      <c r="F11" s="3"/>
      <c r="G11" s="86"/>
      <c r="H11" s="89"/>
      <c r="I11" s="88"/>
      <c r="J11" s="3"/>
      <c r="K11" s="3"/>
      <c r="L11" s="90"/>
      <c r="M11" s="89"/>
      <c r="N11" s="88"/>
      <c r="O11" s="3"/>
      <c r="P11" s="3"/>
      <c r="Q11" s="3"/>
      <c r="R11" s="94"/>
      <c r="S11" s="86"/>
    </row>
    <row r="12" spans="1:20" x14ac:dyDescent="0.25">
      <c r="A12" s="86"/>
      <c r="B12" s="87" t="s">
        <v>187</v>
      </c>
      <c r="C12" s="88" t="s">
        <v>188</v>
      </c>
      <c r="D12" s="88"/>
      <c r="E12" s="8"/>
      <c r="F12" s="3"/>
      <c r="G12" s="86"/>
      <c r="H12" s="89" t="s">
        <v>189</v>
      </c>
      <c r="I12" s="88" t="s">
        <v>188</v>
      </c>
      <c r="J12" s="3"/>
      <c r="K12" s="3"/>
      <c r="L12" s="90"/>
      <c r="M12" s="89" t="s">
        <v>187</v>
      </c>
      <c r="N12" s="88" t="s">
        <v>188</v>
      </c>
      <c r="O12" s="8">
        <v>42822</v>
      </c>
      <c r="P12" s="91">
        <v>151.56</v>
      </c>
      <c r="Q12" s="91">
        <v>64.95</v>
      </c>
      <c r="R12" s="93">
        <v>151.56</v>
      </c>
      <c r="S12" s="86"/>
    </row>
    <row r="13" spans="1:20" x14ac:dyDescent="0.25">
      <c r="A13" s="86"/>
      <c r="B13" s="87"/>
      <c r="C13" s="88"/>
      <c r="D13" s="88"/>
      <c r="E13" s="8"/>
      <c r="F13" s="3"/>
      <c r="G13" s="86"/>
      <c r="H13" s="89"/>
      <c r="I13" s="88"/>
      <c r="J13" s="3"/>
      <c r="K13" s="3"/>
      <c r="L13" s="90"/>
      <c r="M13" s="89"/>
      <c r="N13" s="88" t="s">
        <v>188</v>
      </c>
      <c r="O13" s="8">
        <v>42633</v>
      </c>
      <c r="P13" s="91">
        <v>52.78</v>
      </c>
      <c r="Q13" s="91">
        <v>22.62</v>
      </c>
      <c r="R13" s="93">
        <v>52.78</v>
      </c>
      <c r="S13" s="86"/>
    </row>
    <row r="14" spans="1:20" x14ac:dyDescent="0.25">
      <c r="A14" s="86"/>
      <c r="B14" s="87" t="s">
        <v>190</v>
      </c>
      <c r="C14" s="88" t="s">
        <v>191</v>
      </c>
      <c r="D14" s="88"/>
      <c r="E14" s="3"/>
      <c r="F14" s="3"/>
      <c r="G14" s="86"/>
      <c r="H14" s="89" t="s">
        <v>189</v>
      </c>
      <c r="I14" s="88" t="s">
        <v>188</v>
      </c>
      <c r="J14" s="3"/>
      <c r="K14" s="3"/>
      <c r="L14" s="90"/>
      <c r="M14" s="89" t="s">
        <v>190</v>
      </c>
      <c r="N14" s="88" t="s">
        <v>192</v>
      </c>
      <c r="O14" s="8">
        <v>42831</v>
      </c>
      <c r="P14" s="91">
        <v>13.58</v>
      </c>
      <c r="Q14" s="92">
        <v>0</v>
      </c>
      <c r="R14" s="93">
        <v>13.58</v>
      </c>
      <c r="S14" s="86"/>
    </row>
    <row r="15" spans="1:20" x14ac:dyDescent="0.25">
      <c r="A15" s="86"/>
      <c r="B15" s="87"/>
      <c r="C15" s="88"/>
      <c r="D15" s="88"/>
      <c r="E15" s="3"/>
      <c r="F15" s="3"/>
      <c r="G15" s="86"/>
      <c r="H15" s="89"/>
      <c r="I15" s="88"/>
      <c r="J15" s="3"/>
      <c r="K15" s="3"/>
      <c r="L15" s="90"/>
      <c r="M15" s="89" t="s">
        <v>190</v>
      </c>
      <c r="N15" s="88" t="s">
        <v>191</v>
      </c>
      <c r="O15" s="8">
        <v>42650</v>
      </c>
      <c r="P15" s="91">
        <v>3.76</v>
      </c>
      <c r="Q15" s="91">
        <v>0</v>
      </c>
      <c r="R15" s="93">
        <v>3.76</v>
      </c>
      <c r="S15" s="86"/>
    </row>
    <row r="16" spans="1:20" x14ac:dyDescent="0.25">
      <c r="A16" s="86"/>
      <c r="B16" s="87"/>
      <c r="C16" s="88"/>
      <c r="D16" s="88"/>
      <c r="E16" s="3"/>
      <c r="F16" s="3"/>
      <c r="G16" s="86"/>
      <c r="H16" s="89"/>
      <c r="I16" s="88"/>
      <c r="J16" s="3"/>
      <c r="K16" s="3"/>
      <c r="L16" s="90"/>
      <c r="M16" s="89"/>
      <c r="N16" s="88"/>
      <c r="O16" s="8"/>
      <c r="P16" s="91"/>
      <c r="Q16" s="91"/>
      <c r="R16" s="93"/>
      <c r="S16" s="86"/>
    </row>
    <row r="17" spans="1:19" ht="30" x14ac:dyDescent="0.25">
      <c r="A17" s="86"/>
      <c r="B17" s="96" t="s">
        <v>193</v>
      </c>
      <c r="C17" s="97" t="s">
        <v>194</v>
      </c>
      <c r="D17" s="98">
        <v>42823</v>
      </c>
      <c r="E17" s="99">
        <v>49584</v>
      </c>
      <c r="F17" s="100">
        <v>2989.99</v>
      </c>
      <c r="G17" s="86"/>
      <c r="H17" s="89"/>
      <c r="I17" s="88"/>
      <c r="J17" s="3"/>
      <c r="K17" s="3"/>
      <c r="L17" s="90"/>
      <c r="M17" s="89" t="s">
        <v>193</v>
      </c>
      <c r="N17" s="88" t="s">
        <v>194</v>
      </c>
      <c r="O17" s="8" t="s">
        <v>195</v>
      </c>
      <c r="P17" s="91"/>
      <c r="Q17" s="91"/>
      <c r="R17" s="93"/>
      <c r="S17" s="86"/>
    </row>
    <row r="18" spans="1:19" x14ac:dyDescent="0.25">
      <c r="A18" s="86"/>
      <c r="B18" s="87"/>
      <c r="C18" s="88"/>
      <c r="D18" s="88"/>
      <c r="E18" s="3"/>
      <c r="F18" s="3"/>
      <c r="G18" s="86"/>
      <c r="H18" s="89"/>
      <c r="I18" s="88"/>
      <c r="J18" s="3"/>
      <c r="K18" s="3"/>
      <c r="L18" s="90"/>
      <c r="M18" s="89"/>
      <c r="N18" s="88"/>
      <c r="O18" s="3"/>
      <c r="P18" s="3"/>
      <c r="Q18" s="3"/>
      <c r="R18" s="94"/>
      <c r="S18" s="86"/>
    </row>
    <row r="19" spans="1:19" ht="30" x14ac:dyDescent="0.25">
      <c r="A19" s="86"/>
      <c r="B19" s="87" t="s">
        <v>196</v>
      </c>
      <c r="C19" s="88" t="s">
        <v>197</v>
      </c>
      <c r="D19" s="88"/>
      <c r="E19" s="3"/>
      <c r="F19" s="3"/>
      <c r="G19" s="86"/>
      <c r="H19" s="89" t="s">
        <v>196</v>
      </c>
      <c r="I19" s="88" t="s">
        <v>197</v>
      </c>
      <c r="J19" s="3"/>
      <c r="K19" s="3"/>
      <c r="L19" s="90"/>
      <c r="M19" s="89" t="s">
        <v>196</v>
      </c>
      <c r="N19" s="88" t="s">
        <v>197</v>
      </c>
      <c r="O19" s="8">
        <v>42660</v>
      </c>
      <c r="P19" s="101">
        <v>179.4</v>
      </c>
      <c r="Q19" s="92">
        <v>76.89</v>
      </c>
      <c r="R19" s="102">
        <v>179.4</v>
      </c>
      <c r="S19" s="86"/>
    </row>
    <row r="20" spans="1:19" ht="30" x14ac:dyDescent="0.25">
      <c r="A20" s="86"/>
      <c r="B20" s="87" t="s">
        <v>196</v>
      </c>
      <c r="C20" s="88" t="s">
        <v>197</v>
      </c>
      <c r="D20" s="88"/>
      <c r="E20" s="3"/>
      <c r="F20" s="3"/>
      <c r="G20" s="86"/>
      <c r="H20" s="89" t="s">
        <v>196</v>
      </c>
      <c r="I20" s="88" t="s">
        <v>197</v>
      </c>
      <c r="J20" s="3"/>
      <c r="K20" s="3"/>
      <c r="L20" s="90"/>
      <c r="M20" s="89" t="s">
        <v>196</v>
      </c>
      <c r="N20" s="88" t="s">
        <v>197</v>
      </c>
      <c r="O20" s="8">
        <v>42845</v>
      </c>
      <c r="P20" s="91">
        <v>172.04</v>
      </c>
      <c r="Q20" s="92">
        <v>73.73</v>
      </c>
      <c r="R20" s="93">
        <v>172.04</v>
      </c>
      <c r="S20" s="86"/>
    </row>
    <row r="21" spans="1:19" x14ac:dyDescent="0.25">
      <c r="A21" s="86"/>
      <c r="B21" s="87"/>
      <c r="C21" s="88"/>
      <c r="D21" s="88"/>
      <c r="E21" s="3"/>
      <c r="F21" s="3"/>
      <c r="G21" s="86"/>
      <c r="H21" s="89"/>
      <c r="I21" s="88"/>
      <c r="J21" s="3"/>
      <c r="K21" s="3"/>
      <c r="L21" s="90"/>
      <c r="M21" s="89"/>
      <c r="N21" s="88"/>
      <c r="O21" s="3"/>
      <c r="P21" s="3"/>
      <c r="Q21" s="3"/>
      <c r="R21" s="94"/>
      <c r="S21" s="86"/>
    </row>
    <row r="22" spans="1:19" x14ac:dyDescent="0.25">
      <c r="A22" s="86"/>
      <c r="B22" s="87" t="s">
        <v>198</v>
      </c>
      <c r="C22" s="88" t="s">
        <v>199</v>
      </c>
      <c r="D22" s="88"/>
      <c r="E22" s="3"/>
      <c r="F22" s="3"/>
      <c r="G22" s="86"/>
      <c r="H22" s="89" t="s">
        <v>198</v>
      </c>
      <c r="I22" s="88" t="s">
        <v>199</v>
      </c>
      <c r="J22" s="3"/>
      <c r="K22" s="3"/>
      <c r="L22" s="90"/>
      <c r="M22" s="89" t="s">
        <v>198</v>
      </c>
      <c r="N22" s="88" t="s">
        <v>199</v>
      </c>
      <c r="O22" s="8">
        <v>42642</v>
      </c>
      <c r="P22" s="91">
        <v>306.36</v>
      </c>
      <c r="Q22" s="91">
        <v>131.30000000000001</v>
      </c>
      <c r="R22" s="93">
        <v>306.36</v>
      </c>
      <c r="S22" s="86"/>
    </row>
    <row r="23" spans="1:19" x14ac:dyDescent="0.25">
      <c r="A23" s="86"/>
      <c r="B23" s="87"/>
      <c r="C23" s="88"/>
      <c r="D23" s="88"/>
      <c r="E23" s="3"/>
      <c r="F23" s="3"/>
      <c r="G23" s="86"/>
      <c r="H23" s="89"/>
      <c r="I23" s="88"/>
      <c r="J23" s="3"/>
      <c r="K23" s="3"/>
      <c r="L23" s="90"/>
      <c r="M23" s="89"/>
      <c r="N23" s="88"/>
      <c r="O23" s="8">
        <v>42829</v>
      </c>
      <c r="P23" s="91">
        <v>274.62</v>
      </c>
      <c r="Q23" s="91">
        <v>117.69</v>
      </c>
      <c r="R23" s="93">
        <v>274.62</v>
      </c>
      <c r="S23" s="86"/>
    </row>
    <row r="24" spans="1:19" x14ac:dyDescent="0.25">
      <c r="A24" s="86"/>
      <c r="B24" s="87"/>
      <c r="C24" s="88"/>
      <c r="D24" s="88"/>
      <c r="E24" s="3"/>
      <c r="F24" s="3"/>
      <c r="G24" s="86"/>
      <c r="H24" s="89"/>
      <c r="I24" s="88"/>
      <c r="J24" s="3"/>
      <c r="K24" s="3"/>
      <c r="L24" s="90"/>
      <c r="M24" s="89"/>
      <c r="N24" s="88"/>
      <c r="O24" s="8"/>
      <c r="P24" s="91"/>
      <c r="Q24" s="3"/>
      <c r="R24" s="93"/>
      <c r="S24" s="86"/>
    </row>
    <row r="25" spans="1:19" x14ac:dyDescent="0.25">
      <c r="A25" s="86"/>
      <c r="B25" s="87" t="s">
        <v>200</v>
      </c>
      <c r="C25" s="88" t="s">
        <v>201</v>
      </c>
      <c r="D25" s="88"/>
      <c r="E25" s="3"/>
      <c r="F25" s="3"/>
      <c r="G25" s="86"/>
      <c r="H25" s="89" t="s">
        <v>200</v>
      </c>
      <c r="I25" s="88" t="s">
        <v>201</v>
      </c>
      <c r="J25" s="3"/>
      <c r="K25" s="3"/>
      <c r="L25" s="90"/>
      <c r="M25" s="89" t="s">
        <v>200</v>
      </c>
      <c r="N25" s="88" t="s">
        <v>201</v>
      </c>
      <c r="O25" s="3" t="s">
        <v>195</v>
      </c>
      <c r="P25" s="3"/>
      <c r="Q25" s="3"/>
      <c r="R25" s="94"/>
      <c r="S25" s="86"/>
    </row>
    <row r="26" spans="1:19" x14ac:dyDescent="0.25">
      <c r="A26" s="86"/>
      <c r="B26" s="87"/>
      <c r="C26" s="88"/>
      <c r="D26" s="88"/>
      <c r="E26" s="3"/>
      <c r="F26" s="3"/>
      <c r="G26" s="86"/>
      <c r="H26" s="89"/>
      <c r="I26" s="88"/>
      <c r="J26" s="3"/>
      <c r="K26" s="3"/>
      <c r="L26" s="90"/>
      <c r="M26" s="89"/>
      <c r="N26" s="88"/>
      <c r="O26" s="3"/>
      <c r="P26" s="3"/>
      <c r="Q26" s="3"/>
      <c r="R26" s="94"/>
      <c r="S26" s="86"/>
    </row>
    <row r="27" spans="1:19" x14ac:dyDescent="0.25">
      <c r="A27" s="86"/>
      <c r="B27" s="87" t="s">
        <v>202</v>
      </c>
      <c r="C27" s="88" t="s">
        <v>202</v>
      </c>
      <c r="D27" s="88"/>
      <c r="E27" s="3"/>
      <c r="F27" s="3"/>
      <c r="G27" s="86"/>
      <c r="H27" s="89" t="s">
        <v>202</v>
      </c>
      <c r="I27" s="88" t="s">
        <v>202</v>
      </c>
      <c r="J27" s="3"/>
      <c r="K27" s="3"/>
      <c r="L27" s="90"/>
      <c r="M27" s="89" t="s">
        <v>202</v>
      </c>
      <c r="N27" s="88" t="s">
        <v>202</v>
      </c>
      <c r="O27" s="8">
        <v>42650</v>
      </c>
      <c r="P27" s="91">
        <v>266.88</v>
      </c>
      <c r="Q27" s="3">
        <v>0</v>
      </c>
      <c r="R27" s="93">
        <v>266.88</v>
      </c>
      <c r="S27" s="86"/>
    </row>
    <row r="28" spans="1:19" x14ac:dyDescent="0.25">
      <c r="A28" s="86"/>
      <c r="B28" s="87" t="s">
        <v>202</v>
      </c>
      <c r="C28" s="88" t="s">
        <v>202</v>
      </c>
      <c r="D28" s="88"/>
      <c r="E28" s="3"/>
      <c r="F28" s="3"/>
      <c r="G28" s="86"/>
      <c r="H28" s="89" t="s">
        <v>202</v>
      </c>
      <c r="I28" s="88" t="s">
        <v>202</v>
      </c>
      <c r="J28" s="3"/>
      <c r="K28" s="3"/>
      <c r="L28" s="90"/>
      <c r="M28" s="89" t="s">
        <v>202</v>
      </c>
      <c r="N28" s="88" t="s">
        <v>202</v>
      </c>
      <c r="O28" s="8">
        <v>42838</v>
      </c>
      <c r="P28" s="91">
        <v>252.17</v>
      </c>
      <c r="Q28" s="3">
        <v>0</v>
      </c>
      <c r="R28" s="93">
        <v>252.17</v>
      </c>
      <c r="S28" s="86"/>
    </row>
    <row r="29" spans="1:19" x14ac:dyDescent="0.25">
      <c r="A29" s="86"/>
      <c r="B29" s="87"/>
      <c r="C29" s="88"/>
      <c r="D29" s="88"/>
      <c r="E29" s="3"/>
      <c r="F29" s="3"/>
      <c r="G29" s="86"/>
      <c r="H29" s="89"/>
      <c r="I29" s="88"/>
      <c r="J29" s="3"/>
      <c r="K29" s="3"/>
      <c r="L29" s="90"/>
      <c r="M29" s="89"/>
      <c r="N29" s="88"/>
      <c r="O29" s="3"/>
      <c r="P29" s="3"/>
      <c r="Q29" s="3"/>
      <c r="R29" s="94"/>
      <c r="S29" s="86"/>
    </row>
    <row r="30" spans="1:19" x14ac:dyDescent="0.25">
      <c r="A30" s="86"/>
      <c r="B30" s="87"/>
      <c r="C30" s="88"/>
      <c r="D30" s="88"/>
      <c r="E30" s="3"/>
      <c r="F30" s="3"/>
      <c r="G30" s="86"/>
      <c r="H30" s="89"/>
      <c r="I30" s="88"/>
      <c r="J30" s="3"/>
      <c r="K30" s="3"/>
      <c r="L30" s="90"/>
      <c r="M30" s="89"/>
      <c r="N30" s="88"/>
      <c r="O30" s="3"/>
      <c r="P30" s="3"/>
      <c r="Q30" s="3"/>
      <c r="R30" s="94"/>
      <c r="S30" s="86"/>
    </row>
    <row r="31" spans="1:19" x14ac:dyDescent="0.25">
      <c r="A31" s="86"/>
      <c r="B31" s="87" t="s">
        <v>203</v>
      </c>
      <c r="C31" s="88" t="s">
        <v>204</v>
      </c>
      <c r="D31" s="88"/>
      <c r="E31" s="3"/>
      <c r="F31" s="3"/>
      <c r="G31" s="86"/>
      <c r="H31" s="103" t="s">
        <v>203</v>
      </c>
      <c r="I31" s="97" t="s">
        <v>205</v>
      </c>
      <c r="J31" s="99">
        <v>2537</v>
      </c>
      <c r="K31" s="99">
        <v>7687.1</v>
      </c>
      <c r="L31" s="90"/>
      <c r="M31" s="89" t="s">
        <v>203</v>
      </c>
      <c r="N31" s="88" t="s">
        <v>204</v>
      </c>
      <c r="O31" s="104">
        <v>42782</v>
      </c>
      <c r="P31" s="91">
        <v>234.68</v>
      </c>
      <c r="Q31" s="105">
        <v>0</v>
      </c>
      <c r="R31" s="93">
        <v>234.68</v>
      </c>
      <c r="S31" s="86"/>
    </row>
    <row r="32" spans="1:19" x14ac:dyDescent="0.25">
      <c r="A32" s="86"/>
      <c r="B32" s="87" t="s">
        <v>203</v>
      </c>
      <c r="C32" s="88" t="s">
        <v>204</v>
      </c>
      <c r="D32" s="88"/>
      <c r="E32" s="3"/>
      <c r="F32" s="3"/>
      <c r="G32" s="86"/>
      <c r="H32" s="89" t="s">
        <v>203</v>
      </c>
      <c r="I32" s="88" t="s">
        <v>204</v>
      </c>
      <c r="J32" s="3" t="s">
        <v>206</v>
      </c>
      <c r="K32" s="3"/>
      <c r="L32" s="90"/>
      <c r="M32" s="89" t="s">
        <v>203</v>
      </c>
      <c r="N32" s="88" t="s">
        <v>204</v>
      </c>
      <c r="O32" s="8">
        <v>42600</v>
      </c>
      <c r="P32" s="91">
        <v>228.33</v>
      </c>
      <c r="Q32" s="91">
        <v>0</v>
      </c>
      <c r="R32" s="93">
        <v>228.33</v>
      </c>
      <c r="S32" s="86"/>
    </row>
    <row r="33" spans="1:19" x14ac:dyDescent="0.25">
      <c r="A33" s="86"/>
      <c r="B33" s="87"/>
      <c r="C33" s="88"/>
      <c r="D33" s="88"/>
      <c r="E33" s="3"/>
      <c r="F33" s="3"/>
      <c r="G33" s="86"/>
      <c r="H33" s="89"/>
      <c r="I33" s="88"/>
      <c r="J33" s="3"/>
      <c r="K33" s="3"/>
      <c r="L33" s="90"/>
      <c r="M33" s="89" t="s">
        <v>203</v>
      </c>
      <c r="N33" s="88" t="s">
        <v>204</v>
      </c>
      <c r="O33" s="8">
        <v>42870</v>
      </c>
      <c r="P33" s="3" t="s">
        <v>207</v>
      </c>
      <c r="Q33" s="3">
        <v>17.79</v>
      </c>
      <c r="R33" s="94"/>
      <c r="S33" s="86"/>
    </row>
    <row r="34" spans="1:19" x14ac:dyDescent="0.25">
      <c r="A34" s="86"/>
      <c r="B34" s="87" t="s">
        <v>208</v>
      </c>
      <c r="C34" s="88" t="s">
        <v>209</v>
      </c>
      <c r="D34" s="88"/>
      <c r="E34" s="3"/>
      <c r="F34" s="3"/>
      <c r="G34" s="86"/>
      <c r="H34" s="89" t="s">
        <v>208</v>
      </c>
      <c r="I34" s="88" t="s">
        <v>209</v>
      </c>
      <c r="J34" s="3"/>
      <c r="K34" s="3"/>
      <c r="L34" s="90"/>
      <c r="M34" s="89" t="s">
        <v>208</v>
      </c>
      <c r="N34" s="88" t="s">
        <v>209</v>
      </c>
      <c r="O34" s="8">
        <v>42719</v>
      </c>
      <c r="P34" s="91">
        <v>221.84</v>
      </c>
      <c r="Q34" s="91">
        <v>95.07</v>
      </c>
      <c r="R34" s="93">
        <v>221.84</v>
      </c>
      <c r="S34" s="86"/>
    </row>
    <row r="35" spans="1:19" x14ac:dyDescent="0.25">
      <c r="A35" s="86"/>
      <c r="B35" s="87" t="s">
        <v>208</v>
      </c>
      <c r="C35" s="88" t="s">
        <v>209</v>
      </c>
      <c r="D35" s="88"/>
      <c r="E35" s="3"/>
      <c r="F35" s="3"/>
      <c r="G35" s="86"/>
      <c r="H35" s="89" t="s">
        <v>208</v>
      </c>
      <c r="I35" s="88" t="s">
        <v>209</v>
      </c>
      <c r="J35" s="3"/>
      <c r="K35" s="3"/>
      <c r="L35" s="90"/>
      <c r="M35" s="89" t="s">
        <v>208</v>
      </c>
      <c r="N35" s="88" t="s">
        <v>209</v>
      </c>
      <c r="O35" s="8">
        <v>42568</v>
      </c>
      <c r="P35" s="91">
        <v>221.84</v>
      </c>
      <c r="Q35" s="91">
        <v>95.07</v>
      </c>
      <c r="R35" s="93">
        <v>221.84</v>
      </c>
      <c r="S35" s="86"/>
    </row>
    <row r="36" spans="1:19" x14ac:dyDescent="0.25">
      <c r="A36" s="86"/>
      <c r="B36" s="87"/>
      <c r="C36" s="88"/>
      <c r="D36" s="88"/>
      <c r="E36" s="3"/>
      <c r="F36" s="3"/>
      <c r="G36" s="86"/>
      <c r="H36" s="89"/>
      <c r="I36" s="88"/>
      <c r="J36" s="3"/>
      <c r="K36" s="3"/>
      <c r="L36" s="90"/>
      <c r="M36" s="89"/>
      <c r="N36" s="88"/>
      <c r="O36" s="3"/>
      <c r="P36" s="3"/>
      <c r="Q36" s="3"/>
      <c r="R36" s="94"/>
      <c r="S36" s="86"/>
    </row>
    <row r="37" spans="1:19" x14ac:dyDescent="0.25">
      <c r="A37" s="86"/>
      <c r="B37" s="87"/>
      <c r="C37" s="88"/>
      <c r="D37" s="88"/>
      <c r="E37" s="3"/>
      <c r="F37" s="3"/>
      <c r="G37" s="86"/>
      <c r="H37" s="89"/>
      <c r="I37" s="88"/>
      <c r="J37" s="3"/>
      <c r="K37" s="3"/>
      <c r="L37" s="90"/>
      <c r="M37" s="89"/>
      <c r="N37" s="88"/>
      <c r="O37" s="3"/>
      <c r="P37" s="3"/>
      <c r="Q37" s="3"/>
      <c r="R37" s="94"/>
      <c r="S37" s="86"/>
    </row>
    <row r="38" spans="1:19" x14ac:dyDescent="0.25">
      <c r="A38" s="86"/>
      <c r="B38" s="87" t="s">
        <v>210</v>
      </c>
      <c r="C38" s="88" t="s">
        <v>211</v>
      </c>
      <c r="D38" s="88"/>
      <c r="E38" s="3"/>
      <c r="F38" s="3"/>
      <c r="G38" s="86"/>
      <c r="H38" s="89" t="s">
        <v>210</v>
      </c>
      <c r="I38" s="88" t="s">
        <v>211</v>
      </c>
      <c r="J38" s="3"/>
      <c r="K38" s="3"/>
      <c r="L38" s="90"/>
      <c r="M38" s="89" t="s">
        <v>210</v>
      </c>
      <c r="N38" s="88" t="s">
        <v>211</v>
      </c>
      <c r="O38" s="8">
        <v>42657</v>
      </c>
      <c r="P38" s="91">
        <v>210.68</v>
      </c>
      <c r="Q38" s="106">
        <v>90.29</v>
      </c>
      <c r="R38" s="93">
        <v>210.68</v>
      </c>
      <c r="S38" s="86"/>
    </row>
    <row r="39" spans="1:19" x14ac:dyDescent="0.25">
      <c r="A39" s="86"/>
      <c r="B39" s="87" t="s">
        <v>210</v>
      </c>
      <c r="C39" s="88" t="s">
        <v>211</v>
      </c>
      <c r="D39" s="88"/>
      <c r="E39" s="3"/>
      <c r="F39" s="3"/>
      <c r="G39" s="86"/>
      <c r="H39" s="89" t="s">
        <v>210</v>
      </c>
      <c r="I39" s="88" t="s">
        <v>211</v>
      </c>
      <c r="J39" s="3"/>
      <c r="K39" s="3"/>
      <c r="L39" s="90"/>
      <c r="M39" s="89" t="s">
        <v>210</v>
      </c>
      <c r="N39" s="88" t="s">
        <v>211</v>
      </c>
      <c r="O39" s="8">
        <v>42838</v>
      </c>
      <c r="P39" s="91">
        <v>103.05</v>
      </c>
      <c r="Q39" s="106">
        <v>44.16</v>
      </c>
      <c r="R39" s="93">
        <v>103.05</v>
      </c>
      <c r="S39" s="86"/>
    </row>
    <row r="40" spans="1:19" x14ac:dyDescent="0.25">
      <c r="A40" s="86"/>
      <c r="B40" s="87"/>
      <c r="C40" s="88"/>
      <c r="D40" s="88"/>
      <c r="E40" s="3"/>
      <c r="F40" s="3"/>
      <c r="G40" s="86"/>
      <c r="H40" s="89"/>
      <c r="I40" s="88"/>
      <c r="J40" s="3"/>
      <c r="K40" s="3"/>
      <c r="L40" s="90"/>
      <c r="M40" s="89"/>
      <c r="N40" s="88"/>
      <c r="O40" s="8"/>
      <c r="P40" s="3"/>
      <c r="Q40" s="3"/>
      <c r="R40" s="94"/>
      <c r="S40" s="86"/>
    </row>
    <row r="41" spans="1:19" ht="30" x14ac:dyDescent="0.25">
      <c r="A41" s="86"/>
      <c r="B41" s="87" t="s">
        <v>212</v>
      </c>
      <c r="C41" s="88" t="s">
        <v>213</v>
      </c>
      <c r="D41" s="88"/>
      <c r="E41" s="3"/>
      <c r="F41" s="3"/>
      <c r="G41" s="86"/>
      <c r="H41" s="89" t="s">
        <v>212</v>
      </c>
      <c r="I41" s="88"/>
      <c r="J41" s="3"/>
      <c r="K41" s="3"/>
      <c r="L41" s="90"/>
      <c r="M41" s="89" t="s">
        <v>212</v>
      </c>
      <c r="N41" s="88" t="s">
        <v>213</v>
      </c>
      <c r="O41" s="8">
        <v>42648</v>
      </c>
      <c r="P41" s="91">
        <v>225.68</v>
      </c>
      <c r="Q41" s="91">
        <v>96.72</v>
      </c>
      <c r="R41" s="93">
        <v>225.68</v>
      </c>
      <c r="S41" s="86"/>
    </row>
    <row r="42" spans="1:19" ht="30" x14ac:dyDescent="0.25">
      <c r="A42" s="86"/>
      <c r="B42" s="87" t="s">
        <v>212</v>
      </c>
      <c r="C42" s="88" t="s">
        <v>213</v>
      </c>
      <c r="D42" s="88"/>
      <c r="E42" s="3"/>
      <c r="F42" s="3"/>
      <c r="G42" s="86"/>
      <c r="H42" s="89" t="s">
        <v>212</v>
      </c>
      <c r="I42" s="88"/>
      <c r="J42" s="3"/>
      <c r="K42" s="3"/>
      <c r="L42" s="90"/>
      <c r="M42" s="89" t="s">
        <v>212</v>
      </c>
      <c r="N42" s="88" t="s">
        <v>213</v>
      </c>
      <c r="O42" s="8">
        <v>42824</v>
      </c>
      <c r="P42" s="91">
        <v>225.68</v>
      </c>
      <c r="Q42" s="91">
        <v>96.72</v>
      </c>
      <c r="R42" s="93">
        <v>225.68</v>
      </c>
      <c r="S42" s="86"/>
    </row>
    <row r="43" spans="1:19" x14ac:dyDescent="0.25">
      <c r="A43" s="86"/>
      <c r="B43" s="87"/>
      <c r="C43" s="88"/>
      <c r="D43" s="88"/>
      <c r="E43" s="3"/>
      <c r="F43" s="3"/>
      <c r="G43" s="86"/>
      <c r="H43" s="89"/>
      <c r="I43" s="88"/>
      <c r="J43" s="3"/>
      <c r="K43" s="3"/>
      <c r="L43" s="90"/>
      <c r="M43" s="89"/>
      <c r="N43" s="88"/>
      <c r="O43" s="8"/>
      <c r="P43" s="3"/>
      <c r="Q43" s="3"/>
      <c r="R43" s="94"/>
      <c r="S43" s="86"/>
    </row>
    <row r="44" spans="1:19" ht="30" x14ac:dyDescent="0.25">
      <c r="A44" s="86"/>
      <c r="B44" s="87" t="s">
        <v>214</v>
      </c>
      <c r="C44" s="88" t="s">
        <v>215</v>
      </c>
      <c r="D44" s="88"/>
      <c r="E44" s="3"/>
      <c r="F44" s="3"/>
      <c r="G44" s="86"/>
      <c r="H44" s="89" t="s">
        <v>214</v>
      </c>
      <c r="I44" s="88" t="s">
        <v>215</v>
      </c>
      <c r="J44" s="3"/>
      <c r="K44" s="3"/>
      <c r="L44" s="90"/>
      <c r="M44" s="89" t="s">
        <v>214</v>
      </c>
      <c r="N44" s="88" t="s">
        <v>215</v>
      </c>
      <c r="O44" s="8">
        <v>42656</v>
      </c>
      <c r="P44" s="91">
        <v>148.19999999999999</v>
      </c>
      <c r="Q44" s="92">
        <v>63.51</v>
      </c>
      <c r="R44" s="93">
        <v>148.19999999999999</v>
      </c>
      <c r="S44" s="86"/>
    </row>
    <row r="45" spans="1:19" ht="30" x14ac:dyDescent="0.25">
      <c r="A45" s="86"/>
      <c r="B45" s="87" t="s">
        <v>214</v>
      </c>
      <c r="C45" s="88" t="s">
        <v>215</v>
      </c>
      <c r="D45" s="88"/>
      <c r="E45" s="3"/>
      <c r="F45" s="3"/>
      <c r="G45" s="86"/>
      <c r="H45" s="89" t="s">
        <v>214</v>
      </c>
      <c r="I45" s="88" t="s">
        <v>215</v>
      </c>
      <c r="J45" s="3"/>
      <c r="K45" s="3"/>
      <c r="L45" s="90"/>
      <c r="M45" s="89" t="s">
        <v>214</v>
      </c>
      <c r="N45" s="88" t="s">
        <v>215</v>
      </c>
      <c r="O45" s="8">
        <v>42824</v>
      </c>
      <c r="P45" s="91">
        <v>148.19999999999999</v>
      </c>
      <c r="Q45" s="106">
        <v>63.51</v>
      </c>
      <c r="R45" s="107">
        <v>148.19999999999999</v>
      </c>
      <c r="S45" s="86"/>
    </row>
    <row r="46" spans="1:19" x14ac:dyDescent="0.25">
      <c r="A46" s="86"/>
      <c r="B46" s="87"/>
      <c r="C46" s="88"/>
      <c r="D46" s="88"/>
      <c r="E46" s="3"/>
      <c r="F46" s="3"/>
      <c r="G46" s="86"/>
      <c r="H46" s="89"/>
      <c r="I46" s="88"/>
      <c r="J46" s="3"/>
      <c r="K46" s="3"/>
      <c r="L46" s="90"/>
      <c r="M46" s="89"/>
      <c r="N46" s="88"/>
      <c r="O46" s="8"/>
      <c r="P46" s="91"/>
      <c r="Q46" s="106"/>
      <c r="R46" s="107"/>
      <c r="S46" s="86"/>
    </row>
    <row r="47" spans="1:19" x14ac:dyDescent="0.25">
      <c r="A47" s="86"/>
      <c r="B47" s="96" t="s">
        <v>216</v>
      </c>
      <c r="C47" s="97" t="s">
        <v>217</v>
      </c>
      <c r="D47" s="98">
        <v>42821</v>
      </c>
      <c r="E47" s="99">
        <v>757</v>
      </c>
      <c r="F47" s="100">
        <v>1998.29</v>
      </c>
      <c r="G47" s="86"/>
      <c r="H47" s="89"/>
      <c r="I47" s="88"/>
      <c r="J47" s="3"/>
      <c r="K47" s="3"/>
      <c r="L47" s="90"/>
      <c r="M47" s="89" t="s">
        <v>216</v>
      </c>
      <c r="N47" s="88" t="s">
        <v>217</v>
      </c>
      <c r="O47" s="8" t="s">
        <v>195</v>
      </c>
      <c r="P47" s="91"/>
      <c r="Q47" s="106"/>
      <c r="R47" s="107"/>
      <c r="S47" s="86"/>
    </row>
    <row r="48" spans="1:19" x14ac:dyDescent="0.25">
      <c r="A48" s="86"/>
      <c r="B48" s="87"/>
      <c r="C48" s="88"/>
      <c r="D48" s="88"/>
      <c r="E48" s="3"/>
      <c r="F48" s="3"/>
      <c r="G48" s="86"/>
      <c r="H48" s="89"/>
      <c r="I48" s="88"/>
      <c r="J48" s="3"/>
      <c r="K48" s="3"/>
      <c r="L48" s="90"/>
      <c r="M48" s="89"/>
      <c r="N48" s="88"/>
      <c r="O48" s="8"/>
      <c r="P48" s="3"/>
      <c r="Q48" s="3"/>
      <c r="R48" s="94"/>
      <c r="S48" s="86"/>
    </row>
    <row r="49" spans="1:19" x14ac:dyDescent="0.25">
      <c r="A49" s="86"/>
      <c r="B49" s="87" t="s">
        <v>218</v>
      </c>
      <c r="C49" s="88" t="s">
        <v>219</v>
      </c>
      <c r="D49" s="88"/>
      <c r="E49" s="3"/>
      <c r="F49" s="3"/>
      <c r="G49" s="86"/>
      <c r="H49" s="89" t="s">
        <v>218</v>
      </c>
      <c r="I49" s="88" t="s">
        <v>219</v>
      </c>
      <c r="J49" s="3"/>
      <c r="K49" s="3"/>
      <c r="L49" s="90"/>
      <c r="M49" s="89" t="s">
        <v>218</v>
      </c>
      <c r="N49" s="88" t="s">
        <v>219</v>
      </c>
      <c r="O49" s="8">
        <v>42641</v>
      </c>
      <c r="P49" s="91">
        <v>211.26</v>
      </c>
      <c r="Q49" s="91">
        <v>90.54</v>
      </c>
      <c r="R49" s="93">
        <v>211.26</v>
      </c>
      <c r="S49" s="86"/>
    </row>
    <row r="50" spans="1:19" x14ac:dyDescent="0.25">
      <c r="A50" s="86"/>
      <c r="B50" s="87" t="s">
        <v>218</v>
      </c>
      <c r="C50" s="88" t="s">
        <v>219</v>
      </c>
      <c r="D50" s="88"/>
      <c r="E50" s="3"/>
      <c r="F50" s="3"/>
      <c r="G50" s="86"/>
      <c r="H50" s="89" t="s">
        <v>218</v>
      </c>
      <c r="I50" s="88"/>
      <c r="J50" s="3"/>
      <c r="K50" s="3"/>
      <c r="L50" s="90"/>
      <c r="M50" s="89" t="s">
        <v>218</v>
      </c>
      <c r="N50" s="88" t="s">
        <v>219</v>
      </c>
      <c r="O50" s="8">
        <v>42824</v>
      </c>
      <c r="P50" s="91">
        <v>184.85</v>
      </c>
      <c r="Q50" s="91">
        <v>79.22</v>
      </c>
      <c r="R50" s="93">
        <v>184.85</v>
      </c>
      <c r="S50" s="86"/>
    </row>
    <row r="51" spans="1:19" x14ac:dyDescent="0.25">
      <c r="A51" s="86"/>
      <c r="B51" s="87"/>
      <c r="C51" s="88"/>
      <c r="D51" s="88"/>
      <c r="E51" s="3"/>
      <c r="F51" s="3"/>
      <c r="G51" s="86"/>
      <c r="H51" s="89"/>
      <c r="I51" s="88"/>
      <c r="J51" s="3"/>
      <c r="K51" s="3"/>
      <c r="L51" s="90"/>
      <c r="M51" s="89"/>
      <c r="N51" s="88"/>
      <c r="O51" s="8"/>
      <c r="P51" s="3"/>
      <c r="Q51" s="3"/>
      <c r="R51" s="94"/>
      <c r="S51" s="86"/>
    </row>
    <row r="52" spans="1:19" x14ac:dyDescent="0.25">
      <c r="A52" s="86"/>
      <c r="B52" s="96" t="s">
        <v>220</v>
      </c>
      <c r="C52" s="97" t="s">
        <v>221</v>
      </c>
      <c r="D52" s="98">
        <v>42821</v>
      </c>
      <c r="E52" s="99">
        <v>2255</v>
      </c>
      <c r="F52" s="100">
        <v>1999.35</v>
      </c>
      <c r="G52" s="86"/>
      <c r="H52" s="89"/>
      <c r="I52" s="88"/>
      <c r="J52" s="3"/>
      <c r="K52" s="3"/>
      <c r="L52" s="90"/>
      <c r="M52" s="89" t="s">
        <v>220</v>
      </c>
      <c r="N52" s="88" t="s">
        <v>221</v>
      </c>
      <c r="O52" s="8" t="s">
        <v>195</v>
      </c>
      <c r="P52" s="3"/>
      <c r="Q52" s="3"/>
      <c r="R52" s="94"/>
      <c r="S52" s="86"/>
    </row>
    <row r="53" spans="1:19" x14ac:dyDescent="0.25">
      <c r="A53" s="86"/>
      <c r="B53" s="87"/>
      <c r="C53" s="88"/>
      <c r="D53" s="108"/>
      <c r="E53" s="3"/>
      <c r="F53" s="91"/>
      <c r="G53" s="86"/>
      <c r="H53" s="89"/>
      <c r="I53" s="88"/>
      <c r="J53" s="3"/>
      <c r="K53" s="3"/>
      <c r="L53" s="90"/>
      <c r="M53" s="89"/>
      <c r="N53" s="88"/>
      <c r="O53" s="8"/>
      <c r="P53" s="3"/>
      <c r="Q53" s="3"/>
      <c r="R53" s="94"/>
      <c r="S53" s="86"/>
    </row>
    <row r="54" spans="1:19" ht="30" x14ac:dyDescent="0.25">
      <c r="A54" s="86"/>
      <c r="B54" s="96" t="s">
        <v>222</v>
      </c>
      <c r="C54" s="97" t="s">
        <v>223</v>
      </c>
      <c r="D54" s="98">
        <v>42821</v>
      </c>
      <c r="E54" s="99">
        <v>37000</v>
      </c>
      <c r="F54" s="100">
        <v>2826.95</v>
      </c>
      <c r="G54" s="86"/>
      <c r="H54" s="89"/>
      <c r="I54" s="88"/>
      <c r="J54" s="3"/>
      <c r="K54" s="3"/>
      <c r="L54" s="90"/>
      <c r="M54" s="89" t="s">
        <v>222</v>
      </c>
      <c r="N54" s="88" t="s">
        <v>223</v>
      </c>
      <c r="O54" s="8" t="s">
        <v>195</v>
      </c>
      <c r="P54" s="3"/>
      <c r="Q54" s="3"/>
      <c r="R54" s="94"/>
      <c r="S54" s="86"/>
    </row>
    <row r="55" spans="1:19" x14ac:dyDescent="0.25">
      <c r="A55" s="86"/>
      <c r="B55" s="87"/>
      <c r="C55" s="88"/>
      <c r="D55" s="108"/>
      <c r="E55" s="3"/>
      <c r="F55" s="91"/>
      <c r="G55" s="86"/>
      <c r="H55" s="89"/>
      <c r="I55" s="88"/>
      <c r="J55" s="3"/>
      <c r="K55" s="3"/>
      <c r="L55" s="90"/>
      <c r="M55" s="89"/>
      <c r="N55" s="88"/>
      <c r="O55" s="8"/>
      <c r="P55" s="3"/>
      <c r="Q55" s="3"/>
      <c r="R55" s="94"/>
      <c r="S55" s="86"/>
    </row>
    <row r="56" spans="1:19" ht="30" x14ac:dyDescent="0.25">
      <c r="A56" s="86"/>
      <c r="B56" s="96" t="s">
        <v>224</v>
      </c>
      <c r="C56" s="97" t="s">
        <v>225</v>
      </c>
      <c r="D56" s="98">
        <v>42821</v>
      </c>
      <c r="E56" s="99">
        <v>1571</v>
      </c>
      <c r="F56" s="100">
        <v>2999.85</v>
      </c>
      <c r="G56" s="86"/>
      <c r="H56" s="89"/>
      <c r="I56" s="88"/>
      <c r="J56" s="3"/>
      <c r="K56" s="3"/>
      <c r="L56" s="90"/>
      <c r="M56" s="89" t="s">
        <v>224</v>
      </c>
      <c r="N56" s="88" t="s">
        <v>225</v>
      </c>
      <c r="O56" s="8" t="s">
        <v>195</v>
      </c>
      <c r="P56" s="3"/>
      <c r="Q56" s="3"/>
      <c r="R56" s="94"/>
      <c r="S56" s="86"/>
    </row>
    <row r="57" spans="1:19" x14ac:dyDescent="0.25">
      <c r="A57" s="86"/>
      <c r="B57" s="87"/>
      <c r="C57" s="88"/>
      <c r="D57" s="88"/>
      <c r="E57" s="3"/>
      <c r="F57" s="3"/>
      <c r="G57" s="86"/>
      <c r="H57" s="89"/>
      <c r="I57" s="88"/>
      <c r="J57" s="3"/>
      <c r="K57" s="3"/>
      <c r="L57" s="90"/>
      <c r="M57" s="89"/>
      <c r="N57" s="88"/>
      <c r="O57" s="8"/>
      <c r="P57" s="3"/>
      <c r="Q57" s="3"/>
      <c r="R57" s="94"/>
      <c r="S57" s="86"/>
    </row>
    <row r="58" spans="1:19" x14ac:dyDescent="0.25">
      <c r="A58" s="86"/>
      <c r="B58" s="87" t="s">
        <v>226</v>
      </c>
      <c r="C58" s="88" t="s">
        <v>227</v>
      </c>
      <c r="D58" s="88"/>
      <c r="E58" s="3"/>
      <c r="F58" s="3"/>
      <c r="G58" s="86"/>
      <c r="H58" s="89" t="s">
        <v>226</v>
      </c>
      <c r="I58" s="88" t="s">
        <v>227</v>
      </c>
      <c r="J58" s="3"/>
      <c r="K58" s="3"/>
      <c r="L58" s="90"/>
      <c r="M58" s="89" t="s">
        <v>226</v>
      </c>
      <c r="N58" s="88" t="s">
        <v>227</v>
      </c>
      <c r="O58" s="8">
        <v>42641</v>
      </c>
      <c r="P58" s="91">
        <v>132.51</v>
      </c>
      <c r="Q58" s="91">
        <v>28.4</v>
      </c>
      <c r="R58" s="93">
        <v>132.51</v>
      </c>
      <c r="S58" s="86"/>
    </row>
    <row r="59" spans="1:19" x14ac:dyDescent="0.25">
      <c r="A59" s="86"/>
      <c r="B59" s="87" t="s">
        <v>226</v>
      </c>
      <c r="C59" s="88" t="s">
        <v>227</v>
      </c>
      <c r="D59" s="88"/>
      <c r="E59" s="3"/>
      <c r="F59" s="3"/>
      <c r="G59" s="86"/>
      <c r="H59" s="89" t="s">
        <v>226</v>
      </c>
      <c r="I59" s="88" t="s">
        <v>228</v>
      </c>
      <c r="J59" s="3"/>
      <c r="K59" s="3"/>
      <c r="L59" s="90"/>
      <c r="M59" s="89" t="s">
        <v>226</v>
      </c>
      <c r="N59" s="88" t="s">
        <v>227</v>
      </c>
      <c r="O59" s="8">
        <v>42838</v>
      </c>
      <c r="P59" s="91">
        <v>208.23</v>
      </c>
      <c r="Q59" s="106">
        <v>44.62</v>
      </c>
      <c r="R59" s="93">
        <v>208.23</v>
      </c>
      <c r="S59" s="86"/>
    </row>
    <row r="60" spans="1:19" x14ac:dyDescent="0.25">
      <c r="A60" s="86"/>
      <c r="B60" s="87"/>
      <c r="C60" s="88"/>
      <c r="D60" s="88"/>
      <c r="E60" s="3"/>
      <c r="F60" s="3"/>
      <c r="G60" s="86"/>
      <c r="H60" s="89"/>
      <c r="I60" s="88"/>
      <c r="J60" s="3"/>
      <c r="K60" s="3"/>
      <c r="L60" s="90"/>
      <c r="M60" s="89"/>
      <c r="N60" s="88"/>
      <c r="O60" s="8"/>
      <c r="P60" s="91"/>
      <c r="Q60" s="106"/>
      <c r="R60" s="93"/>
      <c r="S60" s="86"/>
    </row>
    <row r="61" spans="1:19" x14ac:dyDescent="0.25">
      <c r="A61" s="86"/>
      <c r="B61" s="96" t="s">
        <v>229</v>
      </c>
      <c r="C61" s="97" t="s">
        <v>230</v>
      </c>
      <c r="D61" s="98">
        <v>42821</v>
      </c>
      <c r="E61" s="99">
        <v>1821</v>
      </c>
      <c r="F61" s="100">
        <v>1990.74</v>
      </c>
      <c r="G61" s="86"/>
      <c r="H61" s="89"/>
      <c r="I61" s="88"/>
      <c r="J61" s="3"/>
      <c r="K61" s="3"/>
      <c r="L61" s="90"/>
      <c r="M61" s="89" t="s">
        <v>229</v>
      </c>
      <c r="N61" s="88" t="s">
        <v>230</v>
      </c>
      <c r="O61" s="8" t="s">
        <v>195</v>
      </c>
      <c r="P61" s="91"/>
      <c r="Q61" s="106"/>
      <c r="R61" s="93"/>
      <c r="S61" s="86"/>
    </row>
    <row r="62" spans="1:19" x14ac:dyDescent="0.25">
      <c r="A62" s="86"/>
      <c r="B62" s="87"/>
      <c r="C62" s="88"/>
      <c r="D62" s="88"/>
      <c r="E62" s="3"/>
      <c r="F62" s="3"/>
      <c r="G62" s="86"/>
      <c r="H62" s="89"/>
      <c r="I62" s="88"/>
      <c r="J62" s="3"/>
      <c r="K62" s="3"/>
      <c r="L62" s="90"/>
      <c r="M62" s="89"/>
      <c r="N62" s="88"/>
      <c r="O62" s="8"/>
      <c r="P62" s="3"/>
      <c r="Q62" s="101"/>
      <c r="R62" s="94"/>
      <c r="S62" s="86"/>
    </row>
    <row r="63" spans="1:19" ht="26.25" x14ac:dyDescent="0.25">
      <c r="A63" s="86"/>
      <c r="B63" s="109" t="s">
        <v>231</v>
      </c>
      <c r="C63" s="88" t="s">
        <v>228</v>
      </c>
      <c r="D63" s="88"/>
      <c r="E63" s="3"/>
      <c r="F63" s="3"/>
      <c r="G63" s="86"/>
      <c r="H63" s="89" t="s">
        <v>231</v>
      </c>
      <c r="I63" s="88" t="s">
        <v>232</v>
      </c>
      <c r="J63" s="3"/>
      <c r="K63" s="3"/>
      <c r="L63" s="90"/>
      <c r="M63" s="89" t="s">
        <v>231</v>
      </c>
      <c r="N63" s="88" t="s">
        <v>228</v>
      </c>
      <c r="O63" s="8">
        <v>42628</v>
      </c>
      <c r="P63" s="91">
        <v>206.48</v>
      </c>
      <c r="Q63" s="101">
        <v>0</v>
      </c>
      <c r="R63" s="93">
        <v>206.48</v>
      </c>
      <c r="S63" s="86"/>
    </row>
    <row r="64" spans="1:19" x14ac:dyDescent="0.25">
      <c r="A64" s="86"/>
      <c r="B64" s="87"/>
      <c r="C64" s="88"/>
      <c r="D64" s="88"/>
      <c r="E64" s="3"/>
      <c r="F64" s="3"/>
      <c r="G64" s="86"/>
      <c r="H64" s="89"/>
      <c r="I64" s="88"/>
      <c r="J64" s="3"/>
      <c r="K64" s="3"/>
      <c r="L64" s="90"/>
      <c r="M64" s="89"/>
      <c r="N64" s="88" t="s">
        <v>228</v>
      </c>
      <c r="O64" s="8">
        <v>42809</v>
      </c>
      <c r="P64" s="91">
        <v>206.48</v>
      </c>
      <c r="Q64" s="101">
        <v>0</v>
      </c>
      <c r="R64" s="93">
        <v>206.48</v>
      </c>
      <c r="S64" s="86"/>
    </row>
    <row r="65" spans="1:19" x14ac:dyDescent="0.25">
      <c r="A65" s="86"/>
      <c r="B65" s="87"/>
      <c r="C65" s="88"/>
      <c r="D65" s="88"/>
      <c r="E65" s="3"/>
      <c r="F65" s="3"/>
      <c r="G65" s="86"/>
      <c r="H65" s="89"/>
      <c r="I65" s="88"/>
      <c r="J65" s="3"/>
      <c r="K65" s="3"/>
      <c r="L65" s="90"/>
      <c r="M65" s="89"/>
      <c r="N65" s="88"/>
      <c r="O65" s="8"/>
      <c r="P65" s="3"/>
      <c r="Q65" s="3"/>
      <c r="R65" s="94"/>
      <c r="S65" s="86"/>
    </row>
    <row r="66" spans="1:19" ht="30" x14ac:dyDescent="0.25">
      <c r="A66" s="86"/>
      <c r="B66" s="87" t="s">
        <v>233</v>
      </c>
      <c r="C66" s="88" t="s">
        <v>232</v>
      </c>
      <c r="D66" s="88"/>
      <c r="E66" s="3"/>
      <c r="F66" s="3"/>
      <c r="G66" s="86"/>
      <c r="H66" s="89" t="s">
        <v>233</v>
      </c>
      <c r="I66" s="88"/>
      <c r="J66" s="3"/>
      <c r="K66" s="3"/>
      <c r="L66" s="90"/>
      <c r="M66" s="89" t="s">
        <v>233</v>
      </c>
      <c r="N66" s="88" t="s">
        <v>232</v>
      </c>
      <c r="O66" s="8">
        <v>42642</v>
      </c>
      <c r="P66" s="91">
        <v>72.59</v>
      </c>
      <c r="Q66" s="91">
        <v>31.11</v>
      </c>
      <c r="R66" s="93">
        <v>75.59</v>
      </c>
      <c r="S66" s="86"/>
    </row>
    <row r="67" spans="1:19" x14ac:dyDescent="0.25">
      <c r="A67" s="86"/>
      <c r="B67" s="87"/>
      <c r="C67" s="88"/>
      <c r="D67" s="88"/>
      <c r="E67" s="3"/>
      <c r="F67" s="3"/>
      <c r="G67" s="86"/>
      <c r="H67" s="89"/>
      <c r="I67" s="88"/>
      <c r="J67" s="3"/>
      <c r="K67" s="3"/>
      <c r="L67" s="90"/>
      <c r="M67" s="89"/>
      <c r="N67" s="88" t="s">
        <v>232</v>
      </c>
      <c r="O67" s="8">
        <v>42818</v>
      </c>
      <c r="P67" s="91">
        <v>72.59</v>
      </c>
      <c r="Q67" s="91">
        <v>31.11</v>
      </c>
      <c r="R67" s="93">
        <v>72.59</v>
      </c>
      <c r="S67" s="86"/>
    </row>
    <row r="68" spans="1:19" ht="15.75" thickBot="1" x14ac:dyDescent="0.3">
      <c r="A68" s="86"/>
      <c r="B68" s="110"/>
      <c r="C68" s="111"/>
      <c r="D68" s="111"/>
      <c r="E68" s="112"/>
      <c r="F68" s="112"/>
      <c r="G68" s="113"/>
      <c r="H68" s="114"/>
      <c r="I68" s="111"/>
      <c r="J68" s="112"/>
      <c r="K68" s="112"/>
      <c r="L68" s="115"/>
      <c r="M68" s="114"/>
      <c r="N68" s="111"/>
      <c r="O68" s="112"/>
      <c r="P68" s="112"/>
      <c r="Q68" s="112"/>
      <c r="R68" s="116"/>
      <c r="S68" s="86"/>
    </row>
    <row r="69" spans="1:19" ht="15.75" thickBot="1" x14ac:dyDescent="0.3">
      <c r="A69" s="86"/>
      <c r="B69" s="117"/>
      <c r="C69" s="118" t="s">
        <v>111</v>
      </c>
      <c r="D69" s="118"/>
      <c r="E69" s="118"/>
      <c r="F69" s="118">
        <f>SUM(F4:F68)</f>
        <v>14805.169999999998</v>
      </c>
      <c r="G69" s="118"/>
      <c r="H69" s="118" t="s">
        <v>111</v>
      </c>
      <c r="I69" s="118"/>
      <c r="J69" s="118"/>
      <c r="K69" s="118">
        <v>5928.12</v>
      </c>
      <c r="L69" s="118"/>
      <c r="M69" s="118" t="s">
        <v>111</v>
      </c>
      <c r="N69" s="118"/>
      <c r="O69" s="118"/>
      <c r="P69" s="119">
        <v>5409.79</v>
      </c>
      <c r="Q69" s="118">
        <v>1436.53</v>
      </c>
      <c r="R69" s="119">
        <v>5409.79</v>
      </c>
      <c r="S69" s="86"/>
    </row>
    <row r="70" spans="1:19" x14ac:dyDescent="0.25">
      <c r="A70" s="86"/>
      <c r="B70" s="120"/>
      <c r="C70" s="121"/>
      <c r="D70" s="121"/>
      <c r="E70" s="122"/>
      <c r="F70" s="122"/>
      <c r="G70" s="123"/>
      <c r="H70" s="122"/>
      <c r="I70" s="121"/>
      <c r="J70" s="122"/>
      <c r="K70" s="122"/>
      <c r="L70" s="124"/>
      <c r="M70" s="125"/>
      <c r="N70" s="121"/>
      <c r="O70" s="122"/>
      <c r="P70" s="122"/>
      <c r="Q70" s="122"/>
      <c r="R70" s="126"/>
      <c r="S70" s="86"/>
    </row>
    <row r="71" spans="1:19" x14ac:dyDescent="0.25">
      <c r="A71" s="86"/>
      <c r="B71" s="127"/>
      <c r="C71" s="88"/>
      <c r="D71" s="88"/>
      <c r="E71" s="3"/>
      <c r="F71" s="3"/>
      <c r="G71" s="86"/>
      <c r="H71" s="3"/>
      <c r="I71" s="88"/>
      <c r="J71" s="3"/>
      <c r="K71" s="3"/>
      <c r="L71" s="90"/>
      <c r="M71" s="89"/>
      <c r="N71" s="88"/>
      <c r="O71" s="3"/>
      <c r="P71" s="3"/>
      <c r="Q71" s="3"/>
      <c r="R71" s="94"/>
      <c r="S71" s="86"/>
    </row>
    <row r="72" spans="1:19" x14ac:dyDescent="0.25">
      <c r="A72" s="86"/>
      <c r="B72" s="127"/>
      <c r="C72" s="88"/>
      <c r="D72" s="88"/>
      <c r="E72" s="3"/>
      <c r="F72" s="3"/>
      <c r="G72" s="86"/>
      <c r="H72" s="3"/>
      <c r="I72" s="88"/>
      <c r="J72" s="3"/>
      <c r="K72" s="3"/>
      <c r="L72" s="90"/>
      <c r="M72" s="89"/>
      <c r="N72" s="88"/>
      <c r="O72" s="3"/>
      <c r="P72" s="3"/>
      <c r="Q72" s="3"/>
      <c r="R72" s="94"/>
      <c r="S72" s="86"/>
    </row>
    <row r="73" spans="1:19" x14ac:dyDescent="0.25">
      <c r="A73" s="86"/>
      <c r="B73" s="127"/>
      <c r="C73" s="88"/>
      <c r="D73" s="88"/>
      <c r="E73" s="3"/>
      <c r="F73" s="3"/>
      <c r="G73" s="86"/>
      <c r="H73" s="3"/>
      <c r="I73" s="88"/>
      <c r="J73" s="3"/>
      <c r="K73" s="3"/>
      <c r="L73" s="90"/>
      <c r="M73" s="89"/>
      <c r="N73" s="88"/>
      <c r="O73" s="3"/>
      <c r="P73" s="3"/>
      <c r="Q73" s="3"/>
      <c r="R73" s="94"/>
      <c r="S73" s="86"/>
    </row>
    <row r="74" spans="1:19" x14ac:dyDescent="0.25">
      <c r="A74" s="86"/>
      <c r="B74" s="127"/>
      <c r="C74" s="88"/>
      <c r="D74" s="88"/>
      <c r="E74" s="3"/>
      <c r="F74" s="3"/>
      <c r="G74" s="86"/>
      <c r="H74" s="3"/>
      <c r="I74" s="88"/>
      <c r="J74" s="3"/>
      <c r="K74" s="3"/>
      <c r="L74" s="90"/>
      <c r="M74" s="89"/>
      <c r="N74" s="88"/>
      <c r="O74" s="3"/>
      <c r="P74" s="3"/>
      <c r="Q74" s="3"/>
      <c r="R74" s="94"/>
      <c r="S74" s="86"/>
    </row>
    <row r="75" spans="1:19" x14ac:dyDescent="0.25">
      <c r="A75" s="86"/>
      <c r="B75" s="127"/>
      <c r="C75" s="88"/>
      <c r="D75" s="88"/>
      <c r="E75" s="3"/>
      <c r="F75" s="3"/>
      <c r="G75" s="86"/>
      <c r="H75" s="3"/>
      <c r="I75" s="88"/>
      <c r="J75" s="3"/>
      <c r="K75" s="3"/>
      <c r="L75" s="90"/>
      <c r="M75" s="89"/>
      <c r="N75" s="88"/>
      <c r="O75" s="3"/>
      <c r="P75" s="3"/>
      <c r="Q75" s="3"/>
      <c r="R75" s="94"/>
      <c r="S75" s="86"/>
    </row>
    <row r="76" spans="1:19" x14ac:dyDescent="0.25">
      <c r="A76" s="86"/>
      <c r="B76" s="127"/>
      <c r="C76" s="88"/>
      <c r="D76" s="88"/>
      <c r="E76" s="3"/>
      <c r="F76" s="3"/>
      <c r="G76" s="86"/>
      <c r="H76" s="3"/>
      <c r="I76" s="88"/>
      <c r="J76" s="3"/>
      <c r="K76" s="3"/>
      <c r="L76" s="90"/>
      <c r="M76" s="89"/>
      <c r="N76" s="88"/>
      <c r="O76" s="3"/>
      <c r="P76" s="3"/>
      <c r="Q76" s="3"/>
      <c r="R76" s="94"/>
      <c r="S76" s="86"/>
    </row>
    <row r="77" spans="1:19" x14ac:dyDescent="0.25">
      <c r="A77" s="86"/>
      <c r="B77" s="127"/>
      <c r="C77" s="88"/>
      <c r="D77" s="88"/>
      <c r="E77" s="3"/>
      <c r="F77" s="3"/>
      <c r="G77" s="86"/>
      <c r="H77" s="3"/>
      <c r="I77" s="88"/>
      <c r="J77" s="3"/>
      <c r="K77" s="3"/>
      <c r="L77" s="90"/>
      <c r="M77" s="89"/>
      <c r="N77" s="88"/>
      <c r="O77" s="3"/>
      <c r="P77" s="3"/>
      <c r="Q77" s="3"/>
      <c r="R77" s="94"/>
      <c r="S77" s="86"/>
    </row>
    <row r="78" spans="1:19" x14ac:dyDescent="0.25">
      <c r="B78" s="127"/>
      <c r="C78" s="88"/>
      <c r="D78" s="88"/>
      <c r="E78" s="3"/>
      <c r="F78" s="3"/>
      <c r="G78" s="86"/>
      <c r="H78" s="3"/>
      <c r="I78" s="88"/>
      <c r="J78" s="3"/>
      <c r="K78" s="3"/>
      <c r="L78" s="90"/>
      <c r="M78" s="89"/>
      <c r="N78" s="88"/>
      <c r="O78" s="3"/>
      <c r="P78" s="3"/>
      <c r="Q78" s="3"/>
      <c r="R78" s="94"/>
    </row>
    <row r="79" spans="1:19" x14ac:dyDescent="0.25">
      <c r="B79" s="127"/>
      <c r="C79" s="88"/>
      <c r="D79" s="88"/>
      <c r="E79" s="3"/>
      <c r="F79" s="3"/>
      <c r="G79" s="86"/>
      <c r="H79" s="3"/>
      <c r="I79" s="88"/>
      <c r="J79" s="3"/>
      <c r="K79" s="3"/>
      <c r="L79" s="90"/>
      <c r="M79" s="89"/>
      <c r="N79" s="88"/>
      <c r="O79" s="3"/>
      <c r="P79" s="3"/>
      <c r="Q79" s="3"/>
      <c r="R79" s="94"/>
    </row>
    <row r="80" spans="1:19" x14ac:dyDescent="0.25">
      <c r="B80" s="127"/>
      <c r="C80" s="88"/>
      <c r="D80" s="88"/>
      <c r="E80" s="3"/>
      <c r="F80" s="3"/>
      <c r="G80" s="86"/>
      <c r="H80" s="3"/>
      <c r="I80" s="88"/>
      <c r="J80" s="3"/>
      <c r="K80" s="3"/>
      <c r="L80" s="90"/>
      <c r="M80" s="89"/>
      <c r="N80" s="88"/>
      <c r="O80" s="3"/>
      <c r="P80" s="3"/>
      <c r="Q80" s="3"/>
      <c r="R80" s="94"/>
    </row>
    <row r="81" spans="2:18" x14ac:dyDescent="0.25">
      <c r="B81" s="127"/>
      <c r="C81" s="88"/>
      <c r="D81" s="88"/>
      <c r="E81" s="3"/>
      <c r="F81" s="3"/>
      <c r="G81" s="86"/>
      <c r="H81" s="3"/>
      <c r="I81" s="88"/>
      <c r="J81" s="3"/>
      <c r="K81" s="3"/>
      <c r="L81" s="90"/>
      <c r="M81" s="89"/>
      <c r="N81" s="88"/>
      <c r="O81" s="3"/>
      <c r="P81" s="3"/>
      <c r="Q81" s="3"/>
      <c r="R81" s="94"/>
    </row>
    <row r="82" spans="2:18" ht="15.75" thickBot="1" x14ac:dyDescent="0.3">
      <c r="B82" s="127"/>
      <c r="C82" s="111"/>
      <c r="D82" s="111"/>
      <c r="E82" s="112"/>
      <c r="F82" s="112"/>
      <c r="G82" s="113"/>
      <c r="H82" s="112"/>
      <c r="I82" s="111"/>
      <c r="J82" s="112"/>
      <c r="K82" s="112"/>
      <c r="L82" s="115"/>
      <c r="M82" s="114"/>
      <c r="N82" s="111"/>
      <c r="O82" s="112"/>
      <c r="P82" s="112"/>
      <c r="Q82" s="128"/>
      <c r="R82" s="129"/>
    </row>
    <row r="83" spans="2:18" x14ac:dyDescent="0.25"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</row>
    <row r="84" spans="2:18" x14ac:dyDescent="0.25"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</row>
    <row r="85" spans="2:18" x14ac:dyDescent="0.25"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</row>
    <row r="86" spans="2:18" x14ac:dyDescent="0.25"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</row>
    <row r="87" spans="2:18" x14ac:dyDescent="0.25"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</row>
    <row r="88" spans="2:18" x14ac:dyDescent="0.25"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</row>
    <row r="89" spans="2:18" x14ac:dyDescent="0.25"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</row>
    <row r="90" spans="2:18" x14ac:dyDescent="0.25"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</row>
    <row r="91" spans="2:18" x14ac:dyDescent="0.25"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</row>
    <row r="92" spans="2:18" x14ac:dyDescent="0.25"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</row>
    <row r="93" spans="2:18" x14ac:dyDescent="0.25">
      <c r="C93" s="88"/>
      <c r="D93" s="6"/>
      <c r="I93" s="88"/>
      <c r="N93" s="88"/>
    </row>
    <row r="94" spans="2:18" x14ac:dyDescent="0.25">
      <c r="C94" s="88"/>
      <c r="D94" s="6"/>
      <c r="I94" s="88"/>
      <c r="N94" s="88"/>
    </row>
    <row r="95" spans="2:18" x14ac:dyDescent="0.25">
      <c r="C95" s="88"/>
      <c r="D95" s="6"/>
      <c r="I95" s="88"/>
      <c r="N95" s="88"/>
    </row>
    <row r="96" spans="2:18" x14ac:dyDescent="0.25">
      <c r="C96" s="88"/>
      <c r="D96" s="6"/>
      <c r="I96" s="88"/>
      <c r="N96" s="88"/>
    </row>
    <row r="97" spans="3:14" x14ac:dyDescent="0.25">
      <c r="C97" s="88"/>
      <c r="D97" s="6"/>
      <c r="I97" s="88"/>
      <c r="N97" s="88"/>
    </row>
    <row r="98" spans="3:14" x14ac:dyDescent="0.25">
      <c r="C98" s="88"/>
      <c r="D98" s="6"/>
      <c r="I98" s="88"/>
      <c r="N98" s="88"/>
    </row>
    <row r="99" spans="3:14" x14ac:dyDescent="0.25">
      <c r="C99" s="88"/>
      <c r="D99" s="6"/>
      <c r="I99" s="88"/>
      <c r="N99" s="88"/>
    </row>
    <row r="100" spans="3:14" x14ac:dyDescent="0.25">
      <c r="C100" s="88"/>
      <c r="D100" s="6"/>
      <c r="I100" s="88"/>
      <c r="N100" s="88"/>
    </row>
    <row r="101" spans="3:14" x14ac:dyDescent="0.25">
      <c r="C101" s="88"/>
      <c r="D101" s="6"/>
      <c r="I101" s="88"/>
      <c r="N101" s="88"/>
    </row>
    <row r="102" spans="3:14" x14ac:dyDescent="0.25">
      <c r="C102" s="88"/>
      <c r="D102" s="6"/>
      <c r="I102" s="88"/>
      <c r="N102" s="88"/>
    </row>
    <row r="103" spans="3:14" x14ac:dyDescent="0.25">
      <c r="C103" s="88"/>
      <c r="D103" s="6"/>
      <c r="I103" s="88"/>
      <c r="N103" s="88"/>
    </row>
    <row r="104" spans="3:14" x14ac:dyDescent="0.25">
      <c r="C104" s="88"/>
      <c r="D104" s="6"/>
      <c r="I104" s="88"/>
      <c r="N104" s="88"/>
    </row>
    <row r="105" spans="3:14" x14ac:dyDescent="0.25">
      <c r="C105" s="88"/>
      <c r="D105" s="6"/>
      <c r="I105" s="88"/>
      <c r="N105" s="88"/>
    </row>
    <row r="106" spans="3:14" ht="15.75" thickBot="1" x14ac:dyDescent="0.3">
      <c r="C106" s="131"/>
      <c r="D106" s="6"/>
      <c r="I106" s="131"/>
      <c r="N106" s="131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R26:T41"/>
  <sheetViews>
    <sheetView topLeftCell="A17" workbookViewId="0">
      <selection activeCell="S37" sqref="S37:S40"/>
    </sheetView>
  </sheetViews>
  <sheetFormatPr defaultRowHeight="15" x14ac:dyDescent="0.25"/>
  <cols>
    <col min="19" max="19" width="11.5703125" bestFit="1" customWidth="1"/>
  </cols>
  <sheetData>
    <row r="26" spans="18:20" x14ac:dyDescent="0.25">
      <c r="R26">
        <v>2017</v>
      </c>
      <c r="S26" s="132">
        <v>169130.39</v>
      </c>
      <c r="T26">
        <f>+S26-S41</f>
        <v>21068.550000000017</v>
      </c>
    </row>
    <row r="27" spans="18:20" x14ac:dyDescent="0.25">
      <c r="S27" s="132"/>
    </row>
    <row r="28" spans="18:20" x14ac:dyDescent="0.25">
      <c r="S28" s="132"/>
    </row>
    <row r="29" spans="18:20" x14ac:dyDescent="0.25">
      <c r="S29" s="132"/>
    </row>
    <row r="30" spans="18:20" x14ac:dyDescent="0.25">
      <c r="S30" s="132"/>
    </row>
    <row r="31" spans="18:20" x14ac:dyDescent="0.25">
      <c r="S31" s="132"/>
    </row>
    <row r="32" spans="18:20" x14ac:dyDescent="0.25">
      <c r="S32" s="132"/>
    </row>
    <row r="33" spans="18:19" x14ac:dyDescent="0.25">
      <c r="S33" s="132"/>
    </row>
    <row r="34" spans="18:19" x14ac:dyDescent="0.25">
      <c r="S34" s="132"/>
    </row>
    <row r="35" spans="18:19" x14ac:dyDescent="0.25">
      <c r="S35" s="132"/>
    </row>
    <row r="36" spans="18:19" x14ac:dyDescent="0.25">
      <c r="S36" s="132"/>
    </row>
    <row r="37" spans="18:19" x14ac:dyDescent="0.25">
      <c r="R37" t="s">
        <v>237</v>
      </c>
      <c r="S37" s="132">
        <v>140943.76999999999</v>
      </c>
    </row>
    <row r="38" spans="18:19" x14ac:dyDescent="0.25">
      <c r="S38" s="132"/>
    </row>
    <row r="39" spans="18:19" x14ac:dyDescent="0.25">
      <c r="R39" t="s">
        <v>234</v>
      </c>
      <c r="S39" s="132">
        <f>+'2017 Shares details'!F69</f>
        <v>14805.169999999998</v>
      </c>
    </row>
    <row r="40" spans="18:19" x14ac:dyDescent="0.25">
      <c r="R40" t="s">
        <v>235</v>
      </c>
      <c r="S40" s="132">
        <f>-'2017 Shares details'!K31</f>
        <v>-7687.1</v>
      </c>
    </row>
    <row r="41" spans="18:19" x14ac:dyDescent="0.25">
      <c r="R41" t="s">
        <v>236</v>
      </c>
      <c r="S41" s="132">
        <f>SUM(S37:S40)</f>
        <v>148061.84</v>
      </c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3:J51"/>
  <sheetViews>
    <sheetView topLeftCell="A17" workbookViewId="0">
      <selection activeCell="E32" sqref="E32"/>
    </sheetView>
  </sheetViews>
  <sheetFormatPr defaultRowHeight="15" x14ac:dyDescent="0.25"/>
  <cols>
    <col min="1" max="1" width="21" bestFit="1" customWidth="1"/>
    <col min="2" max="2" width="26.140625" bestFit="1" customWidth="1"/>
    <col min="3" max="3" width="11.5703125" bestFit="1" customWidth="1"/>
    <col min="4" max="10" width="21.42578125" bestFit="1" customWidth="1"/>
  </cols>
  <sheetData>
    <row r="3" spans="1:7" x14ac:dyDescent="0.25">
      <c r="A3" s="144" t="s">
        <v>242</v>
      </c>
      <c r="D3" s="144" t="s">
        <v>71</v>
      </c>
    </row>
    <row r="4" spans="1:7" x14ac:dyDescent="0.25">
      <c r="A4" s="144" t="s">
        <v>72</v>
      </c>
      <c r="B4" s="144" t="s">
        <v>73</v>
      </c>
      <c r="C4" s="144" t="s">
        <v>74</v>
      </c>
      <c r="D4" t="s">
        <v>83</v>
      </c>
      <c r="E4" t="s">
        <v>84</v>
      </c>
      <c r="F4" t="s">
        <v>248</v>
      </c>
      <c r="G4" t="s">
        <v>249</v>
      </c>
    </row>
    <row r="5" spans="1:7" x14ac:dyDescent="0.25">
      <c r="A5" t="s">
        <v>85</v>
      </c>
      <c r="B5" t="s">
        <v>88</v>
      </c>
      <c r="C5" t="s">
        <v>93</v>
      </c>
      <c r="D5" s="10">
        <v>-20554.819999999996</v>
      </c>
      <c r="E5" s="10">
        <v>16232.25</v>
      </c>
      <c r="F5" s="10"/>
      <c r="G5" s="10"/>
    </row>
    <row r="6" spans="1:7" x14ac:dyDescent="0.25">
      <c r="B6" t="s">
        <v>245</v>
      </c>
      <c r="D6" s="10">
        <v>-20554.819999999996</v>
      </c>
      <c r="E6" s="10">
        <v>16232.25</v>
      </c>
      <c r="F6" s="10"/>
      <c r="G6" s="10"/>
    </row>
    <row r="7" spans="1:7" x14ac:dyDescent="0.25">
      <c r="B7" t="s">
        <v>89</v>
      </c>
      <c r="C7" t="s">
        <v>93</v>
      </c>
      <c r="D7" s="10"/>
      <c r="E7" s="10"/>
      <c r="F7" s="10">
        <v>-273973.37999999995</v>
      </c>
      <c r="G7" s="10"/>
    </row>
    <row r="8" spans="1:7" x14ac:dyDescent="0.25">
      <c r="C8" t="s">
        <v>239</v>
      </c>
      <c r="D8" s="10"/>
      <c r="E8" s="10">
        <v>7687.1</v>
      </c>
      <c r="F8" s="10"/>
      <c r="G8" s="10"/>
    </row>
    <row r="9" spans="1:7" x14ac:dyDescent="0.25">
      <c r="C9" t="s">
        <v>238</v>
      </c>
      <c r="D9" s="10">
        <v>-15000</v>
      </c>
      <c r="E9" s="10"/>
      <c r="F9" s="10"/>
      <c r="G9" s="10"/>
    </row>
    <row r="10" spans="1:7" x14ac:dyDescent="0.25">
      <c r="C10" t="s">
        <v>110</v>
      </c>
      <c r="D10" s="10"/>
      <c r="E10" s="10"/>
      <c r="F10" s="10">
        <v>80011.16</v>
      </c>
      <c r="G10" s="10">
        <v>75864.17</v>
      </c>
    </row>
    <row r="11" spans="1:7" x14ac:dyDescent="0.25">
      <c r="C11" t="s">
        <v>155</v>
      </c>
      <c r="D11" s="10"/>
      <c r="E11" s="10"/>
      <c r="F11" s="10">
        <v>476357.72</v>
      </c>
      <c r="G11" s="10"/>
    </row>
    <row r="12" spans="1:7" x14ac:dyDescent="0.25">
      <c r="C12" t="s">
        <v>156</v>
      </c>
      <c r="D12" s="10"/>
      <c r="E12" s="10">
        <v>5774</v>
      </c>
      <c r="F12" s="10">
        <v>-20402</v>
      </c>
      <c r="G12" s="10"/>
    </row>
    <row r="13" spans="1:7" x14ac:dyDescent="0.25">
      <c r="C13" t="s">
        <v>159</v>
      </c>
      <c r="D13" s="10">
        <v>-6263.3800000000192</v>
      </c>
      <c r="E13" s="10"/>
      <c r="F13" s="10">
        <v>140943.76999999999</v>
      </c>
      <c r="G13" s="10"/>
    </row>
    <row r="14" spans="1:7" x14ac:dyDescent="0.25">
      <c r="C14" t="s">
        <v>240</v>
      </c>
      <c r="D14" s="10"/>
      <c r="E14" s="10"/>
      <c r="F14" s="10">
        <v>4378.3542857142829</v>
      </c>
      <c r="G14" s="10"/>
    </row>
    <row r="15" spans="1:7" x14ac:dyDescent="0.25">
      <c r="C15" t="s">
        <v>168</v>
      </c>
      <c r="D15" s="10"/>
      <c r="E15" s="10"/>
      <c r="F15" s="10">
        <v>-412630.35399999999</v>
      </c>
      <c r="G15" s="10"/>
    </row>
    <row r="16" spans="1:7" x14ac:dyDescent="0.25">
      <c r="C16" t="s">
        <v>132</v>
      </c>
      <c r="D16" s="10">
        <v>-1698.69</v>
      </c>
      <c r="E16" s="10"/>
      <c r="F16" s="10">
        <v>5314</v>
      </c>
      <c r="G16" s="10"/>
    </row>
    <row r="17" spans="1:7" x14ac:dyDescent="0.25">
      <c r="C17" t="s">
        <v>262</v>
      </c>
      <c r="D17" s="10">
        <v>195.53</v>
      </c>
      <c r="E17" s="10"/>
      <c r="F17" s="10"/>
      <c r="G17" s="10"/>
    </row>
    <row r="18" spans="1:7" x14ac:dyDescent="0.25">
      <c r="B18" t="s">
        <v>246</v>
      </c>
      <c r="D18" s="10">
        <v>-22766.540000000019</v>
      </c>
      <c r="E18" s="10">
        <v>13461.1</v>
      </c>
      <c r="F18" s="10">
        <v>-0.72971428569871932</v>
      </c>
      <c r="G18" s="10">
        <v>75864.17</v>
      </c>
    </row>
    <row r="19" spans="1:7" x14ac:dyDescent="0.25">
      <c r="A19" t="s">
        <v>243</v>
      </c>
      <c r="D19" s="10">
        <v>-43321.360000000015</v>
      </c>
      <c r="E19" s="10">
        <v>29693.35</v>
      </c>
      <c r="F19" s="10">
        <v>-0.72971428569871932</v>
      </c>
      <c r="G19" s="10">
        <v>75864.17</v>
      </c>
    </row>
    <row r="20" spans="1:7" x14ac:dyDescent="0.25">
      <c r="A20" t="s">
        <v>86</v>
      </c>
      <c r="B20" t="s">
        <v>88</v>
      </c>
      <c r="C20" t="s">
        <v>96</v>
      </c>
      <c r="D20" s="10">
        <v>-1487.1499999999999</v>
      </c>
      <c r="E20" s="10"/>
      <c r="F20" s="10"/>
      <c r="G20" s="10"/>
    </row>
    <row r="21" spans="1:7" x14ac:dyDescent="0.25">
      <c r="C21" t="s">
        <v>94</v>
      </c>
      <c r="D21" s="10">
        <v>-1295.46</v>
      </c>
      <c r="E21" s="10"/>
      <c r="F21" s="10"/>
      <c r="G21" s="10"/>
    </row>
    <row r="22" spans="1:7" x14ac:dyDescent="0.25">
      <c r="C22" t="s">
        <v>169</v>
      </c>
      <c r="D22" s="10"/>
      <c r="E22" s="10">
        <v>26328.46</v>
      </c>
      <c r="F22" s="10"/>
      <c r="G22" s="10"/>
    </row>
    <row r="23" spans="1:7" x14ac:dyDescent="0.25">
      <c r="C23" t="s">
        <v>95</v>
      </c>
      <c r="D23" s="10">
        <v>-612.55999999999995</v>
      </c>
      <c r="E23" s="10"/>
      <c r="F23" s="10"/>
      <c r="G23" s="10"/>
    </row>
    <row r="24" spans="1:7" x14ac:dyDescent="0.25">
      <c r="C24" t="s">
        <v>121</v>
      </c>
      <c r="D24" s="10">
        <v>-3949.25</v>
      </c>
      <c r="E24" s="10"/>
      <c r="F24" s="10"/>
      <c r="G24" s="10"/>
    </row>
    <row r="25" spans="1:7" x14ac:dyDescent="0.25">
      <c r="C25" t="s">
        <v>120</v>
      </c>
      <c r="D25" s="10">
        <v>-198</v>
      </c>
      <c r="E25" s="10"/>
      <c r="F25" s="10"/>
      <c r="G25" s="10"/>
    </row>
    <row r="26" spans="1:7" x14ac:dyDescent="0.25">
      <c r="C26" t="s">
        <v>125</v>
      </c>
      <c r="D26" s="10">
        <v>-16232.25</v>
      </c>
      <c r="E26" s="10"/>
      <c r="F26" s="10"/>
      <c r="G26" s="10"/>
    </row>
    <row r="27" spans="1:7" x14ac:dyDescent="0.25">
      <c r="C27" t="s">
        <v>122</v>
      </c>
      <c r="D27" s="10">
        <v>-4573</v>
      </c>
      <c r="E27" s="10"/>
      <c r="F27" s="10"/>
      <c r="G27" s="10"/>
    </row>
    <row r="28" spans="1:7" x14ac:dyDescent="0.25">
      <c r="C28" t="s">
        <v>118</v>
      </c>
      <c r="D28" s="10">
        <v>-2485.6</v>
      </c>
      <c r="E28" s="10"/>
      <c r="F28" s="10"/>
      <c r="G28" s="10"/>
    </row>
    <row r="29" spans="1:7" x14ac:dyDescent="0.25">
      <c r="C29" t="s">
        <v>119</v>
      </c>
      <c r="D29" s="10">
        <v>-394.93</v>
      </c>
      <c r="E29" s="10"/>
      <c r="F29" s="10"/>
      <c r="G29" s="10"/>
    </row>
    <row r="30" spans="1:7" x14ac:dyDescent="0.25">
      <c r="C30" t="s">
        <v>123</v>
      </c>
      <c r="D30" s="10">
        <v>-1201</v>
      </c>
      <c r="E30" s="10"/>
      <c r="F30" s="10"/>
      <c r="G30" s="10"/>
    </row>
    <row r="31" spans="1:7" x14ac:dyDescent="0.25">
      <c r="B31" t="s">
        <v>245</v>
      </c>
      <c r="D31" s="10">
        <v>-32429.199999999997</v>
      </c>
      <c r="E31" s="10">
        <v>26328.46</v>
      </c>
      <c r="F31" s="10"/>
      <c r="G31" s="10"/>
    </row>
    <row r="32" spans="1:7" x14ac:dyDescent="0.25">
      <c r="B32" t="s">
        <v>89</v>
      </c>
      <c r="C32" t="s">
        <v>92</v>
      </c>
      <c r="D32" s="10"/>
      <c r="E32" s="10">
        <v>837.86</v>
      </c>
      <c r="F32" s="10"/>
      <c r="G32" s="10"/>
    </row>
    <row r="33" spans="1:10" x14ac:dyDescent="0.25">
      <c r="C33" t="s">
        <v>90</v>
      </c>
      <c r="D33" s="10"/>
      <c r="E33" s="10">
        <v>6714.3799999999992</v>
      </c>
      <c r="F33" s="10"/>
      <c r="G33" s="10"/>
    </row>
    <row r="34" spans="1:10" x14ac:dyDescent="0.25">
      <c r="C34" t="s">
        <v>91</v>
      </c>
      <c r="D34" s="10"/>
      <c r="E34" s="10">
        <v>1961.67</v>
      </c>
      <c r="F34" s="10"/>
      <c r="G34" s="10"/>
    </row>
    <row r="35" spans="1:10" x14ac:dyDescent="0.25">
      <c r="C35" t="s">
        <v>146</v>
      </c>
      <c r="D35" s="10"/>
      <c r="E35" s="10">
        <v>21068.550000000017</v>
      </c>
      <c r="F35" s="10"/>
      <c r="G35" s="10"/>
    </row>
    <row r="36" spans="1:10" x14ac:dyDescent="0.25">
      <c r="B36" t="s">
        <v>246</v>
      </c>
      <c r="D36" s="10"/>
      <c r="E36" s="10">
        <v>30582.460000000017</v>
      </c>
      <c r="F36" s="10"/>
      <c r="G36" s="10"/>
    </row>
    <row r="37" spans="1:10" x14ac:dyDescent="0.25">
      <c r="A37" t="s">
        <v>244</v>
      </c>
      <c r="D37" s="10">
        <v>-32429.199999999997</v>
      </c>
      <c r="E37" s="10">
        <v>56910.920000000013</v>
      </c>
      <c r="F37" s="10"/>
      <c r="G37" s="10"/>
    </row>
    <row r="38" spans="1:10" x14ac:dyDescent="0.25">
      <c r="A38" t="s">
        <v>241</v>
      </c>
      <c r="D38" s="10">
        <v>-75750.560000000012</v>
      </c>
      <c r="E38" s="10">
        <v>86604.270000000019</v>
      </c>
      <c r="F38" s="10">
        <v>-0.72971428569871932</v>
      </c>
      <c r="G38" s="10">
        <v>75864.17</v>
      </c>
    </row>
    <row r="43" spans="1:10" x14ac:dyDescent="0.25">
      <c r="D43" s="144" t="s">
        <v>71</v>
      </c>
      <c r="E43" s="144" t="s">
        <v>250</v>
      </c>
    </row>
    <row r="44" spans="1:10" x14ac:dyDescent="0.25">
      <c r="D44" t="s">
        <v>84</v>
      </c>
    </row>
    <row r="45" spans="1:10" x14ac:dyDescent="0.25">
      <c r="A45" s="144" t="s">
        <v>72</v>
      </c>
      <c r="B45" s="144" t="s">
        <v>73</v>
      </c>
      <c r="C45" s="144" t="s">
        <v>74</v>
      </c>
      <c r="D45" t="s">
        <v>242</v>
      </c>
      <c r="E45" t="s">
        <v>252</v>
      </c>
      <c r="F45" t="s">
        <v>251</v>
      </c>
      <c r="G45" t="s">
        <v>275</v>
      </c>
      <c r="H45" t="s">
        <v>276</v>
      </c>
      <c r="I45" t="s">
        <v>277</v>
      </c>
      <c r="J45" t="s">
        <v>278</v>
      </c>
    </row>
    <row r="46" spans="1:10" x14ac:dyDescent="0.25">
      <c r="A46" t="s">
        <v>86</v>
      </c>
      <c r="B46" t="s">
        <v>89</v>
      </c>
      <c r="C46" t="s">
        <v>92</v>
      </c>
      <c r="D46" s="10">
        <v>821.2</v>
      </c>
      <c r="E46" s="10">
        <v>16.66</v>
      </c>
      <c r="F46" s="10">
        <v>837.86000000000013</v>
      </c>
      <c r="G46" s="10">
        <v>640.15000000000009</v>
      </c>
      <c r="H46" s="10">
        <v>59.34</v>
      </c>
      <c r="I46" s="10">
        <v>38.869999999999997</v>
      </c>
      <c r="J46" s="10">
        <v>82.84</v>
      </c>
    </row>
    <row r="47" spans="1:10" x14ac:dyDescent="0.25">
      <c r="C47" t="s">
        <v>90</v>
      </c>
      <c r="D47" s="10">
        <v>5032.3499999999995</v>
      </c>
      <c r="E47" s="10">
        <v>1682.0300000000002</v>
      </c>
      <c r="F47" s="10">
        <v>6714.3799999999983</v>
      </c>
      <c r="G47" s="10">
        <v>702.99</v>
      </c>
      <c r="H47" s="10">
        <v>412.96</v>
      </c>
      <c r="I47" s="10">
        <v>3850.1399999999994</v>
      </c>
      <c r="J47" s="10">
        <v>66.260000000000005</v>
      </c>
    </row>
    <row r="48" spans="1:10" x14ac:dyDescent="0.25">
      <c r="C48" t="s">
        <v>91</v>
      </c>
      <c r="D48" s="10">
        <v>1961.67</v>
      </c>
      <c r="E48" s="10"/>
      <c r="F48" s="10">
        <v>0</v>
      </c>
      <c r="G48" s="10"/>
      <c r="H48" s="10"/>
      <c r="I48" s="10"/>
      <c r="J48" s="10"/>
    </row>
    <row r="49" spans="1:10" x14ac:dyDescent="0.25">
      <c r="B49" t="s">
        <v>246</v>
      </c>
      <c r="D49" s="10">
        <v>7815.2199999999993</v>
      </c>
      <c r="E49" s="10">
        <v>1698.6900000000003</v>
      </c>
      <c r="F49" s="10">
        <v>7552.239999999998</v>
      </c>
      <c r="G49" s="10">
        <v>1343.14</v>
      </c>
      <c r="H49" s="10">
        <v>472.29999999999995</v>
      </c>
      <c r="I49" s="10">
        <v>3889.0099999999993</v>
      </c>
      <c r="J49" s="10">
        <v>149.10000000000002</v>
      </c>
    </row>
    <row r="50" spans="1:10" x14ac:dyDescent="0.25">
      <c r="A50" t="s">
        <v>244</v>
      </c>
      <c r="D50" s="10">
        <v>7815.2199999999993</v>
      </c>
      <c r="E50" s="10">
        <v>1698.6900000000003</v>
      </c>
      <c r="F50" s="10">
        <v>7552.239999999998</v>
      </c>
      <c r="G50" s="10">
        <v>1343.14</v>
      </c>
      <c r="H50" s="10">
        <v>472.29999999999995</v>
      </c>
      <c r="I50" s="10">
        <v>3889.0099999999993</v>
      </c>
      <c r="J50" s="10">
        <v>149.10000000000002</v>
      </c>
    </row>
    <row r="51" spans="1:10" x14ac:dyDescent="0.25">
      <c r="A51" t="s">
        <v>241</v>
      </c>
      <c r="D51" s="10">
        <v>7815.2199999999993</v>
      </c>
      <c r="E51" s="10">
        <v>1698.6900000000003</v>
      </c>
      <c r="F51" s="10">
        <v>7552.239999999998</v>
      </c>
      <c r="G51" s="10">
        <v>1343.14</v>
      </c>
      <c r="H51" s="10">
        <v>472.29999999999995</v>
      </c>
      <c r="I51" s="10">
        <v>3889.0099999999993</v>
      </c>
      <c r="J51" s="10">
        <v>149.10000000000002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P116"/>
  <sheetViews>
    <sheetView zoomScale="85" zoomScaleNormal="85" workbookViewId="0">
      <pane xSplit="7" ySplit="23" topLeftCell="H117" activePane="bottomRight" state="frozen"/>
      <selection pane="topRight" activeCell="H1" sqref="H1"/>
      <selection pane="bottomLeft" activeCell="A23" sqref="A23"/>
      <selection pane="bottomRight" activeCell="C117" sqref="C117"/>
    </sheetView>
  </sheetViews>
  <sheetFormatPr defaultRowHeight="15" x14ac:dyDescent="0.25"/>
  <cols>
    <col min="1" max="1" width="7" customWidth="1"/>
    <col min="2" max="2" width="14.85546875" customWidth="1"/>
    <col min="3" max="3" width="89.85546875" customWidth="1"/>
    <col min="4" max="4" width="17.7109375" style="132" customWidth="1"/>
    <col min="5" max="6" width="10.5703125" style="132" bestFit="1" customWidth="1"/>
    <col min="8" max="8" width="5.42578125" customWidth="1"/>
    <col min="9" max="9" width="18.85546875" customWidth="1"/>
    <col min="10" max="10" width="27.140625" customWidth="1"/>
  </cols>
  <sheetData>
    <row r="1" spans="1:16" x14ac:dyDescent="0.25">
      <c r="B1" s="1" t="s">
        <v>0</v>
      </c>
      <c r="C1" s="1"/>
      <c r="D1" s="134"/>
      <c r="E1" s="134"/>
    </row>
    <row r="2" spans="1:16" ht="31.5" x14ac:dyDescent="0.25">
      <c r="A2" s="3" t="s">
        <v>81</v>
      </c>
      <c r="B2" s="2" t="s">
        <v>1</v>
      </c>
      <c r="C2" s="2" t="s">
        <v>82</v>
      </c>
      <c r="D2" s="135" t="s">
        <v>2</v>
      </c>
      <c r="E2" s="135" t="s">
        <v>3</v>
      </c>
      <c r="F2" s="133" t="s">
        <v>70</v>
      </c>
      <c r="G2" t="s">
        <v>71</v>
      </c>
      <c r="H2" s="4" t="s">
        <v>72</v>
      </c>
      <c r="I2" s="4" t="s">
        <v>73</v>
      </c>
      <c r="J2" t="s">
        <v>74</v>
      </c>
      <c r="K2" s="5" t="s">
        <v>75</v>
      </c>
      <c r="L2" s="5" t="s">
        <v>76</v>
      </c>
      <c r="M2" s="5" t="s">
        <v>77</v>
      </c>
      <c r="N2" s="5" t="s">
        <v>78</v>
      </c>
      <c r="O2" s="5" t="s">
        <v>79</v>
      </c>
      <c r="P2" s="5" t="s">
        <v>80</v>
      </c>
    </row>
    <row r="3" spans="1:16" x14ac:dyDescent="0.25">
      <c r="A3" s="136">
        <v>1</v>
      </c>
      <c r="B3" s="137">
        <v>42566</v>
      </c>
      <c r="C3" s="138" t="s">
        <v>5</v>
      </c>
      <c r="D3" s="139">
        <v>-301</v>
      </c>
      <c r="E3" s="139">
        <v>79932</v>
      </c>
      <c r="F3" s="140">
        <f t="shared" ref="F3:F34" si="0">ABS(D3)</f>
        <v>301</v>
      </c>
      <c r="G3" s="141" t="s">
        <v>83</v>
      </c>
      <c r="H3" s="141" t="s">
        <v>86</v>
      </c>
      <c r="I3" s="141" t="s">
        <v>88</v>
      </c>
      <c r="J3" s="141" t="s">
        <v>94</v>
      </c>
      <c r="K3" s="141"/>
      <c r="L3" s="141"/>
      <c r="M3" s="141"/>
      <c r="N3" s="141"/>
      <c r="O3" s="141"/>
      <c r="P3" s="141"/>
    </row>
    <row r="4" spans="1:16" x14ac:dyDescent="0.25">
      <c r="A4" s="138">
        <v>2</v>
      </c>
      <c r="B4" s="137">
        <v>42566</v>
      </c>
      <c r="C4" s="138" t="s">
        <v>6</v>
      </c>
      <c r="D4" s="139">
        <v>-342.93</v>
      </c>
      <c r="E4" s="139">
        <v>79589.070000000007</v>
      </c>
      <c r="F4" s="140">
        <f t="shared" si="0"/>
        <v>342.93</v>
      </c>
      <c r="G4" s="141" t="s">
        <v>83</v>
      </c>
      <c r="H4" s="141" t="s">
        <v>86</v>
      </c>
      <c r="I4" s="141" t="s">
        <v>88</v>
      </c>
      <c r="J4" s="141" t="s">
        <v>96</v>
      </c>
      <c r="K4" s="141"/>
      <c r="L4" s="141"/>
      <c r="M4" s="141"/>
      <c r="N4" s="141"/>
      <c r="O4" s="141"/>
      <c r="P4" s="141"/>
    </row>
    <row r="5" spans="1:16" x14ac:dyDescent="0.25">
      <c r="A5" s="138">
        <v>3</v>
      </c>
      <c r="B5" s="137">
        <v>42566</v>
      </c>
      <c r="C5" s="138" t="s">
        <v>7</v>
      </c>
      <c r="D5" s="139">
        <v>-1694.14</v>
      </c>
      <c r="E5" s="139">
        <v>77894.929999999993</v>
      </c>
      <c r="F5" s="140">
        <f t="shared" si="0"/>
        <v>1694.14</v>
      </c>
      <c r="G5" s="141" t="s">
        <v>83</v>
      </c>
      <c r="H5" s="141" t="s">
        <v>85</v>
      </c>
      <c r="I5" s="141" t="s">
        <v>88</v>
      </c>
      <c r="J5" s="141" t="s">
        <v>93</v>
      </c>
      <c r="K5" s="141"/>
      <c r="L5" s="141"/>
      <c r="M5" s="141"/>
      <c r="N5" s="141"/>
      <c r="O5" s="141"/>
      <c r="P5" s="141"/>
    </row>
    <row r="6" spans="1:16" x14ac:dyDescent="0.25">
      <c r="A6" s="138">
        <v>4</v>
      </c>
      <c r="B6" s="137">
        <v>42579</v>
      </c>
      <c r="C6" s="138" t="s">
        <v>8</v>
      </c>
      <c r="D6" s="139">
        <v>1779.08</v>
      </c>
      <c r="E6" s="139">
        <v>79674.009999999995</v>
      </c>
      <c r="F6" s="140">
        <f t="shared" si="0"/>
        <v>1779.08</v>
      </c>
      <c r="G6" s="141" t="s">
        <v>84</v>
      </c>
      <c r="H6" s="141" t="s">
        <v>86</v>
      </c>
      <c r="I6" s="141" t="s">
        <v>88</v>
      </c>
      <c r="J6" s="141" t="s">
        <v>169</v>
      </c>
      <c r="K6" s="141"/>
      <c r="L6" s="141"/>
      <c r="M6" s="141"/>
      <c r="N6" s="141"/>
      <c r="O6" s="141"/>
      <c r="P6" s="141"/>
    </row>
    <row r="7" spans="1:16" x14ac:dyDescent="0.25">
      <c r="A7" s="138">
        <v>5</v>
      </c>
      <c r="B7" s="137">
        <v>42582</v>
      </c>
      <c r="C7" s="138" t="s">
        <v>9</v>
      </c>
      <c r="D7" s="139">
        <v>174.18</v>
      </c>
      <c r="E7" s="139">
        <v>79848.19</v>
      </c>
      <c r="F7" s="140">
        <f t="shared" si="0"/>
        <v>174.18</v>
      </c>
      <c r="G7" s="141" t="s">
        <v>84</v>
      </c>
      <c r="H7" s="141" t="s">
        <v>86</v>
      </c>
      <c r="I7" s="141" t="s">
        <v>89</v>
      </c>
      <c r="J7" s="141" t="s">
        <v>91</v>
      </c>
      <c r="K7" s="141"/>
      <c r="L7" s="141"/>
      <c r="M7" s="141"/>
      <c r="N7" s="141"/>
      <c r="O7" s="141"/>
      <c r="P7" s="141">
        <f>SUM(K7:O7)</f>
        <v>0</v>
      </c>
    </row>
    <row r="8" spans="1:16" x14ac:dyDescent="0.25">
      <c r="A8" s="138">
        <v>6</v>
      </c>
      <c r="B8" s="137">
        <v>42564</v>
      </c>
      <c r="C8" s="138" t="s">
        <v>4</v>
      </c>
      <c r="D8" s="139">
        <v>221.84</v>
      </c>
      <c r="E8" s="139">
        <v>80233</v>
      </c>
      <c r="F8" s="140">
        <f t="shared" si="0"/>
        <v>221.84</v>
      </c>
      <c r="G8" s="141" t="s">
        <v>84</v>
      </c>
      <c r="H8" s="141" t="s">
        <v>86</v>
      </c>
      <c r="I8" s="141" t="s">
        <v>89</v>
      </c>
      <c r="J8" s="141" t="s">
        <v>90</v>
      </c>
      <c r="K8" s="141"/>
      <c r="L8" s="141"/>
      <c r="M8" s="141"/>
      <c r="N8" s="141">
        <f>+D8</f>
        <v>221.84</v>
      </c>
      <c r="O8" s="141">
        <v>95.07</v>
      </c>
      <c r="P8" s="141">
        <f>SUM(K8:O8)</f>
        <v>316.90999999999997</v>
      </c>
    </row>
    <row r="9" spans="1:16" x14ac:dyDescent="0.25">
      <c r="A9" s="138">
        <v>7</v>
      </c>
      <c r="B9" s="137">
        <v>42599</v>
      </c>
      <c r="C9" s="138" t="s">
        <v>7</v>
      </c>
      <c r="D9" s="139">
        <v>-1694.14</v>
      </c>
      <c r="E9" s="139">
        <v>78154.05</v>
      </c>
      <c r="F9" s="140">
        <f t="shared" si="0"/>
        <v>1694.14</v>
      </c>
      <c r="G9" s="141" t="s">
        <v>83</v>
      </c>
      <c r="H9" s="141" t="s">
        <v>85</v>
      </c>
      <c r="I9" s="141" t="s">
        <v>88</v>
      </c>
      <c r="J9" s="141" t="s">
        <v>93</v>
      </c>
      <c r="K9" s="141"/>
      <c r="L9" s="141"/>
      <c r="M9" s="141"/>
      <c r="N9" s="141"/>
      <c r="O9" s="141"/>
      <c r="P9" s="141"/>
    </row>
    <row r="10" spans="1:16" x14ac:dyDescent="0.25">
      <c r="A10" s="138">
        <v>8</v>
      </c>
      <c r="B10" s="137">
        <v>42600</v>
      </c>
      <c r="C10" s="138" t="s">
        <v>10</v>
      </c>
      <c r="D10" s="139">
        <v>228.33</v>
      </c>
      <c r="E10" s="139">
        <v>78382.38</v>
      </c>
      <c r="F10" s="140">
        <f t="shared" si="0"/>
        <v>228.33</v>
      </c>
      <c r="G10" s="141" t="s">
        <v>84</v>
      </c>
      <c r="H10" s="141" t="s">
        <v>86</v>
      </c>
      <c r="I10" s="141" t="s">
        <v>89</v>
      </c>
      <c r="J10" s="141" t="s">
        <v>92</v>
      </c>
      <c r="K10" s="141">
        <f>+D10</f>
        <v>228.33</v>
      </c>
      <c r="L10" s="141">
        <v>0</v>
      </c>
      <c r="M10" s="141">
        <v>0</v>
      </c>
      <c r="N10" s="141">
        <v>0</v>
      </c>
      <c r="O10" s="141">
        <v>0</v>
      </c>
      <c r="P10" s="141">
        <f>SUM(K10:O10)</f>
        <v>228.33</v>
      </c>
    </row>
    <row r="11" spans="1:16" x14ac:dyDescent="0.25">
      <c r="A11" s="138">
        <v>9</v>
      </c>
      <c r="B11" s="137">
        <v>42611</v>
      </c>
      <c r="C11" s="138" t="s">
        <v>11</v>
      </c>
      <c r="D11" s="139">
        <v>-153.13</v>
      </c>
      <c r="E11" s="139">
        <v>78229.25</v>
      </c>
      <c r="F11" s="140">
        <f t="shared" si="0"/>
        <v>153.13</v>
      </c>
      <c r="G11" s="141" t="s">
        <v>83</v>
      </c>
      <c r="H11" s="141" t="s">
        <v>86</v>
      </c>
      <c r="I11" s="141" t="s">
        <v>88</v>
      </c>
      <c r="J11" s="141" t="s">
        <v>95</v>
      </c>
      <c r="K11" s="141"/>
      <c r="L11" s="141"/>
      <c r="M11" s="141"/>
      <c r="N11" s="141"/>
      <c r="O11" s="141"/>
      <c r="P11" s="141"/>
    </row>
    <row r="12" spans="1:16" x14ac:dyDescent="0.25">
      <c r="A12" s="138">
        <v>10</v>
      </c>
      <c r="B12" s="137">
        <v>42612</v>
      </c>
      <c r="C12" s="138" t="s">
        <v>12</v>
      </c>
      <c r="D12" s="139">
        <v>1779.08</v>
      </c>
      <c r="E12" s="139">
        <v>80008.33</v>
      </c>
      <c r="F12" s="140">
        <f t="shared" si="0"/>
        <v>1779.08</v>
      </c>
      <c r="G12" s="141" t="s">
        <v>84</v>
      </c>
      <c r="H12" s="141" t="s">
        <v>86</v>
      </c>
      <c r="I12" s="141" t="s">
        <v>88</v>
      </c>
      <c r="J12" s="141" t="s">
        <v>169</v>
      </c>
      <c r="K12" s="141"/>
      <c r="L12" s="141"/>
      <c r="M12" s="141"/>
      <c r="N12" s="141"/>
      <c r="O12" s="141"/>
      <c r="P12" s="141"/>
    </row>
    <row r="13" spans="1:16" x14ac:dyDescent="0.25">
      <c r="A13" s="138">
        <v>11</v>
      </c>
      <c r="B13" s="137">
        <v>42613</v>
      </c>
      <c r="C13" s="138" t="s">
        <v>9</v>
      </c>
      <c r="D13" s="139">
        <v>174.48</v>
      </c>
      <c r="E13" s="139">
        <v>80182.81</v>
      </c>
      <c r="F13" s="140">
        <f t="shared" si="0"/>
        <v>174.48</v>
      </c>
      <c r="G13" s="141" t="s">
        <v>84</v>
      </c>
      <c r="H13" s="141" t="s">
        <v>86</v>
      </c>
      <c r="I13" s="141" t="s">
        <v>89</v>
      </c>
      <c r="J13" s="141" t="s">
        <v>91</v>
      </c>
      <c r="K13" s="141"/>
      <c r="L13" s="141"/>
      <c r="M13" s="141"/>
      <c r="N13" s="141"/>
      <c r="O13" s="141"/>
      <c r="P13" s="141">
        <f>SUM(K13:O13)</f>
        <v>0</v>
      </c>
    </row>
    <row r="14" spans="1:16" x14ac:dyDescent="0.25">
      <c r="A14" s="138">
        <v>12</v>
      </c>
      <c r="B14" s="137">
        <v>42618</v>
      </c>
      <c r="C14" s="138" t="s">
        <v>13</v>
      </c>
      <c r="D14" s="139">
        <v>-621.4</v>
      </c>
      <c r="E14" s="139">
        <v>79561.41</v>
      </c>
      <c r="F14" s="140">
        <f t="shared" si="0"/>
        <v>621.4</v>
      </c>
      <c r="G14" s="141" t="s">
        <v>83</v>
      </c>
      <c r="H14" s="141" t="s">
        <v>86</v>
      </c>
      <c r="I14" s="141" t="s">
        <v>88</v>
      </c>
      <c r="J14" s="13" t="s">
        <v>118</v>
      </c>
      <c r="K14" s="141"/>
      <c r="L14" s="141"/>
      <c r="M14" s="141"/>
      <c r="N14" s="141"/>
      <c r="O14" s="141"/>
      <c r="P14" s="141"/>
    </row>
    <row r="15" spans="1:16" x14ac:dyDescent="0.25">
      <c r="A15" s="138">
        <v>13</v>
      </c>
      <c r="B15" s="137">
        <v>42622</v>
      </c>
      <c r="C15" s="138" t="s">
        <v>14</v>
      </c>
      <c r="D15" s="139">
        <v>-10</v>
      </c>
      <c r="E15" s="139">
        <v>79551.41</v>
      </c>
      <c r="F15" s="140">
        <f t="shared" si="0"/>
        <v>10</v>
      </c>
      <c r="G15" s="141" t="s">
        <v>84</v>
      </c>
      <c r="H15" s="141" t="s">
        <v>86</v>
      </c>
      <c r="I15" s="141" t="s">
        <v>89</v>
      </c>
      <c r="J15" s="141" t="s">
        <v>91</v>
      </c>
      <c r="K15" s="141"/>
      <c r="L15" s="141"/>
      <c r="M15" s="141"/>
      <c r="N15" s="141"/>
      <c r="O15" s="141"/>
      <c r="P15" s="141"/>
    </row>
    <row r="16" spans="1:16" x14ac:dyDescent="0.25">
      <c r="A16" s="138">
        <v>14</v>
      </c>
      <c r="B16" s="137">
        <v>42627</v>
      </c>
      <c r="C16" s="138" t="s">
        <v>15</v>
      </c>
      <c r="D16" s="139">
        <v>10</v>
      </c>
      <c r="E16" s="139">
        <v>79561.41</v>
      </c>
      <c r="F16" s="140">
        <f t="shared" si="0"/>
        <v>10</v>
      </c>
      <c r="G16" s="141" t="s">
        <v>84</v>
      </c>
      <c r="H16" s="141" t="s">
        <v>86</v>
      </c>
      <c r="I16" s="141" t="s">
        <v>89</v>
      </c>
      <c r="J16" s="141" t="s">
        <v>91</v>
      </c>
      <c r="K16" s="141"/>
      <c r="L16" s="141"/>
      <c r="M16" s="141"/>
      <c r="N16" s="141"/>
      <c r="O16" s="141"/>
      <c r="P16" s="141"/>
    </row>
    <row r="17" spans="1:16" x14ac:dyDescent="0.25">
      <c r="A17" s="138">
        <v>15</v>
      </c>
      <c r="B17" s="137">
        <v>42628</v>
      </c>
      <c r="C17" s="138" t="s">
        <v>16</v>
      </c>
      <c r="D17" s="139">
        <v>206.48</v>
      </c>
      <c r="E17" s="139">
        <v>79767.89</v>
      </c>
      <c r="F17" s="140">
        <f t="shared" si="0"/>
        <v>206.48</v>
      </c>
      <c r="G17" s="141" t="s">
        <v>84</v>
      </c>
      <c r="H17" s="141" t="s">
        <v>86</v>
      </c>
      <c r="I17" s="141" t="s">
        <v>89</v>
      </c>
      <c r="J17" s="141" t="s">
        <v>90</v>
      </c>
      <c r="K17" s="141"/>
      <c r="L17" s="141">
        <v>206.48</v>
      </c>
      <c r="M17" s="141"/>
      <c r="N17" s="141"/>
      <c r="O17" s="141"/>
      <c r="P17" s="141">
        <f>SUM(K17:O17)</f>
        <v>206.48</v>
      </c>
    </row>
    <row r="18" spans="1:16" x14ac:dyDescent="0.25">
      <c r="A18" s="138">
        <v>16</v>
      </c>
      <c r="B18" s="137">
        <v>42629</v>
      </c>
      <c r="C18" s="138" t="s">
        <v>17</v>
      </c>
      <c r="D18" s="139">
        <v>187.42</v>
      </c>
      <c r="E18" s="139">
        <v>79955.31</v>
      </c>
      <c r="F18" s="140">
        <f t="shared" si="0"/>
        <v>187.42</v>
      </c>
      <c r="G18" s="141" t="s">
        <v>84</v>
      </c>
      <c r="H18" s="141" t="s">
        <v>86</v>
      </c>
      <c r="I18" s="141" t="s">
        <v>89</v>
      </c>
      <c r="J18" s="141" t="s">
        <v>92</v>
      </c>
      <c r="K18" s="141">
        <v>136.1</v>
      </c>
      <c r="L18" s="141">
        <v>30.36</v>
      </c>
      <c r="M18" s="141">
        <v>20.96</v>
      </c>
      <c r="N18" s="141">
        <v>0</v>
      </c>
      <c r="O18" s="141">
        <v>0</v>
      </c>
      <c r="P18" s="141">
        <f>SUM(K18:O18)</f>
        <v>187.42</v>
      </c>
    </row>
    <row r="19" spans="1:16" x14ac:dyDescent="0.25">
      <c r="A19" s="138">
        <v>17</v>
      </c>
      <c r="B19" s="137">
        <v>42629</v>
      </c>
      <c r="C19" s="138" t="s">
        <v>7</v>
      </c>
      <c r="D19" s="139">
        <v>-1694.14</v>
      </c>
      <c r="E19" s="139">
        <v>78261.17</v>
      </c>
      <c r="F19" s="140">
        <f t="shared" si="0"/>
        <v>1694.14</v>
      </c>
      <c r="G19" s="141" t="s">
        <v>83</v>
      </c>
      <c r="H19" s="141" t="s">
        <v>85</v>
      </c>
      <c r="I19" s="141" t="s">
        <v>88</v>
      </c>
      <c r="J19" s="141" t="s">
        <v>93</v>
      </c>
      <c r="K19" s="141"/>
      <c r="L19" s="141"/>
      <c r="M19" s="141"/>
      <c r="N19" s="141"/>
      <c r="O19" s="141"/>
      <c r="P19" s="141"/>
    </row>
    <row r="20" spans="1:16" x14ac:dyDescent="0.25">
      <c r="A20" s="138">
        <v>18</v>
      </c>
      <c r="B20" s="137">
        <v>42634</v>
      </c>
      <c r="C20" s="138" t="s">
        <v>18</v>
      </c>
      <c r="D20" s="139">
        <v>52.78</v>
      </c>
      <c r="E20" s="139">
        <v>78313.95</v>
      </c>
      <c r="F20" s="140">
        <f t="shared" si="0"/>
        <v>52.78</v>
      </c>
      <c r="G20" s="141" t="s">
        <v>84</v>
      </c>
      <c r="H20" s="141" t="s">
        <v>86</v>
      </c>
      <c r="I20" s="141" t="s">
        <v>89</v>
      </c>
      <c r="J20" s="141" t="s">
        <v>90</v>
      </c>
      <c r="K20" s="141"/>
      <c r="L20" s="141"/>
      <c r="M20" s="141"/>
      <c r="N20" s="141">
        <f>+D20</f>
        <v>52.78</v>
      </c>
      <c r="O20" s="141">
        <v>22.62</v>
      </c>
      <c r="P20" s="141">
        <f t="shared" ref="P20:P25" si="1">SUM(K20:O20)</f>
        <v>75.400000000000006</v>
      </c>
    </row>
    <row r="21" spans="1:16" x14ac:dyDescent="0.25">
      <c r="A21" s="138">
        <v>19</v>
      </c>
      <c r="B21" s="137">
        <v>42641</v>
      </c>
      <c r="C21" s="138" t="s">
        <v>19</v>
      </c>
      <c r="D21" s="139">
        <v>277.2</v>
      </c>
      <c r="E21" s="139">
        <v>78591.149999999994</v>
      </c>
      <c r="F21" s="140">
        <f t="shared" si="0"/>
        <v>277.2</v>
      </c>
      <c r="G21" s="141" t="s">
        <v>84</v>
      </c>
      <c r="H21" s="141" t="s">
        <v>86</v>
      </c>
      <c r="I21" s="141" t="s">
        <v>89</v>
      </c>
      <c r="J21" s="141" t="s">
        <v>90</v>
      </c>
      <c r="K21" s="141"/>
      <c r="L21" s="141"/>
      <c r="M21" s="141"/>
      <c r="N21" s="141">
        <f>+D21</f>
        <v>277.2</v>
      </c>
      <c r="O21" s="141">
        <v>122.4</v>
      </c>
      <c r="P21" s="141">
        <f t="shared" si="1"/>
        <v>399.6</v>
      </c>
    </row>
    <row r="22" spans="1:16" x14ac:dyDescent="0.25">
      <c r="A22" s="138">
        <v>20</v>
      </c>
      <c r="B22" s="137">
        <v>42641</v>
      </c>
      <c r="C22" s="138" t="s">
        <v>20</v>
      </c>
      <c r="D22" s="139">
        <v>132.51</v>
      </c>
      <c r="E22" s="139">
        <v>78723.66</v>
      </c>
      <c r="F22" s="140">
        <f t="shared" si="0"/>
        <v>132.51</v>
      </c>
      <c r="G22" s="141" t="s">
        <v>84</v>
      </c>
      <c r="H22" s="141" t="s">
        <v>86</v>
      </c>
      <c r="I22" s="141" t="s">
        <v>89</v>
      </c>
      <c r="J22" s="141" t="s">
        <v>90</v>
      </c>
      <c r="K22" s="141">
        <v>66.25</v>
      </c>
      <c r="L22" s="141"/>
      <c r="M22" s="141">
        <v>66.260000000000005</v>
      </c>
      <c r="N22" s="141"/>
      <c r="O22" s="141">
        <v>28.4</v>
      </c>
      <c r="P22" s="141">
        <f t="shared" si="1"/>
        <v>160.91</v>
      </c>
    </row>
    <row r="23" spans="1:16" x14ac:dyDescent="0.25">
      <c r="A23" s="138">
        <v>21</v>
      </c>
      <c r="B23" s="137">
        <v>42642</v>
      </c>
      <c r="C23" s="138" t="s">
        <v>21</v>
      </c>
      <c r="D23" s="139">
        <v>211.26</v>
      </c>
      <c r="E23" s="139">
        <v>78934.92</v>
      </c>
      <c r="F23" s="140">
        <f t="shared" si="0"/>
        <v>211.26</v>
      </c>
      <c r="G23" s="141" t="s">
        <v>84</v>
      </c>
      <c r="H23" s="141" t="s">
        <v>86</v>
      </c>
      <c r="I23" s="141" t="s">
        <v>89</v>
      </c>
      <c r="J23" s="141" t="s">
        <v>90</v>
      </c>
      <c r="K23" s="141"/>
      <c r="L23" s="141"/>
      <c r="M23" s="141"/>
      <c r="N23" s="141">
        <f>+D23</f>
        <v>211.26</v>
      </c>
      <c r="O23" s="141">
        <v>90.54</v>
      </c>
      <c r="P23" s="141">
        <f t="shared" si="1"/>
        <v>301.8</v>
      </c>
    </row>
    <row r="24" spans="1:16" x14ac:dyDescent="0.25">
      <c r="A24" s="138">
        <v>22</v>
      </c>
      <c r="B24" s="137">
        <v>42642</v>
      </c>
      <c r="C24" s="138" t="s">
        <v>22</v>
      </c>
      <c r="D24" s="139">
        <v>72.59</v>
      </c>
      <c r="E24" s="139">
        <v>79007.509999999995</v>
      </c>
      <c r="F24" s="140">
        <f t="shared" si="0"/>
        <v>72.59</v>
      </c>
      <c r="G24" s="141" t="s">
        <v>84</v>
      </c>
      <c r="H24" s="141" t="s">
        <v>86</v>
      </c>
      <c r="I24" s="141" t="s">
        <v>89</v>
      </c>
      <c r="J24" s="141" t="s">
        <v>90</v>
      </c>
      <c r="K24" s="141"/>
      <c r="L24" s="141"/>
      <c r="M24" s="141"/>
      <c r="N24" s="141">
        <v>72.59</v>
      </c>
      <c r="O24" s="141">
        <v>31.11</v>
      </c>
      <c r="P24" s="141">
        <f t="shared" si="1"/>
        <v>103.7</v>
      </c>
    </row>
    <row r="25" spans="1:16" x14ac:dyDescent="0.25">
      <c r="A25" s="138">
        <v>23</v>
      </c>
      <c r="B25" s="137">
        <v>42642</v>
      </c>
      <c r="C25" s="138" t="s">
        <v>23</v>
      </c>
      <c r="D25" s="139">
        <v>306.36</v>
      </c>
      <c r="E25" s="139">
        <v>79313.87</v>
      </c>
      <c r="F25" s="140">
        <f t="shared" si="0"/>
        <v>306.36</v>
      </c>
      <c r="G25" s="141" t="s">
        <v>84</v>
      </c>
      <c r="H25" s="141" t="s">
        <v>86</v>
      </c>
      <c r="I25" s="141" t="s">
        <v>89</v>
      </c>
      <c r="J25" s="141" t="s">
        <v>90</v>
      </c>
      <c r="K25" s="141"/>
      <c r="L25" s="141"/>
      <c r="M25" s="141"/>
      <c r="N25" s="141">
        <f>+D25</f>
        <v>306.36</v>
      </c>
      <c r="O25" s="141">
        <v>131.30000000000001</v>
      </c>
      <c r="P25" s="141">
        <f t="shared" si="1"/>
        <v>437.66</v>
      </c>
    </row>
    <row r="26" spans="1:16" x14ac:dyDescent="0.25">
      <c r="A26" s="138">
        <v>24</v>
      </c>
      <c r="B26" s="137">
        <v>42642</v>
      </c>
      <c r="C26" s="138" t="s">
        <v>24</v>
      </c>
      <c r="D26" s="139">
        <v>1779.08</v>
      </c>
      <c r="E26" s="139">
        <v>81092.95</v>
      </c>
      <c r="F26" s="140">
        <f t="shared" si="0"/>
        <v>1779.08</v>
      </c>
      <c r="G26" s="141" t="s">
        <v>84</v>
      </c>
      <c r="H26" s="141" t="s">
        <v>86</v>
      </c>
      <c r="I26" s="141" t="s">
        <v>88</v>
      </c>
      <c r="J26" s="141" t="s">
        <v>169</v>
      </c>
      <c r="K26" s="141"/>
      <c r="L26" s="141"/>
      <c r="M26" s="141"/>
      <c r="N26" s="141"/>
      <c r="O26" s="141"/>
      <c r="P26" s="141"/>
    </row>
    <row r="27" spans="1:16" x14ac:dyDescent="0.25">
      <c r="A27" s="138">
        <v>25</v>
      </c>
      <c r="B27" s="137">
        <v>42643</v>
      </c>
      <c r="C27" s="138" t="s">
        <v>9</v>
      </c>
      <c r="D27" s="139">
        <v>166.68</v>
      </c>
      <c r="E27" s="139">
        <v>81259.63</v>
      </c>
      <c r="F27" s="140">
        <f t="shared" si="0"/>
        <v>166.68</v>
      </c>
      <c r="G27" s="141" t="s">
        <v>84</v>
      </c>
      <c r="H27" s="141" t="s">
        <v>86</v>
      </c>
      <c r="I27" s="141" t="s">
        <v>89</v>
      </c>
      <c r="J27" s="141" t="s">
        <v>91</v>
      </c>
      <c r="K27" s="141"/>
      <c r="L27" s="141"/>
      <c r="M27" s="141"/>
      <c r="N27" s="141"/>
      <c r="O27" s="141"/>
      <c r="P27" s="141"/>
    </row>
    <row r="28" spans="1:16" x14ac:dyDescent="0.25">
      <c r="A28" s="138">
        <v>26</v>
      </c>
      <c r="B28" s="137">
        <v>42648</v>
      </c>
      <c r="C28" s="138" t="s">
        <v>25</v>
      </c>
      <c r="D28" s="139">
        <v>225.68</v>
      </c>
      <c r="E28" s="139">
        <v>81485.31</v>
      </c>
      <c r="F28" s="140">
        <f t="shared" si="0"/>
        <v>225.68</v>
      </c>
      <c r="G28" s="141" t="s">
        <v>84</v>
      </c>
      <c r="H28" s="141" t="s">
        <v>86</v>
      </c>
      <c r="I28" s="141" t="s">
        <v>89</v>
      </c>
      <c r="J28" s="141" t="s">
        <v>90</v>
      </c>
      <c r="K28" s="141"/>
      <c r="L28" s="141"/>
      <c r="M28" s="141"/>
      <c r="N28" s="141">
        <f>+D28</f>
        <v>225.68</v>
      </c>
      <c r="O28" s="141">
        <v>96.72</v>
      </c>
      <c r="P28" s="141">
        <f>SUM(K28:O28)</f>
        <v>322.39999999999998</v>
      </c>
    </row>
    <row r="29" spans="1:16" x14ac:dyDescent="0.25">
      <c r="A29" s="138">
        <v>27</v>
      </c>
      <c r="B29" s="137">
        <v>42650</v>
      </c>
      <c r="C29" s="138" t="s">
        <v>26</v>
      </c>
      <c r="D29" s="139">
        <v>3.76</v>
      </c>
      <c r="E29" s="139">
        <v>81489.070000000007</v>
      </c>
      <c r="F29" s="140">
        <f t="shared" si="0"/>
        <v>3.76</v>
      </c>
      <c r="G29" s="141" t="s">
        <v>84</v>
      </c>
      <c r="H29" s="141" t="s">
        <v>86</v>
      </c>
      <c r="I29" s="141" t="s">
        <v>89</v>
      </c>
      <c r="J29" s="141" t="s">
        <v>91</v>
      </c>
      <c r="K29" s="141"/>
      <c r="L29" s="141"/>
      <c r="M29" s="141"/>
      <c r="N29" s="141"/>
      <c r="O29" s="141"/>
      <c r="P29" s="141">
        <f>SUM(K29:O29)</f>
        <v>0</v>
      </c>
    </row>
    <row r="30" spans="1:16" x14ac:dyDescent="0.25">
      <c r="A30" s="138">
        <v>28</v>
      </c>
      <c r="B30" s="137">
        <v>42653</v>
      </c>
      <c r="C30" s="138" t="s">
        <v>27</v>
      </c>
      <c r="D30" s="139">
        <v>266.88</v>
      </c>
      <c r="E30" s="139">
        <v>81755.95</v>
      </c>
      <c r="F30" s="140">
        <f t="shared" si="0"/>
        <v>266.88</v>
      </c>
      <c r="G30" s="141" t="s">
        <v>84</v>
      </c>
      <c r="H30" s="141" t="s">
        <v>86</v>
      </c>
      <c r="I30" s="141" t="s">
        <v>89</v>
      </c>
      <c r="J30" s="141" t="s">
        <v>90</v>
      </c>
      <c r="K30" s="141">
        <f>+D30</f>
        <v>266.88</v>
      </c>
      <c r="L30" s="141"/>
      <c r="M30" s="141"/>
      <c r="N30" s="141"/>
      <c r="O30" s="141"/>
      <c r="P30" s="141">
        <f>SUM(K30:O30)</f>
        <v>266.88</v>
      </c>
    </row>
    <row r="31" spans="1:16" x14ac:dyDescent="0.25">
      <c r="A31" s="138">
        <v>29</v>
      </c>
      <c r="B31" s="137">
        <v>42656</v>
      </c>
      <c r="C31" s="138" t="s">
        <v>28</v>
      </c>
      <c r="D31" s="139">
        <v>148.19999999999999</v>
      </c>
      <c r="E31" s="139">
        <v>81904.149999999994</v>
      </c>
      <c r="F31" s="140">
        <f t="shared" si="0"/>
        <v>148.19999999999999</v>
      </c>
      <c r="G31" s="141" t="s">
        <v>84</v>
      </c>
      <c r="H31" s="141" t="s">
        <v>86</v>
      </c>
      <c r="I31" s="141" t="s">
        <v>89</v>
      </c>
      <c r="J31" s="141" t="s">
        <v>90</v>
      </c>
      <c r="K31" s="141"/>
      <c r="L31" s="141"/>
      <c r="M31" s="141"/>
      <c r="N31" s="141">
        <f>+D31</f>
        <v>148.19999999999999</v>
      </c>
      <c r="O31" s="141">
        <v>63.51</v>
      </c>
      <c r="P31" s="141">
        <f>SUM(K31:O31)</f>
        <v>211.70999999999998</v>
      </c>
    </row>
    <row r="32" spans="1:16" x14ac:dyDescent="0.25">
      <c r="A32" s="138">
        <v>30</v>
      </c>
      <c r="B32" s="137">
        <v>42657</v>
      </c>
      <c r="C32" s="138" t="s">
        <v>29</v>
      </c>
      <c r="D32" s="139">
        <v>210.68</v>
      </c>
      <c r="E32" s="139">
        <v>82114.83</v>
      </c>
      <c r="F32" s="140">
        <f t="shared" si="0"/>
        <v>210.68</v>
      </c>
      <c r="G32" s="141" t="s">
        <v>84</v>
      </c>
      <c r="H32" s="141" t="s">
        <v>86</v>
      </c>
      <c r="I32" s="141" t="s">
        <v>89</v>
      </c>
      <c r="J32" s="141" t="s">
        <v>90</v>
      </c>
      <c r="K32" s="141"/>
      <c r="L32" s="141"/>
      <c r="M32" s="141"/>
      <c r="N32" s="141">
        <f>+D32</f>
        <v>210.68</v>
      </c>
      <c r="O32" s="141">
        <v>90.29</v>
      </c>
      <c r="P32" s="141">
        <f>SUM(K32:O32)</f>
        <v>300.97000000000003</v>
      </c>
    </row>
    <row r="33" spans="1:16" x14ac:dyDescent="0.25">
      <c r="A33" s="138">
        <v>31</v>
      </c>
      <c r="B33" s="137">
        <v>42660</v>
      </c>
      <c r="C33" s="138" t="s">
        <v>30</v>
      </c>
      <c r="D33" s="139">
        <v>-332.46</v>
      </c>
      <c r="E33" s="139">
        <v>81782.37</v>
      </c>
      <c r="F33" s="140">
        <f t="shared" si="0"/>
        <v>332.46</v>
      </c>
      <c r="G33" s="141" t="s">
        <v>83</v>
      </c>
      <c r="H33" s="141" t="s">
        <v>86</v>
      </c>
      <c r="I33" s="141" t="s">
        <v>88</v>
      </c>
      <c r="J33" s="141" t="s">
        <v>94</v>
      </c>
      <c r="K33" s="141"/>
      <c r="L33" s="141"/>
      <c r="M33" s="141"/>
      <c r="N33" s="141"/>
      <c r="O33" s="141"/>
      <c r="P33" s="141"/>
    </row>
    <row r="34" spans="1:16" x14ac:dyDescent="0.25">
      <c r="A34" s="138">
        <v>32</v>
      </c>
      <c r="B34" s="137">
        <v>42660</v>
      </c>
      <c r="C34" s="138" t="s">
        <v>31</v>
      </c>
      <c r="D34" s="139">
        <v>-384.19</v>
      </c>
      <c r="E34" s="139">
        <v>81398.179999999993</v>
      </c>
      <c r="F34" s="140">
        <f t="shared" si="0"/>
        <v>384.19</v>
      </c>
      <c r="G34" s="141" t="s">
        <v>83</v>
      </c>
      <c r="H34" s="141" t="s">
        <v>86</v>
      </c>
      <c r="I34" s="141" t="s">
        <v>88</v>
      </c>
      <c r="J34" s="141" t="s">
        <v>96</v>
      </c>
      <c r="K34" s="141"/>
      <c r="L34" s="141"/>
      <c r="M34" s="141"/>
      <c r="N34" s="141"/>
      <c r="O34" s="141"/>
      <c r="P34" s="141"/>
    </row>
    <row r="35" spans="1:16" x14ac:dyDescent="0.25">
      <c r="A35" s="138">
        <v>33</v>
      </c>
      <c r="B35" s="137">
        <v>42660</v>
      </c>
      <c r="C35" s="138" t="s">
        <v>7</v>
      </c>
      <c r="D35" s="139">
        <v>-1694.14</v>
      </c>
      <c r="E35" s="139">
        <v>79704.039999999994</v>
      </c>
      <c r="F35" s="140">
        <f t="shared" ref="F35:F66" si="2">ABS(D35)</f>
        <v>1694.14</v>
      </c>
      <c r="G35" s="141" t="s">
        <v>83</v>
      </c>
      <c r="H35" s="141" t="s">
        <v>85</v>
      </c>
      <c r="I35" s="141" t="s">
        <v>88</v>
      </c>
      <c r="J35" s="141" t="s">
        <v>93</v>
      </c>
      <c r="K35" s="141"/>
      <c r="L35" s="141"/>
      <c r="M35" s="141"/>
      <c r="N35" s="141"/>
      <c r="O35" s="141"/>
      <c r="P35" s="141"/>
    </row>
    <row r="36" spans="1:16" x14ac:dyDescent="0.25">
      <c r="A36" s="138">
        <v>34</v>
      </c>
      <c r="B36" s="137">
        <v>42660</v>
      </c>
      <c r="C36" s="138" t="s">
        <v>32</v>
      </c>
      <c r="D36" s="139">
        <v>179.4</v>
      </c>
      <c r="E36" s="139">
        <v>79883.44</v>
      </c>
      <c r="F36" s="140">
        <f t="shared" si="2"/>
        <v>179.4</v>
      </c>
      <c r="G36" s="141" t="s">
        <v>84</v>
      </c>
      <c r="H36" s="141" t="s">
        <v>86</v>
      </c>
      <c r="I36" s="141" t="s">
        <v>89</v>
      </c>
      <c r="J36" s="141" t="s">
        <v>90</v>
      </c>
      <c r="K36" s="141"/>
      <c r="L36" s="141"/>
      <c r="M36" s="141"/>
      <c r="N36" s="141">
        <f>+D36</f>
        <v>179.4</v>
      </c>
      <c r="O36" s="141">
        <v>76.89</v>
      </c>
      <c r="P36" s="141">
        <f>SUM(K36:O36)</f>
        <v>256.29000000000002</v>
      </c>
    </row>
    <row r="37" spans="1:16" x14ac:dyDescent="0.25">
      <c r="A37" s="138">
        <v>35</v>
      </c>
      <c r="B37" s="137">
        <v>42671</v>
      </c>
      <c r="C37" s="138" t="s">
        <v>33</v>
      </c>
      <c r="D37" s="139">
        <v>1779.08</v>
      </c>
      <c r="E37" s="139">
        <v>81662.52</v>
      </c>
      <c r="F37" s="140">
        <f t="shared" si="2"/>
        <v>1779.08</v>
      </c>
      <c r="G37" s="141" t="s">
        <v>84</v>
      </c>
      <c r="H37" s="141" t="s">
        <v>86</v>
      </c>
      <c r="I37" s="141" t="s">
        <v>88</v>
      </c>
      <c r="J37" s="141" t="s">
        <v>169</v>
      </c>
      <c r="K37" s="141"/>
      <c r="L37" s="141"/>
      <c r="M37" s="141"/>
      <c r="N37" s="141"/>
      <c r="O37" s="141"/>
      <c r="P37" s="141"/>
    </row>
    <row r="38" spans="1:16" x14ac:dyDescent="0.25">
      <c r="A38" s="138">
        <v>36</v>
      </c>
      <c r="B38" s="137">
        <v>42674</v>
      </c>
      <c r="C38" s="138" t="s">
        <v>9</v>
      </c>
      <c r="D38" s="139">
        <v>171.6</v>
      </c>
      <c r="E38" s="139">
        <v>81834.12</v>
      </c>
      <c r="F38" s="140">
        <f t="shared" si="2"/>
        <v>171.6</v>
      </c>
      <c r="G38" s="141" t="s">
        <v>84</v>
      </c>
      <c r="H38" s="141" t="s">
        <v>86</v>
      </c>
      <c r="I38" s="141" t="s">
        <v>89</v>
      </c>
      <c r="J38" s="141" t="s">
        <v>91</v>
      </c>
      <c r="K38" s="141"/>
      <c r="L38" s="141"/>
      <c r="M38" s="141"/>
      <c r="N38" s="141"/>
      <c r="O38" s="141"/>
      <c r="P38" s="141">
        <f>SUM(K38:O38)</f>
        <v>0</v>
      </c>
    </row>
    <row r="39" spans="1:16" x14ac:dyDescent="0.25">
      <c r="A39" s="138">
        <v>37</v>
      </c>
      <c r="B39" s="137">
        <v>42691</v>
      </c>
      <c r="C39" s="138" t="s">
        <v>7</v>
      </c>
      <c r="D39" s="139">
        <v>-1694.14</v>
      </c>
      <c r="E39" s="139">
        <v>80139.98</v>
      </c>
      <c r="F39" s="140">
        <f t="shared" si="2"/>
        <v>1694.14</v>
      </c>
      <c r="G39" s="141" t="s">
        <v>83</v>
      </c>
      <c r="H39" s="141" t="s">
        <v>85</v>
      </c>
      <c r="I39" s="141" t="s">
        <v>88</v>
      </c>
      <c r="J39" s="141" t="s">
        <v>93</v>
      </c>
      <c r="K39" s="141"/>
      <c r="L39" s="141"/>
      <c r="M39" s="141"/>
      <c r="N39" s="141"/>
      <c r="O39" s="141"/>
      <c r="P39" s="141"/>
    </row>
    <row r="40" spans="1:16" x14ac:dyDescent="0.25">
      <c r="A40" s="138">
        <v>38</v>
      </c>
      <c r="B40" s="137">
        <v>42702</v>
      </c>
      <c r="C40" s="138" t="s">
        <v>34</v>
      </c>
      <c r="D40" s="139">
        <v>-621.4</v>
      </c>
      <c r="E40" s="139">
        <v>79518.58</v>
      </c>
      <c r="F40" s="140">
        <f t="shared" si="2"/>
        <v>621.4</v>
      </c>
      <c r="G40" s="141" t="s">
        <v>83</v>
      </c>
      <c r="H40" s="141" t="s">
        <v>86</v>
      </c>
      <c r="I40" s="141" t="s">
        <v>88</v>
      </c>
      <c r="J40" s="141" t="s">
        <v>118</v>
      </c>
      <c r="K40" s="141"/>
      <c r="L40" s="141"/>
      <c r="M40" s="141"/>
      <c r="N40" s="141"/>
      <c r="O40" s="141"/>
      <c r="P40" s="141"/>
    </row>
    <row r="41" spans="1:16" x14ac:dyDescent="0.25">
      <c r="A41" s="138">
        <v>39</v>
      </c>
      <c r="B41" s="137">
        <v>42703</v>
      </c>
      <c r="C41" s="138" t="s">
        <v>35</v>
      </c>
      <c r="D41" s="139">
        <v>-153.13</v>
      </c>
      <c r="E41" s="139">
        <v>79365.45</v>
      </c>
      <c r="F41" s="140">
        <f t="shared" si="2"/>
        <v>153.13</v>
      </c>
      <c r="G41" s="141" t="s">
        <v>83</v>
      </c>
      <c r="H41" s="141" t="s">
        <v>86</v>
      </c>
      <c r="I41" s="141" t="s">
        <v>88</v>
      </c>
      <c r="J41" s="141" t="s">
        <v>95</v>
      </c>
      <c r="K41" s="141"/>
      <c r="L41" s="141"/>
      <c r="M41" s="141"/>
      <c r="N41" s="141"/>
      <c r="O41" s="141"/>
      <c r="P41" s="141"/>
    </row>
    <row r="42" spans="1:16" x14ac:dyDescent="0.25">
      <c r="A42" s="138">
        <v>40</v>
      </c>
      <c r="B42" s="137">
        <v>42703</v>
      </c>
      <c r="C42" s="138" t="s">
        <v>36</v>
      </c>
      <c r="D42" s="139">
        <v>1779.08</v>
      </c>
      <c r="E42" s="139">
        <v>81144.53</v>
      </c>
      <c r="F42" s="140">
        <f t="shared" si="2"/>
        <v>1779.08</v>
      </c>
      <c r="G42" s="141" t="s">
        <v>84</v>
      </c>
      <c r="H42" s="141" t="s">
        <v>86</v>
      </c>
      <c r="I42" s="141" t="s">
        <v>88</v>
      </c>
      <c r="J42" s="141" t="s">
        <v>169</v>
      </c>
      <c r="K42" s="141"/>
      <c r="L42" s="141"/>
      <c r="M42" s="141"/>
      <c r="N42" s="141"/>
      <c r="O42" s="141"/>
      <c r="P42" s="141"/>
    </row>
    <row r="43" spans="1:16" x14ac:dyDescent="0.25">
      <c r="A43" s="138">
        <v>41</v>
      </c>
      <c r="B43" s="137">
        <v>42704</v>
      </c>
      <c r="C43" s="138" t="s">
        <v>9</v>
      </c>
      <c r="D43" s="139">
        <v>166.17</v>
      </c>
      <c r="E43" s="139">
        <v>81310.7</v>
      </c>
      <c r="F43" s="140">
        <f t="shared" si="2"/>
        <v>166.17</v>
      </c>
      <c r="G43" s="141" t="s">
        <v>84</v>
      </c>
      <c r="H43" s="141" t="s">
        <v>86</v>
      </c>
      <c r="I43" s="141" t="s">
        <v>89</v>
      </c>
      <c r="J43" s="141" t="s">
        <v>91</v>
      </c>
      <c r="K43" s="141"/>
      <c r="L43" s="141"/>
      <c r="M43" s="141"/>
      <c r="N43" s="141"/>
      <c r="O43" s="141"/>
      <c r="P43" s="141"/>
    </row>
    <row r="44" spans="1:16" x14ac:dyDescent="0.25">
      <c r="A44" s="138">
        <v>42</v>
      </c>
      <c r="B44" s="137">
        <v>42719</v>
      </c>
      <c r="C44" s="138" t="s">
        <v>37</v>
      </c>
      <c r="D44" s="139">
        <v>221.84</v>
      </c>
      <c r="E44" s="139">
        <v>81532.539999999994</v>
      </c>
      <c r="F44" s="140">
        <f t="shared" si="2"/>
        <v>221.84</v>
      </c>
      <c r="G44" s="141" t="s">
        <v>84</v>
      </c>
      <c r="H44" s="141" t="s">
        <v>86</v>
      </c>
      <c r="I44" s="141" t="s">
        <v>89</v>
      </c>
      <c r="J44" s="141" t="s">
        <v>90</v>
      </c>
      <c r="K44" s="141"/>
      <c r="L44" s="141"/>
      <c r="M44" s="141"/>
      <c r="N44" s="141">
        <f>+D44</f>
        <v>221.84</v>
      </c>
      <c r="O44" s="141">
        <v>95.07</v>
      </c>
      <c r="P44" s="141">
        <f>SUM(K44:O44)</f>
        <v>316.90999999999997</v>
      </c>
    </row>
    <row r="45" spans="1:16" x14ac:dyDescent="0.25">
      <c r="A45" s="138">
        <v>43</v>
      </c>
      <c r="B45" s="137">
        <v>42720</v>
      </c>
      <c r="C45" s="138" t="s">
        <v>7</v>
      </c>
      <c r="D45" s="139">
        <v>-1694.14</v>
      </c>
      <c r="E45" s="139">
        <v>79838.399999999994</v>
      </c>
      <c r="F45" s="140">
        <f t="shared" si="2"/>
        <v>1694.14</v>
      </c>
      <c r="G45" s="141" t="s">
        <v>83</v>
      </c>
      <c r="H45" s="141" t="s">
        <v>85</v>
      </c>
      <c r="I45" s="141" t="s">
        <v>88</v>
      </c>
      <c r="J45" s="141" t="s">
        <v>93</v>
      </c>
      <c r="K45" s="141"/>
      <c r="L45" s="141"/>
      <c r="M45" s="141"/>
      <c r="N45" s="141"/>
      <c r="O45" s="141"/>
      <c r="P45" s="141"/>
    </row>
    <row r="46" spans="1:16" x14ac:dyDescent="0.25">
      <c r="A46" s="138">
        <v>44</v>
      </c>
      <c r="B46" s="137">
        <v>42733</v>
      </c>
      <c r="C46" s="138" t="s">
        <v>38</v>
      </c>
      <c r="D46" s="139">
        <v>1869.84</v>
      </c>
      <c r="E46" s="139">
        <v>81708.240000000005</v>
      </c>
      <c r="F46" s="140">
        <f t="shared" si="2"/>
        <v>1869.84</v>
      </c>
      <c r="G46" s="141" t="s">
        <v>84</v>
      </c>
      <c r="H46" s="141" t="s">
        <v>86</v>
      </c>
      <c r="I46" s="141" t="s">
        <v>88</v>
      </c>
      <c r="J46" s="141" t="s">
        <v>169</v>
      </c>
      <c r="K46" s="141"/>
      <c r="L46" s="141"/>
      <c r="M46" s="141"/>
      <c r="N46" s="141"/>
      <c r="O46" s="141"/>
      <c r="P46" s="141"/>
    </row>
    <row r="47" spans="1:16" x14ac:dyDescent="0.25">
      <c r="A47" s="138">
        <v>45</v>
      </c>
      <c r="B47" s="137">
        <v>42735</v>
      </c>
      <c r="C47" s="138" t="s">
        <v>9</v>
      </c>
      <c r="D47" s="139">
        <v>170.96</v>
      </c>
      <c r="E47" s="139">
        <v>81879.199999999997</v>
      </c>
      <c r="F47" s="140">
        <f t="shared" si="2"/>
        <v>170.96</v>
      </c>
      <c r="G47" s="141" t="s">
        <v>84</v>
      </c>
      <c r="H47" s="141" t="s">
        <v>86</v>
      </c>
      <c r="I47" s="141" t="s">
        <v>89</v>
      </c>
      <c r="J47" s="141" t="s">
        <v>91</v>
      </c>
      <c r="K47" s="141"/>
      <c r="L47" s="141"/>
      <c r="M47" s="141"/>
      <c r="N47" s="141"/>
      <c r="O47" s="141"/>
      <c r="P47" s="141">
        <f>SUM(K47:O47)</f>
        <v>0</v>
      </c>
    </row>
    <row r="48" spans="1:16" x14ac:dyDescent="0.25">
      <c r="A48" s="138">
        <v>46</v>
      </c>
      <c r="B48" s="137">
        <v>42751</v>
      </c>
      <c r="C48" s="138" t="s">
        <v>39</v>
      </c>
      <c r="D48" s="139">
        <v>-331</v>
      </c>
      <c r="E48" s="139">
        <v>81548.2</v>
      </c>
      <c r="F48" s="140">
        <f t="shared" si="2"/>
        <v>331</v>
      </c>
      <c r="G48" s="141" t="s">
        <v>83</v>
      </c>
      <c r="H48" s="141" t="s">
        <v>86</v>
      </c>
      <c r="I48" s="141" t="s">
        <v>88</v>
      </c>
      <c r="J48" s="141" t="s">
        <v>94</v>
      </c>
      <c r="K48" s="141"/>
      <c r="L48" s="141"/>
      <c r="M48" s="141"/>
      <c r="N48" s="141"/>
      <c r="O48" s="141"/>
      <c r="P48" s="141"/>
    </row>
    <row r="49" spans="1:16" x14ac:dyDescent="0.25">
      <c r="A49" s="138">
        <v>47</v>
      </c>
      <c r="B49" s="137">
        <v>42751</v>
      </c>
      <c r="C49" s="138" t="s">
        <v>40</v>
      </c>
      <c r="D49" s="139">
        <v>-384.19</v>
      </c>
      <c r="E49" s="139">
        <v>81164.009999999995</v>
      </c>
      <c r="F49" s="140">
        <f t="shared" si="2"/>
        <v>384.19</v>
      </c>
      <c r="G49" s="141" t="s">
        <v>83</v>
      </c>
      <c r="H49" s="141" t="s">
        <v>86</v>
      </c>
      <c r="I49" s="141" t="s">
        <v>88</v>
      </c>
      <c r="J49" s="141" t="s">
        <v>96</v>
      </c>
      <c r="K49" s="141"/>
      <c r="L49" s="141"/>
      <c r="M49" s="141"/>
      <c r="N49" s="141"/>
      <c r="O49" s="141"/>
      <c r="P49" s="141"/>
    </row>
    <row r="50" spans="1:16" x14ac:dyDescent="0.25">
      <c r="A50" s="138">
        <v>48</v>
      </c>
      <c r="B50" s="137">
        <v>42752</v>
      </c>
      <c r="C50" s="138" t="s">
        <v>7</v>
      </c>
      <c r="D50" s="139">
        <v>-1736.37</v>
      </c>
      <c r="E50" s="139">
        <v>79427.64</v>
      </c>
      <c r="F50" s="140">
        <f t="shared" si="2"/>
        <v>1736.37</v>
      </c>
      <c r="G50" s="141" t="s">
        <v>83</v>
      </c>
      <c r="H50" s="141" t="s">
        <v>85</v>
      </c>
      <c r="I50" s="141" t="s">
        <v>88</v>
      </c>
      <c r="J50" s="141" t="s">
        <v>93</v>
      </c>
      <c r="K50" s="141"/>
      <c r="L50" s="141"/>
      <c r="M50" s="141"/>
      <c r="N50" s="141"/>
      <c r="O50" s="141"/>
      <c r="P50" s="141"/>
    </row>
    <row r="51" spans="1:16" x14ac:dyDescent="0.25">
      <c r="A51" s="138">
        <v>49</v>
      </c>
      <c r="B51" s="137">
        <v>42765</v>
      </c>
      <c r="C51" s="138" t="s">
        <v>41</v>
      </c>
      <c r="D51" s="139">
        <v>1869.84</v>
      </c>
      <c r="E51" s="139">
        <v>81297.48</v>
      </c>
      <c r="F51" s="140">
        <f t="shared" si="2"/>
        <v>1869.84</v>
      </c>
      <c r="G51" s="141" t="s">
        <v>84</v>
      </c>
      <c r="H51" s="141" t="s">
        <v>86</v>
      </c>
      <c r="I51" s="141" t="s">
        <v>88</v>
      </c>
      <c r="J51" s="141" t="s">
        <v>169</v>
      </c>
      <c r="K51" s="141"/>
      <c r="L51" s="141"/>
      <c r="M51" s="141"/>
      <c r="N51" s="141"/>
      <c r="O51" s="141"/>
      <c r="P51" s="141"/>
    </row>
    <row r="52" spans="1:16" x14ac:dyDescent="0.25">
      <c r="A52" s="138">
        <v>50</v>
      </c>
      <c r="B52" s="137">
        <v>42766</v>
      </c>
      <c r="C52" s="138" t="s">
        <v>9</v>
      </c>
      <c r="D52" s="139">
        <v>171.54</v>
      </c>
      <c r="E52" s="139">
        <v>81469.02</v>
      </c>
      <c r="F52" s="140">
        <f t="shared" si="2"/>
        <v>171.54</v>
      </c>
      <c r="G52" s="141" t="s">
        <v>84</v>
      </c>
      <c r="H52" s="141" t="s">
        <v>86</v>
      </c>
      <c r="I52" s="141" t="s">
        <v>89</v>
      </c>
      <c r="J52" s="141" t="s">
        <v>91</v>
      </c>
      <c r="K52" s="141"/>
      <c r="L52" s="141"/>
      <c r="M52" s="141"/>
      <c r="N52" s="141"/>
      <c r="O52" s="141"/>
      <c r="P52" s="141">
        <f>SUM(K52:O52)</f>
        <v>0</v>
      </c>
    </row>
    <row r="53" spans="1:16" x14ac:dyDescent="0.25">
      <c r="A53" s="138">
        <v>51</v>
      </c>
      <c r="B53" s="137">
        <v>42782</v>
      </c>
      <c r="C53" s="138" t="s">
        <v>42</v>
      </c>
      <c r="D53" s="139">
        <v>234.68</v>
      </c>
      <c r="E53" s="139">
        <v>81703.7</v>
      </c>
      <c r="F53" s="140">
        <f t="shared" si="2"/>
        <v>234.68</v>
      </c>
      <c r="G53" s="141" t="s">
        <v>84</v>
      </c>
      <c r="H53" s="141" t="s">
        <v>86</v>
      </c>
      <c r="I53" s="141" t="s">
        <v>89</v>
      </c>
      <c r="J53" s="141" t="s">
        <v>92</v>
      </c>
      <c r="K53" s="141">
        <f>+D53</f>
        <v>234.68</v>
      </c>
      <c r="L53" s="141">
        <v>0</v>
      </c>
      <c r="M53" s="141">
        <v>0</v>
      </c>
      <c r="N53" s="141">
        <v>0</v>
      </c>
      <c r="O53" s="141">
        <v>0</v>
      </c>
      <c r="P53" s="141">
        <f>SUM(K53:O53)</f>
        <v>234.68</v>
      </c>
    </row>
    <row r="54" spans="1:16" x14ac:dyDescent="0.25">
      <c r="A54" s="138">
        <v>52</v>
      </c>
      <c r="B54" s="137">
        <v>42783</v>
      </c>
      <c r="C54" s="138" t="s">
        <v>7</v>
      </c>
      <c r="D54" s="139">
        <v>-1736.37</v>
      </c>
      <c r="E54" s="139">
        <v>79967.33</v>
      </c>
      <c r="F54" s="140">
        <f t="shared" si="2"/>
        <v>1736.37</v>
      </c>
      <c r="G54" s="141" t="s">
        <v>83</v>
      </c>
      <c r="H54" s="141" t="s">
        <v>85</v>
      </c>
      <c r="I54" s="141" t="s">
        <v>88</v>
      </c>
      <c r="J54" s="141" t="s">
        <v>93</v>
      </c>
      <c r="K54" s="141"/>
      <c r="L54" s="141"/>
      <c r="M54" s="141"/>
      <c r="N54" s="141"/>
      <c r="O54" s="141"/>
      <c r="P54" s="141"/>
    </row>
    <row r="55" spans="1:16" x14ac:dyDescent="0.25">
      <c r="A55" s="138">
        <v>53</v>
      </c>
      <c r="B55" s="137">
        <v>42793</v>
      </c>
      <c r="C55" s="138" t="s">
        <v>43</v>
      </c>
      <c r="D55" s="139">
        <v>1869.84</v>
      </c>
      <c r="E55" s="139">
        <v>81837.17</v>
      </c>
      <c r="F55" s="140">
        <f t="shared" si="2"/>
        <v>1869.84</v>
      </c>
      <c r="G55" s="141" t="s">
        <v>84</v>
      </c>
      <c r="H55" s="141" t="s">
        <v>86</v>
      </c>
      <c r="I55" s="141" t="s">
        <v>88</v>
      </c>
      <c r="J55" s="141" t="s">
        <v>169</v>
      </c>
      <c r="K55" s="141"/>
      <c r="L55" s="141"/>
      <c r="M55" s="141"/>
      <c r="N55" s="141"/>
      <c r="O55" s="141"/>
      <c r="P55" s="141"/>
    </row>
    <row r="56" spans="1:16" x14ac:dyDescent="0.25">
      <c r="A56" s="138">
        <v>54</v>
      </c>
      <c r="B56" s="137">
        <v>42794</v>
      </c>
      <c r="C56" s="138" t="s">
        <v>44</v>
      </c>
      <c r="D56" s="139">
        <v>-621.4</v>
      </c>
      <c r="E56" s="139">
        <v>81215.77</v>
      </c>
      <c r="F56" s="140">
        <f t="shared" si="2"/>
        <v>621.4</v>
      </c>
      <c r="G56" s="141" t="s">
        <v>83</v>
      </c>
      <c r="H56" s="141" t="s">
        <v>86</v>
      </c>
      <c r="I56" s="141" t="s">
        <v>88</v>
      </c>
      <c r="J56" s="141" t="s">
        <v>118</v>
      </c>
      <c r="K56" s="141"/>
      <c r="L56" s="141"/>
      <c r="M56" s="141"/>
      <c r="N56" s="141"/>
      <c r="O56" s="141"/>
      <c r="P56" s="141"/>
    </row>
    <row r="57" spans="1:16" x14ac:dyDescent="0.25">
      <c r="A57" s="138">
        <v>55</v>
      </c>
      <c r="B57" s="137">
        <v>42794</v>
      </c>
      <c r="C57" s="138" t="s">
        <v>9</v>
      </c>
      <c r="D57" s="139">
        <v>155.24</v>
      </c>
      <c r="E57" s="139">
        <v>81371.009999999995</v>
      </c>
      <c r="F57" s="140">
        <f t="shared" si="2"/>
        <v>155.24</v>
      </c>
      <c r="G57" s="141" t="s">
        <v>84</v>
      </c>
      <c r="H57" s="141" t="s">
        <v>86</v>
      </c>
      <c r="I57" s="141" t="s">
        <v>89</v>
      </c>
      <c r="J57" s="141" t="s">
        <v>91</v>
      </c>
      <c r="K57" s="141"/>
      <c r="L57" s="141"/>
      <c r="M57" s="141"/>
      <c r="N57" s="141"/>
      <c r="O57" s="141"/>
      <c r="P57" s="141"/>
    </row>
    <row r="58" spans="1:16" x14ac:dyDescent="0.25">
      <c r="A58" s="138">
        <v>56</v>
      </c>
      <c r="B58" s="137">
        <v>42809</v>
      </c>
      <c r="C58" s="138" t="s">
        <v>45</v>
      </c>
      <c r="D58" s="139">
        <v>170.77</v>
      </c>
      <c r="E58" s="139">
        <v>81541.78</v>
      </c>
      <c r="F58" s="140">
        <f t="shared" si="2"/>
        <v>170.77</v>
      </c>
      <c r="G58" s="141" t="s">
        <v>84</v>
      </c>
      <c r="H58" s="141" t="s">
        <v>86</v>
      </c>
      <c r="I58" s="141" t="s">
        <v>89</v>
      </c>
      <c r="J58" s="141" t="s">
        <v>92</v>
      </c>
      <c r="K58" s="141">
        <v>41.04</v>
      </c>
      <c r="L58" s="141">
        <v>28.98</v>
      </c>
      <c r="M58" s="141">
        <v>61.88</v>
      </c>
      <c r="N58" s="141">
        <v>38.869999999999997</v>
      </c>
      <c r="O58" s="141">
        <v>16.66</v>
      </c>
      <c r="P58" s="141">
        <f>SUM(K58:O58)</f>
        <v>187.43</v>
      </c>
    </row>
    <row r="59" spans="1:16" x14ac:dyDescent="0.25">
      <c r="A59" s="138">
        <v>57</v>
      </c>
      <c r="B59" s="137">
        <v>42809</v>
      </c>
      <c r="C59" s="138" t="s">
        <v>46</v>
      </c>
      <c r="D59" s="139">
        <v>-152.63</v>
      </c>
      <c r="E59" s="139">
        <v>81389.149999999994</v>
      </c>
      <c r="F59" s="140">
        <f t="shared" si="2"/>
        <v>152.63</v>
      </c>
      <c r="G59" s="141" t="s">
        <v>83</v>
      </c>
      <c r="H59" s="141" t="s">
        <v>86</v>
      </c>
      <c r="I59" s="141" t="s">
        <v>88</v>
      </c>
      <c r="J59" s="141" t="s">
        <v>95</v>
      </c>
      <c r="K59" s="141"/>
      <c r="L59" s="141"/>
      <c r="M59" s="141"/>
      <c r="N59" s="141"/>
      <c r="O59" s="141"/>
      <c r="P59" s="141"/>
    </row>
    <row r="60" spans="1:16" x14ac:dyDescent="0.25">
      <c r="A60" s="138">
        <v>58</v>
      </c>
      <c r="B60" s="137">
        <v>42810</v>
      </c>
      <c r="C60" s="138" t="s">
        <v>47</v>
      </c>
      <c r="D60" s="139">
        <v>206.48</v>
      </c>
      <c r="E60" s="139">
        <v>81595.63</v>
      </c>
      <c r="F60" s="140">
        <f t="shared" si="2"/>
        <v>206.48</v>
      </c>
      <c r="G60" s="141" t="s">
        <v>84</v>
      </c>
      <c r="H60" s="141" t="s">
        <v>86</v>
      </c>
      <c r="I60" s="141" t="s">
        <v>89</v>
      </c>
      <c r="J60" s="141" t="s">
        <v>90</v>
      </c>
      <c r="K60" s="141"/>
      <c r="L60" s="141">
        <v>206.48</v>
      </c>
      <c r="M60" s="141"/>
      <c r="N60" s="141"/>
      <c r="O60" s="141"/>
      <c r="P60" s="141">
        <f>SUM(K60:O60)</f>
        <v>206.48</v>
      </c>
    </row>
    <row r="61" spans="1:16" x14ac:dyDescent="0.25">
      <c r="A61" s="138">
        <v>59</v>
      </c>
      <c r="B61" s="137">
        <v>42811</v>
      </c>
      <c r="C61" s="138" t="s">
        <v>7</v>
      </c>
      <c r="D61" s="139">
        <v>-1736.37</v>
      </c>
      <c r="E61" s="139">
        <v>79859.259999999995</v>
      </c>
      <c r="F61" s="140">
        <f t="shared" si="2"/>
        <v>1736.37</v>
      </c>
      <c r="G61" s="141" t="s">
        <v>83</v>
      </c>
      <c r="H61" s="141" t="s">
        <v>85</v>
      </c>
      <c r="I61" s="141" t="s">
        <v>88</v>
      </c>
      <c r="J61" s="141" t="s">
        <v>93</v>
      </c>
      <c r="K61" s="141"/>
      <c r="L61" s="141"/>
      <c r="M61" s="141"/>
      <c r="N61" s="141"/>
      <c r="O61" s="141"/>
      <c r="P61" s="141"/>
    </row>
    <row r="62" spans="1:16" x14ac:dyDescent="0.25">
      <c r="A62" s="138">
        <v>60</v>
      </c>
      <c r="B62" s="137">
        <v>42817</v>
      </c>
      <c r="C62" s="138" t="s">
        <v>48</v>
      </c>
      <c r="D62" s="139">
        <v>-15000</v>
      </c>
      <c r="E62" s="139">
        <v>64859.26</v>
      </c>
      <c r="F62" s="140">
        <f t="shared" si="2"/>
        <v>15000</v>
      </c>
      <c r="G62" s="141" t="s">
        <v>83</v>
      </c>
      <c r="H62" s="141" t="s">
        <v>85</v>
      </c>
      <c r="I62" s="141" t="s">
        <v>89</v>
      </c>
      <c r="J62" s="141" t="s">
        <v>238</v>
      </c>
      <c r="K62" s="141"/>
      <c r="L62" s="141"/>
      <c r="M62" s="141"/>
      <c r="N62" s="141"/>
      <c r="O62" s="141"/>
      <c r="P62" s="141"/>
    </row>
    <row r="63" spans="1:16" x14ac:dyDescent="0.25">
      <c r="A63" s="138">
        <v>61</v>
      </c>
      <c r="B63" s="137">
        <v>42818</v>
      </c>
      <c r="C63" s="138" t="s">
        <v>49</v>
      </c>
      <c r="D63" s="139">
        <v>72.59</v>
      </c>
      <c r="E63" s="139">
        <v>64931.85</v>
      </c>
      <c r="F63" s="140">
        <f t="shared" si="2"/>
        <v>72.59</v>
      </c>
      <c r="G63" s="141" t="s">
        <v>84</v>
      </c>
      <c r="H63" s="141" t="s">
        <v>86</v>
      </c>
      <c r="I63" s="141" t="s">
        <v>89</v>
      </c>
      <c r="J63" s="141" t="s">
        <v>90</v>
      </c>
      <c r="K63" s="141"/>
      <c r="L63" s="141"/>
      <c r="M63" s="141"/>
      <c r="N63" s="141">
        <v>72.59</v>
      </c>
      <c r="O63" s="141">
        <v>31.11</v>
      </c>
      <c r="P63" s="141">
        <f t="shared" ref="P63:P68" si="3">SUM(K63:O63)</f>
        <v>103.7</v>
      </c>
    </row>
    <row r="64" spans="1:16" x14ac:dyDescent="0.25">
      <c r="A64" s="138">
        <v>62</v>
      </c>
      <c r="B64" s="137">
        <v>42822</v>
      </c>
      <c r="C64" s="138" t="s">
        <v>50</v>
      </c>
      <c r="D64" s="139">
        <v>151.56</v>
      </c>
      <c r="E64" s="139">
        <v>65083.41</v>
      </c>
      <c r="F64" s="140">
        <f t="shared" si="2"/>
        <v>151.56</v>
      </c>
      <c r="G64" s="141" t="s">
        <v>84</v>
      </c>
      <c r="H64" s="141" t="s">
        <v>86</v>
      </c>
      <c r="I64" s="141" t="s">
        <v>89</v>
      </c>
      <c r="J64" s="141" t="s">
        <v>90</v>
      </c>
      <c r="K64" s="141"/>
      <c r="L64" s="141"/>
      <c r="M64" s="141"/>
      <c r="N64" s="141">
        <f>+D64</f>
        <v>151.56</v>
      </c>
      <c r="O64" s="141">
        <v>64.95</v>
      </c>
      <c r="P64" s="141">
        <f t="shared" si="3"/>
        <v>216.51</v>
      </c>
    </row>
    <row r="65" spans="1:16" x14ac:dyDescent="0.25">
      <c r="A65" s="138">
        <v>63</v>
      </c>
      <c r="B65" s="137">
        <v>42823</v>
      </c>
      <c r="C65" s="138" t="s">
        <v>51</v>
      </c>
      <c r="D65" s="139">
        <v>285.60000000000002</v>
      </c>
      <c r="E65" s="139">
        <v>65369.01</v>
      </c>
      <c r="F65" s="140">
        <f t="shared" si="2"/>
        <v>285.60000000000002</v>
      </c>
      <c r="G65" s="141" t="s">
        <v>84</v>
      </c>
      <c r="H65" s="141" t="s">
        <v>86</v>
      </c>
      <c r="I65" s="141" t="s">
        <v>89</v>
      </c>
      <c r="J65" s="141" t="s">
        <v>90</v>
      </c>
      <c r="K65" s="141"/>
      <c r="L65" s="141"/>
      <c r="M65" s="141"/>
      <c r="N65" s="141">
        <f>+D65</f>
        <v>285.60000000000002</v>
      </c>
      <c r="O65" s="141">
        <v>122.4</v>
      </c>
      <c r="P65" s="141">
        <f t="shared" si="3"/>
        <v>408</v>
      </c>
    </row>
    <row r="66" spans="1:16" x14ac:dyDescent="0.25">
      <c r="A66" s="138">
        <v>64</v>
      </c>
      <c r="B66" s="137">
        <v>42824</v>
      </c>
      <c r="C66" s="138" t="s">
        <v>52</v>
      </c>
      <c r="D66" s="139">
        <v>184.85</v>
      </c>
      <c r="E66" s="139">
        <v>65553.86</v>
      </c>
      <c r="F66" s="140">
        <f t="shared" si="2"/>
        <v>184.85</v>
      </c>
      <c r="G66" s="141" t="s">
        <v>84</v>
      </c>
      <c r="H66" s="141" t="s">
        <v>86</v>
      </c>
      <c r="I66" s="141" t="s">
        <v>89</v>
      </c>
      <c r="J66" s="141" t="s">
        <v>90</v>
      </c>
      <c r="K66" s="141"/>
      <c r="L66" s="141"/>
      <c r="M66" s="141"/>
      <c r="N66" s="141">
        <f>+D66</f>
        <v>184.85</v>
      </c>
      <c r="O66" s="141">
        <v>79.22</v>
      </c>
      <c r="P66" s="141">
        <f t="shared" si="3"/>
        <v>264.07</v>
      </c>
    </row>
    <row r="67" spans="1:16" x14ac:dyDescent="0.25">
      <c r="A67" s="138">
        <v>65</v>
      </c>
      <c r="B67" s="137">
        <v>42824</v>
      </c>
      <c r="C67" s="138" t="s">
        <v>53</v>
      </c>
      <c r="D67" s="139">
        <v>225.68</v>
      </c>
      <c r="E67" s="139">
        <v>65779.539999999994</v>
      </c>
      <c r="F67" s="140">
        <f t="shared" ref="F67:F90" si="4">ABS(D67)</f>
        <v>225.68</v>
      </c>
      <c r="G67" s="141" t="s">
        <v>84</v>
      </c>
      <c r="H67" s="141" t="s">
        <v>86</v>
      </c>
      <c r="I67" s="141" t="s">
        <v>89</v>
      </c>
      <c r="J67" s="141" t="s">
        <v>90</v>
      </c>
      <c r="K67" s="141"/>
      <c r="L67" s="141"/>
      <c r="M67" s="141"/>
      <c r="N67" s="141">
        <f>+D67</f>
        <v>225.68</v>
      </c>
      <c r="O67" s="141">
        <v>96.72</v>
      </c>
      <c r="P67" s="141">
        <f t="shared" si="3"/>
        <v>322.39999999999998</v>
      </c>
    </row>
    <row r="68" spans="1:16" x14ac:dyDescent="0.25">
      <c r="A68" s="138">
        <v>66</v>
      </c>
      <c r="B68" s="137">
        <v>42824</v>
      </c>
      <c r="C68" s="138" t="s">
        <v>28</v>
      </c>
      <c r="D68" s="139">
        <v>148.19999999999999</v>
      </c>
      <c r="E68" s="139">
        <v>65927.740000000005</v>
      </c>
      <c r="F68" s="140">
        <f t="shared" si="4"/>
        <v>148.19999999999999</v>
      </c>
      <c r="G68" s="141" t="s">
        <v>84</v>
      </c>
      <c r="H68" s="141" t="s">
        <v>86</v>
      </c>
      <c r="I68" s="141" t="s">
        <v>89</v>
      </c>
      <c r="J68" s="141" t="s">
        <v>90</v>
      </c>
      <c r="K68" s="141"/>
      <c r="L68" s="141"/>
      <c r="M68" s="141"/>
      <c r="N68" s="141">
        <f>+D68</f>
        <v>148.19999999999999</v>
      </c>
      <c r="O68" s="141">
        <v>63.51</v>
      </c>
      <c r="P68" s="141">
        <f t="shared" si="3"/>
        <v>211.70999999999998</v>
      </c>
    </row>
    <row r="69" spans="1:16" x14ac:dyDescent="0.25">
      <c r="A69" s="138">
        <v>67</v>
      </c>
      <c r="B69" s="137">
        <v>42824</v>
      </c>
      <c r="C69" s="138" t="s">
        <v>54</v>
      </c>
      <c r="D69" s="139">
        <v>1869.84</v>
      </c>
      <c r="E69" s="139">
        <v>67797.58</v>
      </c>
      <c r="F69" s="140">
        <f t="shared" si="4"/>
        <v>1869.84</v>
      </c>
      <c r="G69" s="141" t="s">
        <v>84</v>
      </c>
      <c r="H69" s="141" t="s">
        <v>86</v>
      </c>
      <c r="I69" s="141" t="s">
        <v>88</v>
      </c>
      <c r="J69" s="141" t="s">
        <v>169</v>
      </c>
      <c r="K69" s="141"/>
      <c r="L69" s="141"/>
      <c r="M69" s="141"/>
      <c r="N69" s="141"/>
      <c r="O69" s="141"/>
      <c r="P69" s="141"/>
    </row>
    <row r="70" spans="1:16" x14ac:dyDescent="0.25">
      <c r="A70" s="138">
        <v>68</v>
      </c>
      <c r="B70" s="137">
        <v>42825</v>
      </c>
      <c r="C70" s="138" t="s">
        <v>9</v>
      </c>
      <c r="D70" s="139">
        <v>161.44999999999999</v>
      </c>
      <c r="E70" s="139">
        <v>67959.03</v>
      </c>
      <c r="F70" s="140">
        <f t="shared" si="4"/>
        <v>161.44999999999999</v>
      </c>
      <c r="G70" s="141" t="s">
        <v>84</v>
      </c>
      <c r="H70" s="141" t="s">
        <v>86</v>
      </c>
      <c r="I70" s="141" t="s">
        <v>89</v>
      </c>
      <c r="J70" s="141" t="s">
        <v>91</v>
      </c>
      <c r="K70" s="141"/>
      <c r="L70" s="141"/>
      <c r="M70" s="141"/>
      <c r="N70" s="141"/>
      <c r="O70" s="141"/>
      <c r="P70" s="141"/>
    </row>
    <row r="71" spans="1:16" x14ac:dyDescent="0.25">
      <c r="A71" s="138">
        <v>69</v>
      </c>
      <c r="B71" s="137">
        <v>42829</v>
      </c>
      <c r="C71" s="138" t="s">
        <v>55</v>
      </c>
      <c r="D71" s="139">
        <v>274.62</v>
      </c>
      <c r="E71" s="139">
        <v>68233.649999999994</v>
      </c>
      <c r="F71" s="140">
        <f t="shared" si="4"/>
        <v>274.62</v>
      </c>
      <c r="G71" s="141" t="s">
        <v>84</v>
      </c>
      <c r="H71" s="141" t="s">
        <v>86</v>
      </c>
      <c r="I71" s="141" t="s">
        <v>89</v>
      </c>
      <c r="J71" s="141" t="s">
        <v>90</v>
      </c>
      <c r="K71" s="141"/>
      <c r="L71" s="141"/>
      <c r="M71" s="141"/>
      <c r="N71" s="141">
        <f>+D71</f>
        <v>274.62</v>
      </c>
      <c r="O71" s="141">
        <v>117.69</v>
      </c>
      <c r="P71" s="141">
        <f>SUM(K71:O71)</f>
        <v>392.31</v>
      </c>
    </row>
    <row r="72" spans="1:16" x14ac:dyDescent="0.25">
      <c r="A72" s="138">
        <v>70</v>
      </c>
      <c r="B72" s="137">
        <v>42831</v>
      </c>
      <c r="C72" s="138" t="s">
        <v>56</v>
      </c>
      <c r="D72" s="139">
        <v>13.58</v>
      </c>
      <c r="E72" s="139">
        <v>68247.23</v>
      </c>
      <c r="F72" s="140">
        <f t="shared" si="4"/>
        <v>13.58</v>
      </c>
      <c r="G72" s="141" t="s">
        <v>84</v>
      </c>
      <c r="H72" s="141" t="s">
        <v>86</v>
      </c>
      <c r="I72" s="141" t="s">
        <v>89</v>
      </c>
      <c r="J72" s="141" t="s">
        <v>90</v>
      </c>
      <c r="K72" s="141">
        <f>+D72</f>
        <v>13.58</v>
      </c>
      <c r="L72" s="141"/>
      <c r="M72" s="141"/>
      <c r="N72" s="141"/>
      <c r="O72" s="141"/>
      <c r="P72" s="141">
        <f>SUM(K72:O72)</f>
        <v>13.58</v>
      </c>
    </row>
    <row r="73" spans="1:16" x14ac:dyDescent="0.25">
      <c r="A73" s="138">
        <v>71</v>
      </c>
      <c r="B73" s="137">
        <v>42838</v>
      </c>
      <c r="C73" s="138" t="s">
        <v>57</v>
      </c>
      <c r="D73" s="139">
        <v>103.05</v>
      </c>
      <c r="E73" s="139">
        <v>68350.28</v>
      </c>
      <c r="F73" s="140">
        <f t="shared" si="4"/>
        <v>103.05</v>
      </c>
      <c r="G73" s="141" t="s">
        <v>84</v>
      </c>
      <c r="H73" s="141" t="s">
        <v>86</v>
      </c>
      <c r="I73" s="141" t="s">
        <v>89</v>
      </c>
      <c r="J73" s="141" t="s">
        <v>90</v>
      </c>
      <c r="K73" s="141"/>
      <c r="L73" s="141"/>
      <c r="M73" s="141"/>
      <c r="N73" s="141">
        <f>+D73</f>
        <v>103.05</v>
      </c>
      <c r="O73" s="141">
        <v>44.16</v>
      </c>
      <c r="P73" s="141">
        <f>SUM(K73:O73)</f>
        <v>147.20999999999998</v>
      </c>
    </row>
    <row r="74" spans="1:16" x14ac:dyDescent="0.25">
      <c r="A74" s="138">
        <v>72</v>
      </c>
      <c r="B74" s="137">
        <v>42838</v>
      </c>
      <c r="C74" s="138" t="s">
        <v>58</v>
      </c>
      <c r="D74" s="139">
        <v>208.23</v>
      </c>
      <c r="E74" s="139">
        <v>68558.509999999995</v>
      </c>
      <c r="F74" s="140">
        <f t="shared" si="4"/>
        <v>208.23</v>
      </c>
      <c r="G74" s="141" t="s">
        <v>84</v>
      </c>
      <c r="H74" s="141" t="s">
        <v>86</v>
      </c>
      <c r="I74" s="141" t="s">
        <v>89</v>
      </c>
      <c r="J74" s="141" t="s">
        <v>90</v>
      </c>
      <c r="K74" s="141">
        <v>104.11</v>
      </c>
      <c r="L74" s="141"/>
      <c r="M74" s="141"/>
      <c r="N74" s="141">
        <v>104.12</v>
      </c>
      <c r="O74" s="141">
        <v>44.62</v>
      </c>
      <c r="P74" s="141">
        <f>SUM(K74:O74)</f>
        <v>252.85000000000002</v>
      </c>
    </row>
    <row r="75" spans="1:16" x14ac:dyDescent="0.25">
      <c r="A75" s="138">
        <v>73</v>
      </c>
      <c r="B75" s="137">
        <v>42838</v>
      </c>
      <c r="C75" s="138" t="s">
        <v>7</v>
      </c>
      <c r="D75" s="139">
        <v>-1711.43</v>
      </c>
      <c r="E75" s="139">
        <v>66847.08</v>
      </c>
      <c r="F75" s="140">
        <f t="shared" si="4"/>
        <v>1711.43</v>
      </c>
      <c r="G75" s="141" t="s">
        <v>83</v>
      </c>
      <c r="H75" s="141" t="s">
        <v>85</v>
      </c>
      <c r="I75" s="141" t="s">
        <v>88</v>
      </c>
      <c r="J75" s="141" t="s">
        <v>93</v>
      </c>
      <c r="K75" s="141"/>
      <c r="L75" s="141"/>
      <c r="M75" s="141"/>
      <c r="N75" s="141"/>
      <c r="O75" s="141"/>
      <c r="P75" s="141"/>
    </row>
    <row r="76" spans="1:16" x14ac:dyDescent="0.25">
      <c r="A76" s="138">
        <v>74</v>
      </c>
      <c r="B76" s="137">
        <v>42838</v>
      </c>
      <c r="C76" s="138" t="s">
        <v>59</v>
      </c>
      <c r="D76" s="139">
        <v>252.17</v>
      </c>
      <c r="E76" s="139">
        <v>67099.25</v>
      </c>
      <c r="F76" s="140">
        <f t="shared" si="4"/>
        <v>252.17</v>
      </c>
      <c r="G76" s="141" t="s">
        <v>84</v>
      </c>
      <c r="H76" s="141" t="s">
        <v>86</v>
      </c>
      <c r="I76" s="141" t="s">
        <v>89</v>
      </c>
      <c r="J76" s="141" t="s">
        <v>90</v>
      </c>
      <c r="K76" s="141">
        <f>+D76</f>
        <v>252.17</v>
      </c>
      <c r="L76" s="141"/>
      <c r="M76" s="141"/>
      <c r="N76" s="141"/>
      <c r="O76" s="141"/>
      <c r="P76" s="141">
        <f>SUM(K76:O76)</f>
        <v>252.17</v>
      </c>
    </row>
    <row r="77" spans="1:16" x14ac:dyDescent="0.25">
      <c r="A77" s="138">
        <v>75</v>
      </c>
      <c r="B77" s="137">
        <v>42843</v>
      </c>
      <c r="C77" s="138" t="s">
        <v>60</v>
      </c>
      <c r="D77" s="139">
        <v>-331</v>
      </c>
      <c r="E77" s="139">
        <v>66768.25</v>
      </c>
      <c r="F77" s="140">
        <f t="shared" si="4"/>
        <v>331</v>
      </c>
      <c r="G77" s="141" t="s">
        <v>83</v>
      </c>
      <c r="H77" s="141" t="s">
        <v>86</v>
      </c>
      <c r="I77" s="141" t="s">
        <v>88</v>
      </c>
      <c r="J77" s="141" t="s">
        <v>94</v>
      </c>
      <c r="K77" s="141"/>
      <c r="L77" s="141"/>
      <c r="M77" s="141"/>
      <c r="N77" s="141"/>
      <c r="O77" s="141"/>
      <c r="P77" s="141"/>
    </row>
    <row r="78" spans="1:16" x14ac:dyDescent="0.25">
      <c r="A78" s="138">
        <v>76</v>
      </c>
      <c r="B78" s="137">
        <v>42843</v>
      </c>
      <c r="C78" s="138" t="s">
        <v>61</v>
      </c>
      <c r="D78" s="139">
        <v>-375.84</v>
      </c>
      <c r="E78" s="139">
        <v>66392.41</v>
      </c>
      <c r="F78" s="140">
        <f t="shared" si="4"/>
        <v>375.84</v>
      </c>
      <c r="G78" s="141" t="s">
        <v>83</v>
      </c>
      <c r="H78" s="141" t="s">
        <v>86</v>
      </c>
      <c r="I78" s="141" t="s">
        <v>88</v>
      </c>
      <c r="J78" s="141" t="s">
        <v>96</v>
      </c>
      <c r="K78" s="141"/>
      <c r="L78" s="141"/>
      <c r="M78" s="141"/>
      <c r="N78" s="141"/>
      <c r="O78" s="141"/>
      <c r="P78" s="141"/>
    </row>
    <row r="79" spans="1:16" x14ac:dyDescent="0.25">
      <c r="A79" s="138">
        <v>77</v>
      </c>
      <c r="B79" s="137">
        <v>42845</v>
      </c>
      <c r="C79" s="138" t="s">
        <v>62</v>
      </c>
      <c r="D79" s="139">
        <v>172.04</v>
      </c>
      <c r="E79" s="139">
        <v>66564.45</v>
      </c>
      <c r="F79" s="140">
        <f t="shared" si="4"/>
        <v>172.04</v>
      </c>
      <c r="G79" s="141" t="s">
        <v>84</v>
      </c>
      <c r="H79" s="141" t="s">
        <v>86</v>
      </c>
      <c r="I79" s="141" t="s">
        <v>89</v>
      </c>
      <c r="J79" s="141" t="s">
        <v>90</v>
      </c>
      <c r="K79" s="141"/>
      <c r="L79" s="141"/>
      <c r="M79" s="141"/>
      <c r="N79" s="141">
        <f>+D79</f>
        <v>172.04</v>
      </c>
      <c r="O79" s="141">
        <v>73.73</v>
      </c>
      <c r="P79" s="141">
        <f>SUM(K79:O79)</f>
        <v>245.76999999999998</v>
      </c>
    </row>
    <row r="80" spans="1:16" x14ac:dyDescent="0.25">
      <c r="A80" s="138">
        <v>78</v>
      </c>
      <c r="B80" s="137">
        <v>42852</v>
      </c>
      <c r="C80" s="138" t="s">
        <v>63</v>
      </c>
      <c r="D80" s="139">
        <v>1869.84</v>
      </c>
      <c r="E80" s="139">
        <v>68434.289999999994</v>
      </c>
      <c r="F80" s="140">
        <f t="shared" si="4"/>
        <v>1869.84</v>
      </c>
      <c r="G80" s="141" t="s">
        <v>84</v>
      </c>
      <c r="H80" s="141" t="s">
        <v>86</v>
      </c>
      <c r="I80" s="141" t="s">
        <v>88</v>
      </c>
      <c r="J80" s="141" t="s">
        <v>169</v>
      </c>
      <c r="K80" s="141"/>
      <c r="L80" s="141"/>
      <c r="M80" s="141"/>
      <c r="N80" s="141"/>
      <c r="O80" s="141"/>
      <c r="P80" s="141"/>
    </row>
    <row r="81" spans="1:16" x14ac:dyDescent="0.25">
      <c r="A81" s="138">
        <v>79</v>
      </c>
      <c r="B81" s="137">
        <v>42855</v>
      </c>
      <c r="C81" s="138" t="s">
        <v>9</v>
      </c>
      <c r="D81" s="139">
        <v>138.77000000000001</v>
      </c>
      <c r="E81" s="139">
        <v>68573.06</v>
      </c>
      <c r="F81" s="140">
        <f t="shared" si="4"/>
        <v>138.77000000000001</v>
      </c>
      <c r="G81" s="141" t="s">
        <v>84</v>
      </c>
      <c r="H81" s="141" t="s">
        <v>86</v>
      </c>
      <c r="I81" s="141" t="s">
        <v>89</v>
      </c>
      <c r="J81" s="141" t="s">
        <v>91</v>
      </c>
      <c r="K81" s="141"/>
      <c r="L81" s="141"/>
      <c r="M81" s="141"/>
      <c r="N81" s="141"/>
      <c r="O81" s="141"/>
      <c r="P81" s="141">
        <f>SUM(K81:O81)</f>
        <v>0</v>
      </c>
    </row>
    <row r="82" spans="1:16" x14ac:dyDescent="0.25">
      <c r="A82" s="138">
        <v>80</v>
      </c>
      <c r="B82" s="137">
        <v>42871</v>
      </c>
      <c r="C82" s="138" t="s">
        <v>64</v>
      </c>
      <c r="D82" s="139">
        <v>7687.1</v>
      </c>
      <c r="E82" s="139">
        <v>76260.160000000003</v>
      </c>
      <c r="F82" s="140">
        <f t="shared" si="4"/>
        <v>7687.1</v>
      </c>
      <c r="G82" s="141" t="s">
        <v>84</v>
      </c>
      <c r="H82" s="141" t="s">
        <v>85</v>
      </c>
      <c r="I82" s="141" t="s">
        <v>89</v>
      </c>
      <c r="J82" s="141" t="s">
        <v>239</v>
      </c>
      <c r="K82" s="141"/>
      <c r="L82" s="141"/>
      <c r="M82" s="141"/>
      <c r="N82" s="141"/>
      <c r="O82" s="141"/>
      <c r="P82" s="141"/>
    </row>
    <row r="83" spans="1:16" x14ac:dyDescent="0.25">
      <c r="A83" s="138">
        <v>81</v>
      </c>
      <c r="B83" s="137">
        <v>42872</v>
      </c>
      <c r="C83" s="138" t="s">
        <v>7</v>
      </c>
      <c r="D83" s="139">
        <v>-1711.43</v>
      </c>
      <c r="E83" s="139">
        <v>74548.73</v>
      </c>
      <c r="F83" s="140">
        <f t="shared" si="4"/>
        <v>1711.43</v>
      </c>
      <c r="G83" s="141" t="s">
        <v>83</v>
      </c>
      <c r="H83" s="141" t="s">
        <v>85</v>
      </c>
      <c r="I83" s="141" t="s">
        <v>88</v>
      </c>
      <c r="J83" s="141" t="s">
        <v>93</v>
      </c>
      <c r="K83" s="141"/>
      <c r="L83" s="141"/>
      <c r="M83" s="141"/>
      <c r="N83" s="141"/>
      <c r="O83" s="141"/>
      <c r="P83" s="141"/>
    </row>
    <row r="84" spans="1:16" x14ac:dyDescent="0.25">
      <c r="A84" s="138">
        <v>82</v>
      </c>
      <c r="B84" s="137">
        <v>42885</v>
      </c>
      <c r="C84" s="138" t="s">
        <v>65</v>
      </c>
      <c r="D84" s="139">
        <v>1671.84</v>
      </c>
      <c r="E84" s="139">
        <v>76220.570000000007</v>
      </c>
      <c r="F84" s="140">
        <f t="shared" si="4"/>
        <v>1671.84</v>
      </c>
      <c r="G84" s="141" t="s">
        <v>84</v>
      </c>
      <c r="H84" s="141" t="s">
        <v>86</v>
      </c>
      <c r="I84" s="141" t="s">
        <v>88</v>
      </c>
      <c r="J84" s="141" t="s">
        <v>169</v>
      </c>
      <c r="K84" s="141"/>
      <c r="L84" s="141"/>
      <c r="M84" s="141"/>
      <c r="N84" s="141"/>
      <c r="O84" s="141"/>
      <c r="P84" s="141"/>
    </row>
    <row r="85" spans="1:16" x14ac:dyDescent="0.25">
      <c r="A85" s="138">
        <v>83</v>
      </c>
      <c r="B85" s="137">
        <v>42886</v>
      </c>
      <c r="C85" s="138" t="s">
        <v>66</v>
      </c>
      <c r="D85" s="139">
        <v>-621.4</v>
      </c>
      <c r="E85" s="139">
        <v>75599.17</v>
      </c>
      <c r="F85" s="140">
        <f t="shared" si="4"/>
        <v>621.4</v>
      </c>
      <c r="G85" s="141" t="s">
        <v>83</v>
      </c>
      <c r="H85" s="141" t="s">
        <v>86</v>
      </c>
      <c r="I85" s="141" t="s">
        <v>88</v>
      </c>
      <c r="J85" s="141" t="s">
        <v>118</v>
      </c>
      <c r="K85" s="141"/>
      <c r="L85" s="141"/>
      <c r="M85" s="141"/>
      <c r="N85" s="141"/>
      <c r="O85" s="141"/>
      <c r="P85" s="141"/>
    </row>
    <row r="86" spans="1:16" x14ac:dyDescent="0.25">
      <c r="A86" s="138">
        <v>84</v>
      </c>
      <c r="B86" s="137">
        <v>42886</v>
      </c>
      <c r="C86" s="138" t="s">
        <v>9</v>
      </c>
      <c r="D86" s="139">
        <v>152.97999999999999</v>
      </c>
      <c r="E86" s="139">
        <v>75752.149999999994</v>
      </c>
      <c r="F86" s="140">
        <f t="shared" si="4"/>
        <v>152.97999999999999</v>
      </c>
      <c r="G86" s="141" t="s">
        <v>84</v>
      </c>
      <c r="H86" s="141" t="s">
        <v>86</v>
      </c>
      <c r="I86" s="141" t="s">
        <v>89</v>
      </c>
      <c r="J86" s="141" t="s">
        <v>91</v>
      </c>
      <c r="K86" s="141"/>
      <c r="L86" s="141"/>
      <c r="M86" s="141"/>
      <c r="N86" s="141"/>
      <c r="O86" s="141"/>
      <c r="P86" s="141"/>
    </row>
    <row r="87" spans="1:16" x14ac:dyDescent="0.25">
      <c r="A87" s="138">
        <v>85</v>
      </c>
      <c r="B87" s="137">
        <v>42895</v>
      </c>
      <c r="C87" s="138" t="s">
        <v>67</v>
      </c>
      <c r="D87" s="139">
        <v>-153.66999999999999</v>
      </c>
      <c r="E87" s="139">
        <v>75598.48</v>
      </c>
      <c r="F87" s="140">
        <f t="shared" si="4"/>
        <v>153.66999999999999</v>
      </c>
      <c r="G87" s="141" t="s">
        <v>83</v>
      </c>
      <c r="H87" s="141" t="s">
        <v>86</v>
      </c>
      <c r="I87" s="141" t="s">
        <v>88</v>
      </c>
      <c r="J87" s="141" t="s">
        <v>95</v>
      </c>
      <c r="K87" s="141"/>
      <c r="L87" s="141"/>
      <c r="M87" s="141"/>
      <c r="N87" s="141"/>
      <c r="O87" s="141"/>
      <c r="P87" s="141"/>
    </row>
    <row r="88" spans="1:16" x14ac:dyDescent="0.25">
      <c r="A88" s="138">
        <v>86</v>
      </c>
      <c r="B88" s="137">
        <v>42902</v>
      </c>
      <c r="C88" s="138" t="s">
        <v>7</v>
      </c>
      <c r="D88" s="139">
        <v>-1758.01</v>
      </c>
      <c r="E88" s="139">
        <v>73840.47</v>
      </c>
      <c r="F88" s="140">
        <f t="shared" si="4"/>
        <v>1758.01</v>
      </c>
      <c r="G88" s="141" t="s">
        <v>83</v>
      </c>
      <c r="H88" s="141" t="s">
        <v>85</v>
      </c>
      <c r="I88" s="141" t="s">
        <v>88</v>
      </c>
      <c r="J88" s="141" t="s">
        <v>93</v>
      </c>
      <c r="K88" s="141"/>
      <c r="L88" s="141"/>
      <c r="M88" s="141"/>
      <c r="N88" s="141"/>
      <c r="O88" s="141"/>
      <c r="P88" s="141"/>
    </row>
    <row r="89" spans="1:16" x14ac:dyDescent="0.25">
      <c r="A89" s="138">
        <v>87</v>
      </c>
      <c r="B89" s="137">
        <v>42915</v>
      </c>
      <c r="C89" s="138" t="s">
        <v>68</v>
      </c>
      <c r="D89" s="139">
        <v>1869.84</v>
      </c>
      <c r="E89" s="139">
        <v>75710.31</v>
      </c>
      <c r="F89" s="140">
        <f t="shared" si="4"/>
        <v>1869.84</v>
      </c>
      <c r="G89" s="141" t="s">
        <v>84</v>
      </c>
      <c r="H89" s="141" t="s">
        <v>86</v>
      </c>
      <c r="I89" s="141" t="s">
        <v>88</v>
      </c>
      <c r="J89" s="141" t="s">
        <v>169</v>
      </c>
      <c r="K89" s="141"/>
      <c r="L89" s="141"/>
      <c r="M89" s="141"/>
      <c r="N89" s="141"/>
      <c r="O89" s="141"/>
      <c r="P89" s="141"/>
    </row>
    <row r="90" spans="1:16" x14ac:dyDescent="0.25">
      <c r="A90" s="138">
        <v>88</v>
      </c>
      <c r="B90" s="137">
        <v>42916</v>
      </c>
      <c r="C90" s="138" t="s">
        <v>9</v>
      </c>
      <c r="D90" s="139">
        <v>153.86000000000001</v>
      </c>
      <c r="E90" s="139">
        <v>75864.17</v>
      </c>
      <c r="F90" s="140">
        <f t="shared" si="4"/>
        <v>153.86000000000001</v>
      </c>
      <c r="G90" s="141" t="s">
        <v>84</v>
      </c>
      <c r="H90" s="141" t="s">
        <v>86</v>
      </c>
      <c r="I90" s="141" t="s">
        <v>89</v>
      </c>
      <c r="J90" s="141" t="s">
        <v>91</v>
      </c>
      <c r="K90" s="141"/>
      <c r="L90" s="141"/>
      <c r="M90" s="141"/>
      <c r="N90" s="141"/>
      <c r="O90" s="141"/>
      <c r="P90" s="141"/>
    </row>
    <row r="91" spans="1:16" x14ac:dyDescent="0.25">
      <c r="A91">
        <f>+A90+1</f>
        <v>89</v>
      </c>
      <c r="B91" s="7">
        <v>42552</v>
      </c>
      <c r="C91" s="142" t="s">
        <v>110</v>
      </c>
      <c r="D91" s="132">
        <v>80011.16</v>
      </c>
      <c r="G91" s="141" t="s">
        <v>248</v>
      </c>
      <c r="H91" s="141" t="s">
        <v>85</v>
      </c>
      <c r="I91" s="141" t="s">
        <v>89</v>
      </c>
      <c r="J91" s="141" t="s">
        <v>110</v>
      </c>
    </row>
    <row r="92" spans="1:16" x14ac:dyDescent="0.25">
      <c r="A92">
        <f t="shared" ref="A92:A105" si="5">+A91+1</f>
        <v>90</v>
      </c>
      <c r="B92" s="7">
        <v>42552</v>
      </c>
      <c r="C92" s="14" t="s">
        <v>155</v>
      </c>
      <c r="D92" s="21">
        <v>476357.72</v>
      </c>
      <c r="E92" s="9"/>
      <c r="G92" s="141" t="s">
        <v>248</v>
      </c>
      <c r="H92" s="141" t="s">
        <v>85</v>
      </c>
      <c r="I92" s="141" t="s">
        <v>89</v>
      </c>
      <c r="J92" s="14" t="s">
        <v>155</v>
      </c>
    </row>
    <row r="93" spans="1:16" x14ac:dyDescent="0.25">
      <c r="A93">
        <f t="shared" si="5"/>
        <v>91</v>
      </c>
      <c r="B93" s="7">
        <v>42552</v>
      </c>
      <c r="C93" s="14" t="s">
        <v>156</v>
      </c>
      <c r="D93" s="62">
        <v>-20402</v>
      </c>
      <c r="G93" s="141" t="s">
        <v>248</v>
      </c>
      <c r="H93" s="141" t="s">
        <v>85</v>
      </c>
      <c r="I93" s="141" t="s">
        <v>89</v>
      </c>
      <c r="J93" s="14" t="s">
        <v>156</v>
      </c>
    </row>
    <row r="94" spans="1:16" x14ac:dyDescent="0.25">
      <c r="A94">
        <f t="shared" si="5"/>
        <v>92</v>
      </c>
      <c r="B94" s="7">
        <v>42552</v>
      </c>
      <c r="C94" s="14" t="s">
        <v>159</v>
      </c>
      <c r="D94" s="132">
        <v>140943.76999999999</v>
      </c>
      <c r="G94" s="141" t="s">
        <v>248</v>
      </c>
      <c r="H94" s="141" t="s">
        <v>85</v>
      </c>
      <c r="I94" s="141" t="s">
        <v>89</v>
      </c>
      <c r="J94" s="14" t="s">
        <v>159</v>
      </c>
    </row>
    <row r="95" spans="1:16" x14ac:dyDescent="0.25">
      <c r="A95">
        <f t="shared" si="5"/>
        <v>93</v>
      </c>
      <c r="B95" s="7">
        <v>42552</v>
      </c>
      <c r="C95" s="143" t="s">
        <v>240</v>
      </c>
      <c r="D95" s="132">
        <v>4378.3542857142829</v>
      </c>
      <c r="G95" s="141" t="s">
        <v>248</v>
      </c>
      <c r="H95" s="141" t="s">
        <v>85</v>
      </c>
      <c r="I95" s="141" t="s">
        <v>89</v>
      </c>
      <c r="J95" s="143" t="s">
        <v>240</v>
      </c>
    </row>
    <row r="96" spans="1:16" x14ac:dyDescent="0.25">
      <c r="A96">
        <f t="shared" si="5"/>
        <v>94</v>
      </c>
      <c r="B96" s="7">
        <v>42552</v>
      </c>
      <c r="C96" t="s">
        <v>93</v>
      </c>
      <c r="D96" s="132">
        <v>-273973.37999999995</v>
      </c>
      <c r="G96" s="141" t="s">
        <v>248</v>
      </c>
      <c r="H96" s="141" t="s">
        <v>85</v>
      </c>
      <c r="I96" s="141" t="s">
        <v>89</v>
      </c>
      <c r="J96" t="s">
        <v>93</v>
      </c>
    </row>
    <row r="97" spans="1:10" x14ac:dyDescent="0.25">
      <c r="A97">
        <f t="shared" si="5"/>
        <v>95</v>
      </c>
      <c r="B97" s="7">
        <v>42552</v>
      </c>
      <c r="C97" t="s">
        <v>168</v>
      </c>
      <c r="D97" s="132">
        <v>-412630.35399999999</v>
      </c>
      <c r="G97" s="141" t="s">
        <v>248</v>
      </c>
      <c r="H97" s="141" t="s">
        <v>85</v>
      </c>
      <c r="I97" s="141" t="s">
        <v>89</v>
      </c>
      <c r="J97" t="s">
        <v>168</v>
      </c>
    </row>
    <row r="98" spans="1:10" x14ac:dyDescent="0.25">
      <c r="A98">
        <f t="shared" si="5"/>
        <v>96</v>
      </c>
      <c r="B98" s="7">
        <v>42552</v>
      </c>
      <c r="C98" t="s">
        <v>132</v>
      </c>
      <c r="D98" s="132">
        <v>5314</v>
      </c>
      <c r="G98" s="141" t="s">
        <v>248</v>
      </c>
      <c r="H98" s="141" t="s">
        <v>85</v>
      </c>
      <c r="I98" s="141" t="s">
        <v>89</v>
      </c>
      <c r="J98" t="s">
        <v>132</v>
      </c>
    </row>
    <row r="99" spans="1:10" x14ac:dyDescent="0.25">
      <c r="A99">
        <f t="shared" si="5"/>
        <v>97</v>
      </c>
      <c r="B99" s="7">
        <v>42916</v>
      </c>
      <c r="C99" t="s">
        <v>155</v>
      </c>
      <c r="D99" s="132">
        <v>4542.18</v>
      </c>
      <c r="G99" s="141" t="s">
        <v>84</v>
      </c>
      <c r="H99" s="141" t="s">
        <v>86</v>
      </c>
      <c r="I99" s="141" t="s">
        <v>88</v>
      </c>
      <c r="J99" t="s">
        <v>169</v>
      </c>
    </row>
    <row r="100" spans="1:10" x14ac:dyDescent="0.25">
      <c r="A100">
        <f t="shared" si="5"/>
        <v>98</v>
      </c>
      <c r="B100" s="7">
        <v>42916</v>
      </c>
      <c r="C100" t="s">
        <v>121</v>
      </c>
      <c r="D100" s="132">
        <v>-3949.25</v>
      </c>
      <c r="G100" s="141" t="s">
        <v>83</v>
      </c>
      <c r="H100" s="141" t="s">
        <v>86</v>
      </c>
      <c r="I100" s="141" t="s">
        <v>88</v>
      </c>
      <c r="J100" s="141" t="s">
        <v>121</v>
      </c>
    </row>
    <row r="101" spans="1:10" x14ac:dyDescent="0.25">
      <c r="A101">
        <f t="shared" si="5"/>
        <v>99</v>
      </c>
      <c r="B101" s="7">
        <v>42916</v>
      </c>
      <c r="C101" t="s">
        <v>247</v>
      </c>
      <c r="D101" s="132">
        <v>-394.93</v>
      </c>
      <c r="G101" s="141" t="s">
        <v>83</v>
      </c>
      <c r="H101" s="141" t="s">
        <v>86</v>
      </c>
      <c r="I101" s="141" t="s">
        <v>88</v>
      </c>
      <c r="J101" s="145" t="s">
        <v>119</v>
      </c>
    </row>
    <row r="102" spans="1:10" x14ac:dyDescent="0.25">
      <c r="A102">
        <f t="shared" si="5"/>
        <v>100</v>
      </c>
      <c r="B102" s="7">
        <v>42916</v>
      </c>
      <c r="C102" t="s">
        <v>120</v>
      </c>
      <c r="D102" s="132">
        <v>-198</v>
      </c>
      <c r="G102" s="141" t="s">
        <v>83</v>
      </c>
      <c r="H102" s="141" t="s">
        <v>86</v>
      </c>
      <c r="I102" s="141" t="s">
        <v>88</v>
      </c>
      <c r="J102" s="145" t="s">
        <v>120</v>
      </c>
    </row>
    <row r="103" spans="1:10" x14ac:dyDescent="0.25">
      <c r="A103">
        <f t="shared" si="5"/>
        <v>101</v>
      </c>
      <c r="B103" s="7">
        <v>42916</v>
      </c>
      <c r="C103" s="142" t="s">
        <v>110</v>
      </c>
      <c r="D103" s="132">
        <v>75864.17</v>
      </c>
      <c r="G103" s="141" t="s">
        <v>249</v>
      </c>
      <c r="H103" s="141" t="s">
        <v>85</v>
      </c>
      <c r="I103" s="141" t="s">
        <v>89</v>
      </c>
      <c r="J103" s="141" t="s">
        <v>110</v>
      </c>
    </row>
    <row r="104" spans="1:10" x14ac:dyDescent="0.25">
      <c r="A104">
        <f t="shared" si="5"/>
        <v>102</v>
      </c>
      <c r="B104" s="7">
        <v>42916</v>
      </c>
      <c r="C104" t="s">
        <v>253</v>
      </c>
      <c r="D104" s="132">
        <v>-1682.03</v>
      </c>
      <c r="G104" s="141" t="s">
        <v>83</v>
      </c>
      <c r="H104" s="141" t="s">
        <v>85</v>
      </c>
      <c r="I104" s="141" t="s">
        <v>89</v>
      </c>
      <c r="J104" s="145" t="s">
        <v>132</v>
      </c>
    </row>
    <row r="105" spans="1:10" x14ac:dyDescent="0.25">
      <c r="A105">
        <f t="shared" si="5"/>
        <v>103</v>
      </c>
      <c r="B105" s="7">
        <v>42916</v>
      </c>
      <c r="C105" t="s">
        <v>254</v>
      </c>
      <c r="D105" s="132">
        <v>-16.66</v>
      </c>
      <c r="G105" s="141" t="s">
        <v>83</v>
      </c>
      <c r="H105" s="141" t="s">
        <v>85</v>
      </c>
      <c r="I105" s="141" t="s">
        <v>89</v>
      </c>
      <c r="J105" s="145" t="s">
        <v>132</v>
      </c>
    </row>
    <row r="106" spans="1:10" x14ac:dyDescent="0.25">
      <c r="A106">
        <f t="shared" ref="A106" si="6">+A105+1</f>
        <v>104</v>
      </c>
      <c r="B106" s="7">
        <v>42916</v>
      </c>
      <c r="C106" t="s">
        <v>255</v>
      </c>
      <c r="D106" s="132">
        <f>-D104</f>
        <v>1682.03</v>
      </c>
      <c r="G106" s="141" t="s">
        <v>84</v>
      </c>
      <c r="H106" s="141" t="s">
        <v>86</v>
      </c>
      <c r="I106" s="141" t="s">
        <v>89</v>
      </c>
      <c r="J106" s="145" t="s">
        <v>90</v>
      </c>
    </row>
    <row r="107" spans="1:10" x14ac:dyDescent="0.25">
      <c r="A107">
        <f t="shared" ref="A107" si="7">+A106+1</f>
        <v>105</v>
      </c>
      <c r="B107" s="7">
        <v>42916</v>
      </c>
      <c r="C107" t="s">
        <v>256</v>
      </c>
      <c r="D107" s="132">
        <f>-D105</f>
        <v>16.66</v>
      </c>
      <c r="G107" s="141" t="s">
        <v>84</v>
      </c>
      <c r="H107" s="141" t="s">
        <v>86</v>
      </c>
      <c r="I107" s="141" t="s">
        <v>89</v>
      </c>
      <c r="J107" s="145" t="s">
        <v>92</v>
      </c>
    </row>
    <row r="108" spans="1:10" x14ac:dyDescent="0.25">
      <c r="A108">
        <f t="shared" ref="A108" si="8">+A107+1</f>
        <v>106</v>
      </c>
      <c r="B108" s="7">
        <v>42916</v>
      </c>
      <c r="C108" t="s">
        <v>258</v>
      </c>
      <c r="D108" s="132">
        <f>+'2017 Shares details'!F69</f>
        <v>14805.169999999998</v>
      </c>
      <c r="G108" s="141" t="s">
        <v>83</v>
      </c>
      <c r="H108" s="141" t="s">
        <v>85</v>
      </c>
      <c r="I108" s="141" t="s">
        <v>89</v>
      </c>
      <c r="J108" s="145" t="s">
        <v>159</v>
      </c>
    </row>
    <row r="109" spans="1:10" x14ac:dyDescent="0.25">
      <c r="A109">
        <f t="shared" ref="A109:A116" si="9">+A108+1</f>
        <v>107</v>
      </c>
      <c r="B109" s="7">
        <v>42916</v>
      </c>
      <c r="C109" t="s">
        <v>261</v>
      </c>
      <c r="D109" s="132">
        <f>+'BS Notes'!G5</f>
        <v>195</v>
      </c>
      <c r="G109" s="141" t="s">
        <v>83</v>
      </c>
      <c r="H109" s="141" t="s">
        <v>85</v>
      </c>
      <c r="I109" s="141" t="s">
        <v>89</v>
      </c>
      <c r="J109" s="145" t="s">
        <v>262</v>
      </c>
    </row>
    <row r="110" spans="1:10" x14ac:dyDescent="0.25">
      <c r="A110">
        <f>+A108+1</f>
        <v>107</v>
      </c>
      <c r="B110" s="7">
        <v>42916</v>
      </c>
      <c r="C110" t="s">
        <v>122</v>
      </c>
      <c r="D110" s="132">
        <v>-4573</v>
      </c>
      <c r="G110" s="141" t="s">
        <v>83</v>
      </c>
      <c r="H110" s="141" t="s">
        <v>86</v>
      </c>
      <c r="I110" s="141" t="s">
        <v>88</v>
      </c>
      <c r="J110" t="s">
        <v>122</v>
      </c>
    </row>
    <row r="111" spans="1:10" x14ac:dyDescent="0.25">
      <c r="A111">
        <f>+A109+1</f>
        <v>108</v>
      </c>
      <c r="B111" s="7">
        <v>42916</v>
      </c>
      <c r="C111" t="s">
        <v>260</v>
      </c>
      <c r="D111" s="132">
        <v>-1201</v>
      </c>
      <c r="G111" s="141" t="s">
        <v>83</v>
      </c>
      <c r="H111" s="141" t="s">
        <v>86</v>
      </c>
      <c r="I111" s="141" t="s">
        <v>88</v>
      </c>
      <c r="J111" t="s">
        <v>123</v>
      </c>
    </row>
    <row r="112" spans="1:10" x14ac:dyDescent="0.25">
      <c r="A112">
        <f t="shared" si="9"/>
        <v>109</v>
      </c>
      <c r="B112" s="7">
        <v>42916</v>
      </c>
      <c r="C112" t="s">
        <v>259</v>
      </c>
      <c r="D112" s="132">
        <f>-D110-D111</f>
        <v>5774</v>
      </c>
      <c r="G112" s="141" t="s">
        <v>84</v>
      </c>
      <c r="H112" s="141" t="s">
        <v>85</v>
      </c>
      <c r="I112" s="141" t="s">
        <v>89</v>
      </c>
      <c r="J112" s="14" t="s">
        <v>156</v>
      </c>
    </row>
    <row r="113" spans="1:10" x14ac:dyDescent="0.25">
      <c r="A113">
        <f t="shared" si="9"/>
        <v>110</v>
      </c>
      <c r="B113" s="7">
        <v>42916</v>
      </c>
      <c r="C113" t="s">
        <v>125</v>
      </c>
      <c r="D113" s="132">
        <f>-'Liberty loan'!H40</f>
        <v>-16232.25</v>
      </c>
      <c r="G113" s="141" t="s">
        <v>83</v>
      </c>
      <c r="H113" s="141" t="s">
        <v>86</v>
      </c>
      <c r="I113" s="141" t="s">
        <v>88</v>
      </c>
      <c r="J113" s="141" t="s">
        <v>125</v>
      </c>
    </row>
    <row r="114" spans="1:10" x14ac:dyDescent="0.25">
      <c r="A114">
        <f t="shared" si="9"/>
        <v>111</v>
      </c>
      <c r="B114" s="7">
        <v>42916</v>
      </c>
      <c r="C114" t="s">
        <v>93</v>
      </c>
      <c r="D114" s="132">
        <f>-D113</f>
        <v>16232.25</v>
      </c>
      <c r="G114" s="141" t="s">
        <v>84</v>
      </c>
      <c r="H114" s="141" t="s">
        <v>85</v>
      </c>
      <c r="I114" s="141" t="s">
        <v>88</v>
      </c>
      <c r="J114" t="s">
        <v>93</v>
      </c>
    </row>
    <row r="115" spans="1:10" x14ac:dyDescent="0.25">
      <c r="A115">
        <f t="shared" si="9"/>
        <v>112</v>
      </c>
      <c r="B115" s="7">
        <v>42916</v>
      </c>
      <c r="C115" s="14" t="s">
        <v>159</v>
      </c>
      <c r="D115" s="132">
        <f>-D116</f>
        <v>-21068.550000000017</v>
      </c>
      <c r="G115" s="141" t="s">
        <v>83</v>
      </c>
      <c r="H115" s="141" t="s">
        <v>85</v>
      </c>
      <c r="I115" s="141" t="s">
        <v>89</v>
      </c>
      <c r="J115" s="145" t="s">
        <v>159</v>
      </c>
    </row>
    <row r="116" spans="1:10" x14ac:dyDescent="0.25">
      <c r="A116">
        <f t="shared" si="9"/>
        <v>113</v>
      </c>
      <c r="B116" s="7">
        <v>42916</v>
      </c>
      <c r="C116" t="s">
        <v>146</v>
      </c>
      <c r="D116" s="132">
        <f>'2017 Shares Val'!T26</f>
        <v>21068.550000000017</v>
      </c>
      <c r="G116" s="141" t="s">
        <v>84</v>
      </c>
      <c r="H116" s="141" t="s">
        <v>86</v>
      </c>
      <c r="I116" s="141" t="s">
        <v>89</v>
      </c>
      <c r="J116" t="s">
        <v>146</v>
      </c>
    </row>
  </sheetData>
  <sortState xmlns:xlrd2="http://schemas.microsoft.com/office/spreadsheetml/2017/richdata2" ref="A3:P91">
    <sortCondition ref="A3:A91"/>
  </sortState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D3:J89"/>
  <sheetViews>
    <sheetView topLeftCell="A67" workbookViewId="0">
      <selection activeCell="E83" sqref="E83:I89"/>
    </sheetView>
  </sheetViews>
  <sheetFormatPr defaultRowHeight="15" x14ac:dyDescent="0.25"/>
  <cols>
    <col min="4" max="4" width="22.42578125" customWidth="1"/>
    <col min="5" max="5" width="21.28515625" customWidth="1"/>
    <col min="6" max="6" width="20.42578125" customWidth="1"/>
    <col min="9" max="9" width="15.140625" customWidth="1"/>
  </cols>
  <sheetData>
    <row r="3" spans="4:9" x14ac:dyDescent="0.25">
      <c r="D3" t="s">
        <v>98</v>
      </c>
      <c r="H3" t="s">
        <v>100</v>
      </c>
    </row>
    <row r="4" spans="4:9" x14ac:dyDescent="0.25">
      <c r="D4" t="s">
        <v>99</v>
      </c>
      <c r="F4" s="3" t="s">
        <v>82</v>
      </c>
      <c r="G4" s="3" t="s">
        <v>101</v>
      </c>
      <c r="H4" s="3" t="s">
        <v>102</v>
      </c>
      <c r="I4" s="3" t="s">
        <v>103</v>
      </c>
    </row>
    <row r="5" spans="4:9" x14ac:dyDescent="0.25">
      <c r="E5" s="7">
        <v>41456</v>
      </c>
      <c r="F5" s="8" t="s">
        <v>104</v>
      </c>
      <c r="G5" s="9"/>
      <c r="H5" s="9"/>
      <c r="I5" s="9">
        <v>-284786</v>
      </c>
    </row>
    <row r="6" spans="4:9" x14ac:dyDescent="0.25">
      <c r="D6" t="s">
        <v>97</v>
      </c>
      <c r="F6" s="3" t="s">
        <v>105</v>
      </c>
      <c r="G6" s="9">
        <v>10826.82</v>
      </c>
      <c r="H6" s="9"/>
      <c r="I6" s="9">
        <v>10826.82</v>
      </c>
    </row>
    <row r="7" spans="4:9" x14ac:dyDescent="0.25">
      <c r="E7" s="7">
        <v>41639</v>
      </c>
      <c r="F7" s="3" t="s">
        <v>106</v>
      </c>
      <c r="G7" s="9"/>
      <c r="H7" s="9">
        <v>9378.35</v>
      </c>
      <c r="I7" s="9">
        <v>-9378.35</v>
      </c>
    </row>
    <row r="8" spans="4:9" x14ac:dyDescent="0.25">
      <c r="F8" s="3" t="s">
        <v>105</v>
      </c>
      <c r="G8" s="9">
        <v>10641.960000000001</v>
      </c>
      <c r="H8" s="9"/>
      <c r="I8" s="9">
        <v>10641.960000000001</v>
      </c>
    </row>
    <row r="9" spans="4:9" x14ac:dyDescent="0.25">
      <c r="F9" s="3" t="s">
        <v>106</v>
      </c>
      <c r="G9" s="9"/>
      <c r="H9" s="9">
        <v>8923.9</v>
      </c>
      <c r="I9" s="9">
        <v>-8923.9</v>
      </c>
    </row>
    <row r="10" spans="4:9" x14ac:dyDescent="0.25">
      <c r="E10" s="7">
        <v>41820</v>
      </c>
      <c r="F10" s="3" t="s">
        <v>107</v>
      </c>
      <c r="G10" s="9">
        <v>21468.78</v>
      </c>
      <c r="H10" s="9">
        <v>18302.25</v>
      </c>
      <c r="I10" s="9">
        <v>-281619.46999999997</v>
      </c>
    </row>
    <row r="12" spans="4:9" x14ac:dyDescent="0.25">
      <c r="G12" s="10"/>
    </row>
    <row r="13" spans="4:9" x14ac:dyDescent="0.25">
      <c r="H13" t="s">
        <v>100</v>
      </c>
    </row>
    <row r="14" spans="4:9" x14ac:dyDescent="0.25">
      <c r="F14" s="3" t="s">
        <v>82</v>
      </c>
      <c r="G14" s="3" t="s">
        <v>101</v>
      </c>
      <c r="H14" s="3" t="s">
        <v>102</v>
      </c>
      <c r="I14" s="3" t="s">
        <v>103</v>
      </c>
    </row>
    <row r="15" spans="4:9" x14ac:dyDescent="0.25">
      <c r="E15" s="7">
        <v>41821</v>
      </c>
      <c r="F15" s="8" t="s">
        <v>104</v>
      </c>
      <c r="G15" s="9"/>
      <c r="H15" s="9"/>
      <c r="I15" s="9">
        <f>+I10</f>
        <v>-281619.46999999997</v>
      </c>
    </row>
    <row r="16" spans="4:9" x14ac:dyDescent="0.25">
      <c r="F16" s="3" t="s">
        <v>105</v>
      </c>
      <c r="G16" s="9">
        <v>10641.96</v>
      </c>
      <c r="H16" s="9"/>
      <c r="I16" s="9">
        <f>+G16-H16</f>
        <v>10641.96</v>
      </c>
    </row>
    <row r="17" spans="5:9" x14ac:dyDescent="0.25">
      <c r="E17" s="7">
        <v>42004</v>
      </c>
      <c r="F17" s="3" t="s">
        <v>106</v>
      </c>
      <c r="G17" s="9"/>
      <c r="H17" s="9">
        <v>8918.2099999999991</v>
      </c>
      <c r="I17" s="9">
        <f>+G17-H17</f>
        <v>-8918.2099999999991</v>
      </c>
    </row>
    <row r="18" spans="5:9" x14ac:dyDescent="0.25">
      <c r="F18" s="3" t="s">
        <v>105</v>
      </c>
      <c r="G18" s="9">
        <v>10473.16</v>
      </c>
      <c r="H18" s="9"/>
      <c r="I18" s="9">
        <f>+G18-H18</f>
        <v>10473.16</v>
      </c>
    </row>
    <row r="19" spans="5:9" x14ac:dyDescent="0.25">
      <c r="F19" s="3" t="s">
        <v>106</v>
      </c>
      <c r="G19" s="9"/>
      <c r="H19" s="9">
        <v>8607.7900000000009</v>
      </c>
      <c r="I19" s="9">
        <f>+G19-H19</f>
        <v>-8607.7900000000009</v>
      </c>
    </row>
    <row r="20" spans="5:9" x14ac:dyDescent="0.25">
      <c r="E20" s="7">
        <v>42185</v>
      </c>
      <c r="F20" s="3" t="s">
        <v>107</v>
      </c>
      <c r="G20" s="9">
        <f>SUM(G15:G19)</f>
        <v>21115.119999999999</v>
      </c>
      <c r="H20" s="9">
        <f>SUM(H15:H19)</f>
        <v>17526</v>
      </c>
      <c r="I20" s="9">
        <f>SUM(I15:I19)</f>
        <v>-278030.34999999998</v>
      </c>
    </row>
    <row r="25" spans="5:9" x14ac:dyDescent="0.25">
      <c r="F25" s="3" t="s">
        <v>82</v>
      </c>
      <c r="G25" s="3" t="s">
        <v>101</v>
      </c>
      <c r="H25" s="3" t="s">
        <v>102</v>
      </c>
      <c r="I25" s="3" t="s">
        <v>103</v>
      </c>
    </row>
    <row r="26" spans="5:9" x14ac:dyDescent="0.25">
      <c r="E26" s="7">
        <v>42186</v>
      </c>
      <c r="F26" s="8" t="s">
        <v>104</v>
      </c>
      <c r="G26" s="9"/>
      <c r="H26" s="9"/>
      <c r="I26" s="9">
        <v>-278030.34999999998</v>
      </c>
    </row>
    <row r="27" spans="5:9" x14ac:dyDescent="0.25">
      <c r="F27" s="3" t="s">
        <v>105</v>
      </c>
      <c r="G27" s="9">
        <v>10164.84</v>
      </c>
      <c r="H27" s="9"/>
      <c r="I27" s="9">
        <v>10164.84</v>
      </c>
    </row>
    <row r="28" spans="5:9" x14ac:dyDescent="0.25">
      <c r="E28" s="7">
        <v>42369</v>
      </c>
      <c r="F28" s="3" t="s">
        <v>106</v>
      </c>
      <c r="G28" s="9"/>
      <c r="H28" s="9">
        <v>8176.46</v>
      </c>
      <c r="I28" s="9">
        <v>-8176.46</v>
      </c>
    </row>
    <row r="29" spans="5:9" x14ac:dyDescent="0.25">
      <c r="F29" s="3" t="s">
        <v>105</v>
      </c>
      <c r="G29" s="9">
        <v>10164.84</v>
      </c>
      <c r="H29" s="9"/>
      <c r="I29" s="9">
        <v>10164.84</v>
      </c>
    </row>
    <row r="30" spans="5:9" x14ac:dyDescent="0.25">
      <c r="F30" s="3" t="s">
        <v>106</v>
      </c>
      <c r="G30" s="9"/>
      <c r="H30" s="9">
        <v>8096.25</v>
      </c>
      <c r="I30" s="9">
        <v>-8096.25</v>
      </c>
    </row>
    <row r="31" spans="5:9" x14ac:dyDescent="0.25">
      <c r="E31" s="7">
        <v>42551</v>
      </c>
      <c r="F31" s="3" t="s">
        <v>107</v>
      </c>
      <c r="G31" s="9">
        <v>20329.68</v>
      </c>
      <c r="H31" s="9">
        <v>16272.71</v>
      </c>
      <c r="I31" s="11">
        <v>-273973.37999999995</v>
      </c>
    </row>
    <row r="34" spans="5:9" x14ac:dyDescent="0.25">
      <c r="F34" s="3" t="s">
        <v>82</v>
      </c>
      <c r="G34" s="3" t="s">
        <v>101</v>
      </c>
      <c r="H34" s="3" t="s">
        <v>102</v>
      </c>
      <c r="I34" s="3" t="s">
        <v>103</v>
      </c>
    </row>
    <row r="35" spans="5:9" x14ac:dyDescent="0.25">
      <c r="E35" s="7">
        <v>42552</v>
      </c>
      <c r="F35" s="8" t="s">
        <v>104</v>
      </c>
      <c r="G35" s="9"/>
      <c r="H35" s="9"/>
      <c r="I35" s="9">
        <f>+I31</f>
        <v>-273973.37999999995</v>
      </c>
    </row>
    <row r="36" spans="5:9" x14ac:dyDescent="0.25">
      <c r="F36" s="3" t="s">
        <v>105</v>
      </c>
      <c r="G36" s="9">
        <v>10164.84</v>
      </c>
      <c r="H36" s="9"/>
      <c r="I36" s="9">
        <f>+G36+H36</f>
        <v>10164.84</v>
      </c>
    </row>
    <row r="37" spans="5:9" x14ac:dyDescent="0.25">
      <c r="E37" s="7">
        <v>42735</v>
      </c>
      <c r="F37" s="3" t="s">
        <v>106</v>
      </c>
      <c r="G37" s="9"/>
      <c r="H37" s="9">
        <f>7982.56+60</f>
        <v>8042.56</v>
      </c>
      <c r="I37" s="9">
        <f>+G37-H37</f>
        <v>-8042.56</v>
      </c>
    </row>
    <row r="38" spans="5:9" x14ac:dyDescent="0.25">
      <c r="F38" s="3" t="s">
        <v>105</v>
      </c>
      <c r="G38" s="9">
        <v>10389.98</v>
      </c>
      <c r="H38" s="9"/>
      <c r="I38" s="9">
        <f>+G38-H38</f>
        <v>10389.98</v>
      </c>
    </row>
    <row r="39" spans="5:9" x14ac:dyDescent="0.25">
      <c r="F39" s="3" t="s">
        <v>106</v>
      </c>
      <c r="G39" s="9"/>
      <c r="H39" s="9">
        <f>8129.69+60</f>
        <v>8189.69</v>
      </c>
      <c r="I39" s="9">
        <f>+G39-H39</f>
        <v>-8189.69</v>
      </c>
    </row>
    <row r="40" spans="5:9" x14ac:dyDescent="0.25">
      <c r="E40" s="7">
        <v>42916</v>
      </c>
      <c r="F40" s="3" t="s">
        <v>107</v>
      </c>
      <c r="G40" s="9">
        <f>SUM(G35:G39)</f>
        <v>20554.82</v>
      </c>
      <c r="H40" s="9">
        <f>SUM(H35:H39)</f>
        <v>16232.25</v>
      </c>
      <c r="I40" s="12">
        <f>SUM(I35:I39)</f>
        <v>-269650.80999999988</v>
      </c>
    </row>
    <row r="41" spans="5:9" x14ac:dyDescent="0.25">
      <c r="I41" s="10"/>
    </row>
    <row r="43" spans="5:9" x14ac:dyDescent="0.25">
      <c r="F43" s="3" t="s">
        <v>82</v>
      </c>
      <c r="G43" s="3" t="s">
        <v>101</v>
      </c>
      <c r="H43" s="3" t="s">
        <v>102</v>
      </c>
      <c r="I43" s="3" t="s">
        <v>103</v>
      </c>
    </row>
    <row r="44" spans="5:9" x14ac:dyDescent="0.25">
      <c r="E44" s="7">
        <v>42917</v>
      </c>
      <c r="F44" s="8" t="s">
        <v>104</v>
      </c>
      <c r="G44" s="9"/>
      <c r="H44" s="9"/>
      <c r="I44" s="9">
        <f>+I40</f>
        <v>-269650.80999999988</v>
      </c>
    </row>
    <row r="45" spans="5:9" x14ac:dyDescent="0.25">
      <c r="F45" s="3" t="s">
        <v>105</v>
      </c>
      <c r="G45" s="9"/>
      <c r="H45" s="9"/>
      <c r="I45" s="9">
        <f>+G45+H45</f>
        <v>0</v>
      </c>
    </row>
    <row r="46" spans="5:9" x14ac:dyDescent="0.25">
      <c r="E46" s="7">
        <v>43100</v>
      </c>
      <c r="F46" s="3" t="s">
        <v>106</v>
      </c>
      <c r="G46" s="9"/>
      <c r="H46" s="9"/>
      <c r="I46" s="9">
        <f>+G46-H46</f>
        <v>0</v>
      </c>
    </row>
    <row r="47" spans="5:9" x14ac:dyDescent="0.25">
      <c r="F47" s="3" t="s">
        <v>105</v>
      </c>
      <c r="G47" s="9">
        <v>21096.12</v>
      </c>
      <c r="H47" s="9"/>
      <c r="I47" s="9">
        <f>+G47-H47</f>
        <v>21096.12</v>
      </c>
    </row>
    <row r="48" spans="5:9" x14ac:dyDescent="0.25">
      <c r="F48" s="3" t="s">
        <v>106</v>
      </c>
      <c r="G48" s="9"/>
      <c r="H48" s="9">
        <v>16764.849999999999</v>
      </c>
      <c r="I48" s="9">
        <f>+G48-H48</f>
        <v>-16764.849999999999</v>
      </c>
    </row>
    <row r="49" spans="5:10" x14ac:dyDescent="0.25">
      <c r="E49" s="7">
        <v>43281</v>
      </c>
      <c r="F49" s="3" t="s">
        <v>107</v>
      </c>
      <c r="G49" s="9">
        <f>SUM(G44:G48)</f>
        <v>21096.12</v>
      </c>
      <c r="H49" s="9">
        <f>SUM(H44:H48)</f>
        <v>16764.849999999999</v>
      </c>
      <c r="I49" s="147">
        <f>SUM(I44:I48)</f>
        <v>-265319.53999999986</v>
      </c>
      <c r="J49" t="s">
        <v>280</v>
      </c>
    </row>
    <row r="51" spans="5:10" x14ac:dyDescent="0.25">
      <c r="F51" s="3" t="s">
        <v>82</v>
      </c>
      <c r="G51" s="3" t="s">
        <v>101</v>
      </c>
      <c r="H51" s="3" t="s">
        <v>102</v>
      </c>
      <c r="I51" s="3" t="s">
        <v>103</v>
      </c>
    </row>
    <row r="52" spans="5:10" x14ac:dyDescent="0.25">
      <c r="E52" s="7">
        <v>42552</v>
      </c>
      <c r="F52" s="8" t="s">
        <v>104</v>
      </c>
      <c r="G52" s="9"/>
      <c r="H52" s="9"/>
      <c r="I52" s="9">
        <f>+I48</f>
        <v>-16764.849999999999</v>
      </c>
    </row>
    <row r="53" spans="5:10" x14ac:dyDescent="0.25">
      <c r="F53" s="3" t="s">
        <v>105</v>
      </c>
      <c r="G53" s="9">
        <v>10164.84</v>
      </c>
      <c r="H53" s="9"/>
      <c r="I53" s="9">
        <f>+G53+H53</f>
        <v>10164.84</v>
      </c>
    </row>
    <row r="54" spans="5:10" x14ac:dyDescent="0.25">
      <c r="E54" s="7">
        <v>42735</v>
      </c>
      <c r="F54" s="3" t="s">
        <v>106</v>
      </c>
      <c r="G54" s="9"/>
      <c r="H54" s="9">
        <f>7982.56+60</f>
        <v>8042.56</v>
      </c>
      <c r="I54" s="9">
        <f>+G54-H54</f>
        <v>-8042.56</v>
      </c>
    </row>
    <row r="55" spans="5:10" x14ac:dyDescent="0.25">
      <c r="F55" s="3" t="s">
        <v>105</v>
      </c>
      <c r="G55" s="9">
        <v>10389.98</v>
      </c>
      <c r="H55" s="9"/>
      <c r="I55" s="9">
        <f>+G55-H55</f>
        <v>10389.98</v>
      </c>
    </row>
    <row r="56" spans="5:10" x14ac:dyDescent="0.25">
      <c r="F56" s="3" t="s">
        <v>106</v>
      </c>
      <c r="G56" s="9"/>
      <c r="H56" s="9">
        <f>8129.69+60</f>
        <v>8189.69</v>
      </c>
      <c r="I56" s="9">
        <f>+G56-H56</f>
        <v>-8189.69</v>
      </c>
    </row>
    <row r="57" spans="5:10" x14ac:dyDescent="0.25">
      <c r="E57" s="7">
        <v>42916</v>
      </c>
      <c r="F57" s="3" t="s">
        <v>107</v>
      </c>
      <c r="G57" s="9">
        <f>SUM(G52:G56)</f>
        <v>20554.82</v>
      </c>
      <c r="H57" s="9">
        <f>SUM(H52:H56)</f>
        <v>16232.25</v>
      </c>
      <c r="I57" s="12">
        <f>SUM(I52:I56)</f>
        <v>-12442.279999999999</v>
      </c>
    </row>
    <row r="59" spans="5:10" x14ac:dyDescent="0.25">
      <c r="F59" s="3" t="s">
        <v>82</v>
      </c>
      <c r="G59" s="3" t="s">
        <v>101</v>
      </c>
      <c r="H59" s="3" t="s">
        <v>102</v>
      </c>
      <c r="I59" s="3" t="s">
        <v>103</v>
      </c>
    </row>
    <row r="60" spans="5:10" x14ac:dyDescent="0.25">
      <c r="E60" s="7">
        <v>42552</v>
      </c>
      <c r="F60" s="8" t="s">
        <v>104</v>
      </c>
      <c r="G60" s="9"/>
      <c r="H60" s="9"/>
      <c r="I60" s="9">
        <f>+I56</f>
        <v>-8189.69</v>
      </c>
    </row>
    <row r="61" spans="5:10" x14ac:dyDescent="0.25">
      <c r="F61" s="3" t="s">
        <v>105</v>
      </c>
      <c r="G61" s="9">
        <v>10164.84</v>
      </c>
      <c r="H61" s="9"/>
      <c r="I61" s="9">
        <f>+G61+H61</f>
        <v>10164.84</v>
      </c>
    </row>
    <row r="62" spans="5:10" x14ac:dyDescent="0.25">
      <c r="E62" s="7">
        <v>42735</v>
      </c>
      <c r="F62" s="3" t="s">
        <v>106</v>
      </c>
      <c r="G62" s="9"/>
      <c r="H62" s="9">
        <f>7982.56+60</f>
        <v>8042.56</v>
      </c>
      <c r="I62" s="9">
        <f>+G62-H62</f>
        <v>-8042.56</v>
      </c>
    </row>
    <row r="63" spans="5:10" x14ac:dyDescent="0.25">
      <c r="F63" s="3" t="s">
        <v>105</v>
      </c>
      <c r="G63" s="9">
        <v>10389.98</v>
      </c>
      <c r="H63" s="9"/>
      <c r="I63" s="9">
        <f>+G63-H63</f>
        <v>10389.98</v>
      </c>
    </row>
    <row r="64" spans="5:10" x14ac:dyDescent="0.25">
      <c r="F64" s="3" t="s">
        <v>106</v>
      </c>
      <c r="G64" s="9"/>
      <c r="H64" s="9">
        <f>8129.69+60</f>
        <v>8189.69</v>
      </c>
      <c r="I64" s="9">
        <f>+G64-H64</f>
        <v>-8189.69</v>
      </c>
    </row>
    <row r="65" spans="5:9" x14ac:dyDescent="0.25">
      <c r="E65" s="7">
        <v>42916</v>
      </c>
      <c r="F65" s="3" t="s">
        <v>107</v>
      </c>
      <c r="G65" s="9">
        <f>SUM(G60:G64)</f>
        <v>20554.82</v>
      </c>
      <c r="H65" s="9">
        <f>SUM(H60:H64)</f>
        <v>16232.25</v>
      </c>
      <c r="I65" s="12">
        <f>SUM(I60:I64)</f>
        <v>-3867.12</v>
      </c>
    </row>
    <row r="67" spans="5:9" x14ac:dyDescent="0.25">
      <c r="F67" s="3" t="s">
        <v>82</v>
      </c>
      <c r="G67" s="3" t="s">
        <v>101</v>
      </c>
      <c r="H67" s="3" t="s">
        <v>102</v>
      </c>
      <c r="I67" s="3" t="s">
        <v>103</v>
      </c>
    </row>
    <row r="68" spans="5:9" x14ac:dyDescent="0.25">
      <c r="E68" s="7">
        <v>42552</v>
      </c>
      <c r="F68" s="8" t="s">
        <v>104</v>
      </c>
      <c r="G68" s="9"/>
      <c r="H68" s="9"/>
      <c r="I68" s="9">
        <f>+I64</f>
        <v>-8189.69</v>
      </c>
    </row>
    <row r="69" spans="5:9" x14ac:dyDescent="0.25">
      <c r="F69" s="3" t="s">
        <v>105</v>
      </c>
      <c r="G69" s="9">
        <v>10164.84</v>
      </c>
      <c r="H69" s="9"/>
      <c r="I69" s="9">
        <f>+G69+H69</f>
        <v>10164.84</v>
      </c>
    </row>
    <row r="70" spans="5:9" x14ac:dyDescent="0.25">
      <c r="E70" s="7">
        <v>42735</v>
      </c>
      <c r="F70" s="3" t="s">
        <v>106</v>
      </c>
      <c r="G70" s="9"/>
      <c r="H70" s="9">
        <f>7982.56+60</f>
        <v>8042.56</v>
      </c>
      <c r="I70" s="9">
        <f>+G70-H70</f>
        <v>-8042.56</v>
      </c>
    </row>
    <row r="71" spans="5:9" x14ac:dyDescent="0.25">
      <c r="F71" s="3" t="s">
        <v>105</v>
      </c>
      <c r="G71" s="9">
        <v>10389.98</v>
      </c>
      <c r="H71" s="9"/>
      <c r="I71" s="9">
        <f>+G71-H71</f>
        <v>10389.98</v>
      </c>
    </row>
    <row r="72" spans="5:9" x14ac:dyDescent="0.25">
      <c r="F72" s="3" t="s">
        <v>106</v>
      </c>
      <c r="G72" s="9"/>
      <c r="H72" s="9">
        <f>8129.69+60</f>
        <v>8189.69</v>
      </c>
      <c r="I72" s="9">
        <f>+G72-H72</f>
        <v>-8189.69</v>
      </c>
    </row>
    <row r="73" spans="5:9" x14ac:dyDescent="0.25">
      <c r="E73" s="7">
        <v>42916</v>
      </c>
      <c r="F73" s="3" t="s">
        <v>107</v>
      </c>
      <c r="G73" s="9">
        <f>SUM(G68:G72)</f>
        <v>20554.82</v>
      </c>
      <c r="H73" s="9">
        <f>SUM(H68:H72)</f>
        <v>16232.25</v>
      </c>
      <c r="I73" s="12">
        <f>SUM(I68:I72)</f>
        <v>-3867.12</v>
      </c>
    </row>
    <row r="75" spans="5:9" x14ac:dyDescent="0.25">
      <c r="F75" s="3" t="s">
        <v>82</v>
      </c>
      <c r="G75" s="3" t="s">
        <v>101</v>
      </c>
      <c r="H75" s="3" t="s">
        <v>102</v>
      </c>
      <c r="I75" s="3" t="s">
        <v>103</v>
      </c>
    </row>
    <row r="76" spans="5:9" x14ac:dyDescent="0.25">
      <c r="E76" s="7">
        <v>42552</v>
      </c>
      <c r="F76" s="8" t="s">
        <v>104</v>
      </c>
      <c r="G76" s="9"/>
      <c r="H76" s="9"/>
      <c r="I76" s="9">
        <f>+I72</f>
        <v>-8189.69</v>
      </c>
    </row>
    <row r="77" spans="5:9" x14ac:dyDescent="0.25">
      <c r="F77" s="3" t="s">
        <v>105</v>
      </c>
      <c r="G77" s="9">
        <v>10164.84</v>
      </c>
      <c r="H77" s="9"/>
      <c r="I77" s="9">
        <f>+G77+H77</f>
        <v>10164.84</v>
      </c>
    </row>
    <row r="78" spans="5:9" x14ac:dyDescent="0.25">
      <c r="E78" s="7">
        <v>42735</v>
      </c>
      <c r="F78" s="3" t="s">
        <v>106</v>
      </c>
      <c r="G78" s="9"/>
      <c r="H78" s="9">
        <f>7982.56+60</f>
        <v>8042.56</v>
      </c>
      <c r="I78" s="9">
        <f>+G78-H78</f>
        <v>-8042.56</v>
      </c>
    </row>
    <row r="79" spans="5:9" x14ac:dyDescent="0.25">
      <c r="F79" s="3" t="s">
        <v>105</v>
      </c>
      <c r="G79" s="9">
        <v>10389.98</v>
      </c>
      <c r="H79" s="9"/>
      <c r="I79" s="9">
        <f>+G79-H79</f>
        <v>10389.98</v>
      </c>
    </row>
    <row r="80" spans="5:9" x14ac:dyDescent="0.25">
      <c r="F80" s="3" t="s">
        <v>106</v>
      </c>
      <c r="G80" s="9"/>
      <c r="H80" s="9">
        <f>8129.69+60</f>
        <v>8189.69</v>
      </c>
      <c r="I80" s="9">
        <f>+G80-H80</f>
        <v>-8189.69</v>
      </c>
    </row>
    <row r="81" spans="5:9" x14ac:dyDescent="0.25">
      <c r="E81" s="7">
        <v>42916</v>
      </c>
      <c r="F81" s="3" t="s">
        <v>107</v>
      </c>
      <c r="G81" s="9">
        <f>SUM(G76:G80)</f>
        <v>20554.82</v>
      </c>
      <c r="H81" s="9">
        <f>SUM(H76:H80)</f>
        <v>16232.25</v>
      </c>
      <c r="I81" s="12">
        <f>SUM(I76:I80)</f>
        <v>-3867.12</v>
      </c>
    </row>
    <row r="83" spans="5:9" x14ac:dyDescent="0.25">
      <c r="F83" s="3" t="s">
        <v>82</v>
      </c>
      <c r="G83" s="3" t="s">
        <v>101</v>
      </c>
      <c r="H83" s="3" t="s">
        <v>102</v>
      </c>
      <c r="I83" s="3" t="s">
        <v>103</v>
      </c>
    </row>
    <row r="84" spans="5:9" x14ac:dyDescent="0.25">
      <c r="E84" s="7">
        <v>42552</v>
      </c>
      <c r="F84" s="8" t="s">
        <v>104</v>
      </c>
      <c r="G84" s="9"/>
      <c r="H84" s="9"/>
      <c r="I84" s="9">
        <f>+I80</f>
        <v>-8189.69</v>
      </c>
    </row>
    <row r="85" spans="5:9" x14ac:dyDescent="0.25">
      <c r="F85" s="3" t="s">
        <v>105</v>
      </c>
      <c r="G85" s="9">
        <v>10164.84</v>
      </c>
      <c r="H85" s="9"/>
      <c r="I85" s="9">
        <f>+G85+H85</f>
        <v>10164.84</v>
      </c>
    </row>
    <row r="86" spans="5:9" x14ac:dyDescent="0.25">
      <c r="E86" s="7">
        <v>42735</v>
      </c>
      <c r="F86" s="3" t="s">
        <v>106</v>
      </c>
      <c r="G86" s="9"/>
      <c r="H86" s="9">
        <f>7982.56+60</f>
        <v>8042.56</v>
      </c>
      <c r="I86" s="9">
        <f>+G86-H86</f>
        <v>-8042.56</v>
      </c>
    </row>
    <row r="87" spans="5:9" x14ac:dyDescent="0.25">
      <c r="F87" s="3" t="s">
        <v>105</v>
      </c>
      <c r="G87" s="9">
        <v>10389.98</v>
      </c>
      <c r="H87" s="9"/>
      <c r="I87" s="9">
        <f>+G87-H87</f>
        <v>10389.98</v>
      </c>
    </row>
    <row r="88" spans="5:9" x14ac:dyDescent="0.25">
      <c r="F88" s="3" t="s">
        <v>106</v>
      </c>
      <c r="G88" s="9"/>
      <c r="H88" s="9">
        <f>8129.69+60</f>
        <v>8189.69</v>
      </c>
      <c r="I88" s="9">
        <f>+G88-H88</f>
        <v>-8189.69</v>
      </c>
    </row>
    <row r="89" spans="5:9" x14ac:dyDescent="0.25">
      <c r="E89" s="7">
        <v>42916</v>
      </c>
      <c r="F89" s="3" t="s">
        <v>107</v>
      </c>
      <c r="G89" s="9">
        <f>SUM(G84:G88)</f>
        <v>20554.82</v>
      </c>
      <c r="H89" s="9">
        <f>SUM(H84:H88)</f>
        <v>16232.25</v>
      </c>
      <c r="I89" s="12">
        <f>SUM(I84:I88)</f>
        <v>-3867.12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5D3155-511A-4BFF-A1D8-9709F88EBD05}">
  <dimension ref="A1:X22"/>
  <sheetViews>
    <sheetView workbookViewId="0">
      <selection activeCell="E28" sqref="E28"/>
    </sheetView>
  </sheetViews>
  <sheetFormatPr defaultRowHeight="15" x14ac:dyDescent="0.25"/>
  <cols>
    <col min="2" max="2" width="50.7109375" customWidth="1"/>
    <col min="3" max="3" width="5.7109375" customWidth="1"/>
    <col min="4" max="5" width="20.7109375" customWidth="1"/>
    <col min="6" max="6" width="11.28515625" hidden="1" customWidth="1"/>
    <col min="7" max="7" width="13.42578125" hidden="1" customWidth="1"/>
  </cols>
  <sheetData>
    <row r="1" spans="1:24" x14ac:dyDescent="0.25">
      <c r="A1" s="13"/>
      <c r="B1" s="13"/>
      <c r="C1" s="13"/>
      <c r="D1" s="13"/>
      <c r="E1" s="13"/>
      <c r="F1" s="13"/>
      <c r="G1" s="13"/>
      <c r="H1" s="13"/>
    </row>
    <row r="2" spans="1:24" x14ac:dyDescent="0.25">
      <c r="A2" s="13"/>
      <c r="B2" s="15" t="s">
        <v>87</v>
      </c>
      <c r="C2" s="51" t="s">
        <v>129</v>
      </c>
      <c r="D2" s="18">
        <v>2020</v>
      </c>
      <c r="E2" s="19">
        <v>2019</v>
      </c>
      <c r="F2" s="18">
        <v>2014</v>
      </c>
      <c r="G2" s="18">
        <v>2013</v>
      </c>
      <c r="H2" s="13"/>
    </row>
    <row r="3" spans="1:24" x14ac:dyDescent="0.25">
      <c r="A3" s="13"/>
      <c r="B3" s="13"/>
      <c r="C3" s="13"/>
      <c r="D3" s="18" t="s">
        <v>109</v>
      </c>
      <c r="E3" s="19" t="s">
        <v>109</v>
      </c>
      <c r="F3" s="18" t="s">
        <v>109</v>
      </c>
      <c r="G3" s="18" t="s">
        <v>109</v>
      </c>
      <c r="H3" s="13"/>
    </row>
    <row r="4" spans="1:24" x14ac:dyDescent="0.25">
      <c r="A4" s="13"/>
      <c r="B4" s="13"/>
      <c r="C4" s="13"/>
      <c r="D4" s="13"/>
      <c r="E4" s="14"/>
      <c r="F4" s="13"/>
      <c r="G4" s="15"/>
      <c r="H4" s="13"/>
    </row>
    <row r="5" spans="1:24" x14ac:dyDescent="0.25">
      <c r="A5" s="13"/>
      <c r="B5" s="13" t="s">
        <v>108</v>
      </c>
      <c r="C5" s="30">
        <v>2</v>
      </c>
      <c r="D5" s="52">
        <f>+' PL Notes'!D4</f>
        <v>1162</v>
      </c>
      <c r="E5" s="53">
        <f>+'2019 PL'!D5</f>
        <v>1740</v>
      </c>
      <c r="F5" s="52">
        <v>4161.59</v>
      </c>
      <c r="G5" s="52">
        <v>1692.3300000000002</v>
      </c>
      <c r="H5" s="13"/>
    </row>
    <row r="6" spans="1:24" x14ac:dyDescent="0.25">
      <c r="A6" s="13"/>
      <c r="B6" s="13" t="s">
        <v>144</v>
      </c>
      <c r="C6" s="30"/>
      <c r="D6" s="52">
        <v>9369</v>
      </c>
      <c r="E6" s="53">
        <f>+'2019 PL'!D6</f>
        <v>10573</v>
      </c>
      <c r="F6" s="52">
        <v>5339.0899999999992</v>
      </c>
      <c r="G6" s="52"/>
      <c r="H6" s="13"/>
    </row>
    <row r="7" spans="1:24" x14ac:dyDescent="0.25">
      <c r="A7" s="13"/>
      <c r="B7" s="13" t="s">
        <v>289</v>
      </c>
      <c r="C7" s="30"/>
      <c r="D7" s="52">
        <f>+'BS Notes'!AL69</f>
        <v>662.08999999999651</v>
      </c>
      <c r="E7" s="53">
        <f>+'2019 PL'!D7</f>
        <v>19202.649999999994</v>
      </c>
      <c r="F7" s="52"/>
      <c r="G7" s="52"/>
      <c r="H7" s="13"/>
    </row>
    <row r="8" spans="1:24" x14ac:dyDescent="0.25">
      <c r="A8" s="13"/>
      <c r="B8" s="13" t="s">
        <v>288</v>
      </c>
      <c r="C8" s="30"/>
      <c r="D8" s="52">
        <f>+'BS Notes'!N11</f>
        <v>122500</v>
      </c>
      <c r="E8" s="53">
        <v>2500</v>
      </c>
      <c r="F8" s="52"/>
      <c r="G8" s="52"/>
      <c r="H8" s="13"/>
    </row>
    <row r="9" spans="1:24" x14ac:dyDescent="0.25">
      <c r="A9" s="13"/>
      <c r="B9" s="14" t="s">
        <v>113</v>
      </c>
      <c r="C9" s="30">
        <v>3</v>
      </c>
      <c r="D9" s="52">
        <f>+' PL Notes'!D9</f>
        <v>21826</v>
      </c>
      <c r="E9" s="53">
        <f>+'2019 PL'!D9</f>
        <v>24527</v>
      </c>
      <c r="F9" s="52">
        <v>21929.75</v>
      </c>
      <c r="G9" s="52">
        <v>5323.1</v>
      </c>
      <c r="H9" s="13"/>
    </row>
    <row r="10" spans="1:24" ht="15.75" thickBot="1" x14ac:dyDescent="0.3">
      <c r="A10" s="13"/>
      <c r="B10" s="13"/>
      <c r="C10" s="30"/>
      <c r="D10" s="54">
        <f>SUM(D5:D9)</f>
        <v>155519.09</v>
      </c>
      <c r="E10" s="55">
        <f>SUM(E5:E9)</f>
        <v>58542.649999999994</v>
      </c>
      <c r="F10" s="54">
        <f>SUM(F5:F9)</f>
        <v>31430.43</v>
      </c>
      <c r="G10" s="54">
        <v>7015.43</v>
      </c>
      <c r="H10" s="13"/>
    </row>
    <row r="11" spans="1:24" ht="15.75" thickTop="1" x14ac:dyDescent="0.25">
      <c r="A11" s="13"/>
      <c r="B11" s="15" t="s">
        <v>147</v>
      </c>
      <c r="C11" s="51"/>
      <c r="D11" s="51"/>
      <c r="E11" s="56"/>
      <c r="F11" s="51"/>
      <c r="G11" s="51"/>
      <c r="H11" s="13"/>
    </row>
    <row r="12" spans="1:24" x14ac:dyDescent="0.25">
      <c r="A12" s="13"/>
      <c r="B12" s="13"/>
      <c r="C12" s="30"/>
      <c r="D12" s="51"/>
      <c r="E12" s="56"/>
      <c r="F12" s="51"/>
      <c r="G12" s="51"/>
      <c r="H12" s="13"/>
    </row>
    <row r="13" spans="1:24" x14ac:dyDescent="0.25">
      <c r="A13" s="13"/>
      <c r="B13" s="16" t="s">
        <v>117</v>
      </c>
      <c r="C13" s="30">
        <v>4</v>
      </c>
      <c r="D13" s="41">
        <f>-' PL Notes'!D21</f>
        <v>-27038</v>
      </c>
      <c r="E13" s="53">
        <f>+'2019 PL'!D13</f>
        <v>-29649</v>
      </c>
      <c r="F13" s="41">
        <v>-29694.36</v>
      </c>
      <c r="G13" s="41">
        <v>-22645.79</v>
      </c>
      <c r="H13" s="13"/>
      <c r="X13">
        <v>-1271</v>
      </c>
    </row>
    <row r="14" spans="1:24" ht="15.75" thickBot="1" x14ac:dyDescent="0.3">
      <c r="A14" s="13"/>
      <c r="B14" s="15" t="s">
        <v>111</v>
      </c>
      <c r="C14" s="15"/>
      <c r="D14" s="43">
        <f>SUM(D13:D13)</f>
        <v>-27038</v>
      </c>
      <c r="E14" s="44">
        <f>SUM(E13:E13)</f>
        <v>-29649</v>
      </c>
      <c r="F14" s="43">
        <f>SUM(F13:F13)</f>
        <v>-29694.36</v>
      </c>
      <c r="G14" s="43">
        <v>-25615.79</v>
      </c>
      <c r="H14" s="13"/>
      <c r="X14">
        <v>-4573</v>
      </c>
    </row>
    <row r="15" spans="1:24" ht="15.75" thickTop="1" x14ac:dyDescent="0.25">
      <c r="A15" s="13"/>
      <c r="B15" s="13"/>
      <c r="C15" s="13"/>
      <c r="D15" s="15"/>
      <c r="E15" s="16"/>
      <c r="F15" s="15"/>
      <c r="G15" s="15"/>
      <c r="H15" s="13"/>
      <c r="X15">
        <v>32882</v>
      </c>
    </row>
    <row r="16" spans="1:24" x14ac:dyDescent="0.25">
      <c r="A16" s="13"/>
      <c r="B16" s="13" t="s">
        <v>295</v>
      </c>
      <c r="C16" s="13"/>
      <c r="D16" s="41">
        <f>+D10+D14</f>
        <v>128481.09</v>
      </c>
      <c r="E16" s="42">
        <f>+E10+E14</f>
        <v>28893.649999999994</v>
      </c>
      <c r="F16" s="41">
        <f>+F10+F14</f>
        <v>1736.0699999999997</v>
      </c>
      <c r="G16" s="41">
        <v>-18600.36</v>
      </c>
      <c r="H16" s="13"/>
      <c r="X16">
        <f>SUM(X13:X15)</f>
        <v>27038</v>
      </c>
    </row>
    <row r="17" spans="1:9" x14ac:dyDescent="0.25">
      <c r="A17" s="13"/>
      <c r="B17" s="13"/>
      <c r="C17" s="13"/>
      <c r="D17" s="15"/>
      <c r="E17" s="16"/>
      <c r="F17" s="15"/>
      <c r="G17" s="15"/>
      <c r="H17" s="13"/>
    </row>
    <row r="18" spans="1:9" x14ac:dyDescent="0.25">
      <c r="A18" s="13"/>
      <c r="B18" s="13" t="s">
        <v>149</v>
      </c>
      <c r="C18" s="13"/>
      <c r="D18" s="41">
        <f>-'losses cftd'!K10</f>
        <v>-854.39999999999964</v>
      </c>
      <c r="E18" s="42">
        <f>+'2019 PL'!D18</f>
        <v>-410.10000000000036</v>
      </c>
      <c r="F18" s="41">
        <v>-106</v>
      </c>
      <c r="G18" s="41">
        <v>5580.1080000000002</v>
      </c>
      <c r="I18" s="57"/>
    </row>
    <row r="19" spans="1:9" x14ac:dyDescent="0.25">
      <c r="A19" s="13"/>
      <c r="B19" s="13"/>
      <c r="C19" s="13"/>
      <c r="D19" s="15"/>
      <c r="E19" s="16"/>
      <c r="F19" s="15"/>
      <c r="G19" s="15"/>
      <c r="H19" s="13"/>
    </row>
    <row r="20" spans="1:9" ht="15.75" thickBot="1" x14ac:dyDescent="0.3">
      <c r="A20" s="13"/>
      <c r="B20" s="15" t="s">
        <v>299</v>
      </c>
      <c r="C20" s="15"/>
      <c r="D20" s="43">
        <f>+D16+D18</f>
        <v>127626.69</v>
      </c>
      <c r="E20" s="44">
        <f>+E16+E18</f>
        <v>28483.549999999996</v>
      </c>
      <c r="F20" s="43">
        <f>+F16+F18</f>
        <v>1630.0699999999997</v>
      </c>
      <c r="G20" s="43">
        <v>-13020.252</v>
      </c>
      <c r="H20" s="13"/>
    </row>
    <row r="21" spans="1:9" ht="15.75" thickTop="1" x14ac:dyDescent="0.25">
      <c r="A21" s="13"/>
      <c r="B21" s="13"/>
      <c r="C21" s="13"/>
      <c r="D21" s="13"/>
      <c r="E21" s="14"/>
      <c r="F21" s="52"/>
      <c r="G21" s="15"/>
      <c r="H21" s="13"/>
    </row>
    <row r="22" spans="1:9" x14ac:dyDescent="0.25">
      <c r="A22" s="13"/>
      <c r="B22" s="13"/>
      <c r="C22" s="13"/>
      <c r="D22" s="13"/>
      <c r="E22" s="13"/>
      <c r="F22" s="13"/>
      <c r="G22" s="15"/>
      <c r="H22" s="13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578C88-9B49-45A6-970B-637481BE658C}">
  <dimension ref="A1:I29"/>
  <sheetViews>
    <sheetView workbookViewId="0">
      <selection activeCell="E12" sqref="E12"/>
    </sheetView>
  </sheetViews>
  <sheetFormatPr defaultRowHeight="15" x14ac:dyDescent="0.25"/>
  <cols>
    <col min="2" max="2" width="50.7109375" customWidth="1"/>
    <col min="3" max="3" width="5.7109375" customWidth="1"/>
    <col min="4" max="4" width="0.28515625" customWidth="1"/>
    <col min="5" max="5" width="15.140625" customWidth="1"/>
    <col min="6" max="6" width="16.140625" customWidth="1"/>
    <col min="7" max="7" width="13.42578125" hidden="1" customWidth="1"/>
    <col min="8" max="8" width="12.7109375" hidden="1" customWidth="1"/>
    <col min="9" max="9" width="0" hidden="1" customWidth="1"/>
  </cols>
  <sheetData>
    <row r="1" spans="1:9" x14ac:dyDescent="0.25">
      <c r="A1" s="13"/>
      <c r="B1" s="13"/>
      <c r="C1" s="13"/>
      <c r="D1" s="13"/>
      <c r="E1" s="13"/>
      <c r="F1" s="14"/>
      <c r="G1" s="13"/>
      <c r="H1" s="13"/>
      <c r="I1" s="13"/>
    </row>
    <row r="2" spans="1:9" x14ac:dyDescent="0.25">
      <c r="A2" s="13"/>
      <c r="B2" s="13"/>
      <c r="C2" s="30" t="s">
        <v>129</v>
      </c>
      <c r="D2" s="30"/>
      <c r="E2" s="15">
        <v>2019</v>
      </c>
      <c r="F2" s="16">
        <v>2018</v>
      </c>
      <c r="G2" s="15">
        <v>2014</v>
      </c>
      <c r="H2" s="15">
        <v>2013</v>
      </c>
      <c r="I2" s="13"/>
    </row>
    <row r="3" spans="1:9" x14ac:dyDescent="0.25">
      <c r="A3" s="13"/>
      <c r="B3" s="13"/>
      <c r="C3" s="13"/>
      <c r="D3" s="13"/>
      <c r="E3" s="18" t="s">
        <v>109</v>
      </c>
      <c r="F3" s="19" t="s">
        <v>109</v>
      </c>
      <c r="G3" s="18" t="s">
        <v>109</v>
      </c>
      <c r="H3" s="18" t="s">
        <v>109</v>
      </c>
      <c r="I3" s="13"/>
    </row>
    <row r="4" spans="1:9" x14ac:dyDescent="0.25">
      <c r="A4" s="13"/>
      <c r="B4" s="15" t="s">
        <v>130</v>
      </c>
      <c r="C4" s="13"/>
      <c r="D4" s="13"/>
      <c r="E4" s="13"/>
      <c r="F4" s="14"/>
      <c r="G4" s="13"/>
      <c r="H4" s="13"/>
      <c r="I4" s="13"/>
    </row>
    <row r="5" spans="1:9" x14ac:dyDescent="0.25">
      <c r="A5" s="13"/>
      <c r="B5" s="13" t="s">
        <v>131</v>
      </c>
      <c r="C5" s="30">
        <v>5</v>
      </c>
      <c r="D5" s="30"/>
      <c r="E5" s="31">
        <f>+'BS Notes'!E6</f>
        <v>87330</v>
      </c>
      <c r="F5" s="32">
        <f>+'2018 BS'!E5</f>
        <v>82187.59</v>
      </c>
      <c r="G5" s="31">
        <v>75523.589999999982</v>
      </c>
      <c r="H5" s="31">
        <v>206671</v>
      </c>
      <c r="I5" s="13"/>
    </row>
    <row r="6" spans="1:9" x14ac:dyDescent="0.25">
      <c r="A6" s="13"/>
      <c r="B6" s="13" t="s">
        <v>132</v>
      </c>
      <c r="C6" s="30"/>
      <c r="D6" s="30"/>
      <c r="E6" s="33">
        <f>2811+2588</f>
        <v>5399</v>
      </c>
      <c r="F6" s="32">
        <f>+'2018 BS'!E6</f>
        <v>2588</v>
      </c>
      <c r="G6" s="33">
        <v>1402</v>
      </c>
      <c r="H6" s="33">
        <v>0</v>
      </c>
      <c r="I6" s="13"/>
    </row>
    <row r="7" spans="1:9" x14ac:dyDescent="0.25">
      <c r="A7" s="13"/>
      <c r="B7" s="17" t="s">
        <v>133</v>
      </c>
      <c r="C7" s="30"/>
      <c r="D7" s="30"/>
      <c r="E7" s="35">
        <f>+E5+E6</f>
        <v>92729</v>
      </c>
      <c r="F7" s="36">
        <f>+F5+F6</f>
        <v>84775.59</v>
      </c>
      <c r="G7" s="35">
        <f>+G5+G6</f>
        <v>76925.589999999982</v>
      </c>
      <c r="H7" s="35">
        <f>+H5+H6</f>
        <v>206671</v>
      </c>
      <c r="I7" s="13"/>
    </row>
    <row r="8" spans="1:9" x14ac:dyDescent="0.25">
      <c r="A8" s="13"/>
      <c r="B8" s="13"/>
      <c r="C8" s="13"/>
      <c r="D8" s="13"/>
      <c r="E8" s="13"/>
      <c r="F8" s="14"/>
      <c r="G8" s="13"/>
      <c r="H8" s="13"/>
      <c r="I8" s="13"/>
    </row>
    <row r="9" spans="1:9" x14ac:dyDescent="0.25">
      <c r="A9" s="13"/>
      <c r="B9" s="15" t="s">
        <v>134</v>
      </c>
      <c r="C9" s="15"/>
      <c r="D9" s="15"/>
      <c r="E9" s="15"/>
      <c r="F9" s="16"/>
      <c r="G9" s="15"/>
      <c r="H9" s="15"/>
      <c r="I9" s="13"/>
    </row>
    <row r="10" spans="1:9" x14ac:dyDescent="0.25">
      <c r="A10" s="13"/>
      <c r="B10" s="13" t="s">
        <v>135</v>
      </c>
      <c r="C10" s="30">
        <v>6</v>
      </c>
      <c r="D10" s="30"/>
      <c r="E10" s="33">
        <f>+'BS Notes'!E11</f>
        <v>582500</v>
      </c>
      <c r="F10" s="32">
        <f>+'2018 BS'!E10</f>
        <v>587500</v>
      </c>
      <c r="G10" s="33">
        <f>+'[1]2015 BS Notes'!E12</f>
        <v>468935.72</v>
      </c>
      <c r="H10" s="33">
        <v>476358</v>
      </c>
      <c r="I10" s="13"/>
    </row>
    <row r="11" spans="1:9" x14ac:dyDescent="0.25">
      <c r="A11" s="13"/>
      <c r="B11" s="13" t="s">
        <v>136</v>
      </c>
      <c r="C11" s="30">
        <v>7</v>
      </c>
      <c r="D11" s="30"/>
      <c r="E11" s="33">
        <f>+'BS Notes'!E14</f>
        <v>227139.65</v>
      </c>
      <c r="F11" s="32">
        <f>+'2018 BS'!E11</f>
        <v>207937</v>
      </c>
      <c r="G11" s="33">
        <v>135092.16</v>
      </c>
      <c r="H11" s="33">
        <v>0</v>
      </c>
      <c r="I11" s="13"/>
    </row>
    <row r="12" spans="1:9" x14ac:dyDescent="0.25">
      <c r="A12" s="13"/>
      <c r="B12" s="13" t="s">
        <v>137</v>
      </c>
      <c r="C12" s="30">
        <v>8</v>
      </c>
      <c r="D12" s="30"/>
      <c r="E12" s="33">
        <f>18158-2913-1802-838-4064</f>
        <v>8541</v>
      </c>
      <c r="F12" s="32">
        <f>+'2018 BS'!E12</f>
        <v>14428.453285714284</v>
      </c>
      <c r="G12" s="33">
        <v>5474.1080000000002</v>
      </c>
      <c r="H12" s="33">
        <v>5580.1080000000002</v>
      </c>
      <c r="I12" s="13"/>
    </row>
    <row r="13" spans="1:9" x14ac:dyDescent="0.25">
      <c r="A13" s="13"/>
      <c r="B13" s="17" t="s">
        <v>111</v>
      </c>
      <c r="C13" s="30"/>
      <c r="D13" s="30"/>
      <c r="E13" s="37">
        <f>SUM(E10:E12)</f>
        <v>818180.65</v>
      </c>
      <c r="F13" s="38">
        <f>SUM(F10:F12)</f>
        <v>809865.45328571426</v>
      </c>
      <c r="G13" s="37">
        <f>SUM(G10:G12)</f>
        <v>609501.98800000001</v>
      </c>
      <c r="H13" s="37">
        <f>SUM(H10:H12)</f>
        <v>481938.10800000001</v>
      </c>
      <c r="I13" s="13"/>
    </row>
    <row r="14" spans="1:9" x14ac:dyDescent="0.25">
      <c r="A14" s="13"/>
      <c r="B14" s="13"/>
      <c r="C14" s="13"/>
      <c r="D14" s="13"/>
      <c r="E14" s="13"/>
      <c r="F14" s="14"/>
      <c r="G14" s="13"/>
      <c r="H14" s="13"/>
      <c r="I14" s="13"/>
    </row>
    <row r="15" spans="1:9" x14ac:dyDescent="0.25">
      <c r="A15" s="13"/>
      <c r="B15" s="15" t="s">
        <v>138</v>
      </c>
      <c r="C15" s="15"/>
      <c r="D15" s="15"/>
      <c r="E15" s="39">
        <f>+E13+E7</f>
        <v>910909.65</v>
      </c>
      <c r="F15" s="40">
        <f>+F13+F7</f>
        <v>894641.04328571423</v>
      </c>
      <c r="G15" s="39">
        <f>+G7+G13</f>
        <v>686427.57799999998</v>
      </c>
      <c r="H15" s="39">
        <f>+H13+H5</f>
        <v>688609.10800000001</v>
      </c>
      <c r="I15" s="13"/>
    </row>
    <row r="16" spans="1:9" x14ac:dyDescent="0.25">
      <c r="A16" s="13"/>
      <c r="B16" s="13"/>
      <c r="C16" s="13"/>
      <c r="D16" s="13"/>
      <c r="E16" s="13"/>
      <c r="F16" s="14"/>
      <c r="G16" s="13"/>
      <c r="H16" s="13"/>
      <c r="I16" s="13"/>
    </row>
    <row r="17" spans="1:9" x14ac:dyDescent="0.25">
      <c r="A17" s="13"/>
      <c r="B17" s="15" t="s">
        <v>139</v>
      </c>
      <c r="C17" s="13"/>
      <c r="D17" s="13"/>
      <c r="E17" s="13"/>
      <c r="F17" s="41"/>
      <c r="G17" s="31"/>
      <c r="H17" s="31"/>
      <c r="I17" s="13"/>
    </row>
    <row r="18" spans="1:9" x14ac:dyDescent="0.25">
      <c r="A18" s="13"/>
      <c r="B18" s="13" t="s">
        <v>140</v>
      </c>
      <c r="C18" s="30">
        <v>9</v>
      </c>
      <c r="D18" s="30"/>
      <c r="E18" s="41">
        <f>+'BS Notes'!E23</f>
        <v>-260605</v>
      </c>
      <c r="F18" s="41">
        <f>+'2018 BS'!E18</f>
        <v>-265320</v>
      </c>
      <c r="G18" s="41">
        <v>-281619.46999999997</v>
      </c>
      <c r="H18" s="41">
        <v>-284786</v>
      </c>
      <c r="I18" s="13"/>
    </row>
    <row r="19" spans="1:9" x14ac:dyDescent="0.25">
      <c r="A19" s="13"/>
      <c r="B19" s="13"/>
      <c r="C19" s="30"/>
      <c r="D19" s="30"/>
      <c r="E19" s="41"/>
      <c r="F19" s="41"/>
      <c r="G19" s="41"/>
      <c r="H19" s="41"/>
      <c r="I19" s="13"/>
    </row>
    <row r="20" spans="1:9" ht="15.75" thickBot="1" x14ac:dyDescent="0.3">
      <c r="A20" s="13"/>
      <c r="B20" s="15" t="s">
        <v>141</v>
      </c>
      <c r="C20" s="13"/>
      <c r="D20" s="13"/>
      <c r="E20" s="43">
        <f>+E18</f>
        <v>-260605</v>
      </c>
      <c r="F20" s="43">
        <f>+F18</f>
        <v>-265320</v>
      </c>
      <c r="G20" s="43">
        <f>+G18</f>
        <v>-281619.46999999997</v>
      </c>
      <c r="H20" s="43">
        <f>+H18</f>
        <v>-284786</v>
      </c>
      <c r="I20" s="13"/>
    </row>
    <row r="21" spans="1:9" ht="15.75" thickTop="1" x14ac:dyDescent="0.25">
      <c r="A21" s="13"/>
      <c r="B21" s="13"/>
      <c r="C21" s="13"/>
      <c r="D21" s="13"/>
      <c r="E21" s="13"/>
      <c r="F21" s="14"/>
      <c r="G21" s="13"/>
      <c r="H21" s="13"/>
      <c r="I21" s="13"/>
    </row>
    <row r="22" spans="1:9" ht="15.75" thickBot="1" x14ac:dyDescent="0.3">
      <c r="A22" s="13"/>
      <c r="B22" s="15" t="s">
        <v>142</v>
      </c>
      <c r="C22" s="15"/>
      <c r="D22" s="15"/>
      <c r="E22" s="45">
        <f>+E15+E20</f>
        <v>650304.65</v>
      </c>
      <c r="F22" s="46">
        <f>+F15+F20</f>
        <v>629321.04328571423</v>
      </c>
      <c r="G22" s="45">
        <f>+G15+G20</f>
        <v>404808.10800000001</v>
      </c>
      <c r="H22" s="45">
        <f>+H15+H20</f>
        <v>403823.10800000001</v>
      </c>
      <c r="I22" s="13"/>
    </row>
    <row r="23" spans="1:9" ht="15.75" thickTop="1" x14ac:dyDescent="0.25">
      <c r="A23" s="13"/>
      <c r="B23" s="15"/>
      <c r="C23" s="15"/>
      <c r="D23" s="15"/>
      <c r="E23" s="15"/>
      <c r="F23" s="16"/>
      <c r="G23" s="15"/>
      <c r="H23" s="15"/>
      <c r="I23" s="13"/>
    </row>
    <row r="24" spans="1:9" ht="27" thickBot="1" x14ac:dyDescent="0.3">
      <c r="A24" s="13"/>
      <c r="B24" s="47" t="s">
        <v>143</v>
      </c>
      <c r="C24" s="159">
        <v>10</v>
      </c>
      <c r="D24" s="48"/>
      <c r="E24" s="43">
        <f>+'BS Notes'!E33</f>
        <v>-650304.65</v>
      </c>
      <c r="F24" s="44">
        <f>+'2018 BS'!E24</f>
        <v>-629321.1</v>
      </c>
      <c r="G24" s="43">
        <f>+'[1]2015 BS Notes'!E34</f>
        <v>-404807.70799999998</v>
      </c>
      <c r="H24" s="43">
        <v>-403823</v>
      </c>
      <c r="I24" s="13"/>
    </row>
    <row r="25" spans="1:9" ht="15.75" thickTop="1" x14ac:dyDescent="0.25">
      <c r="A25" s="13"/>
      <c r="B25" s="13"/>
      <c r="C25" s="15"/>
      <c r="D25" s="15"/>
      <c r="E25" s="15"/>
      <c r="F25" s="16"/>
      <c r="G25" s="15"/>
      <c r="H25" s="15"/>
      <c r="I25" s="13"/>
    </row>
    <row r="26" spans="1:9" x14ac:dyDescent="0.25">
      <c r="E26" s="10">
        <f>+E22+E24</f>
        <v>0</v>
      </c>
      <c r="F26" s="49">
        <f>+F22+F24</f>
        <v>-5.6714285747148097E-2</v>
      </c>
      <c r="G26" s="10">
        <f>+G22+G24</f>
        <v>0.40000000002328306</v>
      </c>
      <c r="H26" s="10">
        <f>+H22+H24</f>
        <v>0.10800000000745058</v>
      </c>
    </row>
    <row r="27" spans="1:9" x14ac:dyDescent="0.25">
      <c r="F27" s="29"/>
    </row>
    <row r="28" spans="1:9" x14ac:dyDescent="0.25">
      <c r="F28" s="50"/>
      <c r="G28" s="10"/>
    </row>
    <row r="29" spans="1:9" x14ac:dyDescent="0.25">
      <c r="F29" s="29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BFD5AB-C45A-4E86-8EBB-1BF31F0F29F7}">
  <dimension ref="A1:AA23"/>
  <sheetViews>
    <sheetView workbookViewId="0">
      <selection activeCell="D4" sqref="D4"/>
    </sheetView>
  </sheetViews>
  <sheetFormatPr defaultRowHeight="15" x14ac:dyDescent="0.25"/>
  <cols>
    <col min="2" max="2" width="50.7109375" customWidth="1"/>
    <col min="3" max="3" width="5.7109375" customWidth="1"/>
    <col min="4" max="5" width="15.7109375" customWidth="1"/>
    <col min="6" max="6" width="13.28515625" hidden="1" customWidth="1"/>
    <col min="7" max="7" width="12.7109375" hidden="1" customWidth="1"/>
    <col min="11" max="11" width="10.5703125" bestFit="1" customWidth="1"/>
    <col min="26" max="26" width="10.5703125" bestFit="1" customWidth="1"/>
  </cols>
  <sheetData>
    <row r="1" spans="1:26" x14ac:dyDescent="0.25">
      <c r="A1" s="13"/>
      <c r="B1" s="13"/>
      <c r="C1" s="13"/>
      <c r="D1" s="13"/>
      <c r="E1" s="13"/>
      <c r="F1" s="13"/>
      <c r="G1" s="13"/>
      <c r="H1" s="13"/>
    </row>
    <row r="2" spans="1:26" x14ac:dyDescent="0.25">
      <c r="A2" s="13"/>
      <c r="B2" s="15" t="s">
        <v>87</v>
      </c>
      <c r="C2" s="51" t="s">
        <v>129</v>
      </c>
      <c r="D2" s="18">
        <v>2019</v>
      </c>
      <c r="E2" s="19">
        <f>+'2018 PL'!D2</f>
        <v>2018</v>
      </c>
      <c r="F2" s="18">
        <v>2014</v>
      </c>
      <c r="G2" s="18">
        <v>2013</v>
      </c>
      <c r="H2" s="13"/>
      <c r="P2">
        <v>2019</v>
      </c>
    </row>
    <row r="3" spans="1:26" x14ac:dyDescent="0.25">
      <c r="A3" s="13"/>
      <c r="B3" s="13"/>
      <c r="C3" s="13"/>
      <c r="D3" s="18" t="s">
        <v>109</v>
      </c>
      <c r="E3" s="19" t="s">
        <v>109</v>
      </c>
      <c r="F3" s="18" t="s">
        <v>109</v>
      </c>
      <c r="G3" s="18" t="s">
        <v>109</v>
      </c>
      <c r="H3" s="13"/>
      <c r="K3">
        <v>2018</v>
      </c>
    </row>
    <row r="4" spans="1:26" x14ac:dyDescent="0.25">
      <c r="A4" s="13"/>
      <c r="B4" s="13"/>
      <c r="C4" s="13"/>
      <c r="D4" s="13"/>
      <c r="E4" s="14"/>
      <c r="F4" s="13"/>
      <c r="G4" s="15"/>
      <c r="H4" s="13"/>
      <c r="K4" t="s">
        <v>109</v>
      </c>
    </row>
    <row r="5" spans="1:26" x14ac:dyDescent="0.25">
      <c r="A5" s="13"/>
      <c r="B5" s="13" t="s">
        <v>108</v>
      </c>
      <c r="C5" s="30">
        <v>2</v>
      </c>
      <c r="D5" s="52">
        <f>+' PL Notes'!E4</f>
        <v>1740</v>
      </c>
      <c r="E5" s="53">
        <f>+'2018 PL'!D5</f>
        <v>1697</v>
      </c>
      <c r="F5" s="52">
        <v>4161.59</v>
      </c>
      <c r="G5" s="52">
        <v>1692.3300000000002</v>
      </c>
      <c r="H5" s="13"/>
      <c r="K5" s="132"/>
    </row>
    <row r="6" spans="1:26" x14ac:dyDescent="0.25">
      <c r="A6" s="13"/>
      <c r="B6" s="13" t="s">
        <v>144</v>
      </c>
      <c r="C6" s="30"/>
      <c r="D6" s="52">
        <v>10573</v>
      </c>
      <c r="E6" s="53">
        <f>+'2018 PL'!D6</f>
        <v>12517</v>
      </c>
      <c r="F6" s="52">
        <v>5339.0899999999992</v>
      </c>
      <c r="G6" s="52"/>
      <c r="H6" s="13"/>
      <c r="K6" s="132">
        <v>1961.67</v>
      </c>
    </row>
    <row r="7" spans="1:26" x14ac:dyDescent="0.25">
      <c r="A7" s="13"/>
      <c r="B7" s="13" t="s">
        <v>146</v>
      </c>
      <c r="C7" s="30"/>
      <c r="D7" s="52">
        <f>+'BS Notes'!AL50</f>
        <v>19202.649999999994</v>
      </c>
      <c r="E7" s="53">
        <f>+'2018 PL'!D8</f>
        <v>43395.599999999977</v>
      </c>
      <c r="F7" s="52"/>
      <c r="G7" s="52"/>
      <c r="H7" s="13"/>
      <c r="K7" s="132">
        <v>0</v>
      </c>
    </row>
    <row r="8" spans="1:26" x14ac:dyDescent="0.25">
      <c r="A8" s="13"/>
      <c r="B8" s="13" t="s">
        <v>290</v>
      </c>
      <c r="C8" s="30"/>
      <c r="D8" s="52">
        <f>+'BS Notes'!N10</f>
        <v>-5000</v>
      </c>
      <c r="E8" s="53">
        <v>111142.28000000003</v>
      </c>
      <c r="F8" s="52"/>
      <c r="G8" s="52"/>
      <c r="H8" s="13"/>
      <c r="K8" s="132"/>
    </row>
    <row r="9" spans="1:26" x14ac:dyDescent="0.25">
      <c r="A9" s="13"/>
      <c r="B9" s="14" t="s">
        <v>113</v>
      </c>
      <c r="C9" s="30">
        <v>3</v>
      </c>
      <c r="D9" s="52">
        <f>+' PL Notes'!E9</f>
        <v>24527</v>
      </c>
      <c r="E9" s="53">
        <f>+'2018 PL'!D10</f>
        <v>25199</v>
      </c>
      <c r="F9" s="52">
        <v>21929.75</v>
      </c>
      <c r="G9" s="52">
        <v>5323.1</v>
      </c>
      <c r="H9" s="13"/>
      <c r="K9" s="132">
        <v>43395.599999999977</v>
      </c>
    </row>
    <row r="10" spans="1:26" ht="15.75" thickBot="1" x14ac:dyDescent="0.3">
      <c r="A10" s="13"/>
      <c r="B10" s="13"/>
      <c r="C10" s="30"/>
      <c r="D10" s="54">
        <f>SUM(D5:D9)</f>
        <v>51042.649999999994</v>
      </c>
      <c r="E10" s="55">
        <f>SUM(E5:E9)</f>
        <v>193950.88</v>
      </c>
      <c r="F10" s="54">
        <f>SUM(F5:F9)</f>
        <v>31430.43</v>
      </c>
      <c r="G10" s="54">
        <v>7015.43</v>
      </c>
      <c r="H10" s="13"/>
      <c r="K10" s="132">
        <v>25199</v>
      </c>
    </row>
    <row r="11" spans="1:26" ht="15.75" thickTop="1" x14ac:dyDescent="0.25">
      <c r="A11" s="13"/>
      <c r="B11" s="15" t="s">
        <v>147</v>
      </c>
      <c r="C11" s="51"/>
      <c r="D11" s="51"/>
      <c r="E11" s="56"/>
      <c r="F11" s="51"/>
      <c r="G11" s="51"/>
      <c r="H11" s="13"/>
      <c r="K11" s="132">
        <v>83073.269999999975</v>
      </c>
    </row>
    <row r="12" spans="1:26" x14ac:dyDescent="0.25">
      <c r="A12" s="13"/>
      <c r="B12" s="13"/>
      <c r="C12" s="30"/>
      <c r="D12" s="51"/>
      <c r="E12" s="56"/>
      <c r="F12" s="51"/>
      <c r="G12" s="51"/>
      <c r="H12" s="13"/>
      <c r="K12" s="132"/>
    </row>
    <row r="13" spans="1:26" x14ac:dyDescent="0.25">
      <c r="A13" s="13"/>
      <c r="B13" s="16" t="s">
        <v>117</v>
      </c>
      <c r="C13" s="30">
        <v>4</v>
      </c>
      <c r="D13" s="41">
        <f>-' PL Notes'!E21</f>
        <v>-29649</v>
      </c>
      <c r="E13" s="42">
        <f>+'2018 PL'!D14</f>
        <v>-29463</v>
      </c>
      <c r="F13" s="41">
        <v>-29694.36</v>
      </c>
      <c r="G13" s="41">
        <v>-22645.79</v>
      </c>
      <c r="H13" s="13"/>
      <c r="K13" s="132"/>
      <c r="Z13" s="157">
        <v>-1252</v>
      </c>
    </row>
    <row r="14" spans="1:26" ht="15.75" thickBot="1" x14ac:dyDescent="0.3">
      <c r="A14" s="13"/>
      <c r="B14" s="15" t="s">
        <v>111</v>
      </c>
      <c r="C14" s="15"/>
      <c r="D14" s="43">
        <f>SUM(D13:D13)</f>
        <v>-29649</v>
      </c>
      <c r="E14" s="44">
        <f>SUM(E13:E13)</f>
        <v>-29463</v>
      </c>
      <c r="F14" s="43">
        <f>SUM(F13:F13)</f>
        <v>-29694.36</v>
      </c>
      <c r="G14" s="43">
        <v>-25615.79</v>
      </c>
      <c r="H14" s="13"/>
      <c r="K14" s="132">
        <v>-259</v>
      </c>
      <c r="X14">
        <v>-1252</v>
      </c>
      <c r="Z14" s="157">
        <v>-4573</v>
      </c>
    </row>
    <row r="15" spans="1:26" ht="15.75" thickTop="1" x14ac:dyDescent="0.25">
      <c r="A15" s="13"/>
      <c r="B15" s="13"/>
      <c r="C15" s="13"/>
      <c r="D15" s="15"/>
      <c r="E15" s="16"/>
      <c r="F15" s="15"/>
      <c r="G15" s="15"/>
      <c r="H15" s="13"/>
      <c r="K15" s="132">
        <v>-35210</v>
      </c>
      <c r="X15">
        <v>-4573</v>
      </c>
      <c r="Z15" s="157"/>
    </row>
    <row r="16" spans="1:26" x14ac:dyDescent="0.25">
      <c r="A16" s="13"/>
      <c r="B16" s="13" t="s">
        <v>295</v>
      </c>
      <c r="C16" s="13"/>
      <c r="D16" s="41">
        <f>+D10+D14</f>
        <v>21393.649999999994</v>
      </c>
      <c r="E16" s="42">
        <f>+E10+E14</f>
        <v>164487.88</v>
      </c>
      <c r="F16" s="41">
        <f>+F10+F14</f>
        <v>1736.0699999999997</v>
      </c>
      <c r="G16" s="41">
        <v>-18600.36</v>
      </c>
      <c r="H16" s="13"/>
      <c r="K16" s="132"/>
      <c r="X16">
        <v>35474</v>
      </c>
      <c r="Z16" s="157">
        <v>35474</v>
      </c>
    </row>
    <row r="17" spans="1:27" x14ac:dyDescent="0.25">
      <c r="A17" s="13"/>
      <c r="B17" s="13"/>
      <c r="C17" s="13"/>
      <c r="D17" s="15"/>
      <c r="E17" s="16"/>
      <c r="F17" s="15"/>
      <c r="G17" s="15"/>
      <c r="H17" s="13"/>
      <c r="K17" s="132">
        <v>47863.269999999975</v>
      </c>
      <c r="X17">
        <f>SUM(X14:X16)</f>
        <v>29649</v>
      </c>
      <c r="Z17" s="157"/>
    </row>
    <row r="18" spans="1:27" x14ac:dyDescent="0.25">
      <c r="A18" s="13"/>
      <c r="B18" s="13" t="s">
        <v>149</v>
      </c>
      <c r="C18" s="13"/>
      <c r="D18" s="41">
        <f>-'losses cftd'!K9</f>
        <v>-410.10000000000036</v>
      </c>
      <c r="E18" s="42">
        <f>+'2018 PL'!D20</f>
        <v>1138.5</v>
      </c>
      <c r="F18" s="41">
        <v>-106</v>
      </c>
      <c r="G18" s="41">
        <v>5580.1080000000002</v>
      </c>
      <c r="I18" s="57"/>
      <c r="K18" s="132"/>
      <c r="Z18" s="157">
        <f>SUM(Z13:Z16)</f>
        <v>29649</v>
      </c>
      <c r="AA18" t="s">
        <v>292</v>
      </c>
    </row>
    <row r="19" spans="1:27" x14ac:dyDescent="0.25">
      <c r="A19" s="13"/>
      <c r="B19" s="13"/>
      <c r="C19" s="13"/>
      <c r="D19" s="15"/>
      <c r="E19" s="16"/>
      <c r="F19" s="15"/>
      <c r="G19" s="15"/>
      <c r="H19" s="13"/>
      <c r="K19" s="132">
        <v>-1023.8999999999996</v>
      </c>
    </row>
    <row r="20" spans="1:27" ht="15.75" thickBot="1" x14ac:dyDescent="0.3">
      <c r="A20" s="13"/>
      <c r="B20" s="15" t="s">
        <v>298</v>
      </c>
      <c r="C20" s="15"/>
      <c r="D20" s="43">
        <f>+D16+D18</f>
        <v>20983.549999999996</v>
      </c>
      <c r="E20" s="44">
        <f>+E16+E18</f>
        <v>165626.38</v>
      </c>
      <c r="F20" s="43">
        <f>+F16+F18</f>
        <v>1630.0699999999997</v>
      </c>
      <c r="G20" s="43">
        <v>-13020.252</v>
      </c>
      <c r="H20" s="13"/>
      <c r="K20" s="132"/>
    </row>
    <row r="21" spans="1:27" ht="15.75" thickTop="1" x14ac:dyDescent="0.25">
      <c r="A21" s="13"/>
      <c r="B21" s="13"/>
      <c r="C21" s="13"/>
      <c r="D21" s="13"/>
      <c r="E21" s="14"/>
      <c r="F21" s="52"/>
      <c r="G21" s="15"/>
      <c r="H21" s="13"/>
      <c r="K21" s="132">
        <v>46839.369999999974</v>
      </c>
    </row>
    <row r="22" spans="1:27" x14ac:dyDescent="0.25">
      <c r="A22" s="13"/>
      <c r="B22" s="13"/>
      <c r="C22" s="13"/>
      <c r="D22" s="13"/>
      <c r="E22" s="13"/>
      <c r="F22" s="13"/>
      <c r="G22" s="15"/>
      <c r="H22" s="13"/>
      <c r="K22" s="132"/>
    </row>
    <row r="23" spans="1:27" x14ac:dyDescent="0.25">
      <c r="K23" s="132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FA24EF-57DB-4E56-AD67-A2E3F309EA2D}">
  <dimension ref="A1:I29"/>
  <sheetViews>
    <sheetView workbookViewId="0">
      <selection activeCell="L16" sqref="L16"/>
    </sheetView>
  </sheetViews>
  <sheetFormatPr defaultRowHeight="15" x14ac:dyDescent="0.25"/>
  <cols>
    <col min="2" max="2" width="50.7109375" customWidth="1"/>
    <col min="3" max="4" width="5.7109375" customWidth="1"/>
    <col min="5" max="6" width="15.7109375" customWidth="1"/>
    <col min="7" max="7" width="13.42578125" hidden="1" customWidth="1"/>
    <col min="8" max="8" width="12.7109375" hidden="1" customWidth="1"/>
    <col min="9" max="9" width="0" hidden="1" customWidth="1"/>
  </cols>
  <sheetData>
    <row r="1" spans="1:9" x14ac:dyDescent="0.25">
      <c r="A1" s="13"/>
      <c r="B1" s="13"/>
      <c r="C1" s="13"/>
      <c r="D1" s="13"/>
      <c r="E1" s="13"/>
      <c r="F1" s="14"/>
      <c r="G1" s="13"/>
      <c r="H1" s="13"/>
      <c r="I1" s="13"/>
    </row>
    <row r="2" spans="1:9" x14ac:dyDescent="0.25">
      <c r="A2" s="13"/>
      <c r="B2" s="13"/>
      <c r="C2" s="30" t="s">
        <v>129</v>
      </c>
      <c r="D2" s="30"/>
      <c r="E2" s="15">
        <v>2018</v>
      </c>
      <c r="F2" s="16">
        <v>2017</v>
      </c>
      <c r="G2" s="15">
        <v>2014</v>
      </c>
      <c r="H2" s="15">
        <v>2013</v>
      </c>
      <c r="I2" s="13"/>
    </row>
    <row r="3" spans="1:9" x14ac:dyDescent="0.25">
      <c r="A3" s="13"/>
      <c r="B3" s="13"/>
      <c r="C3" s="13"/>
      <c r="D3" s="13"/>
      <c r="E3" s="18" t="s">
        <v>109</v>
      </c>
      <c r="F3" s="19" t="s">
        <v>109</v>
      </c>
      <c r="G3" s="18" t="s">
        <v>109</v>
      </c>
      <c r="H3" s="18" t="s">
        <v>109</v>
      </c>
      <c r="I3" s="13"/>
    </row>
    <row r="4" spans="1:9" x14ac:dyDescent="0.25">
      <c r="A4" s="13"/>
      <c r="B4" s="15" t="s">
        <v>130</v>
      </c>
      <c r="C4" s="13"/>
      <c r="D4" s="13"/>
      <c r="E4" s="13"/>
      <c r="F4" s="14"/>
      <c r="G4" s="13"/>
      <c r="H4" s="13"/>
      <c r="I4" s="13"/>
    </row>
    <row r="5" spans="1:9" x14ac:dyDescent="0.25">
      <c r="A5" s="13"/>
      <c r="B5" s="13" t="s">
        <v>131</v>
      </c>
      <c r="C5" s="30">
        <v>5</v>
      </c>
      <c r="D5" s="30"/>
      <c r="E5" s="31">
        <f>+'BS Notes'!F6</f>
        <v>82187.59</v>
      </c>
      <c r="F5" s="32">
        <v>76059</v>
      </c>
      <c r="G5" s="31">
        <v>75523.589999999982</v>
      </c>
      <c r="H5" s="31">
        <v>206671</v>
      </c>
      <c r="I5" s="13"/>
    </row>
    <row r="6" spans="1:9" x14ac:dyDescent="0.25">
      <c r="A6" s="13"/>
      <c r="B6" s="13" t="s">
        <v>132</v>
      </c>
      <c r="C6" s="30"/>
      <c r="D6" s="30"/>
      <c r="E6" s="33">
        <v>2588</v>
      </c>
      <c r="F6" s="32">
        <v>5409</v>
      </c>
      <c r="G6" s="33">
        <v>1402</v>
      </c>
      <c r="H6" s="33">
        <v>0</v>
      </c>
      <c r="I6" s="13"/>
    </row>
    <row r="7" spans="1:9" x14ac:dyDescent="0.25">
      <c r="A7" s="13"/>
      <c r="B7" s="17" t="s">
        <v>133</v>
      </c>
      <c r="C7" s="30"/>
      <c r="D7" s="30"/>
      <c r="E7" s="35">
        <f>+E5+E6</f>
        <v>84775.59</v>
      </c>
      <c r="F7" s="36">
        <f>+F5+F6</f>
        <v>81468</v>
      </c>
      <c r="G7" s="35">
        <f>+G5+G6</f>
        <v>76925.589999999982</v>
      </c>
      <c r="H7" s="35">
        <f>+H5+H6</f>
        <v>206671</v>
      </c>
      <c r="I7" s="13"/>
    </row>
    <row r="8" spans="1:9" x14ac:dyDescent="0.25">
      <c r="A8" s="13"/>
      <c r="B8" s="13"/>
      <c r="C8" s="13"/>
      <c r="D8" s="13"/>
      <c r="E8" s="13"/>
      <c r="F8" s="14"/>
      <c r="G8" s="13"/>
      <c r="H8" s="13"/>
      <c r="I8" s="13"/>
    </row>
    <row r="9" spans="1:9" x14ac:dyDescent="0.25">
      <c r="A9" s="13"/>
      <c r="B9" s="15" t="s">
        <v>134</v>
      </c>
      <c r="C9" s="15"/>
      <c r="D9" s="15"/>
      <c r="E9" s="15"/>
      <c r="F9" s="16"/>
      <c r="G9" s="15"/>
      <c r="H9" s="15"/>
      <c r="I9" s="13"/>
    </row>
    <row r="10" spans="1:9" x14ac:dyDescent="0.25">
      <c r="A10" s="13"/>
      <c r="B10" s="13" t="s">
        <v>135</v>
      </c>
      <c r="C10" s="30">
        <v>6</v>
      </c>
      <c r="D10" s="30"/>
      <c r="E10" s="33">
        <f>+'BS Notes'!F11</f>
        <v>587500</v>
      </c>
      <c r="F10" s="32">
        <v>553770</v>
      </c>
      <c r="G10" s="33">
        <f>+'[1]2015 BS Notes'!E12</f>
        <v>468935.72</v>
      </c>
      <c r="H10" s="33">
        <v>476358</v>
      </c>
      <c r="I10" s="13"/>
    </row>
    <row r="11" spans="1:9" x14ac:dyDescent="0.25">
      <c r="A11" s="13"/>
      <c r="B11" s="13" t="s">
        <v>136</v>
      </c>
      <c r="C11" s="30">
        <v>7</v>
      </c>
      <c r="D11" s="30"/>
      <c r="E11" s="33">
        <f>+'BS Notes'!F14</f>
        <v>207937</v>
      </c>
      <c r="F11" s="32">
        <f>+'2017 BS'!D11</f>
        <v>169130.39</v>
      </c>
      <c r="G11" s="33">
        <v>135092.16</v>
      </c>
      <c r="H11" s="33">
        <v>0</v>
      </c>
      <c r="I11" s="13"/>
    </row>
    <row r="12" spans="1:9" x14ac:dyDescent="0.25">
      <c r="A12" s="13"/>
      <c r="B12" s="13" t="s">
        <v>137</v>
      </c>
      <c r="C12" s="30">
        <v>8</v>
      </c>
      <c r="D12" s="30"/>
      <c r="E12" s="33">
        <f>+'BS Notes'!F20</f>
        <v>14428.453285714284</v>
      </c>
      <c r="F12" s="32">
        <v>6656</v>
      </c>
      <c r="G12" s="33">
        <v>5474.1080000000002</v>
      </c>
      <c r="H12" s="33">
        <v>5580.1080000000002</v>
      </c>
      <c r="I12" s="13"/>
    </row>
    <row r="13" spans="1:9" x14ac:dyDescent="0.25">
      <c r="A13" s="13"/>
      <c r="B13" s="17" t="s">
        <v>111</v>
      </c>
      <c r="C13" s="30"/>
      <c r="D13" s="30"/>
      <c r="E13" s="37">
        <f>SUM(E10:E12)</f>
        <v>809865.45328571426</v>
      </c>
      <c r="F13" s="38">
        <f>SUM(F10:F12)</f>
        <v>729556.39</v>
      </c>
      <c r="G13" s="37">
        <f>SUM(G10:G12)</f>
        <v>609501.98800000001</v>
      </c>
      <c r="H13" s="37">
        <f>SUM(H10:H12)</f>
        <v>481938.10800000001</v>
      </c>
      <c r="I13" s="13"/>
    </row>
    <row r="14" spans="1:9" x14ac:dyDescent="0.25">
      <c r="A14" s="13"/>
      <c r="B14" s="13"/>
      <c r="C14" s="13"/>
      <c r="D14" s="13"/>
      <c r="E14" s="13"/>
      <c r="F14" s="14"/>
      <c r="G14" s="13"/>
      <c r="H14" s="13"/>
      <c r="I14" s="13"/>
    </row>
    <row r="15" spans="1:9" x14ac:dyDescent="0.25">
      <c r="A15" s="13"/>
      <c r="B15" s="15" t="s">
        <v>138</v>
      </c>
      <c r="C15" s="15"/>
      <c r="D15" s="15"/>
      <c r="E15" s="39">
        <f>+E13+E7</f>
        <v>894641.04328571423</v>
      </c>
      <c r="F15" s="40">
        <f>+F13+F7</f>
        <v>811024.39</v>
      </c>
      <c r="G15" s="39">
        <f>+G7+G13</f>
        <v>686427.57799999998</v>
      </c>
      <c r="H15" s="39">
        <f>+H13+H5</f>
        <v>688609.10800000001</v>
      </c>
      <c r="I15" s="13"/>
    </row>
    <row r="16" spans="1:9" x14ac:dyDescent="0.25">
      <c r="A16" s="13"/>
      <c r="B16" s="13"/>
      <c r="C16" s="13"/>
      <c r="D16" s="13"/>
      <c r="E16" s="13"/>
      <c r="F16" s="14"/>
      <c r="G16" s="13"/>
      <c r="H16" s="13"/>
      <c r="I16" s="13"/>
    </row>
    <row r="17" spans="1:9" x14ac:dyDescent="0.25">
      <c r="A17" s="13"/>
      <c r="B17" s="15" t="s">
        <v>139</v>
      </c>
      <c r="C17" s="13"/>
      <c r="D17" s="13"/>
      <c r="E17" s="13"/>
      <c r="F17" s="41"/>
      <c r="G17" s="31"/>
      <c r="H17" s="31"/>
      <c r="I17" s="13"/>
    </row>
    <row r="18" spans="1:9" x14ac:dyDescent="0.25">
      <c r="A18" s="13"/>
      <c r="B18" s="13" t="s">
        <v>140</v>
      </c>
      <c r="C18" s="30">
        <v>9</v>
      </c>
      <c r="D18" s="30"/>
      <c r="E18" s="41">
        <f>+'BS Notes'!F23</f>
        <v>-265320</v>
      </c>
      <c r="F18" s="41">
        <v>-269916</v>
      </c>
      <c r="G18" s="41">
        <v>-281619.46999999997</v>
      </c>
      <c r="H18" s="41">
        <v>-284786</v>
      </c>
      <c r="I18" s="13"/>
    </row>
    <row r="19" spans="1:9" x14ac:dyDescent="0.25">
      <c r="A19" s="13"/>
      <c r="B19" s="13"/>
      <c r="C19" s="13"/>
      <c r="D19" s="13"/>
      <c r="E19" s="13"/>
      <c r="F19" s="14"/>
      <c r="G19" s="13"/>
      <c r="H19" s="13"/>
      <c r="I19" s="13"/>
    </row>
    <row r="20" spans="1:9" ht="15.75" thickBot="1" x14ac:dyDescent="0.3">
      <c r="A20" s="13"/>
      <c r="B20" s="15" t="s">
        <v>141</v>
      </c>
      <c r="C20" s="13"/>
      <c r="D20" s="13"/>
      <c r="E20" s="43">
        <f>+E18</f>
        <v>-265320</v>
      </c>
      <c r="F20" s="44">
        <f>+F18</f>
        <v>-269916</v>
      </c>
      <c r="G20" s="43">
        <f>+G18</f>
        <v>-281619.46999999997</v>
      </c>
      <c r="H20" s="43">
        <f>+H18</f>
        <v>-284786</v>
      </c>
      <c r="I20" s="13"/>
    </row>
    <row r="21" spans="1:9" ht="15.75" thickTop="1" x14ac:dyDescent="0.25">
      <c r="A21" s="13"/>
      <c r="B21" s="13"/>
      <c r="C21" s="13"/>
      <c r="D21" s="13"/>
      <c r="E21" s="13"/>
      <c r="F21" s="14"/>
      <c r="G21" s="13"/>
      <c r="H21" s="13"/>
      <c r="I21" s="13"/>
    </row>
    <row r="22" spans="1:9" ht="15.75" thickBot="1" x14ac:dyDescent="0.3">
      <c r="A22" s="13"/>
      <c r="B22" s="15" t="s">
        <v>142</v>
      </c>
      <c r="C22" s="15"/>
      <c r="D22" s="15"/>
      <c r="E22" s="45">
        <f>+E15+E20</f>
        <v>629321.04328571423</v>
      </c>
      <c r="F22" s="46">
        <f>+F15+F20</f>
        <v>541108.39</v>
      </c>
      <c r="G22" s="45">
        <f>+G15+G20</f>
        <v>404808.10800000001</v>
      </c>
      <c r="H22" s="45">
        <f>+H15+H20</f>
        <v>403823.10800000001</v>
      </c>
      <c r="I22" s="13"/>
    </row>
    <row r="23" spans="1:9" ht="15.75" thickTop="1" x14ac:dyDescent="0.25">
      <c r="A23" s="13"/>
      <c r="B23" s="15"/>
      <c r="C23" s="15"/>
      <c r="D23" s="15"/>
      <c r="E23" s="15"/>
      <c r="F23" s="16"/>
      <c r="G23" s="15"/>
      <c r="H23" s="15"/>
      <c r="I23" s="13"/>
    </row>
    <row r="24" spans="1:9" ht="27" thickBot="1" x14ac:dyDescent="0.3">
      <c r="A24" s="13"/>
      <c r="B24" s="47" t="s">
        <v>143</v>
      </c>
      <c r="C24" s="48">
        <v>10</v>
      </c>
      <c r="D24" s="48"/>
      <c r="E24" s="43">
        <f>+'BS Notes'!F33</f>
        <v>-629321.1</v>
      </c>
      <c r="F24" s="44">
        <v>-541108</v>
      </c>
      <c r="G24" s="43">
        <f>+'[1]2015 BS Notes'!E34</f>
        <v>-404807.70799999998</v>
      </c>
      <c r="H24" s="43">
        <v>-403823</v>
      </c>
      <c r="I24" s="13"/>
    </row>
    <row r="25" spans="1:9" ht="15.75" thickTop="1" x14ac:dyDescent="0.25">
      <c r="A25" s="13"/>
      <c r="B25" s="13"/>
      <c r="C25" s="15"/>
      <c r="D25" s="15"/>
      <c r="E25" s="15"/>
      <c r="F25" s="16"/>
      <c r="G25" s="15"/>
      <c r="H25" s="15"/>
      <c r="I25" s="13"/>
    </row>
    <row r="26" spans="1:9" x14ac:dyDescent="0.25">
      <c r="E26" s="10">
        <f>+E22+E24</f>
        <v>-5.6714285747148097E-2</v>
      </c>
      <c r="F26" s="49">
        <f>+F22+F24</f>
        <v>0.39000000001396984</v>
      </c>
      <c r="G26" s="10">
        <f>+G22+G24</f>
        <v>0.40000000002328306</v>
      </c>
      <c r="H26" s="10">
        <f>+H22+H24</f>
        <v>0.10800000000745058</v>
      </c>
    </row>
    <row r="27" spans="1:9" x14ac:dyDescent="0.25">
      <c r="F27" s="29"/>
    </row>
    <row r="28" spans="1:9" x14ac:dyDescent="0.25">
      <c r="F28" s="50"/>
      <c r="G28" s="10"/>
    </row>
    <row r="29" spans="1:9" x14ac:dyDescent="0.25">
      <c r="F29" s="29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AA95D9-D94B-4295-A84F-B7696EA1C9A2}">
  <dimension ref="A1:X24"/>
  <sheetViews>
    <sheetView workbookViewId="0">
      <selection activeCell="D36" sqref="D36"/>
    </sheetView>
  </sheetViews>
  <sheetFormatPr defaultRowHeight="15" x14ac:dyDescent="0.25"/>
  <cols>
    <col min="2" max="2" width="50.7109375" customWidth="1"/>
    <col min="3" max="3" width="5.7109375" customWidth="1"/>
    <col min="4" max="5" width="15.7109375" customWidth="1"/>
    <col min="6" max="6" width="13.28515625" hidden="1" customWidth="1"/>
    <col min="7" max="7" width="12.7109375" hidden="1" customWidth="1"/>
  </cols>
  <sheetData>
    <row r="1" spans="1:23" x14ac:dyDescent="0.25">
      <c r="A1" s="13"/>
      <c r="B1" s="13"/>
      <c r="C1" s="13"/>
      <c r="D1" s="13"/>
      <c r="E1" s="13"/>
      <c r="F1" s="13"/>
      <c r="G1" s="13"/>
      <c r="H1" s="13"/>
    </row>
    <row r="2" spans="1:23" x14ac:dyDescent="0.25">
      <c r="A2" s="13"/>
      <c r="B2" s="15" t="s">
        <v>87</v>
      </c>
      <c r="C2" s="51" t="s">
        <v>129</v>
      </c>
      <c r="D2" s="18">
        <v>2018</v>
      </c>
      <c r="E2" s="19">
        <v>2017</v>
      </c>
      <c r="F2" s="18">
        <v>2014</v>
      </c>
      <c r="G2" s="18">
        <v>2013</v>
      </c>
      <c r="H2" s="13"/>
    </row>
    <row r="3" spans="1:23" x14ac:dyDescent="0.25">
      <c r="A3" s="13"/>
      <c r="B3" s="13"/>
      <c r="C3" s="13"/>
      <c r="D3" s="18" t="s">
        <v>109</v>
      </c>
      <c r="E3" s="19" t="s">
        <v>109</v>
      </c>
      <c r="F3" s="18" t="s">
        <v>109</v>
      </c>
      <c r="G3" s="18" t="s">
        <v>109</v>
      </c>
      <c r="H3" s="13"/>
    </row>
    <row r="4" spans="1:23" x14ac:dyDescent="0.25">
      <c r="A4" s="13"/>
      <c r="B4" s="13"/>
      <c r="C4" s="13"/>
      <c r="D4" s="13"/>
      <c r="E4" s="14"/>
      <c r="F4" s="13"/>
      <c r="G4" s="15"/>
      <c r="H4" s="13"/>
    </row>
    <row r="5" spans="1:23" x14ac:dyDescent="0.25">
      <c r="A5" s="13"/>
      <c r="B5" s="13" t="s">
        <v>108</v>
      </c>
      <c r="C5" s="30">
        <v>2</v>
      </c>
      <c r="D5" s="52">
        <f>+' PL Notes'!F4</f>
        <v>1697</v>
      </c>
      <c r="E5" s="53">
        <v>1958</v>
      </c>
      <c r="F5" s="52">
        <v>4161.59</v>
      </c>
      <c r="G5" s="52">
        <v>1692.3300000000002</v>
      </c>
      <c r="H5" s="13"/>
    </row>
    <row r="6" spans="1:23" x14ac:dyDescent="0.25">
      <c r="A6" s="13"/>
      <c r="B6" s="13" t="s">
        <v>144</v>
      </c>
      <c r="C6" s="30"/>
      <c r="D6" s="52">
        <v>12517</v>
      </c>
      <c r="E6" s="53">
        <v>5409</v>
      </c>
      <c r="F6" s="52">
        <v>5339.0899999999992</v>
      </c>
      <c r="G6" s="52"/>
      <c r="H6" s="13"/>
    </row>
    <row r="7" spans="1:23" x14ac:dyDescent="0.25">
      <c r="A7" s="13"/>
      <c r="B7" s="13" t="s">
        <v>145</v>
      </c>
      <c r="C7" s="30"/>
      <c r="D7" s="52">
        <v>0</v>
      </c>
      <c r="E7" s="53">
        <v>342</v>
      </c>
      <c r="F7" s="52">
        <v>145.78</v>
      </c>
      <c r="G7" s="52"/>
      <c r="H7" s="13"/>
    </row>
    <row r="8" spans="1:23" x14ac:dyDescent="0.25">
      <c r="A8" s="13"/>
      <c r="B8" s="13" t="s">
        <v>146</v>
      </c>
      <c r="C8" s="30"/>
      <c r="D8" s="52">
        <f>+'BS Notes'!AL25</f>
        <v>43395.599999999977</v>
      </c>
      <c r="E8" s="53">
        <v>21052</v>
      </c>
      <c r="F8" s="52"/>
      <c r="G8" s="52"/>
      <c r="H8" s="13"/>
    </row>
    <row r="9" spans="1:23" x14ac:dyDescent="0.25">
      <c r="A9" s="13"/>
      <c r="B9" s="13" t="s">
        <v>288</v>
      </c>
      <c r="C9" s="30"/>
      <c r="D9" s="52">
        <f>+'BS Notes'!N9</f>
        <v>33730</v>
      </c>
      <c r="E9" s="53">
        <v>27500</v>
      </c>
      <c r="F9" s="52"/>
      <c r="G9" s="52"/>
      <c r="H9" s="13"/>
    </row>
    <row r="10" spans="1:23" x14ac:dyDescent="0.25">
      <c r="A10" s="13"/>
      <c r="B10" s="14" t="s">
        <v>113</v>
      </c>
      <c r="C10" s="30">
        <v>3</v>
      </c>
      <c r="D10" s="52">
        <f>+' PL Notes'!F9</f>
        <v>25199</v>
      </c>
      <c r="E10" s="53">
        <v>26328.46</v>
      </c>
      <c r="F10" s="52">
        <v>21929.75</v>
      </c>
      <c r="G10" s="52">
        <v>5323.1</v>
      </c>
      <c r="H10" s="13"/>
    </row>
    <row r="11" spans="1:23" ht="15.75" thickBot="1" x14ac:dyDescent="0.3">
      <c r="A11" s="13"/>
      <c r="B11" s="13"/>
      <c r="C11" s="30"/>
      <c r="D11" s="54">
        <f>SUM(D5:D10)</f>
        <v>116538.59999999998</v>
      </c>
      <c r="E11" s="55">
        <f>SUM(E5:E10)</f>
        <v>82589.459999999992</v>
      </c>
      <c r="F11" s="54">
        <f>SUM(F5:F10)</f>
        <v>31576.21</v>
      </c>
      <c r="G11" s="54">
        <v>7015.43</v>
      </c>
      <c r="H11" s="13"/>
    </row>
    <row r="12" spans="1:23" ht="15.75" thickTop="1" x14ac:dyDescent="0.25">
      <c r="A12" s="13"/>
      <c r="B12" s="15" t="s">
        <v>147</v>
      </c>
      <c r="C12" s="51"/>
      <c r="D12" s="51"/>
      <c r="E12" s="56"/>
      <c r="F12" s="51"/>
      <c r="G12" s="51"/>
      <c r="H12" s="13"/>
    </row>
    <row r="13" spans="1:23" x14ac:dyDescent="0.25">
      <c r="A13" s="13"/>
      <c r="B13" s="13"/>
      <c r="C13" s="30"/>
      <c r="D13" s="51"/>
      <c r="E13" s="56"/>
      <c r="F13" s="51"/>
      <c r="G13" s="51"/>
      <c r="H13" s="13"/>
      <c r="W13">
        <v>-915</v>
      </c>
    </row>
    <row r="14" spans="1:23" x14ac:dyDescent="0.25">
      <c r="A14" s="13"/>
      <c r="B14" s="16" t="s">
        <v>117</v>
      </c>
      <c r="C14" s="30">
        <v>4</v>
      </c>
      <c r="D14" s="41">
        <f>-' PL Notes'!F21</f>
        <v>-29463</v>
      </c>
      <c r="E14" s="42">
        <v>-32922</v>
      </c>
      <c r="F14" s="41">
        <v>-29694.36</v>
      </c>
      <c r="G14" s="41">
        <v>-22645.79</v>
      </c>
      <c r="H14" s="13"/>
      <c r="W14">
        <v>-4573</v>
      </c>
    </row>
    <row r="15" spans="1:23" x14ac:dyDescent="0.25">
      <c r="A15" s="13"/>
      <c r="B15" s="13"/>
      <c r="C15" s="30"/>
      <c r="D15" s="41"/>
      <c r="E15" s="42"/>
      <c r="F15" s="41">
        <v>-796</v>
      </c>
      <c r="G15" s="41">
        <v>-2970</v>
      </c>
      <c r="H15" s="13"/>
    </row>
    <row r="16" spans="1:23" ht="15.75" thickBot="1" x14ac:dyDescent="0.3">
      <c r="A16" s="13"/>
      <c r="B16" s="15" t="s">
        <v>111</v>
      </c>
      <c r="C16" s="15"/>
      <c r="D16" s="43">
        <f>SUM(D14:D15)</f>
        <v>-29463</v>
      </c>
      <c r="E16" s="44">
        <f>+E14+E15</f>
        <v>-32922</v>
      </c>
      <c r="F16" s="43">
        <f>SUM(F14:F15)</f>
        <v>-30490.36</v>
      </c>
      <c r="G16" s="43">
        <v>-25615.79</v>
      </c>
      <c r="H16" s="13"/>
      <c r="W16">
        <v>34951</v>
      </c>
    </row>
    <row r="17" spans="1:24" ht="15.75" thickTop="1" x14ac:dyDescent="0.25">
      <c r="A17" s="13"/>
      <c r="B17" s="13"/>
      <c r="C17" s="13"/>
      <c r="D17" s="15"/>
      <c r="E17" s="16"/>
      <c r="F17" s="15"/>
      <c r="G17" s="15"/>
      <c r="H17" s="13"/>
    </row>
    <row r="18" spans="1:24" x14ac:dyDescent="0.25">
      <c r="A18" s="13"/>
      <c r="B18" s="13" t="s">
        <v>295</v>
      </c>
      <c r="C18" s="13"/>
      <c r="D18" s="41">
        <f>+D11+D16</f>
        <v>87075.599999999977</v>
      </c>
      <c r="E18" s="42">
        <f>+E11+E16</f>
        <v>49667.459999999992</v>
      </c>
      <c r="F18" s="41">
        <f>+F11+F16</f>
        <v>1085.8499999999985</v>
      </c>
      <c r="G18" s="41">
        <v>-18600.36</v>
      </c>
      <c r="H18" s="13"/>
      <c r="W18">
        <f>SUM(W13:W16)</f>
        <v>29463</v>
      </c>
      <c r="X18" t="s">
        <v>292</v>
      </c>
    </row>
    <row r="19" spans="1:24" x14ac:dyDescent="0.25">
      <c r="A19" s="13"/>
      <c r="B19" s="13"/>
      <c r="C19" s="13"/>
      <c r="D19" s="15"/>
      <c r="E19" s="16"/>
      <c r="F19" s="15"/>
      <c r="G19" s="15"/>
      <c r="H19" s="13"/>
    </row>
    <row r="20" spans="1:24" x14ac:dyDescent="0.25">
      <c r="A20" s="13"/>
      <c r="B20" s="13" t="s">
        <v>149</v>
      </c>
      <c r="C20" s="13"/>
      <c r="D20" s="41">
        <f>-'losses cftd'!K8</f>
        <v>1138.5</v>
      </c>
      <c r="E20" s="42">
        <v>-335</v>
      </c>
      <c r="F20" s="41">
        <v>-106</v>
      </c>
      <c r="G20" s="41">
        <v>5580.1080000000002</v>
      </c>
      <c r="I20" s="57"/>
    </row>
    <row r="21" spans="1:24" x14ac:dyDescent="0.25">
      <c r="A21" s="13"/>
      <c r="B21" s="13"/>
      <c r="C21" s="13"/>
      <c r="D21" s="15"/>
      <c r="E21" s="16"/>
      <c r="F21" s="15"/>
      <c r="G21" s="15"/>
      <c r="H21" s="13"/>
    </row>
    <row r="22" spans="1:24" ht="15.75" thickBot="1" x14ac:dyDescent="0.3">
      <c r="A22" s="13"/>
      <c r="B22" s="15" t="s">
        <v>296</v>
      </c>
      <c r="C22" s="15"/>
      <c r="D22" s="43">
        <f>+D18+D20</f>
        <v>88214.099999999977</v>
      </c>
      <c r="E22" s="44">
        <f>+E18+E20</f>
        <v>49332.459999999992</v>
      </c>
      <c r="F22" s="43">
        <f>+F18+F20</f>
        <v>979.84999999999854</v>
      </c>
      <c r="G22" s="43">
        <v>-13020.252</v>
      </c>
      <c r="H22" s="13"/>
    </row>
    <row r="23" spans="1:24" ht="15.75" thickTop="1" x14ac:dyDescent="0.25">
      <c r="A23" s="13"/>
      <c r="B23" s="13"/>
      <c r="C23" s="13"/>
      <c r="D23" s="13"/>
      <c r="E23" s="14"/>
      <c r="F23" s="52"/>
      <c r="G23" s="15"/>
      <c r="H23" s="13"/>
    </row>
    <row r="24" spans="1:24" x14ac:dyDescent="0.25">
      <c r="A24" s="13"/>
      <c r="B24" s="13"/>
      <c r="C24" s="13"/>
      <c r="D24" s="13"/>
      <c r="E24" s="13"/>
      <c r="F24" s="13"/>
      <c r="G24" s="15"/>
      <c r="H24" s="13"/>
    </row>
  </sheetData>
  <pageMargins left="0.7" right="0.7" top="0.75" bottom="0.75" header="0.3" footer="0.3"/>
  <ignoredErrors>
    <ignoredError sqref="E16" formula="1"/>
  </ignoredErrors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3"/>
  <sheetViews>
    <sheetView workbookViewId="0">
      <selection activeCell="D6" sqref="D6"/>
    </sheetView>
  </sheetViews>
  <sheetFormatPr defaultRowHeight="15" x14ac:dyDescent="0.25"/>
  <cols>
    <col min="2" max="2" width="55" customWidth="1"/>
    <col min="3" max="3" width="5.85546875" customWidth="1"/>
    <col min="4" max="4" width="20" customWidth="1"/>
    <col min="5" max="5" width="20.28515625" customWidth="1"/>
    <col min="6" max="6" width="13.28515625" hidden="1" customWidth="1"/>
    <col min="7" max="7" width="12.7109375" hidden="1" customWidth="1"/>
  </cols>
  <sheetData>
    <row r="1" spans="1:8" x14ac:dyDescent="0.25">
      <c r="A1" s="13"/>
      <c r="B1" s="13"/>
      <c r="C1" s="13"/>
      <c r="D1" s="13"/>
      <c r="E1" s="13"/>
      <c r="F1" s="13"/>
      <c r="G1" s="13"/>
      <c r="H1" s="13"/>
    </row>
    <row r="2" spans="1:8" x14ac:dyDescent="0.25">
      <c r="A2" s="13"/>
      <c r="B2" s="15" t="s">
        <v>87</v>
      </c>
      <c r="C2" s="51" t="s">
        <v>129</v>
      </c>
      <c r="D2" s="18">
        <v>2017</v>
      </c>
      <c r="E2" s="19">
        <v>2016</v>
      </c>
      <c r="F2" s="18">
        <v>2014</v>
      </c>
      <c r="G2" s="18">
        <v>2013</v>
      </c>
      <c r="H2" s="13"/>
    </row>
    <row r="3" spans="1:8" x14ac:dyDescent="0.25">
      <c r="A3" s="13"/>
      <c r="B3" s="13"/>
      <c r="C3" s="13"/>
      <c r="D3" s="18" t="s">
        <v>109</v>
      </c>
      <c r="E3" s="19" t="s">
        <v>109</v>
      </c>
      <c r="F3" s="18" t="s">
        <v>109</v>
      </c>
      <c r="G3" s="18" t="s">
        <v>109</v>
      </c>
      <c r="H3" s="13"/>
    </row>
    <row r="4" spans="1:8" x14ac:dyDescent="0.25">
      <c r="A4" s="13"/>
      <c r="B4" s="13"/>
      <c r="C4" s="13"/>
      <c r="D4" s="13"/>
      <c r="E4" s="14"/>
      <c r="F4" s="13"/>
      <c r="G4" s="15"/>
      <c r="H4" s="13"/>
    </row>
    <row r="5" spans="1:8" x14ac:dyDescent="0.25">
      <c r="A5" s="13"/>
      <c r="B5" s="13" t="s">
        <v>108</v>
      </c>
      <c r="C5" s="30">
        <v>1</v>
      </c>
      <c r="D5" s="52">
        <f>+' PL Notes'!G5</f>
        <v>1958</v>
      </c>
      <c r="E5" s="53">
        <f>+'[2]2016 PL Notes'!D7</f>
        <v>2256.31</v>
      </c>
      <c r="F5" s="52">
        <v>4161.59</v>
      </c>
      <c r="G5" s="52">
        <v>1692.3300000000002</v>
      </c>
      <c r="H5" s="13"/>
    </row>
    <row r="6" spans="1:8" x14ac:dyDescent="0.25">
      <c r="A6" s="13"/>
      <c r="B6" s="13" t="s">
        <v>144</v>
      </c>
      <c r="C6" s="30"/>
      <c r="D6" s="52">
        <f>+GETPIVOTDATA("Dr- Cr $ entries",'Piv TB'!$A$3,"Type  ","Receipt","Category 3","PL","Type 2","SMSF","Category","Dividend")</f>
        <v>6714.3799999999992</v>
      </c>
      <c r="E6" s="53" t="e">
        <f>-GETPIVOTDATA("Amt",'[2]Piv Data'!$A$3,"Type  ","Receipt","Category 3","PL","Type 2","SMSF","Category","Dividend")</f>
        <v>#REF!</v>
      </c>
      <c r="F6" s="52">
        <v>5339.0899999999992</v>
      </c>
      <c r="G6" s="52"/>
      <c r="H6" s="13"/>
    </row>
    <row r="7" spans="1:8" x14ac:dyDescent="0.25">
      <c r="A7" s="13"/>
      <c r="B7" s="13" t="s">
        <v>145</v>
      </c>
      <c r="C7" s="30"/>
      <c r="D7" s="52">
        <f>+GETPIVOTDATA("Dr- Cr $ entries",'Piv TB'!$A$3,"Type  ","Receipt","Category 3","PL","Type 2","SMSF","Category","Distribution")</f>
        <v>837.86</v>
      </c>
      <c r="E7" s="53" t="e">
        <f>-GETPIVOTDATA("Amt",'[2]Piv Data'!$A$3,"Type  ","Receipt","Category 3","PL","Type 2","SMSF","Category","Interest income")</f>
        <v>#REF!</v>
      </c>
      <c r="F7" s="52">
        <v>145.78</v>
      </c>
      <c r="G7" s="52"/>
      <c r="H7" s="13"/>
    </row>
    <row r="8" spans="1:8" x14ac:dyDescent="0.25">
      <c r="A8" s="13"/>
      <c r="B8" s="13" t="s">
        <v>146</v>
      </c>
      <c r="C8" s="30"/>
      <c r="D8" s="52">
        <f>+GETPIVOTDATA("Dr- Cr $ entries",'Piv TB'!$A$3,"Type  ","Receipt","Category 3","PL","Type 2","SMSF","Category","Gain on revaluation of shares")-898</f>
        <v>20170.550000000017</v>
      </c>
      <c r="E8" s="53">
        <f>+'[2]2016 Shares'!I21-3434-49</f>
        <v>4715.9899999999907</v>
      </c>
      <c r="F8" s="52"/>
      <c r="G8" s="52"/>
      <c r="H8" s="13"/>
    </row>
    <row r="9" spans="1:8" x14ac:dyDescent="0.25">
      <c r="A9" s="13"/>
      <c r="B9" s="14" t="s">
        <v>113</v>
      </c>
      <c r="C9" s="30">
        <v>2</v>
      </c>
      <c r="D9" s="52">
        <f>+' PL Notes'!G9</f>
        <v>26328.46</v>
      </c>
      <c r="E9" s="53" t="e">
        <f>-GETPIVOTDATA("Amt",'[2]Piv Data'!$A$3,"Type  ","Receipt","Category 3","PL","Type 2","Rental Property","Category","Rental income")</f>
        <v>#REF!</v>
      </c>
      <c r="F9" s="52">
        <v>21929.75</v>
      </c>
      <c r="G9" s="52">
        <v>5323.1</v>
      </c>
      <c r="H9" s="13"/>
    </row>
    <row r="10" spans="1:8" ht="15.75" thickBot="1" x14ac:dyDescent="0.3">
      <c r="A10" s="13"/>
      <c r="B10" s="13"/>
      <c r="C10" s="30"/>
      <c r="D10" s="54">
        <f>SUM(D5:D9)</f>
        <v>56009.250000000015</v>
      </c>
      <c r="E10" s="55" t="e">
        <f>SUM(E5:E9)</f>
        <v>#REF!</v>
      </c>
      <c r="F10" s="54">
        <f>SUM(F5:F9)</f>
        <v>31576.21</v>
      </c>
      <c r="G10" s="54">
        <v>7015.43</v>
      </c>
      <c r="H10" s="13"/>
    </row>
    <row r="11" spans="1:8" ht="15.75" thickTop="1" x14ac:dyDescent="0.25">
      <c r="A11" s="13"/>
      <c r="B11" s="15" t="s">
        <v>147</v>
      </c>
      <c r="C11" s="51"/>
      <c r="D11" s="51"/>
      <c r="E11" s="56"/>
      <c r="F11" s="51"/>
      <c r="G11" s="51"/>
      <c r="H11" s="13"/>
    </row>
    <row r="12" spans="1:8" x14ac:dyDescent="0.25">
      <c r="A12" s="13"/>
      <c r="B12" s="13"/>
      <c r="C12" s="30"/>
      <c r="D12" s="51"/>
      <c r="E12" s="56"/>
      <c r="F12" s="51"/>
      <c r="G12" s="51"/>
      <c r="H12" s="13"/>
    </row>
    <row r="13" spans="1:8" x14ac:dyDescent="0.25">
      <c r="A13" s="13"/>
      <c r="B13" s="16" t="s">
        <v>117</v>
      </c>
      <c r="C13" s="30">
        <v>3</v>
      </c>
      <c r="D13" s="41">
        <f>-' PL Notes'!G21</f>
        <v>-26735.65</v>
      </c>
      <c r="E13" s="42">
        <f>-'[2]2016 PL Notes'!D25</f>
        <v>-33019.869999999995</v>
      </c>
      <c r="F13" s="41">
        <v>-29694.36</v>
      </c>
      <c r="G13" s="41">
        <v>-22645.79</v>
      </c>
      <c r="H13" s="13"/>
    </row>
    <row r="14" spans="1:8" x14ac:dyDescent="0.25">
      <c r="A14" s="13"/>
      <c r="B14" s="13" t="s">
        <v>127</v>
      </c>
      <c r="C14" s="30">
        <v>4</v>
      </c>
      <c r="D14" s="41">
        <f>-' PL Notes'!G24</f>
        <v>-321</v>
      </c>
      <c r="E14" s="42">
        <v>0</v>
      </c>
      <c r="F14" s="41">
        <v>-796</v>
      </c>
      <c r="G14" s="41">
        <v>-2970</v>
      </c>
      <c r="H14" s="13"/>
    </row>
    <row r="15" spans="1:8" ht="15.75" thickBot="1" x14ac:dyDescent="0.3">
      <c r="A15" s="13"/>
      <c r="B15" s="15" t="s">
        <v>111</v>
      </c>
      <c r="C15" s="15"/>
      <c r="D15" s="43">
        <f>SUM(D13:D14)</f>
        <v>-27056.65</v>
      </c>
      <c r="E15" s="44">
        <f>SUM(E13:E14)</f>
        <v>-33019.869999999995</v>
      </c>
      <c r="F15" s="43">
        <f>SUM(F13:F14)</f>
        <v>-30490.36</v>
      </c>
      <c r="G15" s="43">
        <v>-25615.79</v>
      </c>
      <c r="H15" s="13"/>
    </row>
    <row r="16" spans="1:8" ht="15.75" thickTop="1" x14ac:dyDescent="0.25">
      <c r="A16" s="13"/>
      <c r="B16" s="13"/>
      <c r="C16" s="13"/>
      <c r="D16" s="15"/>
      <c r="E16" s="16"/>
      <c r="F16" s="15"/>
      <c r="G16" s="15"/>
      <c r="H16" s="13"/>
    </row>
    <row r="17" spans="1:9" x14ac:dyDescent="0.25">
      <c r="A17" s="13"/>
      <c r="B17" s="13" t="s">
        <v>148</v>
      </c>
      <c r="C17" s="13"/>
      <c r="D17" s="41">
        <f>+D10+D15</f>
        <v>28952.600000000013</v>
      </c>
      <c r="E17" s="42" t="e">
        <f>+E10+E15</f>
        <v>#REF!</v>
      </c>
      <c r="F17" s="41">
        <f>+F10+F15</f>
        <v>1085.8499999999985</v>
      </c>
      <c r="G17" s="41">
        <v>-18600.36</v>
      </c>
      <c r="H17" s="13"/>
    </row>
    <row r="18" spans="1:9" x14ac:dyDescent="0.25">
      <c r="A18" s="13"/>
      <c r="B18" s="13"/>
      <c r="C18" s="13"/>
      <c r="D18" s="15"/>
      <c r="E18" s="16"/>
      <c r="F18" s="15"/>
      <c r="G18" s="15"/>
      <c r="H18" s="13"/>
    </row>
    <row r="19" spans="1:9" x14ac:dyDescent="0.25">
      <c r="A19" s="13"/>
      <c r="B19" s="13" t="s">
        <v>149</v>
      </c>
      <c r="C19" s="13"/>
      <c r="D19" s="41">
        <f>-'losses cftd'!K7</f>
        <v>-1023.8999999999996</v>
      </c>
      <c r="E19" s="42">
        <f>-'[2]Cfd losses'!K6</f>
        <v>950.80200000000332</v>
      </c>
      <c r="F19" s="41">
        <v>-106</v>
      </c>
      <c r="G19" s="41">
        <v>5580.1080000000002</v>
      </c>
      <c r="I19" s="57"/>
    </row>
    <row r="20" spans="1:9" x14ac:dyDescent="0.25">
      <c r="A20" s="13"/>
      <c r="B20" s="13"/>
      <c r="C20" s="13"/>
      <c r="D20" s="15"/>
      <c r="E20" s="16"/>
      <c r="F20" s="15"/>
      <c r="G20" s="15"/>
      <c r="H20" s="13"/>
    </row>
    <row r="21" spans="1:9" ht="15.75" thickBot="1" x14ac:dyDescent="0.3">
      <c r="A21" s="13"/>
      <c r="B21" s="15" t="s">
        <v>150</v>
      </c>
      <c r="C21" s="15"/>
      <c r="D21" s="43">
        <f>+D17+D19</f>
        <v>27928.700000000012</v>
      </c>
      <c r="E21" s="44" t="e">
        <f>+E17+E19</f>
        <v>#REF!</v>
      </c>
      <c r="F21" s="43">
        <f>+F17+F19</f>
        <v>979.84999999999854</v>
      </c>
      <c r="G21" s="43">
        <v>-13020.252</v>
      </c>
      <c r="H21" s="13"/>
    </row>
    <row r="22" spans="1:9" ht="15.75" thickTop="1" x14ac:dyDescent="0.25">
      <c r="A22" s="13"/>
      <c r="B22" s="13"/>
      <c r="C22" s="13"/>
      <c r="D22" s="13"/>
      <c r="E22" s="14"/>
      <c r="F22" s="52"/>
      <c r="G22" s="15"/>
      <c r="H22" s="13"/>
    </row>
    <row r="23" spans="1:9" x14ac:dyDescent="0.25">
      <c r="A23" s="13"/>
      <c r="B23" s="13"/>
      <c r="C23" s="13"/>
      <c r="D23" s="13"/>
      <c r="E23" s="13"/>
      <c r="F23" s="13"/>
      <c r="G23" s="15"/>
      <c r="H23" s="13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9"/>
  <sheetViews>
    <sheetView workbookViewId="0">
      <selection activeCell="D26" sqref="D26"/>
    </sheetView>
  </sheetViews>
  <sheetFormatPr defaultRowHeight="15" x14ac:dyDescent="0.25"/>
  <cols>
    <col min="2" max="2" width="56.28515625" customWidth="1"/>
    <col min="3" max="3" width="5.7109375" customWidth="1"/>
    <col min="4" max="4" width="21.28515625" customWidth="1"/>
    <col min="5" max="5" width="16.5703125" customWidth="1"/>
    <col min="6" max="6" width="13.42578125" hidden="1" customWidth="1"/>
    <col min="7" max="7" width="12.7109375" hidden="1" customWidth="1"/>
    <col min="8" max="8" width="0" hidden="1" customWidth="1"/>
  </cols>
  <sheetData>
    <row r="1" spans="1:8" x14ac:dyDescent="0.25">
      <c r="A1" s="13"/>
      <c r="B1" s="13"/>
      <c r="C1" s="13"/>
      <c r="D1" s="13"/>
      <c r="E1" s="14"/>
      <c r="F1" s="13"/>
      <c r="G1" s="13"/>
      <c r="H1" s="13"/>
    </row>
    <row r="2" spans="1:8" x14ac:dyDescent="0.25">
      <c r="A2" s="13"/>
      <c r="B2" s="13"/>
      <c r="C2" s="30" t="s">
        <v>129</v>
      </c>
      <c r="D2" s="15">
        <v>2017</v>
      </c>
      <c r="E2" s="16">
        <v>2016</v>
      </c>
      <c r="F2" s="15">
        <v>2014</v>
      </c>
      <c r="G2" s="15">
        <v>2013</v>
      </c>
      <c r="H2" s="13"/>
    </row>
    <row r="3" spans="1:8" x14ac:dyDescent="0.25">
      <c r="A3" s="13"/>
      <c r="B3" s="13"/>
      <c r="C3" s="13"/>
      <c r="D3" s="18" t="s">
        <v>109</v>
      </c>
      <c r="E3" s="19" t="s">
        <v>109</v>
      </c>
      <c r="F3" s="18" t="s">
        <v>109</v>
      </c>
      <c r="G3" s="18" t="s">
        <v>109</v>
      </c>
      <c r="H3" s="13"/>
    </row>
    <row r="4" spans="1:8" x14ac:dyDescent="0.25">
      <c r="A4" s="13"/>
      <c r="B4" s="15" t="s">
        <v>130</v>
      </c>
      <c r="C4" s="13"/>
      <c r="D4" s="13"/>
      <c r="E4" s="14"/>
      <c r="F4" s="13"/>
      <c r="G4" s="13"/>
      <c r="H4" s="13"/>
    </row>
    <row r="5" spans="1:8" x14ac:dyDescent="0.25">
      <c r="A5" s="13"/>
      <c r="B5" s="13" t="s">
        <v>131</v>
      </c>
      <c r="C5" s="30">
        <v>5</v>
      </c>
      <c r="D5" s="31">
        <f>+'BS Notes'!G6</f>
        <v>76059.17</v>
      </c>
      <c r="E5" s="32">
        <v>80011.16</v>
      </c>
      <c r="F5" s="31">
        <v>75523.589999999982</v>
      </c>
      <c r="G5" s="31">
        <v>206671</v>
      </c>
      <c r="H5" s="13"/>
    </row>
    <row r="6" spans="1:8" x14ac:dyDescent="0.25">
      <c r="A6" s="13"/>
      <c r="B6" s="13" t="s">
        <v>132</v>
      </c>
      <c r="C6" s="30"/>
      <c r="D6" s="33">
        <f>+E6-GETPIVOTDATA("Dr- Cr $ entries",'Piv TB'!$A$3,"Type  ","Payment","Category 3","BS","Type 2","SMSF","Category","Franking Credit receivable")</f>
        <v>7012.6900000000005</v>
      </c>
      <c r="E6" s="34">
        <v>5314</v>
      </c>
      <c r="F6" s="33">
        <v>1402</v>
      </c>
      <c r="G6" s="33">
        <v>0</v>
      </c>
      <c r="H6" s="13"/>
    </row>
    <row r="7" spans="1:8" x14ac:dyDescent="0.25">
      <c r="A7" s="13"/>
      <c r="B7" s="17" t="s">
        <v>133</v>
      </c>
      <c r="C7" s="30"/>
      <c r="D7" s="35">
        <f>+D5+D6</f>
        <v>83071.86</v>
      </c>
      <c r="E7" s="36">
        <f>+E5+E6</f>
        <v>85325.16</v>
      </c>
      <c r="F7" s="35">
        <f>+F5+F6</f>
        <v>76925.589999999982</v>
      </c>
      <c r="G7" s="35">
        <f>+G5+G6</f>
        <v>206671</v>
      </c>
      <c r="H7" s="13"/>
    </row>
    <row r="8" spans="1:8" x14ac:dyDescent="0.25">
      <c r="A8" s="13"/>
      <c r="B8" s="13"/>
      <c r="C8" s="13"/>
      <c r="D8" s="13"/>
      <c r="E8" s="14"/>
      <c r="F8" s="13"/>
      <c r="G8" s="13"/>
      <c r="H8" s="13"/>
    </row>
    <row r="9" spans="1:8" x14ac:dyDescent="0.25">
      <c r="A9" s="13"/>
      <c r="B9" s="15" t="s">
        <v>134</v>
      </c>
      <c r="C9" s="15"/>
      <c r="D9" s="15"/>
      <c r="E9" s="16"/>
      <c r="F9" s="15"/>
      <c r="G9" s="15"/>
      <c r="H9" s="13"/>
    </row>
    <row r="10" spans="1:8" x14ac:dyDescent="0.25">
      <c r="A10" s="13"/>
      <c r="B10" s="13" t="s">
        <v>135</v>
      </c>
      <c r="C10" s="30">
        <v>6</v>
      </c>
      <c r="D10" s="33">
        <f>+'BS Notes'!G11</f>
        <v>553770</v>
      </c>
      <c r="E10" s="34">
        <v>455955.72</v>
      </c>
      <c r="F10" s="33">
        <f>+'[1]2015 BS Notes'!E12</f>
        <v>468935.72</v>
      </c>
      <c r="G10" s="33">
        <v>476358</v>
      </c>
      <c r="H10" s="13"/>
    </row>
    <row r="11" spans="1:8" x14ac:dyDescent="0.25">
      <c r="A11" s="13"/>
      <c r="B11" s="13" t="s">
        <v>136</v>
      </c>
      <c r="C11" s="30">
        <v>7</v>
      </c>
      <c r="D11" s="33">
        <f>+'2017 Shares Val'!S26</f>
        <v>169130.39</v>
      </c>
      <c r="E11" s="34">
        <v>140943.76999999999</v>
      </c>
      <c r="F11" s="33">
        <v>135092.16</v>
      </c>
      <c r="G11" s="33">
        <v>0</v>
      </c>
      <c r="H11" s="13"/>
    </row>
    <row r="12" spans="1:8" x14ac:dyDescent="0.25">
      <c r="A12" s="13"/>
      <c r="B12" s="13" t="s">
        <v>137</v>
      </c>
      <c r="C12" s="30">
        <v>8</v>
      </c>
      <c r="D12" s="33">
        <f>+'BS Notes'!G20</f>
        <v>7049.953285714284</v>
      </c>
      <c r="E12" s="34">
        <v>4378.3542857142829</v>
      </c>
      <c r="F12" s="33">
        <v>5474.1080000000002</v>
      </c>
      <c r="G12" s="33">
        <v>5580.1080000000002</v>
      </c>
      <c r="H12" s="13"/>
    </row>
    <row r="13" spans="1:8" x14ac:dyDescent="0.25">
      <c r="A13" s="13"/>
      <c r="B13" s="17" t="s">
        <v>111</v>
      </c>
      <c r="C13" s="30"/>
      <c r="D13" s="37">
        <f>SUM(D10:D12)</f>
        <v>729950.34328571428</v>
      </c>
      <c r="E13" s="38">
        <f>SUM(E10:E12)</f>
        <v>601277.84428571432</v>
      </c>
      <c r="F13" s="37">
        <f>SUM(F10:F12)</f>
        <v>609501.98800000001</v>
      </c>
      <c r="G13" s="37">
        <f>SUM(G10:G12)</f>
        <v>481938.10800000001</v>
      </c>
      <c r="H13" s="13"/>
    </row>
    <row r="14" spans="1:8" x14ac:dyDescent="0.25">
      <c r="A14" s="13"/>
      <c r="B14" s="13"/>
      <c r="C14" s="13"/>
      <c r="D14" s="13"/>
      <c r="E14" s="14"/>
      <c r="F14" s="13"/>
      <c r="G14" s="13"/>
      <c r="H14" s="13"/>
    </row>
    <row r="15" spans="1:8" x14ac:dyDescent="0.25">
      <c r="A15" s="13"/>
      <c r="B15" s="15" t="s">
        <v>138</v>
      </c>
      <c r="C15" s="15"/>
      <c r="D15" s="39">
        <f>+D13+D7</f>
        <v>813022.20328571426</v>
      </c>
      <c r="E15" s="40">
        <f>+E13+E7</f>
        <v>686603.00428571436</v>
      </c>
      <c r="F15" s="39">
        <f>+F7+F13</f>
        <v>686427.57799999998</v>
      </c>
      <c r="G15" s="39">
        <f>+G13+G5</f>
        <v>688609.10800000001</v>
      </c>
      <c r="H15" s="13"/>
    </row>
    <row r="16" spans="1:8" x14ac:dyDescent="0.25">
      <c r="A16" s="13"/>
      <c r="B16" s="13"/>
      <c r="C16" s="13"/>
      <c r="D16" s="13"/>
      <c r="E16" s="14"/>
      <c r="F16" s="13"/>
      <c r="G16" s="13"/>
      <c r="H16" s="13"/>
    </row>
    <row r="17" spans="1:8" x14ac:dyDescent="0.25">
      <c r="A17" s="13"/>
      <c r="B17" s="15" t="s">
        <v>139</v>
      </c>
      <c r="C17" s="13"/>
      <c r="D17" s="13"/>
      <c r="E17" s="14"/>
      <c r="F17" s="31"/>
      <c r="G17" s="31"/>
      <c r="H17" s="13"/>
    </row>
    <row r="18" spans="1:8" x14ac:dyDescent="0.25">
      <c r="A18" s="13"/>
      <c r="B18" s="13" t="s">
        <v>140</v>
      </c>
      <c r="C18" s="30">
        <v>9</v>
      </c>
      <c r="D18" s="41">
        <f>+'Liberty loan'!I40</f>
        <v>-269650.80999999988</v>
      </c>
      <c r="E18" s="42">
        <v>-273973.37999999995</v>
      </c>
      <c r="F18" s="41">
        <v>-281619.46999999997</v>
      </c>
      <c r="G18" s="41">
        <v>-284786</v>
      </c>
      <c r="H18" s="13"/>
    </row>
    <row r="19" spans="1:8" x14ac:dyDescent="0.25">
      <c r="A19" s="13"/>
      <c r="B19" s="13"/>
      <c r="C19" s="13"/>
      <c r="D19" s="13"/>
      <c r="E19" s="14"/>
      <c r="F19" s="13"/>
      <c r="G19" s="13"/>
      <c r="H19" s="13"/>
    </row>
    <row r="20" spans="1:8" ht="15.75" thickBot="1" x14ac:dyDescent="0.3">
      <c r="A20" s="13"/>
      <c r="B20" s="15" t="s">
        <v>141</v>
      </c>
      <c r="C20" s="13"/>
      <c r="D20" s="43">
        <f>+D18</f>
        <v>-269650.80999999988</v>
      </c>
      <c r="E20" s="44">
        <v>-273973.37999999995</v>
      </c>
      <c r="F20" s="43">
        <f>+F18</f>
        <v>-281619.46999999997</v>
      </c>
      <c r="G20" s="43">
        <f>+G18</f>
        <v>-284786</v>
      </c>
      <c r="H20" s="13"/>
    </row>
    <row r="21" spans="1:8" ht="15.75" thickTop="1" x14ac:dyDescent="0.25">
      <c r="A21" s="13"/>
      <c r="B21" s="13"/>
      <c r="C21" s="13"/>
      <c r="D21" s="13"/>
      <c r="E21" s="14"/>
      <c r="F21" s="13"/>
      <c r="G21" s="13"/>
      <c r="H21" s="13"/>
    </row>
    <row r="22" spans="1:8" ht="15.75" thickBot="1" x14ac:dyDescent="0.3">
      <c r="A22" s="13"/>
      <c r="B22" s="15" t="s">
        <v>142</v>
      </c>
      <c r="C22" s="15"/>
      <c r="D22" s="45">
        <f>+D15+D20</f>
        <v>543371.39328571432</v>
      </c>
      <c r="E22" s="46">
        <f>+E15+E20</f>
        <v>412629.62428571441</v>
      </c>
      <c r="F22" s="45">
        <f>+F15+F20</f>
        <v>404808.10800000001</v>
      </c>
      <c r="G22" s="45">
        <f>+G15+G20</f>
        <v>403823.10800000001</v>
      </c>
      <c r="H22" s="13"/>
    </row>
    <row r="23" spans="1:8" ht="15.75" thickTop="1" x14ac:dyDescent="0.25">
      <c r="A23" s="13"/>
      <c r="B23" s="15"/>
      <c r="C23" s="15"/>
      <c r="D23" s="15"/>
      <c r="E23" s="16"/>
      <c r="F23" s="15"/>
      <c r="G23" s="15"/>
      <c r="H23" s="13"/>
    </row>
    <row r="24" spans="1:8" ht="27" thickBot="1" x14ac:dyDescent="0.3">
      <c r="A24" s="13"/>
      <c r="B24" s="47" t="s">
        <v>143</v>
      </c>
      <c r="C24" s="48">
        <v>10</v>
      </c>
      <c r="D24" s="43">
        <f>+'BS Notes'!G33</f>
        <v>-541107</v>
      </c>
      <c r="E24" s="44">
        <v>-412630.35399999999</v>
      </c>
      <c r="F24" s="43">
        <f>+'[1]2015 BS Notes'!E34</f>
        <v>-404807.70799999998</v>
      </c>
      <c r="G24" s="43">
        <v>-403823</v>
      </c>
      <c r="H24" s="13"/>
    </row>
    <row r="25" spans="1:8" ht="15.75" thickTop="1" x14ac:dyDescent="0.25">
      <c r="A25" s="13"/>
      <c r="B25" s="13"/>
      <c r="C25" s="15"/>
      <c r="D25" s="15"/>
      <c r="E25" s="16"/>
      <c r="F25" s="15"/>
      <c r="G25" s="15"/>
      <c r="H25" s="13"/>
    </row>
    <row r="26" spans="1:8" x14ac:dyDescent="0.25">
      <c r="D26" s="10">
        <f>+D22+D24</f>
        <v>2264.3932857143227</v>
      </c>
      <c r="E26" s="49">
        <f>+E22+E24</f>
        <v>-0.729714285582304</v>
      </c>
      <c r="F26" s="10">
        <f>+F22+F24</f>
        <v>0.40000000002328306</v>
      </c>
      <c r="G26" s="10">
        <f>+G22+G24</f>
        <v>0.10800000000745058</v>
      </c>
    </row>
    <row r="27" spans="1:8" x14ac:dyDescent="0.25">
      <c r="E27" s="29"/>
    </row>
    <row r="28" spans="1:8" x14ac:dyDescent="0.25">
      <c r="E28" s="50"/>
      <c r="F28" s="10"/>
    </row>
    <row r="29" spans="1:8" x14ac:dyDescent="0.25">
      <c r="E29" s="29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W27"/>
  <sheetViews>
    <sheetView workbookViewId="0">
      <selection activeCell="B2" sqref="B2:D17"/>
    </sheetView>
  </sheetViews>
  <sheetFormatPr defaultRowHeight="15" x14ac:dyDescent="0.25"/>
  <cols>
    <col min="2" max="2" width="10.7109375" customWidth="1"/>
    <col min="3" max="3" width="50.7109375" customWidth="1"/>
    <col min="4" max="7" width="15.7109375" customWidth="1"/>
    <col min="8" max="8" width="20.28515625" style="29" customWidth="1"/>
    <col min="9" max="9" width="11.7109375" hidden="1" customWidth="1"/>
    <col min="10" max="10" width="12.7109375" hidden="1" customWidth="1"/>
    <col min="15" max="15" width="19.85546875" customWidth="1"/>
  </cols>
  <sheetData>
    <row r="1" spans="1:23" x14ac:dyDescent="0.25">
      <c r="A1" s="13"/>
      <c r="B1" s="13"/>
      <c r="C1" s="13"/>
      <c r="D1" s="13"/>
      <c r="E1" s="17"/>
      <c r="F1" s="13"/>
      <c r="G1" s="13"/>
      <c r="H1" s="14"/>
      <c r="I1" s="13"/>
      <c r="J1" s="13"/>
      <c r="K1" s="13"/>
    </row>
    <row r="2" spans="1:23" x14ac:dyDescent="0.25">
      <c r="A2" s="13"/>
      <c r="B2" s="13"/>
      <c r="C2" s="13"/>
      <c r="D2" s="15">
        <v>2020</v>
      </c>
      <c r="E2" s="16">
        <v>2019</v>
      </c>
      <c r="F2" s="16">
        <v>2018</v>
      </c>
      <c r="G2" s="16">
        <v>2017</v>
      </c>
      <c r="H2" s="16">
        <v>2016</v>
      </c>
      <c r="I2" s="15">
        <v>2014</v>
      </c>
      <c r="J2" s="16">
        <v>2013</v>
      </c>
      <c r="K2" s="13"/>
    </row>
    <row r="3" spans="1:23" x14ac:dyDescent="0.25">
      <c r="A3" s="13"/>
      <c r="B3" s="13" t="s">
        <v>112</v>
      </c>
      <c r="C3" s="17" t="s">
        <v>108</v>
      </c>
      <c r="D3" s="18" t="s">
        <v>109</v>
      </c>
      <c r="E3" s="19" t="s">
        <v>109</v>
      </c>
      <c r="F3" s="19" t="s">
        <v>109</v>
      </c>
      <c r="G3" s="19" t="s">
        <v>109</v>
      </c>
      <c r="H3" s="19" t="s">
        <v>109</v>
      </c>
      <c r="I3" s="18" t="s">
        <v>109</v>
      </c>
      <c r="J3" s="19" t="s">
        <v>109</v>
      </c>
      <c r="K3" s="13"/>
      <c r="S3">
        <v>2018</v>
      </c>
    </row>
    <row r="4" spans="1:23" x14ac:dyDescent="0.25">
      <c r="A4" s="13"/>
      <c r="B4" s="13"/>
      <c r="C4" s="13" t="s">
        <v>108</v>
      </c>
      <c r="D4" s="20">
        <v>1162</v>
      </c>
      <c r="E4" s="21">
        <v>1740</v>
      </c>
      <c r="F4" s="21">
        <v>1697</v>
      </c>
      <c r="G4" s="21">
        <v>1958</v>
      </c>
      <c r="H4" s="21">
        <v>2256.31</v>
      </c>
      <c r="I4" s="20">
        <v>3314.1400000000003</v>
      </c>
      <c r="J4" s="22">
        <v>0</v>
      </c>
      <c r="K4" s="13"/>
      <c r="P4" s="10"/>
    </row>
    <row r="5" spans="1:23" ht="15.75" thickBot="1" x14ac:dyDescent="0.3">
      <c r="A5" s="13"/>
      <c r="B5" s="13"/>
      <c r="C5" s="17" t="s">
        <v>111</v>
      </c>
      <c r="D5" s="24">
        <f>SUM(D4:D4)</f>
        <v>1162</v>
      </c>
      <c r="E5" s="25">
        <f>SUM(E4:E4)</f>
        <v>1740</v>
      </c>
      <c r="F5" s="25">
        <f>SUM(F4:F4)</f>
        <v>1697</v>
      </c>
      <c r="G5" s="25">
        <f>SUM(G4:G4)</f>
        <v>1958</v>
      </c>
      <c r="H5" s="25">
        <v>2256.31</v>
      </c>
      <c r="I5" s="24">
        <v>4161.59</v>
      </c>
      <c r="J5" s="25">
        <v>1691.98</v>
      </c>
      <c r="K5" s="13"/>
      <c r="P5" s="10"/>
    </row>
    <row r="6" spans="1:23" ht="15.75" thickTop="1" x14ac:dyDescent="0.25">
      <c r="A6" s="13"/>
      <c r="B6" s="13"/>
      <c r="C6" s="13"/>
      <c r="D6" s="13"/>
      <c r="E6" s="14"/>
      <c r="F6" s="14"/>
      <c r="G6" s="14"/>
      <c r="H6" s="14"/>
      <c r="I6" s="17"/>
      <c r="J6" s="14"/>
      <c r="K6" s="13"/>
    </row>
    <row r="7" spans="1:23" x14ac:dyDescent="0.25">
      <c r="A7" s="13"/>
      <c r="B7" s="13" t="s">
        <v>116</v>
      </c>
      <c r="C7" s="17" t="s">
        <v>113</v>
      </c>
      <c r="D7" s="17"/>
      <c r="E7" s="14"/>
      <c r="F7" s="14"/>
      <c r="G7" s="14"/>
      <c r="H7" s="14"/>
      <c r="I7" s="17"/>
      <c r="J7" s="14"/>
      <c r="K7" s="13"/>
    </row>
    <row r="8" spans="1:23" x14ac:dyDescent="0.25">
      <c r="A8" s="13"/>
      <c r="B8" s="13"/>
      <c r="C8" s="14" t="s">
        <v>114</v>
      </c>
      <c r="D8" s="14"/>
      <c r="E8" s="14"/>
      <c r="F8" s="14"/>
      <c r="G8" s="14"/>
      <c r="H8" s="14"/>
      <c r="I8" s="17"/>
      <c r="J8" s="14"/>
      <c r="K8" s="13"/>
    </row>
    <row r="9" spans="1:23" ht="15.75" thickBot="1" x14ac:dyDescent="0.3">
      <c r="A9" s="13"/>
      <c r="B9" s="13"/>
      <c r="C9" s="14" t="s">
        <v>115</v>
      </c>
      <c r="D9" s="26">
        <v>21826</v>
      </c>
      <c r="E9" s="27">
        <v>24527</v>
      </c>
      <c r="F9" s="27">
        <v>25199</v>
      </c>
      <c r="G9" s="27">
        <f>+GETPIVOTDATA("Dr- Cr $ entries",'Piv TB'!$A$3,"Type  ","Receipt","Category 3","PL","Type 2","Rental property","Category","Rental income")</f>
        <v>26328.46</v>
      </c>
      <c r="H9" s="27">
        <v>25567.560000000005</v>
      </c>
      <c r="I9" s="26">
        <v>21929.75</v>
      </c>
      <c r="J9" s="27" t="e">
        <v>#REF!</v>
      </c>
      <c r="K9" s="13"/>
    </row>
    <row r="10" spans="1:23" ht="15.75" thickTop="1" x14ac:dyDescent="0.25">
      <c r="A10" s="13"/>
      <c r="B10" s="13"/>
      <c r="C10" s="13"/>
      <c r="D10" s="23"/>
      <c r="E10" s="22"/>
      <c r="F10" s="22"/>
      <c r="G10" s="22"/>
      <c r="H10" s="22"/>
      <c r="I10" s="17"/>
      <c r="J10" s="14"/>
      <c r="K10" s="13"/>
    </row>
    <row r="11" spans="1:23" x14ac:dyDescent="0.25">
      <c r="A11" s="13"/>
      <c r="B11" s="13" t="s">
        <v>126</v>
      </c>
      <c r="C11" s="15" t="s">
        <v>117</v>
      </c>
      <c r="D11" s="23"/>
      <c r="E11" s="22"/>
      <c r="F11" s="22"/>
      <c r="G11" s="22"/>
      <c r="H11" s="22"/>
      <c r="I11" s="17"/>
      <c r="J11" s="14"/>
      <c r="K11" s="13"/>
    </row>
    <row r="12" spans="1:23" x14ac:dyDescent="0.25">
      <c r="A12" s="13"/>
      <c r="B12" s="13"/>
      <c r="C12" s="13" t="s">
        <v>94</v>
      </c>
      <c r="D12" s="23">
        <v>1432</v>
      </c>
      <c r="E12" s="22">
        <v>1703</v>
      </c>
      <c r="F12" s="22">
        <v>1896</v>
      </c>
      <c r="G12" s="22">
        <v>1325</v>
      </c>
      <c r="H12" s="22">
        <v>1169.46</v>
      </c>
      <c r="I12" s="23">
        <v>734.84</v>
      </c>
      <c r="J12" s="22">
        <v>105.04</v>
      </c>
      <c r="K12" s="13"/>
    </row>
    <row r="13" spans="1:23" x14ac:dyDescent="0.25">
      <c r="A13" s="13"/>
      <c r="B13" s="13"/>
      <c r="C13" s="13" t="s">
        <v>96</v>
      </c>
      <c r="D13" s="23">
        <v>1759</v>
      </c>
      <c r="E13" s="22">
        <v>2266</v>
      </c>
      <c r="F13" s="22">
        <v>1669</v>
      </c>
      <c r="G13" s="22">
        <f>-VLOOKUP(C13,'Piv TB'!$C$20:$D$30,2,FALSE)</f>
        <v>1487.1499999999999</v>
      </c>
      <c r="H13" s="22">
        <v>1368.95</v>
      </c>
      <c r="I13" s="23">
        <v>316.53999999999996</v>
      </c>
      <c r="J13" s="22">
        <v>70.78</v>
      </c>
      <c r="K13" s="13"/>
    </row>
    <row r="14" spans="1:23" x14ac:dyDescent="0.25">
      <c r="A14" s="13"/>
      <c r="B14" s="13"/>
      <c r="C14" s="13" t="s">
        <v>95</v>
      </c>
      <c r="D14" s="23">
        <v>649</v>
      </c>
      <c r="E14" s="22">
        <v>633</v>
      </c>
      <c r="F14" s="22">
        <v>623</v>
      </c>
      <c r="G14" s="22">
        <v>666</v>
      </c>
      <c r="H14" s="22">
        <v>606.02</v>
      </c>
      <c r="I14" s="23">
        <v>738.6099999999999</v>
      </c>
      <c r="J14" s="22">
        <v>84.44</v>
      </c>
      <c r="K14" s="13"/>
    </row>
    <row r="15" spans="1:23" x14ac:dyDescent="0.25">
      <c r="A15" s="13"/>
      <c r="B15" s="13"/>
      <c r="C15" s="13" t="s">
        <v>118</v>
      </c>
      <c r="D15" s="23">
        <v>2505</v>
      </c>
      <c r="E15" s="22">
        <v>2656</v>
      </c>
      <c r="F15" s="22">
        <v>2433</v>
      </c>
      <c r="G15" s="22">
        <v>2485</v>
      </c>
      <c r="H15" s="22">
        <v>2458.56</v>
      </c>
      <c r="I15" s="23">
        <v>2180.12</v>
      </c>
      <c r="J15" s="22">
        <v>587.43000000000006</v>
      </c>
      <c r="K15" s="13"/>
    </row>
    <row r="16" spans="1:23" x14ac:dyDescent="0.25">
      <c r="A16" s="13"/>
      <c r="B16" s="13"/>
      <c r="C16" s="13" t="s">
        <v>119</v>
      </c>
      <c r="D16" s="23">
        <v>444</v>
      </c>
      <c r="E16" s="22">
        <v>444</v>
      </c>
      <c r="F16" s="22">
        <v>418</v>
      </c>
      <c r="G16" s="22">
        <v>393</v>
      </c>
      <c r="H16" s="22">
        <v>383.52</v>
      </c>
      <c r="I16" s="23">
        <v>0</v>
      </c>
      <c r="J16" s="22">
        <v>66.180000000000007</v>
      </c>
      <c r="K16" s="13"/>
      <c r="W16">
        <v>-915</v>
      </c>
    </row>
    <row r="17" spans="1:23" x14ac:dyDescent="0.25">
      <c r="A17" s="13"/>
      <c r="B17" s="13"/>
      <c r="C17" s="13" t="s">
        <v>120</v>
      </c>
      <c r="D17" s="23">
        <v>198</v>
      </c>
      <c r="E17" s="22">
        <v>663</v>
      </c>
      <c r="F17" s="22">
        <v>1473</v>
      </c>
      <c r="G17" s="22">
        <f>-VLOOKUP(C17,'Piv TB'!$C$20:$D$30,2,FALSE)</f>
        <v>198</v>
      </c>
      <c r="H17" s="22">
        <v>194.57</v>
      </c>
      <c r="I17" s="23">
        <v>0</v>
      </c>
      <c r="J17" s="22"/>
      <c r="K17" s="13"/>
      <c r="W17">
        <v>-4573</v>
      </c>
    </row>
    <row r="18" spans="1:23" x14ac:dyDescent="0.25">
      <c r="A18" s="13"/>
      <c r="B18" s="13"/>
      <c r="C18" s="13" t="s">
        <v>121</v>
      </c>
      <c r="D18" s="23">
        <v>4442</v>
      </c>
      <c r="E18" s="22">
        <v>4442</v>
      </c>
      <c r="F18" s="22">
        <v>4186</v>
      </c>
      <c r="G18" s="22">
        <f>-VLOOKUP(C18,'Piv TB'!$C$20:$D$30,2,FALSE)</f>
        <v>3949.25</v>
      </c>
      <c r="H18" s="22">
        <v>3835.08</v>
      </c>
      <c r="I18" s="23">
        <v>0</v>
      </c>
      <c r="J18" s="22">
        <v>839.67</v>
      </c>
      <c r="K18" s="13"/>
      <c r="W18">
        <v>34951</v>
      </c>
    </row>
    <row r="19" spans="1:23" hidden="1" x14ac:dyDescent="0.25">
      <c r="A19" s="13"/>
      <c r="B19" s="13"/>
      <c r="C19" s="13" t="s">
        <v>124</v>
      </c>
      <c r="D19" s="23">
        <v>0</v>
      </c>
      <c r="E19" s="22">
        <v>0</v>
      </c>
      <c r="F19" s="22">
        <v>0</v>
      </c>
      <c r="G19" s="22">
        <v>0</v>
      </c>
      <c r="H19" s="22">
        <v>545</v>
      </c>
      <c r="I19" s="23"/>
      <c r="J19" s="22"/>
      <c r="K19" s="13"/>
    </row>
    <row r="20" spans="1:23" x14ac:dyDescent="0.25">
      <c r="A20" s="13"/>
      <c r="B20" s="13"/>
      <c r="C20" s="13" t="s">
        <v>125</v>
      </c>
      <c r="D20" s="23">
        <v>15609</v>
      </c>
      <c r="E20" s="22">
        <v>16842</v>
      </c>
      <c r="F20" s="22">
        <v>16765</v>
      </c>
      <c r="G20" s="22">
        <f>-VLOOKUP(C20,'Piv TB'!$C$20:$D$30,2,FALSE)</f>
        <v>16232.25</v>
      </c>
      <c r="H20" s="22">
        <v>16272.71</v>
      </c>
      <c r="I20" s="23">
        <v>18302.25</v>
      </c>
      <c r="J20" s="22">
        <v>1643.25</v>
      </c>
      <c r="K20" s="13"/>
    </row>
    <row r="21" spans="1:23" ht="15.75" thickBot="1" x14ac:dyDescent="0.3">
      <c r="A21" s="13"/>
      <c r="B21" s="13"/>
      <c r="C21" s="17" t="s">
        <v>111</v>
      </c>
      <c r="D21" s="24">
        <f t="shared" ref="D21:I21" si="0">SUM(D12:D20)</f>
        <v>27038</v>
      </c>
      <c r="E21" s="25">
        <f t="shared" si="0"/>
        <v>29649</v>
      </c>
      <c r="F21" s="25">
        <f t="shared" si="0"/>
        <v>29463</v>
      </c>
      <c r="G21" s="25">
        <f t="shared" si="0"/>
        <v>26735.65</v>
      </c>
      <c r="H21" s="25">
        <f t="shared" si="0"/>
        <v>26833.87</v>
      </c>
      <c r="I21" s="24">
        <f t="shared" si="0"/>
        <v>22272.36</v>
      </c>
      <c r="J21" s="25">
        <v>22645.79</v>
      </c>
      <c r="K21" s="13"/>
    </row>
    <row r="22" spans="1:23" ht="15.75" thickTop="1" x14ac:dyDescent="0.25">
      <c r="A22" s="13"/>
      <c r="B22" s="13"/>
      <c r="C22" s="13"/>
      <c r="D22" s="13"/>
      <c r="E22" s="14"/>
      <c r="F22" s="14"/>
      <c r="G22" s="13"/>
      <c r="H22" s="14"/>
      <c r="I22" s="17"/>
      <c r="J22" s="14"/>
      <c r="K22" s="13"/>
    </row>
    <row r="23" spans="1:23" x14ac:dyDescent="0.25">
      <c r="A23" s="13"/>
      <c r="B23" s="13" t="s">
        <v>126</v>
      </c>
      <c r="C23" s="17" t="s">
        <v>127</v>
      </c>
      <c r="D23" s="17"/>
      <c r="E23" s="17"/>
      <c r="F23" s="14"/>
      <c r="G23" s="17"/>
      <c r="H23" s="14"/>
      <c r="I23" s="17"/>
      <c r="J23" s="14"/>
      <c r="K23" s="13"/>
    </row>
    <row r="24" spans="1:23" x14ac:dyDescent="0.25">
      <c r="A24" s="13"/>
      <c r="B24" s="13"/>
      <c r="C24" s="13" t="s">
        <v>128</v>
      </c>
      <c r="D24" s="20"/>
      <c r="E24" s="20"/>
      <c r="F24" s="21"/>
      <c r="G24" s="20">
        <v>321</v>
      </c>
      <c r="H24" s="21">
        <v>321</v>
      </c>
      <c r="I24" s="20">
        <v>0</v>
      </c>
      <c r="J24" s="21"/>
      <c r="K24" s="13"/>
    </row>
    <row r="25" spans="1:23" ht="15.75" thickBot="1" x14ac:dyDescent="0.3">
      <c r="A25" s="13"/>
      <c r="B25" s="13"/>
      <c r="C25" s="17" t="s">
        <v>111</v>
      </c>
      <c r="D25" s="24"/>
      <c r="E25" s="24"/>
      <c r="F25" s="25"/>
      <c r="G25" s="24">
        <v>321</v>
      </c>
      <c r="H25" s="25">
        <v>321</v>
      </c>
      <c r="I25" s="24">
        <v>796</v>
      </c>
      <c r="J25" s="25">
        <v>2970</v>
      </c>
      <c r="K25" s="13"/>
    </row>
    <row r="26" spans="1:23" ht="15.75" thickTop="1" x14ac:dyDescent="0.25">
      <c r="A26" s="13"/>
      <c r="B26" s="13"/>
      <c r="C26" s="13"/>
      <c r="D26" s="13"/>
      <c r="E26" s="17"/>
      <c r="F26" s="14"/>
      <c r="G26" s="13"/>
      <c r="H26" s="14"/>
      <c r="I26" s="17"/>
      <c r="J26" s="14"/>
      <c r="K26" s="13"/>
    </row>
    <row r="27" spans="1:23" x14ac:dyDescent="0.25">
      <c r="A27" s="13"/>
      <c r="B27" s="13"/>
      <c r="C27" s="13"/>
      <c r="D27" s="13"/>
      <c r="E27" s="13"/>
      <c r="F27" s="13"/>
      <c r="G27" s="13"/>
      <c r="H27" s="14"/>
      <c r="I27" s="13"/>
      <c r="J27" s="14"/>
      <c r="K27" s="13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2020 BS</vt:lpstr>
      <vt:lpstr>2020 PL</vt:lpstr>
      <vt:lpstr>2019 BS</vt:lpstr>
      <vt:lpstr>2019 PL</vt:lpstr>
      <vt:lpstr>2018 BS</vt:lpstr>
      <vt:lpstr>2018 PL</vt:lpstr>
      <vt:lpstr>2017 PL</vt:lpstr>
      <vt:lpstr>2017 BS</vt:lpstr>
      <vt:lpstr> PL Notes</vt:lpstr>
      <vt:lpstr>BS Notes</vt:lpstr>
      <vt:lpstr>losses cftd</vt:lpstr>
      <vt:lpstr>2017 Shares details</vt:lpstr>
      <vt:lpstr>2017 Shares Val</vt:lpstr>
      <vt:lpstr>Piv TB</vt:lpstr>
      <vt:lpstr>2017 data</vt:lpstr>
      <vt:lpstr>Liberty loan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Sonu</dc:creator>
  <cp:lastModifiedBy>Sonu</cp:lastModifiedBy>
  <dcterms:created xsi:type="dcterms:W3CDTF">2018-02-07T11:30:51Z</dcterms:created>
  <dcterms:modified xsi:type="dcterms:W3CDTF">2021-09-21T02:04:39Z</dcterms:modified>
</cp:coreProperties>
</file>