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hidePivotFieldList="1"/>
  <mc:AlternateContent xmlns:mc="http://schemas.openxmlformats.org/markup-compatibility/2006">
    <mc:Choice Requires="x15">
      <x15ac:absPath xmlns:x15ac="http://schemas.microsoft.com/office/spreadsheetml/2010/11/ac" url="S:\data\0_Client\Groups\COYLE, Kieran Group\K.C. Super Fund\2022\"/>
    </mc:Choice>
  </mc:AlternateContent>
  <xr:revisionPtr revIDLastSave="0" documentId="13_ncr:1_{7DB620AA-A809-4B33-BC09-8533DFC26213}" xr6:coauthVersionLast="47" xr6:coauthVersionMax="47" xr10:uidLastSave="{00000000-0000-0000-0000-000000000000}"/>
  <bookViews>
    <workbookView xWindow="-300" yWindow="16080" windowWidth="29040" windowHeight="15720" tabRatio="756" xr2:uid="{00000000-000D-0000-FFFF-FFFF00000000}"/>
  </bookViews>
  <sheets>
    <sheet name="(A1) Shares Investment" sheetId="9" r:id="rId1"/>
    <sheet name="(A2) Cash at bank" sheetId="28" r:id="rId2"/>
    <sheet name="Bank Statement" sheetId="1" r:id="rId3"/>
    <sheet name="Bank Pivot" sheetId="14" r:id="rId4"/>
    <sheet name="Jnl" sheetId="2" r:id="rId5"/>
    <sheet name="Member Balance" sheetId="3" r:id="rId6"/>
    <sheet name="Member Benefits" sheetId="8" r:id="rId7"/>
    <sheet name="Recon" sheetId="33" r:id="rId8"/>
    <sheet name="Tax Loss" sheetId="10" r:id="rId9"/>
    <sheet name="Notes" sheetId="5" r:id="rId10"/>
    <sheet name="Report" sheetId="6" r:id="rId11"/>
  </sheets>
  <definedNames>
    <definedName name="_xlnm._FilterDatabase" localSheetId="2" hidden="1">'Bank Statement'!$A$5:$I$8</definedName>
    <definedName name="_xlnm.Print_Area" localSheetId="0">'(A1) Shares Investment'!$A$1:$J$34</definedName>
    <definedName name="_xlnm.Print_Area" localSheetId="1">'(A2) Cash at bank'!$A$1:$E$11</definedName>
    <definedName name="_xlnm.Print_Area" localSheetId="6">'Member Benefits'!$A$1:$F$15</definedName>
    <definedName name="_xlnm.Print_Area" localSheetId="9">Notes!#REF!</definedName>
    <definedName name="_xlnm.Print_Area" localSheetId="7">Recon!#REF!</definedName>
  </definedNames>
  <calcPr calcId="191029" concurrentCalc="0"/>
  <pivotCaches>
    <pivotCache cacheId="4" r:id="rId1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9" l="1"/>
  <c r="F17" i="10"/>
  <c r="U11" i="8"/>
  <c r="U14" i="8"/>
  <c r="U7" i="8"/>
  <c r="U8" i="8"/>
  <c r="D53" i="3"/>
  <c r="D26" i="2"/>
  <c r="C25" i="2"/>
  <c r="C24" i="2"/>
  <c r="H9" i="9"/>
  <c r="F16" i="10"/>
  <c r="F15" i="10"/>
  <c r="F14" i="10"/>
  <c r="F13" i="10"/>
  <c r="C19" i="33"/>
  <c r="T11" i="8"/>
  <c r="T14" i="8"/>
  <c r="T7" i="8"/>
  <c r="T8" i="8"/>
  <c r="D20" i="2"/>
  <c r="D19" i="2"/>
  <c r="C18" i="2"/>
  <c r="I9" i="9"/>
  <c r="I11" i="9"/>
  <c r="G7" i="1"/>
  <c r="G8" i="1"/>
  <c r="B12" i="14"/>
  <c r="C8" i="2"/>
  <c r="D15" i="10"/>
  <c r="C10" i="33"/>
  <c r="C24" i="33"/>
  <c r="I14" i="9"/>
  <c r="I10" i="2"/>
  <c r="I17" i="2"/>
  <c r="S11" i="8"/>
  <c r="S14" i="8"/>
  <c r="S7" i="8"/>
  <c r="S8" i="8"/>
  <c r="D10" i="2"/>
  <c r="D13" i="2"/>
  <c r="R11" i="8"/>
  <c r="P7" i="8"/>
  <c r="R8" i="8"/>
  <c r="C17" i="33"/>
  <c r="R14" i="8"/>
  <c r="R7" i="8"/>
  <c r="H7" i="8"/>
  <c r="J7" i="8"/>
  <c r="L7" i="8"/>
  <c r="N7" i="8"/>
  <c r="O7" i="8"/>
  <c r="Q7" i="8"/>
  <c r="I20" i="2"/>
  <c r="I22" i="2"/>
  <c r="I28" i="2"/>
  <c r="C13" i="2"/>
  <c r="D14" i="2"/>
  <c r="N8" i="8"/>
  <c r="P8" i="8"/>
  <c r="O8" i="8"/>
  <c r="F7" i="10"/>
  <c r="F8" i="10"/>
  <c r="F9" i="10"/>
  <c r="F10" i="10"/>
  <c r="F11" i="10"/>
  <c r="F12" i="10"/>
  <c r="P9" i="8"/>
  <c r="P14" i="8"/>
  <c r="Q11" i="8"/>
  <c r="Q14" i="8"/>
  <c r="P11" i="8"/>
  <c r="K14" i="8"/>
  <c r="K11" i="8"/>
  <c r="O9" i="8"/>
  <c r="O14" i="8"/>
  <c r="O11" i="8"/>
  <c r="Q8" i="8"/>
  <c r="H5" i="3"/>
  <c r="K8" i="8"/>
  <c r="H11" i="9"/>
  <c r="F11" i="9"/>
  <c r="D12" i="10"/>
  <c r="N11" i="8"/>
  <c r="N14" i="8"/>
  <c r="L11" i="8"/>
  <c r="M9" i="8"/>
  <c r="M14" i="8"/>
  <c r="M11" i="8"/>
  <c r="C33" i="5"/>
  <c r="C36" i="5"/>
  <c r="C38" i="5"/>
  <c r="C40" i="5"/>
  <c r="J14" i="8"/>
  <c r="J11" i="8"/>
  <c r="I14" i="8"/>
  <c r="I8" i="8"/>
  <c r="G8" i="8"/>
  <c r="H8" i="8"/>
  <c r="F6" i="3"/>
  <c r="D6" i="3"/>
  <c r="C6" i="3"/>
  <c r="B6" i="3"/>
  <c r="H14" i="8"/>
  <c r="H11" i="8"/>
  <c r="G14" i="8"/>
  <c r="E8" i="8"/>
  <c r="E14" i="8"/>
  <c r="F7" i="8"/>
  <c r="F8" i="8"/>
  <c r="F14" i="8"/>
  <c r="F11" i="8"/>
  <c r="D7" i="8"/>
  <c r="D8" i="8"/>
  <c r="D9" i="8"/>
  <c r="D14" i="8"/>
  <c r="C14" i="8"/>
  <c r="C9" i="8"/>
  <c r="E6" i="3"/>
  <c r="H6" i="3"/>
  <c r="G6" i="3"/>
  <c r="L8" i="8"/>
  <c r="J8" i="8"/>
  <c r="B13" i="14"/>
  <c r="D8" i="28"/>
  <c r="D27" i="2"/>
  <c r="C27" i="2"/>
  <c r="C20" i="2"/>
</calcChain>
</file>

<file path=xl/sharedStrings.xml><?xml version="1.0" encoding="utf-8"?>
<sst xmlns="http://schemas.openxmlformats.org/spreadsheetml/2006/main" count="317" uniqueCount="178">
  <si>
    <t>Date</t>
  </si>
  <si>
    <t>Description</t>
  </si>
  <si>
    <t>Contribution</t>
  </si>
  <si>
    <t>Account</t>
  </si>
  <si>
    <t>Interest Income</t>
  </si>
  <si>
    <t>Dr/Cr</t>
  </si>
  <si>
    <t>Bank</t>
  </si>
  <si>
    <t>Balance</t>
  </si>
  <si>
    <t>Accounting &amp; Auditing fee</t>
  </si>
  <si>
    <t>199/02</t>
  </si>
  <si>
    <t>551/02</t>
  </si>
  <si>
    <t>550/03</t>
  </si>
  <si>
    <t>Distribution to the member</t>
  </si>
  <si>
    <t>Income allocation for the year</t>
  </si>
  <si>
    <t>Income Tax</t>
  </si>
  <si>
    <t>Unrealised profit for the year</t>
  </si>
  <si>
    <t>C/B</t>
  </si>
  <si>
    <t>Rosanne</t>
  </si>
  <si>
    <t>Total</t>
  </si>
  <si>
    <t xml:space="preserve">Represented by: </t>
  </si>
  <si>
    <t>FY</t>
  </si>
  <si>
    <t>Acc</t>
  </si>
  <si>
    <t>Desc</t>
  </si>
  <si>
    <t>$</t>
  </si>
  <si>
    <t>Remarks</t>
  </si>
  <si>
    <t>Allocated Earning</t>
  </si>
  <si>
    <t xml:space="preserve">Net Profit As Per Profit &amp; Loss Statement </t>
  </si>
  <si>
    <t>Add</t>
  </si>
  <si>
    <t>Supervisory Levy</t>
  </si>
  <si>
    <t>less</t>
  </si>
  <si>
    <t>Net earning as per tax return</t>
  </si>
  <si>
    <t>Rollover</t>
  </si>
  <si>
    <t>Profit/Loss Calculation</t>
  </si>
  <si>
    <t>Year Profit/Loss/Levy for distribution</t>
  </si>
  <si>
    <t>Report</t>
  </si>
  <si>
    <t>100 Operating Statement</t>
  </si>
  <si>
    <t>200 Statement of Financial Position</t>
  </si>
  <si>
    <t>2050 Investment Schedule</t>
  </si>
  <si>
    <t>8000 Notes to the Accounts</t>
  </si>
  <si>
    <t xml:space="preserve">8800 Trustee's Declaration  </t>
  </si>
  <si>
    <t xml:space="preserve">8840 Member's Information Statement         </t>
  </si>
  <si>
    <t>Report: 200 Statement of Financial Position</t>
  </si>
  <si>
    <t>ABN</t>
  </si>
  <si>
    <t>Corporate Trustee</t>
  </si>
  <si>
    <t>Trustee Name</t>
  </si>
  <si>
    <t>Trustee Address</t>
  </si>
  <si>
    <t xml:space="preserve">Trustee signing #1     </t>
  </si>
  <si>
    <t>Trustee signing #2</t>
  </si>
  <si>
    <t>Update GL; Description File Maintenance</t>
  </si>
  <si>
    <t>Trustee Contact</t>
  </si>
  <si>
    <t>Trustee Phone No.</t>
  </si>
  <si>
    <t>Investment</t>
  </si>
  <si>
    <t>Tran. Date</t>
  </si>
  <si>
    <t>(1)</t>
  </si>
  <si>
    <t>(2)</t>
  </si>
  <si>
    <t>(3) = 2 -1</t>
  </si>
  <si>
    <t>Purchase</t>
  </si>
  <si>
    <t>Unit Price</t>
  </si>
  <si>
    <t>Unrealised</t>
  </si>
  <si>
    <t>Cost</t>
  </si>
  <si>
    <t xml:space="preserve"> gain/(loss)</t>
  </si>
  <si>
    <t>1. Taxation Components</t>
  </si>
  <si>
    <t>1A. Tax Free; NCC</t>
  </si>
  <si>
    <t>1B. Taxable component (Element taxed in the fund)</t>
  </si>
  <si>
    <t>Total Rollover</t>
  </si>
  <si>
    <t>2. Preservation status</t>
  </si>
  <si>
    <t>2A. Preserved amt</t>
  </si>
  <si>
    <t>2B. Restricted non-prserved</t>
  </si>
  <si>
    <t>2C. Unrestricted non-preserved</t>
  </si>
  <si>
    <t>Total Preservation</t>
  </si>
  <si>
    <t>Member Benefits Statement</t>
  </si>
  <si>
    <t>K C Super Fund</t>
  </si>
  <si>
    <t>Running Balance</t>
  </si>
  <si>
    <t>676/01</t>
  </si>
  <si>
    <t>551/04</t>
  </si>
  <si>
    <t>Allocated Earning- Kieran</t>
  </si>
  <si>
    <t>995/27</t>
  </si>
  <si>
    <t xml:space="preserve">Unrealised Loss                                          </t>
  </si>
  <si>
    <t>204/00</t>
  </si>
  <si>
    <t>Unrealised Investments</t>
  </si>
  <si>
    <t>Shares in Environmental Clean Technologies Ltd (ESI)</t>
  </si>
  <si>
    <t>Shares</t>
  </si>
  <si>
    <t>551 Kieran Coyle</t>
  </si>
  <si>
    <t>Rollover - Kieran</t>
  </si>
  <si>
    <t>Maritime Super</t>
  </si>
  <si>
    <t>Loss allocation</t>
  </si>
  <si>
    <t xml:space="preserve">Unrealised Loss  </t>
  </si>
  <si>
    <t>Shares in Listed Companies</t>
  </si>
  <si>
    <t>4/2012 rolloever</t>
  </si>
  <si>
    <t>Tax Losses</t>
  </si>
  <si>
    <t>Running</t>
  </si>
  <si>
    <t>Bank Account</t>
  </si>
  <si>
    <t>Opening</t>
  </si>
  <si>
    <t>CBA</t>
  </si>
  <si>
    <t>CDIA</t>
  </si>
  <si>
    <t>Employer contribution</t>
  </si>
  <si>
    <t>Bank Charge</t>
  </si>
  <si>
    <t>Movement</t>
  </si>
  <si>
    <t>Row Labels</t>
  </si>
  <si>
    <t>Grand Total</t>
  </si>
  <si>
    <t>Sum of Dr/Cr</t>
  </si>
  <si>
    <t>Cash at bank (CBA)</t>
  </si>
  <si>
    <t>Mkt Value</t>
  </si>
  <si>
    <t>LL002 Bank transactions for the year</t>
  </si>
  <si>
    <t>O/B</t>
  </si>
  <si>
    <t>Shares Investment</t>
  </si>
  <si>
    <t>Cash at bank</t>
  </si>
  <si>
    <t>8/2012 rolloever</t>
  </si>
  <si>
    <t>Kieran Coyle</t>
  </si>
  <si>
    <t>1/2014 rolloever</t>
  </si>
  <si>
    <t>Notes</t>
  </si>
  <si>
    <t>Add: Unrealised profit/(loss)</t>
  </si>
  <si>
    <t>Profit/Loss</t>
  </si>
  <si>
    <t>Result of Operations</t>
  </si>
  <si>
    <t xml:space="preserve">Unrealised Gain/Loss  </t>
  </si>
  <si>
    <t>1/2015 rolloever</t>
  </si>
  <si>
    <t>1. Debtor in FY13 for cash in advance</t>
  </si>
  <si>
    <t>So creditor for cash payment in FY15?</t>
  </si>
  <si>
    <t>2. Market Value/share price ?</t>
  </si>
  <si>
    <t>3. Accounting Projection $2400?</t>
  </si>
  <si>
    <t>$2100+210 = $2310 last FY</t>
  </si>
  <si>
    <t>A: after tax personal contribution</t>
  </si>
  <si>
    <t>Use comsec summary report</t>
  </si>
  <si>
    <t>add 100+gst</t>
  </si>
  <si>
    <t>4. Missing QBE Insuranse statement</t>
  </si>
  <si>
    <t>Peronal contribution- after tax</t>
  </si>
  <si>
    <t>*</t>
  </si>
  <si>
    <t>*Non-taxable</t>
  </si>
  <si>
    <t>Received 14/04/2016</t>
  </si>
  <si>
    <t>Movement Cheek--</t>
  </si>
  <si>
    <t>1/2016 rolloever</t>
  </si>
  <si>
    <t>18/07/2017 Wilson</t>
  </si>
  <si>
    <t>Sold the investment property; contract signed in 2/2017 and settled in 8/2017;  make about $80k profit</t>
  </si>
  <si>
    <t>Want to get $70k for daughter new business</t>
  </si>
  <si>
    <t>Son is 28 years old, did not talk to ex-wife for 17 years;  Hope to get the son a job in Spirit of Tasmania</t>
  </si>
  <si>
    <t>https://www.moneysmart.gov.au/superannuation-and-retirement/income-sources-in-retirement/income-from-super/transition-to-retirement</t>
  </si>
  <si>
    <t>Member balance 2016</t>
  </si>
  <si>
    <t>Profit on property</t>
  </si>
  <si>
    <t>Maritime Super balance</t>
  </si>
  <si>
    <t>Max withdraw 10%</t>
  </si>
  <si>
    <t>Tax (37% + 2% -15%) = 24%</t>
  </si>
  <si>
    <t>FY2017</t>
  </si>
  <si>
    <t>Posted</t>
  </si>
  <si>
    <t>24/3/2017 rolloever</t>
  </si>
  <si>
    <t>Profit</t>
  </si>
  <si>
    <t>Tax Loss applied</t>
  </si>
  <si>
    <t>Tax Profit / (Loss)</t>
  </si>
  <si>
    <t>Profit allocation</t>
  </si>
  <si>
    <t>Less:  Tax Loss applied</t>
  </si>
  <si>
    <t>Net Taxable Income per tax return</t>
  </si>
  <si>
    <t>Unrealised losses on Shares</t>
  </si>
  <si>
    <t>Tax on Profit</t>
  </si>
  <si>
    <t>Total Unrealised gain/(Loss) for the year</t>
  </si>
  <si>
    <t>Income tax paid</t>
  </si>
  <si>
    <t>Benefits outward rollovers</t>
  </si>
  <si>
    <t>551/05</t>
  </si>
  <si>
    <t>551/15</t>
  </si>
  <si>
    <t>Rollover outward</t>
  </si>
  <si>
    <t>Income tax expneses</t>
  </si>
  <si>
    <t>17/08/2017 rolloever out</t>
  </si>
  <si>
    <t>26/09/2017 rollover out</t>
  </si>
  <si>
    <t xml:space="preserve">Tax payment </t>
  </si>
  <si>
    <t>Law Little payment</t>
  </si>
  <si>
    <t>Profit/(Loss) allocation</t>
  </si>
  <si>
    <t xml:space="preserve">Unrealised Gain/(Loss)  </t>
  </si>
  <si>
    <t>Unrealised gain on Shares</t>
  </si>
  <si>
    <t>Other Income</t>
  </si>
  <si>
    <t>Other income</t>
  </si>
  <si>
    <t xml:space="preserve">Account receivable </t>
  </si>
  <si>
    <t>Accounting &amp; Audit fee</t>
  </si>
  <si>
    <t>Super levy</t>
  </si>
  <si>
    <t>FY 2021</t>
  </si>
  <si>
    <t>LL004 Year Loss/Levy for distribution</t>
  </si>
  <si>
    <t>LL005 Unrealised loss/gain for the year</t>
  </si>
  <si>
    <t>FY 2022</t>
  </si>
  <si>
    <t>Closing balance as at 30.06.2022 is $6,427.11</t>
  </si>
  <si>
    <t>Member account @ 30/6/2022</t>
  </si>
  <si>
    <t>2022 Recon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</si>
</sst>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-* #,##0.0000_-;\-* #,##0.0000_-;_-* &quot;-&quot;??_-;_-@_-"/>
    <numFmt numFmtId="166" formatCode="_-* #,##0.000000_-;\-* #,##0.000000_-;_-* &quot;-&quot;??_-;_-@_-"/>
    <numFmt numFmtId="167" formatCode="_-* #,##0_-;\-* #,##0_-;_-* &quot;-&quot;??_-;_-@_-"/>
    <numFmt numFmtId="168" formatCode="_(* #,##0.000_);_(* \(#,##0.000\);_(* &quot;-&quot;?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.5"/>
      <color theme="1"/>
      <name val="Consolas"/>
      <family val="3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000A1E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FF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0" fontId="19" fillId="0" borderId="0"/>
    <xf numFmtId="43" fontId="19" fillId="0" borderId="0" applyNumberFormat="0" applyFill="0" applyBorder="0" applyAlignment="0" applyProtection="0"/>
    <xf numFmtId="9" fontId="19" fillId="0" borderId="0" applyFont="0" applyFill="0" applyBorder="0" applyAlignment="0" applyProtection="0"/>
    <xf numFmtId="0" fontId="26" fillId="0" borderId="0"/>
    <xf numFmtId="43" fontId="1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9" fillId="0" borderId="0"/>
  </cellStyleXfs>
  <cellXfs count="142">
    <xf numFmtId="0" fontId="0" fillId="0" borderId="0" xfId="0"/>
    <xf numFmtId="43" fontId="0" fillId="0" borderId="0" xfId="1" applyFont="1"/>
    <xf numFmtId="43" fontId="0" fillId="0" borderId="0" xfId="1" applyFont="1" applyAlignment="1">
      <alignment horizontal="right"/>
    </xf>
    <xf numFmtId="0" fontId="0" fillId="0" borderId="12" xfId="0" applyBorder="1" applyAlignment="1">
      <alignment horizontal="left"/>
    </xf>
    <xf numFmtId="0" fontId="0" fillId="0" borderId="13" xfId="0" applyBorder="1"/>
    <xf numFmtId="0" fontId="19" fillId="0" borderId="11" xfId="0" applyFont="1" applyBorder="1" applyAlignment="1">
      <alignment horizontal="left"/>
    </xf>
    <xf numFmtId="43" fontId="0" fillId="0" borderId="0" xfId="1" applyFont="1" applyFill="1" applyBorder="1"/>
    <xf numFmtId="0" fontId="0" fillId="0" borderId="16" xfId="0" applyBorder="1" applyAlignment="1">
      <alignment horizontal="left"/>
    </xf>
    <xf numFmtId="0" fontId="0" fillId="0" borderId="17" xfId="0" applyBorder="1"/>
    <xf numFmtId="43" fontId="0" fillId="0" borderId="18" xfId="1" applyFont="1" applyFill="1" applyBorder="1"/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19" fillId="0" borderId="0" xfId="44" applyAlignment="1">
      <alignment horizontal="left"/>
    </xf>
    <xf numFmtId="0" fontId="19" fillId="0" borderId="19" xfId="44" applyBorder="1" applyAlignment="1">
      <alignment horizontal="right" wrapText="1"/>
    </xf>
    <xf numFmtId="0" fontId="19" fillId="0" borderId="0" xfId="51"/>
    <xf numFmtId="164" fontId="0" fillId="0" borderId="0" xfId="49" applyFont="1"/>
    <xf numFmtId="0" fontId="21" fillId="0" borderId="0" xfId="51" applyFont="1"/>
    <xf numFmtId="164" fontId="0" fillId="0" borderId="20" xfId="49" applyFont="1" applyBorder="1"/>
    <xf numFmtId="0" fontId="0" fillId="0" borderId="21" xfId="51" applyFont="1" applyBorder="1"/>
    <xf numFmtId="0" fontId="22" fillId="0" borderId="21" xfId="51" applyFont="1" applyBorder="1"/>
    <xf numFmtId="164" fontId="0" fillId="0" borderId="21" xfId="49" applyFont="1" applyBorder="1"/>
    <xf numFmtId="0" fontId="19" fillId="0" borderId="0" xfId="0" applyFont="1" applyAlignment="1">
      <alignment horizontal="left"/>
    </xf>
    <xf numFmtId="0" fontId="18" fillId="0" borderId="0" xfId="0" applyFont="1"/>
    <xf numFmtId="43" fontId="0" fillId="0" borderId="0" xfId="1" applyFont="1" applyFill="1" applyBorder="1" applyAlignment="1">
      <alignment horizontal="left" indent="2"/>
    </xf>
    <xf numFmtId="43" fontId="0" fillId="0" borderId="0" xfId="0" applyNumberFormat="1" applyAlignment="1">
      <alignment horizontal="left" indent="2"/>
    </xf>
    <xf numFmtId="43" fontId="0" fillId="0" borderId="0" xfId="0" applyNumberFormat="1"/>
    <xf numFmtId="43" fontId="0" fillId="0" borderId="10" xfId="0" applyNumberFormat="1" applyBorder="1"/>
    <xf numFmtId="0" fontId="23" fillId="0" borderId="0" xfId="0" applyFont="1"/>
    <xf numFmtId="43" fontId="0" fillId="0" borderId="10" xfId="1" applyFont="1" applyFill="1" applyBorder="1"/>
    <xf numFmtId="43" fontId="0" fillId="0" borderId="17" xfId="1" applyFont="1" applyFill="1" applyBorder="1"/>
    <xf numFmtId="43" fontId="0" fillId="0" borderId="0" xfId="45" applyFont="1" applyFill="1" applyBorder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24" fillId="0" borderId="0" xfId="44" applyFont="1" applyAlignment="1">
      <alignment horizontal="right" wrapText="1"/>
    </xf>
    <xf numFmtId="14" fontId="24" fillId="0" borderId="0" xfId="44" applyNumberFormat="1" applyFont="1" applyAlignment="1">
      <alignment horizontal="right" wrapText="1"/>
    </xf>
    <xf numFmtId="0" fontId="16" fillId="0" borderId="0" xfId="0" applyFont="1"/>
    <xf numFmtId="0" fontId="19" fillId="0" borderId="0" xfId="44" applyAlignment="1">
      <alignment wrapText="1"/>
    </xf>
    <xf numFmtId="0" fontId="19" fillId="0" borderId="0" xfId="44" applyAlignment="1">
      <alignment vertical="center" wrapText="1"/>
    </xf>
    <xf numFmtId="43" fontId="0" fillId="0" borderId="0" xfId="45" applyFont="1" applyFill="1" applyBorder="1" applyAlignment="1">
      <alignment vertical="center"/>
    </xf>
    <xf numFmtId="0" fontId="21" fillId="0" borderId="10" xfId="44" applyFont="1" applyBorder="1" applyAlignment="1">
      <alignment horizontal="left"/>
    </xf>
    <xf numFmtId="43" fontId="16" fillId="0" borderId="10" xfId="45" applyFont="1" applyFill="1" applyBorder="1"/>
    <xf numFmtId="0" fontId="19" fillId="0" borderId="0" xfId="44"/>
    <xf numFmtId="0" fontId="19" fillId="0" borderId="0" xfId="44" applyAlignment="1">
      <alignment vertical="center"/>
    </xf>
    <xf numFmtId="0" fontId="21" fillId="0" borderId="10" xfId="44" applyFont="1" applyBorder="1"/>
    <xf numFmtId="0" fontId="24" fillId="0" borderId="0" xfId="44" applyFont="1" applyAlignment="1">
      <alignment horizontal="left"/>
    </xf>
    <xf numFmtId="165" fontId="0" fillId="0" borderId="0" xfId="0" applyNumberFormat="1"/>
    <xf numFmtId="166" fontId="0" fillId="0" borderId="0" xfId="0" applyNumberFormat="1"/>
    <xf numFmtId="10" fontId="0" fillId="0" borderId="0" xfId="2" applyNumberFormat="1" applyFont="1" applyFill="1" applyBorder="1" applyAlignment="1">
      <alignment horizontal="right"/>
    </xf>
    <xf numFmtId="43" fontId="0" fillId="0" borderId="0" xfId="0" applyNumberFormat="1" applyAlignment="1">
      <alignment horizontal="right"/>
    </xf>
    <xf numFmtId="10" fontId="0" fillId="0" borderId="0" xfId="53" applyNumberFormat="1" applyFont="1" applyFill="1" applyBorder="1" applyAlignment="1">
      <alignment horizontal="right"/>
    </xf>
    <xf numFmtId="0" fontId="25" fillId="0" borderId="0" xfId="0" applyFont="1"/>
    <xf numFmtId="4" fontId="0" fillId="0" borderId="0" xfId="0" applyNumberFormat="1"/>
    <xf numFmtId="14" fontId="0" fillId="0" borderId="0" xfId="0" applyNumberFormat="1"/>
    <xf numFmtId="0" fontId="25" fillId="0" borderId="0" xfId="0" applyFont="1" applyAlignment="1">
      <alignment horizontal="right"/>
    </xf>
    <xf numFmtId="0" fontId="0" fillId="0" borderId="18" xfId="0" applyBorder="1"/>
    <xf numFmtId="0" fontId="25" fillId="0" borderId="0" xfId="0" applyFont="1" applyAlignment="1">
      <alignment horizontal="right" wrapText="1"/>
    </xf>
    <xf numFmtId="0" fontId="0" fillId="0" borderId="10" xfId="0" applyBorder="1"/>
    <xf numFmtId="4" fontId="0" fillId="0" borderId="10" xfId="0" applyNumberFormat="1" applyBorder="1"/>
    <xf numFmtId="43" fontId="0" fillId="0" borderId="17" xfId="45" applyFont="1" applyFill="1" applyBorder="1"/>
    <xf numFmtId="43" fontId="0" fillId="0" borderId="10" xfId="45" applyFont="1" applyFill="1" applyBorder="1"/>
    <xf numFmtId="43" fontId="0" fillId="0" borderId="0" xfId="45" applyFont="1" applyFill="1"/>
    <xf numFmtId="0" fontId="19" fillId="0" borderId="10" xfId="44" applyBorder="1" applyAlignment="1">
      <alignment horizontal="left"/>
    </xf>
    <xf numFmtId="43" fontId="19" fillId="0" borderId="0" xfId="44" applyNumberFormat="1"/>
    <xf numFmtId="0" fontId="20" fillId="0" borderId="0" xfId="44" applyFont="1" applyAlignment="1">
      <alignment horizontal="left"/>
    </xf>
    <xf numFmtId="0" fontId="20" fillId="0" borderId="0" xfId="44" applyFont="1"/>
    <xf numFmtId="0" fontId="20" fillId="0" borderId="0" xfId="44" applyFont="1" applyAlignment="1">
      <alignment horizontal="right"/>
    </xf>
    <xf numFmtId="0" fontId="19" fillId="0" borderId="0" xfId="44" applyAlignment="1">
      <alignment horizontal="right"/>
    </xf>
    <xf numFmtId="0" fontId="18" fillId="0" borderId="13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0" fillId="0" borderId="0" xfId="0" applyAlignment="1">
      <alignment wrapText="1"/>
    </xf>
    <xf numFmtId="43" fontId="25" fillId="0" borderId="0" xfId="1" applyFont="1" applyAlignment="1">
      <alignment horizontal="right"/>
    </xf>
    <xf numFmtId="43" fontId="0" fillId="0" borderId="18" xfId="0" applyNumberFormat="1" applyBorder="1"/>
    <xf numFmtId="43" fontId="0" fillId="34" borderId="0" xfId="1" applyFont="1" applyFill="1" applyBorder="1"/>
    <xf numFmtId="43" fontId="0" fillId="34" borderId="0" xfId="45" applyFont="1" applyFill="1" applyBorder="1"/>
    <xf numFmtId="0" fontId="14" fillId="0" borderId="0" xfId="0" applyFont="1"/>
    <xf numFmtId="43" fontId="16" fillId="0" borderId="10" xfId="0" applyNumberFormat="1" applyFont="1" applyBorder="1"/>
    <xf numFmtId="0" fontId="0" fillId="33" borderId="13" xfId="0" applyFill="1" applyBorder="1"/>
    <xf numFmtId="167" fontId="0" fillId="0" borderId="0" xfId="1" applyNumberFormat="1" applyFont="1"/>
    <xf numFmtId="43" fontId="0" fillId="0" borderId="23" xfId="0" applyNumberFormat="1" applyBorder="1"/>
    <xf numFmtId="164" fontId="0" fillId="0" borderId="0" xfId="49" applyFont="1" applyFill="1"/>
    <xf numFmtId="0" fontId="27" fillId="0" borderId="0" xfId="56" applyAlignment="1" applyProtection="1"/>
    <xf numFmtId="0" fontId="28" fillId="0" borderId="0" xfId="0" applyFont="1"/>
    <xf numFmtId="43" fontId="0" fillId="0" borderId="0" xfId="1" applyFont="1" applyFill="1"/>
    <xf numFmtId="0" fontId="0" fillId="0" borderId="24" xfId="0" applyBorder="1"/>
    <xf numFmtId="167" fontId="0" fillId="0" borderId="18" xfId="1" applyNumberFormat="1" applyFont="1" applyBorder="1"/>
    <xf numFmtId="167" fontId="0" fillId="0" borderId="0" xfId="1" applyNumberFormat="1" applyFont="1" applyBorder="1"/>
    <xf numFmtId="0" fontId="29" fillId="35" borderId="0" xfId="0" applyFont="1" applyFill="1"/>
    <xf numFmtId="0" fontId="0" fillId="35" borderId="0" xfId="0" applyFill="1"/>
    <xf numFmtId="4" fontId="0" fillId="0" borderId="0" xfId="1" applyNumberFormat="1" applyFont="1"/>
    <xf numFmtId="4" fontId="0" fillId="0" borderId="10" xfId="1" applyNumberFormat="1" applyFont="1" applyBorder="1"/>
    <xf numFmtId="0" fontId="18" fillId="0" borderId="0" xfId="0" applyFont="1" applyAlignment="1">
      <alignment horizontal="left"/>
    </xf>
    <xf numFmtId="43" fontId="0" fillId="36" borderId="0" xfId="0" applyNumberFormat="1" applyFill="1"/>
    <xf numFmtId="164" fontId="0" fillId="0" borderId="0" xfId="49" applyFont="1" applyBorder="1"/>
    <xf numFmtId="164" fontId="0" fillId="0" borderId="19" xfId="49" applyFont="1" applyFill="1" applyBorder="1"/>
    <xf numFmtId="0" fontId="30" fillId="0" borderId="0" xfId="51" applyFont="1"/>
    <xf numFmtId="0" fontId="31" fillId="0" borderId="0" xfId="51" applyFont="1"/>
    <xf numFmtId="14" fontId="0" fillId="0" borderId="0" xfId="0" applyNumberFormat="1" applyAlignment="1">
      <alignment horizontal="left"/>
    </xf>
    <xf numFmtId="0" fontId="32" fillId="0" borderId="0" xfId="0" applyFont="1"/>
    <xf numFmtId="0" fontId="33" fillId="0" borderId="0" xfId="0" applyFont="1"/>
    <xf numFmtId="4" fontId="19" fillId="0" borderId="0" xfId="51" applyNumberFormat="1"/>
    <xf numFmtId="0" fontId="21" fillId="0" borderId="10" xfId="51" applyFont="1" applyBorder="1"/>
    <xf numFmtId="164" fontId="21" fillId="0" borderId="10" xfId="51" applyNumberFormat="1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24" fillId="0" borderId="27" xfId="44" applyFont="1" applyBorder="1" applyAlignment="1">
      <alignment horizontal="right" wrapText="1"/>
    </xf>
    <xf numFmtId="14" fontId="24" fillId="0" borderId="28" xfId="44" applyNumberFormat="1" applyFont="1" applyBorder="1" applyAlignment="1">
      <alignment horizontal="right" wrapText="1"/>
    </xf>
    <xf numFmtId="43" fontId="0" fillId="0" borderId="27" xfId="45" applyFont="1" applyFill="1" applyBorder="1"/>
    <xf numFmtId="43" fontId="0" fillId="0" borderId="28" xfId="45" applyFont="1" applyFill="1" applyBorder="1"/>
    <xf numFmtId="43" fontId="0" fillId="0" borderId="27" xfId="45" applyFont="1" applyFill="1" applyBorder="1" applyAlignment="1">
      <alignment vertical="center"/>
    </xf>
    <xf numFmtId="43" fontId="0" fillId="0" borderId="28" xfId="45" applyFont="1" applyFill="1" applyBorder="1" applyAlignment="1">
      <alignment vertical="center"/>
    </xf>
    <xf numFmtId="43" fontId="16" fillId="0" borderId="29" xfId="45" applyFont="1" applyFill="1" applyBorder="1"/>
    <xf numFmtId="43" fontId="16" fillId="0" borderId="30" xfId="45" applyFont="1" applyFill="1" applyBorder="1"/>
    <xf numFmtId="0" fontId="0" fillId="0" borderId="31" xfId="0" applyBorder="1"/>
    <xf numFmtId="0" fontId="0" fillId="0" borderId="32" xfId="0" applyBorder="1"/>
    <xf numFmtId="168" fontId="0" fillId="0" borderId="0" xfId="0" applyNumberFormat="1"/>
    <xf numFmtId="0" fontId="16" fillId="0" borderId="0" xfId="0" applyFont="1" applyAlignment="1">
      <alignment horizontal="right"/>
    </xf>
    <xf numFmtId="14" fontId="16" fillId="0" borderId="0" xfId="0" applyNumberFormat="1" applyFont="1"/>
    <xf numFmtId="0" fontId="0" fillId="0" borderId="14" xfId="0" applyBorder="1" applyAlignment="1">
      <alignment horizontal="right"/>
    </xf>
    <xf numFmtId="10" fontId="0" fillId="0" borderId="15" xfId="2" applyNumberFormat="1" applyFont="1" applyFill="1" applyBorder="1" applyAlignment="1">
      <alignment horizontal="right"/>
    </xf>
    <xf numFmtId="43" fontId="0" fillId="0" borderId="15" xfId="0" applyNumberFormat="1" applyBorder="1" applyAlignment="1">
      <alignment horizontal="right"/>
    </xf>
    <xf numFmtId="0" fontId="0" fillId="0" borderId="15" xfId="0" applyBorder="1" applyAlignment="1">
      <alignment horizontal="right"/>
    </xf>
    <xf numFmtId="10" fontId="0" fillId="0" borderId="15" xfId="53" applyNumberFormat="1" applyFont="1" applyFill="1" applyBorder="1" applyAlignment="1">
      <alignment horizontal="right"/>
    </xf>
    <xf numFmtId="4" fontId="0" fillId="0" borderId="17" xfId="0" applyNumberFormat="1" applyBorder="1"/>
    <xf numFmtId="10" fontId="0" fillId="0" borderId="22" xfId="53" applyNumberFormat="1" applyFont="1" applyFill="1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0" fillId="0" borderId="22" xfId="0" applyBorder="1"/>
    <xf numFmtId="0" fontId="0" fillId="0" borderId="0" xfId="0" pivotButton="1"/>
    <xf numFmtId="0" fontId="0" fillId="0" borderId="20" xfId="0" applyBorder="1"/>
    <xf numFmtId="0" fontId="0" fillId="0" borderId="19" xfId="0" applyBorder="1"/>
    <xf numFmtId="0" fontId="27" fillId="0" borderId="0" xfId="56" applyBorder="1" applyAlignment="1" applyProtection="1"/>
    <xf numFmtId="0" fontId="0" fillId="33" borderId="17" xfId="0" applyFill="1" applyBorder="1"/>
    <xf numFmtId="43" fontId="0" fillId="0" borderId="33" xfId="0" applyNumberFormat="1" applyBorder="1"/>
    <xf numFmtId="0" fontId="0" fillId="33" borderId="15" xfId="0" applyFill="1" applyBorder="1"/>
    <xf numFmtId="0" fontId="0" fillId="33" borderId="22" xfId="0" applyFill="1" applyBorder="1"/>
    <xf numFmtId="43" fontId="0" fillId="33" borderId="15" xfId="0" applyNumberFormat="1" applyFill="1" applyBorder="1" applyAlignment="1">
      <alignment horizontal="right"/>
    </xf>
    <xf numFmtId="0" fontId="16" fillId="0" borderId="0" xfId="0" applyFont="1" applyAlignment="1">
      <alignment horizontal="left"/>
    </xf>
    <xf numFmtId="0" fontId="21" fillId="0" borderId="0" xfId="44" applyFont="1" applyAlignment="1">
      <alignment horizontal="left"/>
    </xf>
    <xf numFmtId="14" fontId="0" fillId="0" borderId="17" xfId="0" applyNumberFormat="1" applyBorder="1"/>
    <xf numFmtId="0" fontId="34" fillId="0" borderId="0" xfId="0" applyFont="1"/>
  </cellXfs>
  <cellStyles count="58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omma 2" xfId="45" xr:uid="{00000000-0005-0000-0000-00001C000000}"/>
    <cellStyle name="Comma 2 2" xfId="46" xr:uid="{00000000-0005-0000-0000-00001D000000}"/>
    <cellStyle name="Comma 2 3" xfId="55" xr:uid="{00000000-0005-0000-0000-00001E000000}"/>
    <cellStyle name="Comma 3" xfId="52" xr:uid="{00000000-0005-0000-0000-00001F000000}"/>
    <cellStyle name="Currency 2" xfId="47" xr:uid="{00000000-0005-0000-0000-000020000000}"/>
    <cellStyle name="Currency 2 2" xfId="48" xr:uid="{00000000-0005-0000-0000-000021000000}"/>
    <cellStyle name="Currency 3" xfId="49" xr:uid="{00000000-0005-0000-0000-000022000000}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56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4" xr:uid="{00000000-0005-0000-0000-00002E000000}"/>
    <cellStyle name="Normal 2 2" xfId="50" xr:uid="{00000000-0005-0000-0000-00002F000000}"/>
    <cellStyle name="Normal 3" xfId="51" xr:uid="{00000000-0005-0000-0000-000030000000}"/>
    <cellStyle name="Normal 4" xfId="54" xr:uid="{00000000-0005-0000-0000-000031000000}"/>
    <cellStyle name="Normal 4 2" xfId="57" xr:uid="{00000000-0005-0000-0000-000032000000}"/>
    <cellStyle name="Note" xfId="17" builtinId="10" customBuiltin="1"/>
    <cellStyle name="Output" xfId="12" builtinId="21" customBuiltin="1"/>
    <cellStyle name="Percent" xfId="2" builtinId="5"/>
    <cellStyle name="Percent 2" xfId="53" xr:uid="{00000000-0005-0000-0000-000036000000}"/>
    <cellStyle name="Title" xfId="3" builtinId="15" customBuiltin="1"/>
    <cellStyle name="Total" xfId="19" builtinId="25" customBuiltin="1"/>
    <cellStyle name="Warning Text" xfId="16" builtinId="11" customBuiltin="1"/>
  </cellStyles>
  <dxfs count="8"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9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14</xdr:row>
      <xdr:rowOff>96886</xdr:rowOff>
    </xdr:from>
    <xdr:to>
      <xdr:col>9</xdr:col>
      <xdr:colOff>571500</xdr:colOff>
      <xdr:row>33</xdr:row>
      <xdr:rowOff>172059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A8C7613-7702-EFD5-AD5D-DF4BDC5A1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3106786"/>
          <a:ext cx="8629650" cy="37041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41</xdr:row>
      <xdr:rowOff>152400</xdr:rowOff>
    </xdr:from>
    <xdr:to>
      <xdr:col>3</xdr:col>
      <xdr:colOff>390525</xdr:colOff>
      <xdr:row>45</xdr:row>
      <xdr:rowOff>57150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19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438900"/>
          <a:ext cx="3838575" cy="6667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0</xdr:colOff>
      <xdr:row>46</xdr:row>
      <xdr:rowOff>47625</xdr:rowOff>
    </xdr:from>
    <xdr:to>
      <xdr:col>4</xdr:col>
      <xdr:colOff>66675</xdr:colOff>
      <xdr:row>69</xdr:row>
      <xdr:rowOff>114300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19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7286625"/>
          <a:ext cx="5676900" cy="44481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5</xdr:col>
      <xdr:colOff>419100</xdr:colOff>
      <xdr:row>92</xdr:row>
      <xdr:rowOff>57150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19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1049000"/>
          <a:ext cx="7286625" cy="50101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nie Ping" refreshedDate="45034.658707523151" createdVersion="3" refreshedVersion="8" minRefreshableVersion="3" recordCount="3" xr:uid="{00000000-000A-0000-FFFF-FFFF02000000}">
  <cacheSource type="worksheet">
    <worksheetSource ref="A5:F8" sheet="Bank Statement"/>
  </cacheSource>
  <cacheFields count="6">
    <cacheField name="Date" numFmtId="14">
      <sharedItems containsSemiMixedTypes="0" containsNonDate="0" containsDate="1" containsString="0" minDate="2020-07-01T00:00:00" maxDate="2022-05-20T00:00:00"/>
    </cacheField>
    <cacheField name="Account" numFmtId="0">
      <sharedItems containsBlank="1" count="33">
        <s v="Opening"/>
        <s v="Accounting &amp; Audit fee"/>
        <s v="Super levy"/>
        <m u="1"/>
        <s v="Provision of Accounting" u="1"/>
        <s v="Provision for Supervisory levy" u="1"/>
        <s v="Filing Fee" u="1"/>
        <s v="Provision for Accounting fee" u="1"/>
        <s v="Investment - Shares" u="1"/>
        <s v="Bank Charge" u="1"/>
        <s v="Investment Property" u="1"/>
        <s v="Net Rent" u="1"/>
        <s v="Employer contribution" u="1"/>
        <s v="Other Income" u="1"/>
        <s v="Insurance" u="1"/>
        <s v="Provision of Super levy" u="1"/>
        <s v="Transfer to Maritimes Super" u="1"/>
        <s v="Water" u="1"/>
        <s v="Account receivable" u="1"/>
        <s v="Xfer" u="1"/>
        <s v="Rounding" u="1"/>
        <s v="Sales Deposit" u="1"/>
        <s v="Accounting &amp; Auditing fee" u="1"/>
        <s v="ASIC filing fee" u="1"/>
        <s v="Interest Expense" u="1"/>
        <s v="Income tax paid" u="1"/>
        <s v="Interest Income" u="1"/>
        <s v="Account Payable" u="1"/>
        <s v="Maritime Super rollover" u="1"/>
        <s v="Repairs &amp; Maintenance" u="1"/>
        <s v="Accounting fee" u="1"/>
        <s v="Postage" u="1"/>
        <s v="Council Rates" u="1"/>
      </sharedItems>
    </cacheField>
    <cacheField name="Bank" numFmtId="0">
      <sharedItems containsBlank="1"/>
    </cacheField>
    <cacheField name="Bank Account" numFmtId="0">
      <sharedItems containsBlank="1"/>
    </cacheField>
    <cacheField name="Description" numFmtId="0">
      <sharedItems containsBlank="1"/>
    </cacheField>
    <cacheField name="Dr/Cr" numFmtId="4">
      <sharedItems containsString="0" containsBlank="1" containsNumber="1" containsInteger="1" minValue="259" maxValue="1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d v="2020-07-01T00:00:00"/>
    <x v="0"/>
    <s v="CBA"/>
    <s v="CDIA"/>
    <m/>
    <m/>
  </r>
  <r>
    <d v="2022-05-19T00:00:00"/>
    <x v="1"/>
    <s v="CBA"/>
    <s v="CDIA"/>
    <s v="Law Little payment"/>
    <n v="1100"/>
  </r>
  <r>
    <d v="2022-05-19T00:00:00"/>
    <x v="2"/>
    <m/>
    <m/>
    <s v="Tax payment "/>
    <n v="2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200-000000000000}" name="PivotTable1" cacheId="4" applyNumberFormats="0" applyBorderFormats="0" applyFontFormats="0" applyPatternFormats="0" applyAlignmentFormats="0" applyWidthHeightFormats="1" dataCaption="Values" updatedVersion="8" minRefreshableVersion="3" showCalcMbrs="0" useAutoFormatting="1" itemPrintTitles="1" createdVersion="3" indent="0" outline="1" outlineData="1" multipleFieldFilters="0">
  <location ref="A3:B7" firstHeaderRow="1" firstDataRow="1" firstDataCol="1"/>
  <pivotFields count="6">
    <pivotField numFmtId="14" showAll="0"/>
    <pivotField axis="axisRow" showAll="0">
      <items count="34">
        <item m="1" x="9"/>
        <item m="1" x="12"/>
        <item m="1" x="14"/>
        <item m="1" x="24"/>
        <item m="1" x="26"/>
        <item m="1" x="11"/>
        <item x="0"/>
        <item m="1" x="17"/>
        <item m="1" x="19"/>
        <item m="1" x="8"/>
        <item m="1" x="3"/>
        <item m="1" x="32"/>
        <item m="1" x="29"/>
        <item m="1" x="28"/>
        <item m="1" x="21"/>
        <item m="1" x="31"/>
        <item m="1" x="30"/>
        <item m="1" x="23"/>
        <item m="1" x="22"/>
        <item m="1" x="5"/>
        <item m="1" x="6"/>
        <item m="1" x="18"/>
        <item m="1" x="16"/>
        <item m="1" x="27"/>
        <item x="1"/>
        <item m="1" x="7"/>
        <item m="1" x="25"/>
        <item m="1" x="10"/>
        <item m="1" x="13"/>
        <item m="1" x="20"/>
        <item m="1" x="15"/>
        <item m="1" x="4"/>
        <item x="2"/>
        <item t="default"/>
      </items>
    </pivotField>
    <pivotField showAll="0"/>
    <pivotField showAll="0"/>
    <pivotField showAll="0"/>
    <pivotField dataField="1" showAll="0"/>
  </pivotFields>
  <rowFields count="1">
    <field x="1"/>
  </rowFields>
  <rowItems count="4">
    <i>
      <x v="6"/>
    </i>
    <i>
      <x v="24"/>
    </i>
    <i>
      <x v="32"/>
    </i>
    <i t="grand">
      <x/>
    </i>
  </rowItems>
  <colItems count="1">
    <i/>
  </colItems>
  <dataFields count="1">
    <dataField name="Sum of Dr/Cr" fld="5" baseField="0" baseItem="0" numFmtId="4"/>
  </dataFields>
  <formats count="4">
    <format dxfId="7">
      <pivotArea grandRow="1" outline="0" collapsedLevelsAreSubtotals="1" fieldPosition="0"/>
    </format>
    <format dxfId="6">
      <pivotArea collapsedLevelsAreSubtotals="1" fieldPosition="0">
        <references count="1">
          <reference field="1" count="0"/>
        </references>
      </pivotArea>
    </format>
    <format dxfId="5">
      <pivotArea outline="0" collapsedLevelsAreSubtotals="1" fieldPosition="0"/>
    </format>
    <format dxfId="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rtlCol="0" anchor="ctr"/>
      <a:lstStyle>
        <a:defPPr algn="ctr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moneysmart.gov.au/superannuation-and-retirement/income-sources-in-retirement/income-from-super/transition-to-retirement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M15"/>
  <sheetViews>
    <sheetView tabSelected="1" workbookViewId="0">
      <selection activeCell="J9" sqref="J9"/>
    </sheetView>
  </sheetViews>
  <sheetFormatPr defaultRowHeight="15" x14ac:dyDescent="0.25"/>
  <cols>
    <col min="1" max="1" width="27.7109375" customWidth="1"/>
    <col min="2" max="2" width="10" bestFit="1" customWidth="1"/>
    <col min="3" max="3" width="13.28515625" bestFit="1" customWidth="1"/>
    <col min="4" max="4" width="12.42578125" customWidth="1"/>
    <col min="5" max="5" width="12" customWidth="1"/>
    <col min="6" max="6" width="10.85546875" customWidth="1"/>
    <col min="7" max="7" width="12.140625" customWidth="1"/>
    <col min="8" max="8" width="13.140625" customWidth="1"/>
    <col min="9" max="10" width="11.5703125" bestFit="1" customWidth="1"/>
    <col min="11" max="12" width="10.7109375" bestFit="1" customWidth="1"/>
    <col min="13" max="13" width="10.85546875" bestFit="1" customWidth="1"/>
  </cols>
  <sheetData>
    <row r="1" spans="1:13" x14ac:dyDescent="0.25">
      <c r="A1" s="35" t="s">
        <v>71</v>
      </c>
      <c r="B1" s="12"/>
      <c r="C1" s="12"/>
    </row>
    <row r="2" spans="1:13" x14ac:dyDescent="0.25">
      <c r="A2" s="35" t="s">
        <v>105</v>
      </c>
    </row>
    <row r="3" spans="1:13" x14ac:dyDescent="0.25">
      <c r="A3" s="35" t="s">
        <v>174</v>
      </c>
    </row>
    <row r="6" spans="1:13" x14ac:dyDescent="0.25">
      <c r="E6" s="1"/>
      <c r="F6" s="31" t="s">
        <v>53</v>
      </c>
      <c r="G6" s="31"/>
      <c r="H6" s="31" t="s">
        <v>54</v>
      </c>
      <c r="I6" s="31" t="s">
        <v>55</v>
      </c>
    </row>
    <row r="7" spans="1:13" x14ac:dyDescent="0.25">
      <c r="B7" s="31" t="s">
        <v>56</v>
      </c>
      <c r="C7" s="31" t="s">
        <v>56</v>
      </c>
      <c r="E7" s="2" t="s">
        <v>18</v>
      </c>
      <c r="F7" s="32">
        <v>44377</v>
      </c>
      <c r="G7" s="32">
        <v>44742</v>
      </c>
      <c r="H7" s="32">
        <v>44742</v>
      </c>
      <c r="I7" s="31" t="s">
        <v>58</v>
      </c>
    </row>
    <row r="8" spans="1:13" x14ac:dyDescent="0.25">
      <c r="A8" s="50" t="s">
        <v>51</v>
      </c>
      <c r="B8" s="53" t="s">
        <v>57</v>
      </c>
      <c r="C8" s="53" t="s">
        <v>81</v>
      </c>
      <c r="D8" s="53" t="s">
        <v>52</v>
      </c>
      <c r="E8" s="70" t="s">
        <v>59</v>
      </c>
      <c r="F8" s="53" t="s">
        <v>102</v>
      </c>
      <c r="G8" s="53" t="s">
        <v>57</v>
      </c>
      <c r="H8" s="53" t="s">
        <v>102</v>
      </c>
      <c r="I8" s="53" t="s">
        <v>60</v>
      </c>
    </row>
    <row r="9" spans="1:13" ht="39.75" customHeight="1" x14ac:dyDescent="0.25">
      <c r="A9" s="69" t="s">
        <v>80</v>
      </c>
      <c r="B9" s="46">
        <v>2.7892E-2</v>
      </c>
      <c r="C9" s="77">
        <v>110000</v>
      </c>
      <c r="D9" s="32">
        <v>41039</v>
      </c>
      <c r="E9" s="2">
        <v>30718.22</v>
      </c>
      <c r="F9" s="25">
        <v>1650</v>
      </c>
      <c r="G9" s="45">
        <v>1.4E-2</v>
      </c>
      <c r="H9" s="25">
        <f>ROUND(C9*G9,2)</f>
        <v>1540</v>
      </c>
      <c r="I9" s="1">
        <f>H9-F9</f>
        <v>-110</v>
      </c>
      <c r="J9" s="116"/>
    </row>
    <row r="10" spans="1:13" x14ac:dyDescent="0.25">
      <c r="C10" s="1"/>
    </row>
    <row r="11" spans="1:13" ht="15.75" thickBot="1" x14ac:dyDescent="0.3">
      <c r="A11" s="69"/>
      <c r="C11" s="25">
        <f>+C9*B9</f>
        <v>3068.12</v>
      </c>
      <c r="D11" s="31"/>
      <c r="E11" s="31"/>
      <c r="F11" s="75">
        <f>SUM(F9:F10)</f>
        <v>1650</v>
      </c>
      <c r="H11" s="75">
        <f>SUM(H9:H10)</f>
        <v>1540</v>
      </c>
      <c r="I11" s="75">
        <f>SUM(I9:I10)</f>
        <v>-110</v>
      </c>
    </row>
    <row r="12" spans="1:13" ht="15.75" thickTop="1" x14ac:dyDescent="0.25"/>
    <row r="14" spans="1:13" ht="15.75" thickBot="1" x14ac:dyDescent="0.3">
      <c r="G14" s="35"/>
      <c r="H14" s="117" t="s">
        <v>152</v>
      </c>
      <c r="I14" s="75">
        <f>SUM(I11:I12)</f>
        <v>-110</v>
      </c>
    </row>
    <row r="15" spans="1:13" ht="15.75" thickTop="1" x14ac:dyDescent="0.25">
      <c r="I15" s="25"/>
      <c r="M15" s="141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94" orientation="landscape" verticalDpi="200" r:id="rId1"/>
  <headerFooter>
    <oddFooter>&amp;R&amp;D; &amp;Z&amp;F : 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M128"/>
  <sheetViews>
    <sheetView topLeftCell="A43" workbookViewId="0">
      <selection activeCell="D100" sqref="D100"/>
    </sheetView>
  </sheetViews>
  <sheetFormatPr defaultRowHeight="15" x14ac:dyDescent="0.25"/>
  <cols>
    <col min="1" max="1" width="10.7109375" bestFit="1" customWidth="1"/>
    <col min="2" max="2" width="25.7109375" bestFit="1" customWidth="1"/>
    <col min="3" max="3" width="15.28515625" customWidth="1"/>
    <col min="4" max="4" width="32.42578125" bestFit="1" customWidth="1"/>
    <col min="5" max="5" width="18.85546875" bestFit="1" customWidth="1"/>
    <col min="6" max="6" width="6.5703125" bestFit="1" customWidth="1"/>
  </cols>
  <sheetData>
    <row r="1" spans="1:1" x14ac:dyDescent="0.25">
      <c r="A1" t="s">
        <v>71</v>
      </c>
    </row>
    <row r="2" spans="1:1" x14ac:dyDescent="0.25">
      <c r="A2" t="s">
        <v>110</v>
      </c>
    </row>
    <row r="4" spans="1:1" x14ac:dyDescent="0.25">
      <c r="A4" t="s">
        <v>116</v>
      </c>
    </row>
    <row r="5" spans="1:1" x14ac:dyDescent="0.25">
      <c r="A5" t="s">
        <v>117</v>
      </c>
    </row>
    <row r="7" spans="1:1" x14ac:dyDescent="0.25">
      <c r="A7" s="74" t="s">
        <v>121</v>
      </c>
    </row>
    <row r="9" spans="1:1" x14ac:dyDescent="0.25">
      <c r="A9" t="s">
        <v>118</v>
      </c>
    </row>
    <row r="11" spans="1:1" x14ac:dyDescent="0.25">
      <c r="A11" s="74" t="s">
        <v>122</v>
      </c>
    </row>
    <row r="13" spans="1:1" x14ac:dyDescent="0.25">
      <c r="A13" t="s">
        <v>119</v>
      </c>
    </row>
    <row r="14" spans="1:1" x14ac:dyDescent="0.25">
      <c r="A14" t="s">
        <v>120</v>
      </c>
    </row>
    <row r="16" spans="1:1" x14ac:dyDescent="0.25">
      <c r="A16" s="74" t="s">
        <v>123</v>
      </c>
    </row>
    <row r="20" spans="1:3" x14ac:dyDescent="0.25">
      <c r="A20" t="s">
        <v>124</v>
      </c>
    </row>
    <row r="22" spans="1:3" x14ac:dyDescent="0.25">
      <c r="A22" s="74" t="s">
        <v>128</v>
      </c>
    </row>
    <row r="24" spans="1:3" s="87" customFormat="1" ht="21" x14ac:dyDescent="0.35">
      <c r="A24" s="86" t="s">
        <v>141</v>
      </c>
    </row>
    <row r="26" spans="1:3" x14ac:dyDescent="0.25">
      <c r="A26" t="s">
        <v>131</v>
      </c>
    </row>
    <row r="27" spans="1:3" x14ac:dyDescent="0.25">
      <c r="A27" t="s">
        <v>132</v>
      </c>
    </row>
    <row r="28" spans="1:3" x14ac:dyDescent="0.25">
      <c r="A28" t="s">
        <v>133</v>
      </c>
    </row>
    <row r="29" spans="1:3" x14ac:dyDescent="0.25">
      <c r="A29" t="s">
        <v>134</v>
      </c>
    </row>
    <row r="31" spans="1:3" x14ac:dyDescent="0.25">
      <c r="A31" t="s">
        <v>136</v>
      </c>
      <c r="C31" s="77">
        <v>220000</v>
      </c>
    </row>
    <row r="32" spans="1:3" x14ac:dyDescent="0.25">
      <c r="A32" t="s">
        <v>137</v>
      </c>
      <c r="C32" s="77">
        <v>80000</v>
      </c>
    </row>
    <row r="33" spans="1:3" ht="15.75" thickBot="1" x14ac:dyDescent="0.3">
      <c r="C33" s="84">
        <f>SUM(C31:C32)</f>
        <v>300000</v>
      </c>
    </row>
    <row r="34" spans="1:3" x14ac:dyDescent="0.25">
      <c r="C34" s="85"/>
    </row>
    <row r="35" spans="1:3" x14ac:dyDescent="0.25">
      <c r="A35" t="s">
        <v>138</v>
      </c>
      <c r="C35" s="85">
        <v>50000</v>
      </c>
    </row>
    <row r="36" spans="1:3" ht="15.75" thickBot="1" x14ac:dyDescent="0.3">
      <c r="A36" s="54" t="s">
        <v>18</v>
      </c>
      <c r="B36" s="54"/>
      <c r="C36" s="84">
        <f>C33+C35</f>
        <v>350000</v>
      </c>
    </row>
    <row r="37" spans="1:3" x14ac:dyDescent="0.25">
      <c r="C37" s="85"/>
    </row>
    <row r="38" spans="1:3" x14ac:dyDescent="0.25">
      <c r="A38" t="s">
        <v>139</v>
      </c>
      <c r="C38" s="85">
        <f>C36*10%</f>
        <v>35000</v>
      </c>
    </row>
    <row r="39" spans="1:3" x14ac:dyDescent="0.25">
      <c r="C39" s="85"/>
    </row>
    <row r="40" spans="1:3" x14ac:dyDescent="0.25">
      <c r="A40" t="s">
        <v>140</v>
      </c>
      <c r="C40" s="85">
        <f>C38*0.24</f>
        <v>8400</v>
      </c>
    </row>
    <row r="41" spans="1:3" x14ac:dyDescent="0.25">
      <c r="C41" s="85"/>
    </row>
    <row r="94" spans="1:1" x14ac:dyDescent="0.25">
      <c r="A94" s="80" t="s">
        <v>135</v>
      </c>
    </row>
    <row r="125" spans="13:13" ht="21" x14ac:dyDescent="0.35">
      <c r="M125" s="98"/>
    </row>
    <row r="126" spans="13:13" ht="18.75" x14ac:dyDescent="0.3">
      <c r="M126" s="97"/>
    </row>
    <row r="128" spans="13:13" ht="18.75" x14ac:dyDescent="0.3">
      <c r="M128" s="97"/>
    </row>
  </sheetData>
  <hyperlinks>
    <hyperlink ref="A94" r:id="rId1" xr:uid="{00000000-0004-0000-1900-000000000000}"/>
  </hyperlinks>
  <pageMargins left="0.7" right="0.7" top="0.75" bottom="0.75" header="0.3" footer="0.3"/>
  <pageSetup paperSize="9" orientation="portrait" horizontalDpi="300" verticalDpi="200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300"/>
  <sheetViews>
    <sheetView workbookViewId="0">
      <selection activeCell="N12" sqref="N12"/>
    </sheetView>
  </sheetViews>
  <sheetFormatPr defaultRowHeight="15" x14ac:dyDescent="0.25"/>
  <sheetData>
    <row r="1" spans="1:1" x14ac:dyDescent="0.25">
      <c r="A1" t="s">
        <v>71</v>
      </c>
    </row>
    <row r="3" spans="1:1" x14ac:dyDescent="0.25">
      <c r="A3" s="22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3" spans="1:1" x14ac:dyDescent="0.25">
      <c r="A13" s="22" t="s">
        <v>48</v>
      </c>
    </row>
    <row r="14" spans="1:1" x14ac:dyDescent="0.25">
      <c r="A14" t="s">
        <v>42</v>
      </c>
    </row>
    <row r="15" spans="1:1" x14ac:dyDescent="0.25">
      <c r="A15" t="s">
        <v>43</v>
      </c>
    </row>
    <row r="16" spans="1:1" x14ac:dyDescent="0.25">
      <c r="A16" s="27" t="s">
        <v>44</v>
      </c>
    </row>
    <row r="17" spans="1:1" x14ac:dyDescent="0.25">
      <c r="A17" s="27" t="s">
        <v>45</v>
      </c>
    </row>
    <row r="18" spans="1:1" x14ac:dyDescent="0.25">
      <c r="A18" s="27" t="s">
        <v>49</v>
      </c>
    </row>
    <row r="19" spans="1:1" x14ac:dyDescent="0.25">
      <c r="A19" s="27" t="s">
        <v>50</v>
      </c>
    </row>
    <row r="20" spans="1:1" x14ac:dyDescent="0.25">
      <c r="A20" t="s">
        <v>46</v>
      </c>
    </row>
    <row r="21" spans="1:1" x14ac:dyDescent="0.25">
      <c r="A21" t="s">
        <v>47</v>
      </c>
    </row>
    <row r="82" spans="1:1" x14ac:dyDescent="0.25">
      <c r="A82" t="s">
        <v>41</v>
      </c>
    </row>
    <row r="136" spans="1:1" x14ac:dyDescent="0.25">
      <c r="A136" t="s">
        <v>37</v>
      </c>
    </row>
    <row r="191" spans="1:1" x14ac:dyDescent="0.25">
      <c r="A191" t="s">
        <v>38</v>
      </c>
    </row>
    <row r="245" spans="1:1" x14ac:dyDescent="0.25">
      <c r="A245" t="s">
        <v>39</v>
      </c>
    </row>
    <row r="300" spans="1:1" x14ac:dyDescent="0.25">
      <c r="A300" t="s">
        <v>40</v>
      </c>
    </row>
  </sheetData>
  <pageMargins left="0.7" right="0.7" top="0.75" bottom="0.75" header="0.3" footer="0.3"/>
  <pageSetup paperSize="9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D9"/>
  <sheetViews>
    <sheetView workbookViewId="0">
      <selection activeCell="N25" sqref="N25"/>
    </sheetView>
  </sheetViews>
  <sheetFormatPr defaultRowHeight="15" x14ac:dyDescent="0.25"/>
  <cols>
    <col min="1" max="1" width="14.28515625" bestFit="1" customWidth="1"/>
    <col min="2" max="2" width="14" customWidth="1"/>
    <col min="3" max="3" width="14.5703125" customWidth="1"/>
    <col min="4" max="4" width="18.140625" customWidth="1"/>
  </cols>
  <sheetData>
    <row r="1" spans="1:4" x14ac:dyDescent="0.25">
      <c r="A1" s="35" t="s">
        <v>71</v>
      </c>
    </row>
    <row r="2" spans="1:4" x14ac:dyDescent="0.25">
      <c r="A2" s="138" t="s">
        <v>174</v>
      </c>
    </row>
    <row r="3" spans="1:4" x14ac:dyDescent="0.25">
      <c r="A3" s="138" t="s">
        <v>106</v>
      </c>
    </row>
    <row r="4" spans="1:4" x14ac:dyDescent="0.25">
      <c r="A4" s="10"/>
    </row>
    <row r="5" spans="1:4" x14ac:dyDescent="0.25">
      <c r="A5" s="50" t="s">
        <v>0</v>
      </c>
      <c r="B5" s="50" t="s">
        <v>6</v>
      </c>
      <c r="C5" s="50" t="s">
        <v>91</v>
      </c>
      <c r="D5" s="55" t="s">
        <v>7</v>
      </c>
    </row>
    <row r="6" spans="1:4" x14ac:dyDescent="0.25">
      <c r="A6" s="96">
        <v>43646</v>
      </c>
      <c r="B6" t="s">
        <v>93</v>
      </c>
      <c r="C6" t="s">
        <v>94</v>
      </c>
      <c r="D6" s="51">
        <v>6427.11</v>
      </c>
    </row>
    <row r="7" spans="1:4" x14ac:dyDescent="0.25">
      <c r="A7" s="96"/>
      <c r="D7" s="51"/>
    </row>
    <row r="8" spans="1:4" ht="15.75" thickBot="1" x14ac:dyDescent="0.3">
      <c r="C8" s="56" t="s">
        <v>18</v>
      </c>
      <c r="D8" s="57">
        <f>SUM(D6:D7)</f>
        <v>6427.11</v>
      </c>
    </row>
    <row r="9" spans="1:4" ht="15.75" thickTop="1" x14ac:dyDescent="0.25"/>
  </sheetData>
  <pageMargins left="0.70866141732283472" right="0.23622047244094491" top="0.74803149606299213" bottom="0.74803149606299213" header="0.31496062992125984" footer="0.31496062992125984"/>
  <pageSetup paperSize="9" fitToHeight="0" orientation="portrait" verticalDpi="200" r:id="rId1"/>
  <headerFooter>
    <oddFooter>&amp;R&amp;D; &amp;Z&amp;F :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I44"/>
  <sheetViews>
    <sheetView topLeftCell="A5" workbookViewId="0">
      <selection activeCell="C40" sqref="C40"/>
    </sheetView>
  </sheetViews>
  <sheetFormatPr defaultRowHeight="15" x14ac:dyDescent="0.25"/>
  <cols>
    <col min="1" max="1" width="10.7109375" bestFit="1" customWidth="1"/>
    <col min="2" max="2" width="27.85546875" bestFit="1" customWidth="1"/>
    <col min="3" max="3" width="25.7109375" customWidth="1"/>
    <col min="4" max="4" width="16.28515625" customWidth="1"/>
    <col min="5" max="5" width="53.140625" bestFit="1" customWidth="1"/>
    <col min="6" max="6" width="11.5703125" style="51" bestFit="1" customWidth="1"/>
    <col min="7" max="7" width="13.140625" customWidth="1"/>
    <col min="8" max="8" width="14.5703125" customWidth="1"/>
    <col min="9" max="9" width="39.140625" bestFit="1" customWidth="1"/>
  </cols>
  <sheetData>
    <row r="1" spans="1:9" hidden="1" x14ac:dyDescent="0.25"/>
    <row r="2" spans="1:9" hidden="1" x14ac:dyDescent="0.25"/>
    <row r="3" spans="1:9" hidden="1" x14ac:dyDescent="0.25"/>
    <row r="4" spans="1:9" hidden="1" x14ac:dyDescent="0.25"/>
    <row r="5" spans="1:9" ht="30" x14ac:dyDescent="0.25">
      <c r="A5" s="50" t="s">
        <v>0</v>
      </c>
      <c r="B5" s="50" t="s">
        <v>3</v>
      </c>
      <c r="C5" s="81" t="s">
        <v>6</v>
      </c>
      <c r="D5" s="50" t="s">
        <v>91</v>
      </c>
      <c r="E5" s="50" t="s">
        <v>1</v>
      </c>
      <c r="F5" s="51" t="s">
        <v>5</v>
      </c>
      <c r="G5" s="55" t="s">
        <v>72</v>
      </c>
      <c r="H5" s="50" t="s">
        <v>97</v>
      </c>
    </row>
    <row r="6" spans="1:9" x14ac:dyDescent="0.25">
      <c r="A6" s="52">
        <v>44378</v>
      </c>
      <c r="B6" s="52" t="s">
        <v>92</v>
      </c>
      <c r="C6" t="s">
        <v>93</v>
      </c>
      <c r="D6" t="s">
        <v>94</v>
      </c>
      <c r="G6" s="51">
        <v>-7786.11</v>
      </c>
    </row>
    <row r="7" spans="1:9" x14ac:dyDescent="0.25">
      <c r="A7" s="52">
        <v>44700</v>
      </c>
      <c r="B7" t="s">
        <v>169</v>
      </c>
      <c r="C7" t="s">
        <v>93</v>
      </c>
      <c r="D7" t="s">
        <v>94</v>
      </c>
      <c r="E7" t="s">
        <v>162</v>
      </c>
      <c r="F7" s="51">
        <v>1100</v>
      </c>
      <c r="G7" s="51">
        <f>+G6+F7</f>
        <v>-6686.11</v>
      </c>
    </row>
    <row r="8" spans="1:9" ht="15.75" thickBot="1" x14ac:dyDescent="0.3">
      <c r="A8" s="140">
        <v>44700</v>
      </c>
      <c r="B8" s="8" t="s">
        <v>170</v>
      </c>
      <c r="C8" s="8"/>
      <c r="D8" s="8"/>
      <c r="E8" s="8" t="s">
        <v>161</v>
      </c>
      <c r="F8" s="124">
        <v>259</v>
      </c>
      <c r="G8" s="124">
        <f>+G7+F8</f>
        <v>-6427.11</v>
      </c>
      <c r="H8" s="8"/>
      <c r="I8" s="133" t="s">
        <v>175</v>
      </c>
    </row>
    <row r="9" spans="1:9" x14ac:dyDescent="0.25">
      <c r="A9" s="118"/>
    </row>
    <row r="40" spans="6:6" x14ac:dyDescent="0.25">
      <c r="F40"/>
    </row>
    <row r="41" spans="6:6" x14ac:dyDescent="0.25">
      <c r="F41"/>
    </row>
    <row r="43" spans="6:6" x14ac:dyDescent="0.25">
      <c r="F43"/>
    </row>
    <row r="44" spans="6:6" x14ac:dyDescent="0.25">
      <c r="F44"/>
    </row>
  </sheetData>
  <printOptions gridLines="1"/>
  <pageMargins left="0.70866141732283472" right="0.23622047244094491" top="0.74803149606299213" bottom="0.74803149606299213" header="0.31496062992125984" footer="0.31496062992125984"/>
  <pageSetup paperSize="9" scale="43" fitToHeight="0" orientation="portrait" verticalDpi="200" r:id="rId1"/>
  <headerFooter>
    <oddFooter>&amp;L&amp;D; &amp;Z&amp;F: &amp;A&amp;R&amp;D; &amp;Z&amp;F : &amp;A; 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3:B14"/>
  <sheetViews>
    <sheetView workbookViewId="0">
      <selection activeCell="O27" sqref="O27"/>
    </sheetView>
  </sheetViews>
  <sheetFormatPr defaultRowHeight="15" x14ac:dyDescent="0.25"/>
  <cols>
    <col min="1" max="1" width="21.85546875" bestFit="1" customWidth="1"/>
    <col min="2" max="2" width="12.28515625" style="88" customWidth="1"/>
  </cols>
  <sheetData>
    <row r="3" spans="1:2" x14ac:dyDescent="0.25">
      <c r="A3" s="129" t="s">
        <v>98</v>
      </c>
      <c r="B3" s="51" t="s">
        <v>100</v>
      </c>
    </row>
    <row r="4" spans="1:2" x14ac:dyDescent="0.25">
      <c r="A4" s="10" t="s">
        <v>92</v>
      </c>
      <c r="B4" s="51"/>
    </row>
    <row r="5" spans="1:2" x14ac:dyDescent="0.25">
      <c r="A5" s="10" t="s">
        <v>169</v>
      </c>
      <c r="B5" s="51">
        <v>1100</v>
      </c>
    </row>
    <row r="6" spans="1:2" x14ac:dyDescent="0.25">
      <c r="A6" s="10" t="s">
        <v>170</v>
      </c>
      <c r="B6" s="51">
        <v>259</v>
      </c>
    </row>
    <row r="7" spans="1:2" x14ac:dyDescent="0.25">
      <c r="A7" s="10" t="s">
        <v>99</v>
      </c>
      <c r="B7" s="51">
        <v>1359</v>
      </c>
    </row>
    <row r="8" spans="1:2" x14ac:dyDescent="0.25">
      <c r="B8"/>
    </row>
    <row r="9" spans="1:2" x14ac:dyDescent="0.25">
      <c r="B9" s="51"/>
    </row>
    <row r="10" spans="1:2" x14ac:dyDescent="0.25">
      <c r="B10" s="51"/>
    </row>
    <row r="11" spans="1:2" x14ac:dyDescent="0.25">
      <c r="A11" s="90" t="s">
        <v>129</v>
      </c>
      <c r="B11" s="51"/>
    </row>
    <row r="12" spans="1:2" x14ac:dyDescent="0.25">
      <c r="A12" t="s">
        <v>101</v>
      </c>
      <c r="B12" s="88">
        <f>+'Bank Statement'!G8-'Bank Statement'!G6</f>
        <v>1359</v>
      </c>
    </row>
    <row r="13" spans="1:2" ht="15.75" thickBot="1" x14ac:dyDescent="0.3">
      <c r="B13" s="89">
        <f>SUM(B12:B12)</f>
        <v>1359</v>
      </c>
    </row>
    <row r="14" spans="1:2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L62"/>
  <sheetViews>
    <sheetView workbookViewId="0">
      <selection activeCell="K27" sqref="K27"/>
    </sheetView>
  </sheetViews>
  <sheetFormatPr defaultRowHeight="15" x14ac:dyDescent="0.25"/>
  <cols>
    <col min="1" max="1" width="9.140625" style="10"/>
    <col min="2" max="2" width="65.85546875" bestFit="1" customWidth="1"/>
    <col min="3" max="3" width="12.28515625" bestFit="1" customWidth="1"/>
    <col min="4" max="4" width="11.5703125" bestFit="1" customWidth="1"/>
    <col min="5" max="5" width="10.28515625" customWidth="1"/>
    <col min="6" max="6" width="3.7109375" customWidth="1"/>
    <col min="7" max="7" width="34.42578125" bestFit="1" customWidth="1"/>
    <col min="8" max="8" width="12.140625" bestFit="1" customWidth="1"/>
    <col min="9" max="9" width="13.28515625" bestFit="1" customWidth="1"/>
    <col min="10" max="10" width="12.5703125" customWidth="1"/>
    <col min="11" max="11" width="13.140625" bestFit="1" customWidth="1"/>
    <col min="12" max="13" width="9.5703125" bestFit="1" customWidth="1"/>
  </cols>
  <sheetData>
    <row r="1" spans="1:9" x14ac:dyDescent="0.25">
      <c r="A1" s="35" t="s">
        <v>71</v>
      </c>
    </row>
    <row r="2" spans="1:9" x14ac:dyDescent="0.25">
      <c r="A2" s="138" t="s">
        <v>174</v>
      </c>
      <c r="C2" s="25"/>
      <c r="D2" s="25"/>
      <c r="G2" s="25"/>
    </row>
    <row r="3" spans="1:9" ht="15.75" thickBot="1" x14ac:dyDescent="0.3"/>
    <row r="4" spans="1:9" x14ac:dyDescent="0.25">
      <c r="A4" s="3"/>
      <c r="B4" s="76" t="s">
        <v>103</v>
      </c>
      <c r="C4" s="67"/>
      <c r="D4" s="4"/>
      <c r="E4" s="126"/>
    </row>
    <row r="5" spans="1:9" x14ac:dyDescent="0.25">
      <c r="A5" s="11"/>
      <c r="C5" s="68"/>
      <c r="E5" s="127"/>
    </row>
    <row r="6" spans="1:9" x14ac:dyDescent="0.25">
      <c r="A6" s="11">
        <v>309</v>
      </c>
      <c r="B6" t="s">
        <v>96</v>
      </c>
      <c r="C6" s="82"/>
      <c r="D6" s="6"/>
      <c r="E6" s="127"/>
    </row>
    <row r="7" spans="1:9" x14ac:dyDescent="0.25">
      <c r="A7" s="5" t="s">
        <v>9</v>
      </c>
      <c r="B7" t="s">
        <v>4</v>
      </c>
      <c r="C7" s="82"/>
      <c r="D7" s="6"/>
      <c r="E7" s="127"/>
    </row>
    <row r="8" spans="1:9" x14ac:dyDescent="0.25">
      <c r="A8" s="5">
        <v>300</v>
      </c>
      <c r="B8" t="s">
        <v>8</v>
      </c>
      <c r="C8" s="82">
        <f>+GETPIVOTDATA("Dr/Cr",'Bank Pivot'!$A$3,"Account","Accounting &amp; Audit fee")</f>
        <v>1100</v>
      </c>
      <c r="D8" s="6"/>
      <c r="E8" s="127"/>
    </row>
    <row r="9" spans="1:9" x14ac:dyDescent="0.25">
      <c r="A9" s="5">
        <v>453</v>
      </c>
      <c r="B9" t="s">
        <v>28</v>
      </c>
      <c r="C9" s="6">
        <v>259</v>
      </c>
      <c r="D9" s="6"/>
      <c r="E9" s="127"/>
      <c r="G9" s="22" t="s">
        <v>32</v>
      </c>
    </row>
    <row r="10" spans="1:9" x14ac:dyDescent="0.25">
      <c r="A10" s="11">
        <v>681</v>
      </c>
      <c r="B10" t="s">
        <v>101</v>
      </c>
      <c r="C10" s="82"/>
      <c r="D10" s="82">
        <f>+'Bank Pivot'!B12</f>
        <v>1359</v>
      </c>
      <c r="E10" s="127"/>
      <c r="G10" t="s">
        <v>4</v>
      </c>
      <c r="H10" s="23"/>
      <c r="I10" s="25">
        <f>+D7</f>
        <v>0</v>
      </c>
    </row>
    <row r="11" spans="1:9" x14ac:dyDescent="0.25">
      <c r="A11" s="11">
        <v>205</v>
      </c>
      <c r="B11" t="s">
        <v>167</v>
      </c>
      <c r="C11" s="82"/>
      <c r="D11" s="51"/>
      <c r="E11" s="127"/>
      <c r="G11" t="s">
        <v>166</v>
      </c>
      <c r="H11" s="23"/>
      <c r="I11" s="25">
        <v>0</v>
      </c>
    </row>
    <row r="12" spans="1:9" x14ac:dyDescent="0.25">
      <c r="A12" s="11">
        <v>701</v>
      </c>
      <c r="B12" t="s">
        <v>168</v>
      </c>
      <c r="C12" s="82"/>
      <c r="E12" s="127"/>
      <c r="G12" t="s">
        <v>8</v>
      </c>
      <c r="H12" s="25">
        <v>1100</v>
      </c>
      <c r="I12" s="24"/>
    </row>
    <row r="13" spans="1:9" ht="15.75" thickBot="1" x14ac:dyDescent="0.3">
      <c r="B13" s="56" t="s">
        <v>7</v>
      </c>
      <c r="C13" s="28">
        <f>SUM(C6:C11)</f>
        <v>1359</v>
      </c>
      <c r="D13" s="28">
        <f>SUM(D6:D12)</f>
        <v>1359</v>
      </c>
      <c r="E13" s="135" t="s">
        <v>142</v>
      </c>
      <c r="G13" t="s">
        <v>96</v>
      </c>
      <c r="H13" s="25">
        <v>0</v>
      </c>
    </row>
    <row r="14" spans="1:9" ht="16.5" thickTop="1" thickBot="1" x14ac:dyDescent="0.3">
      <c r="A14" s="7"/>
      <c r="B14" s="8"/>
      <c r="C14" s="29"/>
      <c r="D14" s="134">
        <f>D13-C13</f>
        <v>0</v>
      </c>
      <c r="E14" s="128"/>
      <c r="G14" t="s">
        <v>28</v>
      </c>
      <c r="H14" s="25">
        <v>259</v>
      </c>
      <c r="I14" s="24"/>
    </row>
    <row r="15" spans="1:9" x14ac:dyDescent="0.25">
      <c r="H15" s="25"/>
      <c r="I15" s="24"/>
    </row>
    <row r="16" spans="1:9" ht="15.75" thickBot="1" x14ac:dyDescent="0.3">
      <c r="H16" s="25"/>
      <c r="I16" s="25"/>
    </row>
    <row r="17" spans="1:12" ht="15.75" thickBot="1" x14ac:dyDescent="0.3">
      <c r="A17" s="3"/>
      <c r="B17" s="76" t="s">
        <v>172</v>
      </c>
      <c r="C17" s="4"/>
      <c r="D17" s="4"/>
      <c r="E17" s="119"/>
      <c r="G17" s="56" t="s">
        <v>33</v>
      </c>
      <c r="H17" s="26"/>
      <c r="I17" s="26">
        <f>SUM(I10:I14)-SUM(H12:H16)</f>
        <v>-1359</v>
      </c>
    </row>
    <row r="18" spans="1:12" ht="15.75" thickTop="1" x14ac:dyDescent="0.25">
      <c r="A18" s="5" t="s">
        <v>10</v>
      </c>
      <c r="B18" t="s">
        <v>75</v>
      </c>
      <c r="C18" s="6">
        <f>-I17</f>
        <v>1359</v>
      </c>
      <c r="D18" s="25"/>
      <c r="E18" s="120"/>
      <c r="H18" s="25"/>
      <c r="I18" s="25"/>
      <c r="L18" s="25"/>
    </row>
    <row r="19" spans="1:12" x14ac:dyDescent="0.25">
      <c r="A19" s="5" t="s">
        <v>11</v>
      </c>
      <c r="B19" t="s">
        <v>12</v>
      </c>
      <c r="C19" s="25"/>
      <c r="D19" s="25">
        <f>+C18</f>
        <v>1359</v>
      </c>
      <c r="E19" s="121"/>
      <c r="I19" s="25"/>
    </row>
    <row r="20" spans="1:12" ht="15.75" thickBot="1" x14ac:dyDescent="0.3">
      <c r="A20" s="7"/>
      <c r="B20" s="8"/>
      <c r="C20" s="9">
        <f>SUM(C18:C19)</f>
        <v>1359</v>
      </c>
      <c r="D20" s="9">
        <f>SUM(D18:D19)</f>
        <v>1359</v>
      </c>
      <c r="E20" s="136" t="s">
        <v>142</v>
      </c>
      <c r="G20" t="s">
        <v>111</v>
      </c>
      <c r="I20" s="91">
        <f>+'(A1) Shares Investment'!I14</f>
        <v>-110</v>
      </c>
      <c r="J20" t="s">
        <v>126</v>
      </c>
    </row>
    <row r="21" spans="1:12" ht="15.75" thickBot="1" x14ac:dyDescent="0.3">
      <c r="H21" s="25"/>
      <c r="I21" s="25"/>
      <c r="L21" s="25"/>
    </row>
    <row r="22" spans="1:12" ht="15.75" thickBot="1" x14ac:dyDescent="0.3">
      <c r="A22" s="3"/>
      <c r="B22" s="76" t="s">
        <v>173</v>
      </c>
      <c r="C22" s="4"/>
      <c r="D22" s="4"/>
      <c r="E22" s="119"/>
      <c r="G22" s="54" t="s">
        <v>112</v>
      </c>
      <c r="H22" s="54"/>
      <c r="I22" s="71">
        <f>I17+I20</f>
        <v>-1469</v>
      </c>
      <c r="L22" s="25"/>
    </row>
    <row r="23" spans="1:12" x14ac:dyDescent="0.25">
      <c r="A23" s="11" t="s">
        <v>76</v>
      </c>
      <c r="B23" t="s">
        <v>77</v>
      </c>
      <c r="C23" s="25"/>
      <c r="D23" s="25">
        <v>110</v>
      </c>
      <c r="E23" s="122"/>
    </row>
    <row r="24" spans="1:12" x14ac:dyDescent="0.25">
      <c r="A24" s="11" t="s">
        <v>78</v>
      </c>
      <c r="B24" t="s">
        <v>79</v>
      </c>
      <c r="C24" s="30">
        <f>+D23</f>
        <v>110</v>
      </c>
      <c r="D24" s="25"/>
      <c r="E24" s="122"/>
      <c r="I24" s="25"/>
    </row>
    <row r="25" spans="1:12" x14ac:dyDescent="0.25">
      <c r="A25" s="11" t="s">
        <v>10</v>
      </c>
      <c r="B25" t="s">
        <v>75</v>
      </c>
      <c r="C25" s="30">
        <f>+C24</f>
        <v>110</v>
      </c>
      <c r="D25" s="25"/>
      <c r="E25" s="123"/>
      <c r="G25" t="s">
        <v>154</v>
      </c>
      <c r="H25" s="25"/>
      <c r="I25" s="6">
        <v>0</v>
      </c>
      <c r="J25" t="s">
        <v>126</v>
      </c>
    </row>
    <row r="26" spans="1:12" x14ac:dyDescent="0.25">
      <c r="A26" s="11" t="s">
        <v>73</v>
      </c>
      <c r="B26" t="s">
        <v>87</v>
      </c>
      <c r="C26" s="25"/>
      <c r="D26" s="30">
        <f>+C25</f>
        <v>110</v>
      </c>
      <c r="E26" s="121"/>
      <c r="G26" t="s">
        <v>153</v>
      </c>
      <c r="I26" s="25">
        <v>0</v>
      </c>
    </row>
    <row r="27" spans="1:12" ht="15.75" thickBot="1" x14ac:dyDescent="0.3">
      <c r="A27" s="11"/>
      <c r="C27" s="28">
        <f>SUM(C23:C26)</f>
        <v>220</v>
      </c>
      <c r="D27" s="28">
        <f>SUM(D23:D26)</f>
        <v>220</v>
      </c>
      <c r="E27" s="137" t="s">
        <v>142</v>
      </c>
    </row>
    <row r="28" spans="1:12" ht="16.5" thickTop="1" thickBot="1" x14ac:dyDescent="0.3">
      <c r="A28" s="7"/>
      <c r="B28" s="8"/>
      <c r="C28" s="58"/>
      <c r="D28" s="58"/>
      <c r="E28" s="125"/>
      <c r="G28" s="56" t="s">
        <v>113</v>
      </c>
      <c r="H28" s="56"/>
      <c r="I28" s="26">
        <f>SUM(I22:I26)</f>
        <v>-1469</v>
      </c>
      <c r="J28" s="78"/>
      <c r="K28" s="83" t="s">
        <v>127</v>
      </c>
    </row>
    <row r="29" spans="1:12" x14ac:dyDescent="0.25">
      <c r="I29" s="25"/>
    </row>
    <row r="30" spans="1:12" x14ac:dyDescent="0.25">
      <c r="A30"/>
    </row>
    <row r="31" spans="1:12" x14ac:dyDescent="0.25">
      <c r="G31" s="82"/>
    </row>
    <row r="32" spans="1:12" x14ac:dyDescent="0.25">
      <c r="G32" s="25"/>
      <c r="H32" s="25"/>
    </row>
    <row r="33" spans="7:7" x14ac:dyDescent="0.25">
      <c r="G33" s="25"/>
    </row>
    <row r="34" spans="7:7" x14ac:dyDescent="0.25">
      <c r="G34" s="82"/>
    </row>
    <row r="35" spans="7:7" x14ac:dyDescent="0.25">
      <c r="G35" s="25"/>
    </row>
    <row r="36" spans="7:7" x14ac:dyDescent="0.25">
      <c r="G36" s="82"/>
    </row>
    <row r="51" spans="6:6" x14ac:dyDescent="0.25">
      <c r="F51" s="31"/>
    </row>
    <row r="52" spans="6:6" x14ac:dyDescent="0.25">
      <c r="F52" s="47"/>
    </row>
    <row r="53" spans="6:6" x14ac:dyDescent="0.25">
      <c r="F53" s="48"/>
    </row>
    <row r="54" spans="6:6" x14ac:dyDescent="0.25">
      <c r="F54" s="47"/>
    </row>
    <row r="56" spans="6:6" x14ac:dyDescent="0.25">
      <c r="F56" s="31"/>
    </row>
    <row r="57" spans="6:6" x14ac:dyDescent="0.25">
      <c r="F57" s="31"/>
    </row>
    <row r="58" spans="6:6" x14ac:dyDescent="0.25">
      <c r="F58" s="31"/>
    </row>
    <row r="59" spans="6:6" x14ac:dyDescent="0.25">
      <c r="F59" s="49"/>
    </row>
    <row r="60" spans="6:6" x14ac:dyDescent="0.25">
      <c r="F60" s="48"/>
    </row>
    <row r="61" spans="6:6" x14ac:dyDescent="0.25">
      <c r="F61" s="48"/>
    </row>
    <row r="62" spans="6:6" x14ac:dyDescent="0.25">
      <c r="F62" s="49"/>
    </row>
  </sheetData>
  <pageMargins left="0.70866141732283472" right="0.31496062992125984" top="0.43" bottom="0.4" header="0.31496062992125984" footer="0.16"/>
  <pageSetup paperSize="9" orientation="landscape" horizontalDpi="300" verticalDpi="200" r:id="rId1"/>
  <headerFooter>
    <oddFooter>&amp;R&amp;D; &amp;Z&amp;F: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H54"/>
  <sheetViews>
    <sheetView topLeftCell="A18" workbookViewId="0">
      <selection activeCell="L13" sqref="L13"/>
    </sheetView>
  </sheetViews>
  <sheetFormatPr defaultRowHeight="12.75" x14ac:dyDescent="0.2"/>
  <cols>
    <col min="1" max="1" width="15.28515625" style="12" customWidth="1"/>
    <col min="2" max="2" width="11.5703125" style="41" bestFit="1" customWidth="1"/>
    <col min="3" max="3" width="33.42578125" style="41" customWidth="1"/>
    <col min="4" max="4" width="11.5703125" style="41" bestFit="1" customWidth="1"/>
    <col min="5" max="5" width="15.5703125" style="41" bestFit="1" customWidth="1"/>
    <col min="6" max="6" width="10.5703125" style="41" bestFit="1" customWidth="1"/>
    <col min="7" max="8" width="11.5703125" style="41" bestFit="1" customWidth="1"/>
    <col min="9" max="16384" width="9.140625" style="41"/>
  </cols>
  <sheetData>
    <row r="1" spans="1:8" ht="15" x14ac:dyDescent="0.25">
      <c r="A1" s="35" t="s">
        <v>71</v>
      </c>
    </row>
    <row r="2" spans="1:8" x14ac:dyDescent="0.2">
      <c r="A2" s="139" t="s">
        <v>176</v>
      </c>
    </row>
    <row r="4" spans="1:8" ht="38.25" x14ac:dyDescent="0.2">
      <c r="B4" s="66" t="s">
        <v>104</v>
      </c>
      <c r="C4" s="13" t="s">
        <v>157</v>
      </c>
      <c r="D4" s="13" t="s">
        <v>2</v>
      </c>
      <c r="E4" s="13" t="s">
        <v>13</v>
      </c>
      <c r="F4" s="13" t="s">
        <v>14</v>
      </c>
      <c r="G4" s="13" t="s">
        <v>15</v>
      </c>
      <c r="H4" s="13" t="s">
        <v>16</v>
      </c>
    </row>
    <row r="5" spans="1:8" ht="15" x14ac:dyDescent="0.25">
      <c r="A5" s="12" t="s">
        <v>82</v>
      </c>
      <c r="B5" s="60">
        <v>10436.11</v>
      </c>
      <c r="C5" s="6">
        <v>0</v>
      </c>
      <c r="D5" s="6">
        <v>0</v>
      </c>
      <c r="E5" s="72">
        <v>-1359</v>
      </c>
      <c r="F5" s="30">
        <v>0</v>
      </c>
      <c r="G5" s="73">
        <v>-110</v>
      </c>
      <c r="H5" s="60">
        <f>SUM(B5:G5)</f>
        <v>8967.11</v>
      </c>
    </row>
    <row r="6" spans="1:8" ht="15.75" thickBot="1" x14ac:dyDescent="0.3">
      <c r="A6" s="61" t="s">
        <v>18</v>
      </c>
      <c r="B6" s="59">
        <f t="shared" ref="B6:H6" si="0">SUM(B5:B5)</f>
        <v>10436.11</v>
      </c>
      <c r="C6" s="59">
        <f t="shared" si="0"/>
        <v>0</v>
      </c>
      <c r="D6" s="59">
        <f t="shared" si="0"/>
        <v>0</v>
      </c>
      <c r="E6" s="59">
        <f t="shared" si="0"/>
        <v>-1359</v>
      </c>
      <c r="F6" s="59">
        <f t="shared" si="0"/>
        <v>0</v>
      </c>
      <c r="G6" s="59">
        <f t="shared" si="0"/>
        <v>-110</v>
      </c>
      <c r="H6" s="59">
        <f t="shared" si="0"/>
        <v>8967.11</v>
      </c>
    </row>
    <row r="7" spans="1:8" ht="13.5" thickTop="1" x14ac:dyDescent="0.2">
      <c r="A7" s="12" t="s">
        <v>17</v>
      </c>
    </row>
    <row r="8" spans="1:8" x14ac:dyDescent="0.2">
      <c r="F8" s="62"/>
    </row>
    <row r="10" spans="1:8" x14ac:dyDescent="0.2">
      <c r="A10" s="41" t="s">
        <v>19</v>
      </c>
      <c r="F10" s="62"/>
      <c r="G10" s="62"/>
    </row>
    <row r="12" spans="1:8" x14ac:dyDescent="0.2">
      <c r="A12" s="63" t="s">
        <v>20</v>
      </c>
      <c r="B12" s="64" t="s">
        <v>21</v>
      </c>
      <c r="C12" s="64" t="s">
        <v>22</v>
      </c>
      <c r="D12" s="65" t="s">
        <v>23</v>
      </c>
      <c r="E12" s="64" t="s">
        <v>24</v>
      </c>
    </row>
    <row r="13" spans="1:8" ht="15" x14ac:dyDescent="0.25">
      <c r="A13" s="12">
        <v>2012</v>
      </c>
      <c r="B13" s="21" t="s">
        <v>10</v>
      </c>
      <c r="C13" s="41" t="s">
        <v>25</v>
      </c>
      <c r="D13" s="30">
        <v>-1697.33</v>
      </c>
      <c r="E13" s="41" t="s">
        <v>85</v>
      </c>
      <c r="G13" s="62"/>
    </row>
    <row r="14" spans="1:8" ht="15" x14ac:dyDescent="0.25">
      <c r="A14" s="12">
        <v>2012</v>
      </c>
      <c r="B14" s="10" t="s">
        <v>74</v>
      </c>
      <c r="C14" t="s">
        <v>83</v>
      </c>
      <c r="D14" s="25">
        <v>33000</v>
      </c>
      <c r="E14" s="41" t="s">
        <v>84</v>
      </c>
    </row>
    <row r="15" spans="1:8" ht="15" x14ac:dyDescent="0.25">
      <c r="A15" s="12">
        <v>2012</v>
      </c>
      <c r="B15" s="21" t="s">
        <v>10</v>
      </c>
      <c r="C15" s="41" t="s">
        <v>25</v>
      </c>
      <c r="D15" s="6">
        <v>-9818.2199999999993</v>
      </c>
      <c r="E15" s="41" t="s">
        <v>86</v>
      </c>
    </row>
    <row r="16" spans="1:8" ht="15" x14ac:dyDescent="0.25">
      <c r="A16" s="12">
        <v>2013</v>
      </c>
      <c r="B16" s="10" t="s">
        <v>74</v>
      </c>
      <c r="C16" t="s">
        <v>95</v>
      </c>
      <c r="D16" s="6">
        <v>6125.49</v>
      </c>
      <c r="E16" s="41" t="s">
        <v>84</v>
      </c>
    </row>
    <row r="17" spans="1:5" ht="15" x14ac:dyDescent="0.25">
      <c r="A17" s="12">
        <v>2013</v>
      </c>
      <c r="B17" s="10" t="s">
        <v>74</v>
      </c>
      <c r="C17" t="s">
        <v>31</v>
      </c>
      <c r="D17" s="6">
        <v>200000</v>
      </c>
      <c r="E17" s="41" t="s">
        <v>84</v>
      </c>
    </row>
    <row r="18" spans="1:5" ht="15" x14ac:dyDescent="0.25">
      <c r="A18" s="12">
        <v>2013</v>
      </c>
      <c r="B18" s="21" t="s">
        <v>10</v>
      </c>
      <c r="C18" t="s">
        <v>75</v>
      </c>
      <c r="D18" s="6">
        <v>-9300.64</v>
      </c>
      <c r="E18" s="41" t="s">
        <v>85</v>
      </c>
    </row>
    <row r="19" spans="1:5" ht="15" x14ac:dyDescent="0.25">
      <c r="A19" s="12">
        <v>2013</v>
      </c>
      <c r="B19" s="10" t="s">
        <v>10</v>
      </c>
      <c r="C19" t="s">
        <v>75</v>
      </c>
      <c r="D19" s="30">
        <v>-13200</v>
      </c>
      <c r="E19" s="41" t="s">
        <v>86</v>
      </c>
    </row>
    <row r="20" spans="1:5" ht="15" x14ac:dyDescent="0.25">
      <c r="A20" s="12">
        <v>2014</v>
      </c>
      <c r="B20" s="10" t="s">
        <v>74</v>
      </c>
      <c r="C20" t="s">
        <v>95</v>
      </c>
      <c r="D20" s="6">
        <v>1184.3</v>
      </c>
      <c r="E20" s="41" t="s">
        <v>84</v>
      </c>
    </row>
    <row r="21" spans="1:5" ht="15" x14ac:dyDescent="0.25">
      <c r="A21" s="12">
        <v>2014</v>
      </c>
      <c r="B21" s="10" t="s">
        <v>74</v>
      </c>
      <c r="C21" t="s">
        <v>31</v>
      </c>
      <c r="D21" s="6">
        <v>11000</v>
      </c>
      <c r="E21" s="41" t="s">
        <v>84</v>
      </c>
    </row>
    <row r="22" spans="1:5" ht="15" x14ac:dyDescent="0.25">
      <c r="A22" s="12">
        <v>2014</v>
      </c>
      <c r="B22" s="21" t="s">
        <v>10</v>
      </c>
      <c r="C22" t="s">
        <v>75</v>
      </c>
      <c r="D22" s="6">
        <v>-14012.74</v>
      </c>
      <c r="E22" s="41" t="s">
        <v>85</v>
      </c>
    </row>
    <row r="23" spans="1:5" ht="15" x14ac:dyDescent="0.25">
      <c r="A23" s="12">
        <v>2014</v>
      </c>
      <c r="B23" s="10" t="s">
        <v>10</v>
      </c>
      <c r="C23" t="s">
        <v>75</v>
      </c>
      <c r="D23" s="30">
        <v>-5500</v>
      </c>
      <c r="E23" s="41" t="s">
        <v>86</v>
      </c>
    </row>
    <row r="24" spans="1:5" ht="15" x14ac:dyDescent="0.25">
      <c r="A24" s="12">
        <v>2015</v>
      </c>
      <c r="B24" s="21" t="s">
        <v>74</v>
      </c>
      <c r="C24" s="41" t="s">
        <v>95</v>
      </c>
      <c r="D24" s="6">
        <v>1795.45</v>
      </c>
      <c r="E24" s="41" t="s">
        <v>84</v>
      </c>
    </row>
    <row r="25" spans="1:5" ht="15" x14ac:dyDescent="0.25">
      <c r="A25" s="12">
        <v>2015</v>
      </c>
      <c r="B25" s="41" t="s">
        <v>74</v>
      </c>
      <c r="C25" s="41" t="s">
        <v>31</v>
      </c>
      <c r="D25" s="6">
        <v>10000</v>
      </c>
      <c r="E25" s="41" t="s">
        <v>84</v>
      </c>
    </row>
    <row r="26" spans="1:5" ht="15" x14ac:dyDescent="0.25">
      <c r="A26" s="12">
        <v>2015</v>
      </c>
      <c r="B26" s="21" t="s">
        <v>10</v>
      </c>
      <c r="C26" t="s">
        <v>75</v>
      </c>
      <c r="D26" s="6">
        <v>-7111.79</v>
      </c>
      <c r="E26" s="41" t="s">
        <v>85</v>
      </c>
    </row>
    <row r="27" spans="1:5" ht="15" x14ac:dyDescent="0.25">
      <c r="A27" s="12">
        <v>2015</v>
      </c>
      <c r="B27" s="10" t="s">
        <v>10</v>
      </c>
      <c r="C27" t="s">
        <v>75</v>
      </c>
      <c r="D27" s="6">
        <v>20900</v>
      </c>
      <c r="E27" s="41" t="s">
        <v>114</v>
      </c>
    </row>
    <row r="28" spans="1:5" ht="15" x14ac:dyDescent="0.25">
      <c r="A28" s="12">
        <v>2015</v>
      </c>
      <c r="B28" s="21" t="s">
        <v>74</v>
      </c>
      <c r="C28" s="41" t="s">
        <v>125</v>
      </c>
      <c r="D28" s="6">
        <v>232.85</v>
      </c>
      <c r="E28" s="41" t="s">
        <v>84</v>
      </c>
    </row>
    <row r="29" spans="1:5" ht="15" x14ac:dyDescent="0.25">
      <c r="A29" s="12">
        <v>2016</v>
      </c>
      <c r="B29" s="21" t="s">
        <v>74</v>
      </c>
      <c r="C29" s="41" t="s">
        <v>95</v>
      </c>
      <c r="D29" s="6">
        <v>3614.4</v>
      </c>
      <c r="E29" s="41" t="s">
        <v>84</v>
      </c>
    </row>
    <row r="30" spans="1:5" ht="15" x14ac:dyDescent="0.25">
      <c r="A30" s="12">
        <v>2016</v>
      </c>
      <c r="B30" s="41" t="s">
        <v>74</v>
      </c>
      <c r="C30" s="41" t="s">
        <v>31</v>
      </c>
      <c r="D30" s="6">
        <v>8000</v>
      </c>
      <c r="E30" s="41" t="s">
        <v>84</v>
      </c>
    </row>
    <row r="31" spans="1:5" ht="15" x14ac:dyDescent="0.25">
      <c r="A31" s="12">
        <v>2016</v>
      </c>
      <c r="B31" s="21" t="s">
        <v>10</v>
      </c>
      <c r="C31" t="s">
        <v>75</v>
      </c>
      <c r="D31" s="6">
        <v>-6020.37</v>
      </c>
      <c r="E31" s="41" t="s">
        <v>85</v>
      </c>
    </row>
    <row r="32" spans="1:5" ht="15" x14ac:dyDescent="0.25">
      <c r="A32" s="12">
        <v>2016</v>
      </c>
      <c r="B32" s="10" t="s">
        <v>10</v>
      </c>
      <c r="C32" t="s">
        <v>75</v>
      </c>
      <c r="D32" s="6">
        <v>-8400.9500000000007</v>
      </c>
      <c r="E32" s="41" t="s">
        <v>114</v>
      </c>
    </row>
    <row r="33" spans="1:5" ht="15" x14ac:dyDescent="0.25">
      <c r="A33" s="12">
        <v>2016</v>
      </c>
      <c r="B33" s="21" t="s">
        <v>74</v>
      </c>
      <c r="C33" s="41" t="s">
        <v>125</v>
      </c>
      <c r="D33" s="6">
        <v>99</v>
      </c>
      <c r="E33" s="41" t="s">
        <v>84</v>
      </c>
    </row>
    <row r="34" spans="1:5" ht="15" x14ac:dyDescent="0.25">
      <c r="A34" s="12">
        <v>2017</v>
      </c>
      <c r="B34" s="21" t="s">
        <v>74</v>
      </c>
      <c r="C34" s="41" t="s">
        <v>95</v>
      </c>
      <c r="D34" s="6">
        <v>3228.23</v>
      </c>
      <c r="E34" s="41" t="s">
        <v>84</v>
      </c>
    </row>
    <row r="35" spans="1:5" ht="15" x14ac:dyDescent="0.25">
      <c r="A35" s="12">
        <v>2017</v>
      </c>
      <c r="B35" s="41" t="s">
        <v>74</v>
      </c>
      <c r="C35" s="41" t="s">
        <v>31</v>
      </c>
      <c r="D35" s="6">
        <v>10000</v>
      </c>
      <c r="E35" s="41" t="s">
        <v>84</v>
      </c>
    </row>
    <row r="36" spans="1:5" ht="15" x14ac:dyDescent="0.25">
      <c r="A36" s="12">
        <v>2017</v>
      </c>
      <c r="B36" s="21" t="s">
        <v>10</v>
      </c>
      <c r="C36" t="s">
        <v>75</v>
      </c>
      <c r="D36" s="6">
        <v>49394.27</v>
      </c>
      <c r="E36" s="41" t="s">
        <v>147</v>
      </c>
    </row>
    <row r="37" spans="1:5" ht="15" x14ac:dyDescent="0.25">
      <c r="A37" s="12">
        <v>2017</v>
      </c>
      <c r="B37" s="10" t="s">
        <v>10</v>
      </c>
      <c r="C37" t="s">
        <v>75</v>
      </c>
      <c r="D37" s="6">
        <v>-1132.3800000000001</v>
      </c>
      <c r="E37" s="41" t="s">
        <v>114</v>
      </c>
    </row>
    <row r="38" spans="1:5" ht="15" x14ac:dyDescent="0.25">
      <c r="A38" s="12">
        <v>2018</v>
      </c>
      <c r="B38" s="10" t="s">
        <v>156</v>
      </c>
      <c r="C38" s="41" t="s">
        <v>31</v>
      </c>
      <c r="D38" s="6">
        <v>-249766.78</v>
      </c>
      <c r="E38" s="41" t="s">
        <v>84</v>
      </c>
    </row>
    <row r="39" spans="1:5" ht="15" x14ac:dyDescent="0.25">
      <c r="A39" s="12">
        <v>2018</v>
      </c>
      <c r="B39" s="21" t="s">
        <v>10</v>
      </c>
      <c r="C39" t="s">
        <v>75</v>
      </c>
      <c r="D39" s="6">
        <v>-6823.69</v>
      </c>
      <c r="E39" s="41" t="s">
        <v>163</v>
      </c>
    </row>
    <row r="40" spans="1:5" ht="15" x14ac:dyDescent="0.25">
      <c r="A40" s="12">
        <v>2018</v>
      </c>
      <c r="B40" s="10" t="s">
        <v>10</v>
      </c>
      <c r="C40" t="s">
        <v>75</v>
      </c>
      <c r="D40" s="6">
        <v>183.33</v>
      </c>
      <c r="E40" s="41" t="s">
        <v>164</v>
      </c>
    </row>
    <row r="41" spans="1:5" ht="15" x14ac:dyDescent="0.25">
      <c r="A41" s="12">
        <v>2018</v>
      </c>
      <c r="B41" s="10" t="s">
        <v>155</v>
      </c>
      <c r="C41" s="41" t="s">
        <v>125</v>
      </c>
      <c r="D41" s="6">
        <v>-705.3</v>
      </c>
      <c r="E41" s="41" t="s">
        <v>158</v>
      </c>
    </row>
    <row r="42" spans="1:5" ht="15" x14ac:dyDescent="0.25">
      <c r="A42" s="12">
        <v>2019</v>
      </c>
      <c r="B42" s="21" t="s">
        <v>10</v>
      </c>
      <c r="C42" t="s">
        <v>75</v>
      </c>
      <c r="D42" s="6">
        <v>-1459.25</v>
      </c>
      <c r="E42" s="41" t="s">
        <v>163</v>
      </c>
    </row>
    <row r="43" spans="1:5" ht="15" x14ac:dyDescent="0.25">
      <c r="A43" s="12">
        <v>2019</v>
      </c>
      <c r="B43" s="10" t="s">
        <v>10</v>
      </c>
      <c r="C43" t="s">
        <v>75</v>
      </c>
      <c r="D43" s="6">
        <v>825</v>
      </c>
      <c r="E43" s="41" t="s">
        <v>164</v>
      </c>
    </row>
    <row r="44" spans="1:5" ht="15" x14ac:dyDescent="0.25">
      <c r="A44" s="12">
        <v>2020</v>
      </c>
      <c r="B44" s="21" t="s">
        <v>10</v>
      </c>
      <c r="C44" t="s">
        <v>75</v>
      </c>
      <c r="D44" s="6">
        <v>87.23</v>
      </c>
      <c r="E44" s="41" t="s">
        <v>163</v>
      </c>
    </row>
    <row r="45" spans="1:5" ht="15" x14ac:dyDescent="0.25">
      <c r="A45" s="12">
        <v>2020</v>
      </c>
      <c r="B45" s="10" t="s">
        <v>10</v>
      </c>
      <c r="C45" t="s">
        <v>75</v>
      </c>
      <c r="D45" s="6">
        <v>-13475</v>
      </c>
      <c r="E45" s="41" t="s">
        <v>164</v>
      </c>
    </row>
    <row r="46" spans="1:5" ht="15" x14ac:dyDescent="0.25">
      <c r="A46" s="12">
        <v>2021</v>
      </c>
      <c r="B46" s="21" t="s">
        <v>10</v>
      </c>
      <c r="C46" t="s">
        <v>75</v>
      </c>
      <c r="D46" s="6">
        <v>-1359</v>
      </c>
      <c r="E46" s="41" t="s">
        <v>163</v>
      </c>
    </row>
    <row r="47" spans="1:5" ht="15" x14ac:dyDescent="0.25">
      <c r="A47" s="12">
        <v>2021</v>
      </c>
      <c r="B47" s="10" t="s">
        <v>10</v>
      </c>
      <c r="C47" t="s">
        <v>75</v>
      </c>
      <c r="D47" s="6">
        <v>550</v>
      </c>
      <c r="E47" s="41" t="s">
        <v>164</v>
      </c>
    </row>
    <row r="48" spans="1:5" ht="15" x14ac:dyDescent="0.25">
      <c r="A48" s="12">
        <v>2022</v>
      </c>
      <c r="B48" s="21" t="s">
        <v>10</v>
      </c>
      <c r="C48" t="s">
        <v>75</v>
      </c>
      <c r="D48" s="6">
        <v>-1359</v>
      </c>
      <c r="E48" s="41" t="s">
        <v>163</v>
      </c>
    </row>
    <row r="49" spans="1:5" ht="15" x14ac:dyDescent="0.25">
      <c r="A49" s="12">
        <v>2022</v>
      </c>
      <c r="B49" s="10" t="s">
        <v>10</v>
      </c>
      <c r="C49" t="s">
        <v>75</v>
      </c>
      <c r="D49" s="6">
        <v>-110</v>
      </c>
      <c r="E49" s="41" t="s">
        <v>164</v>
      </c>
    </row>
    <row r="50" spans="1:5" ht="15" x14ac:dyDescent="0.25">
      <c r="B50" s="10"/>
      <c r="C50"/>
      <c r="D50" s="6"/>
    </row>
    <row r="51" spans="1:5" ht="15" x14ac:dyDescent="0.25">
      <c r="B51" s="10"/>
      <c r="C51"/>
      <c r="D51" s="6"/>
    </row>
    <row r="53" spans="1:5" ht="15.75" thickBot="1" x14ac:dyDescent="0.3">
      <c r="D53" s="59">
        <f>SUM(D13:D52)</f>
        <v>8967.1100000000115</v>
      </c>
    </row>
    <row r="54" spans="1:5" ht="13.5" thickTop="1" x14ac:dyDescent="0.2"/>
  </sheetData>
  <printOptions gridLines="1"/>
  <pageMargins left="0.70866141732283472" right="0.31" top="0.74803149606299213" bottom="0.74803149606299213" header="0.31496062992125984" footer="0.31496062992125984"/>
  <pageSetup paperSize="9" orientation="portrait" horizontalDpi="300" verticalDpi="200" r:id="rId1"/>
  <headerFooter>
    <oddFooter>&amp;R&amp;D; &amp;Z&amp;F :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U21"/>
  <sheetViews>
    <sheetView workbookViewId="0">
      <selection activeCell="H5" sqref="H5"/>
    </sheetView>
  </sheetViews>
  <sheetFormatPr defaultRowHeight="15" x14ac:dyDescent="0.25"/>
  <cols>
    <col min="1" max="1" width="11.42578125" customWidth="1"/>
    <col min="2" max="2" width="26.28515625" customWidth="1"/>
    <col min="3" max="3" width="12" customWidth="1"/>
    <col min="4" max="4" width="13" customWidth="1"/>
    <col min="5" max="5" width="12" customWidth="1"/>
    <col min="6" max="6" width="13" customWidth="1"/>
    <col min="7" max="7" width="12" customWidth="1"/>
    <col min="8" max="16" width="13" customWidth="1"/>
    <col min="17" max="17" width="11.5703125" bestFit="1" customWidth="1"/>
    <col min="18" max="18" width="13" customWidth="1"/>
    <col min="19" max="21" width="10.5703125" bestFit="1" customWidth="1"/>
  </cols>
  <sheetData>
    <row r="1" spans="1:21" x14ac:dyDescent="0.25">
      <c r="A1" s="35" t="s">
        <v>71</v>
      </c>
    </row>
    <row r="2" spans="1:21" x14ac:dyDescent="0.25">
      <c r="A2" s="35" t="s">
        <v>70</v>
      </c>
      <c r="G2" s="102"/>
      <c r="H2" s="103"/>
      <c r="I2" s="102"/>
      <c r="J2" s="103"/>
      <c r="K2" s="102"/>
      <c r="L2" s="103"/>
      <c r="M2" s="102"/>
      <c r="N2" s="103"/>
      <c r="O2" s="102"/>
      <c r="P2" s="130"/>
      <c r="Q2" s="103"/>
      <c r="R2" s="103"/>
      <c r="S2" s="103"/>
      <c r="T2" s="103"/>
      <c r="U2" s="103"/>
    </row>
    <row r="3" spans="1:21" x14ac:dyDescent="0.25">
      <c r="G3" s="104"/>
      <c r="H3" s="105"/>
      <c r="I3" s="104"/>
      <c r="J3" s="105"/>
      <c r="K3" s="104"/>
      <c r="L3" s="105"/>
      <c r="M3" s="104"/>
      <c r="N3" s="105"/>
      <c r="O3" s="104"/>
      <c r="Q3" s="105"/>
      <c r="R3" s="105"/>
      <c r="S3" s="105"/>
      <c r="T3" s="105"/>
      <c r="U3" s="105"/>
    </row>
    <row r="4" spans="1:21" ht="26.25" x14ac:dyDescent="0.25">
      <c r="C4" s="33" t="s">
        <v>88</v>
      </c>
      <c r="D4" s="34">
        <v>41090</v>
      </c>
      <c r="E4" s="33" t="s">
        <v>107</v>
      </c>
      <c r="F4" s="34">
        <v>41455</v>
      </c>
      <c r="G4" s="106" t="s">
        <v>109</v>
      </c>
      <c r="H4" s="107">
        <v>41820</v>
      </c>
      <c r="I4" s="106" t="s">
        <v>115</v>
      </c>
      <c r="J4" s="107">
        <v>42185</v>
      </c>
      <c r="K4" s="106" t="s">
        <v>130</v>
      </c>
      <c r="L4" s="107">
        <v>42551</v>
      </c>
      <c r="M4" s="106" t="s">
        <v>143</v>
      </c>
      <c r="N4" s="107">
        <v>42916</v>
      </c>
      <c r="O4" s="106" t="s">
        <v>159</v>
      </c>
      <c r="P4" s="33" t="s">
        <v>160</v>
      </c>
      <c r="Q4" s="107">
        <v>43281</v>
      </c>
      <c r="R4" s="107">
        <v>43646</v>
      </c>
      <c r="S4" s="107">
        <v>44012</v>
      </c>
      <c r="T4" s="107">
        <v>44377</v>
      </c>
      <c r="U4" s="107">
        <v>44742</v>
      </c>
    </row>
    <row r="5" spans="1:21" x14ac:dyDescent="0.25">
      <c r="A5" s="44" t="s">
        <v>108</v>
      </c>
      <c r="G5" s="104"/>
      <c r="H5" s="105"/>
      <c r="I5" s="104"/>
      <c r="J5" s="105"/>
      <c r="K5" s="104"/>
      <c r="L5" s="105"/>
      <c r="M5" s="104"/>
      <c r="N5" s="105"/>
      <c r="O5" s="104"/>
      <c r="Q5" s="105"/>
      <c r="R5" s="105"/>
      <c r="S5" s="105"/>
      <c r="T5" s="105"/>
      <c r="U5" s="105"/>
    </row>
    <row r="6" spans="1:21" x14ac:dyDescent="0.25">
      <c r="A6" s="35" t="s">
        <v>61</v>
      </c>
      <c r="G6" s="104"/>
      <c r="H6" s="105"/>
      <c r="I6" s="104"/>
      <c r="J6" s="105"/>
      <c r="K6" s="104"/>
      <c r="L6" s="105"/>
      <c r="M6" s="104"/>
      <c r="N6" s="105"/>
      <c r="O6" s="104"/>
      <c r="Q6" s="105"/>
      <c r="R6" s="105"/>
      <c r="S6" s="105"/>
      <c r="T6" s="105"/>
      <c r="U6" s="105"/>
    </row>
    <row r="7" spans="1:21" x14ac:dyDescent="0.25">
      <c r="B7" s="36" t="s">
        <v>62</v>
      </c>
      <c r="C7" s="30">
        <v>1136.95</v>
      </c>
      <c r="D7" s="30">
        <f>C7</f>
        <v>1136.95</v>
      </c>
      <c r="E7" s="30">
        <v>7064.28</v>
      </c>
      <c r="F7" s="30">
        <f>1136.95+7064.28</f>
        <v>8201.23</v>
      </c>
      <c r="G7" s="108">
        <v>236.11</v>
      </c>
      <c r="H7" s="109">
        <f>1136.95+7064.28+236.11</f>
        <v>8437.34</v>
      </c>
      <c r="I7" s="108">
        <v>133.69</v>
      </c>
      <c r="J7" s="109">
        <f>H7+I7</f>
        <v>8571.0300000000007</v>
      </c>
      <c r="K7" s="108">
        <v>85.83</v>
      </c>
      <c r="L7" s="109">
        <f>J7+K7</f>
        <v>8656.86</v>
      </c>
      <c r="M7" s="108">
        <v>50.75</v>
      </c>
      <c r="N7" s="109">
        <f>L7+M7</f>
        <v>8707.61</v>
      </c>
      <c r="O7" s="108">
        <f>(-219240.27*N7/$N$9)</f>
        <v>-6760.6122052480632</v>
      </c>
      <c r="P7" s="30">
        <f>(-30526.51*N7/$N$9)</f>
        <v>-941.33206499712423</v>
      </c>
      <c r="Q7" s="109">
        <f>N7+O7+P7</f>
        <v>1005.6657297548131</v>
      </c>
      <c r="R7" s="109">
        <f>+Q7</f>
        <v>1005.6657297548131</v>
      </c>
      <c r="S7" s="109">
        <f>+R7</f>
        <v>1005.6657297548131</v>
      </c>
      <c r="T7" s="109">
        <f>+S7</f>
        <v>1005.6657297548131</v>
      </c>
      <c r="U7" s="109">
        <f>+T7</f>
        <v>1005.6657297548131</v>
      </c>
    </row>
    <row r="8" spans="1:21" ht="25.5" x14ac:dyDescent="0.25">
      <c r="B8" s="37" t="s">
        <v>63</v>
      </c>
      <c r="C8" s="38">
        <v>31863.05</v>
      </c>
      <c r="D8" s="38">
        <f>D11-D7</f>
        <v>20347.5</v>
      </c>
      <c r="E8" s="38">
        <f t="shared" ref="E8:I8" si="0">E9-E7</f>
        <v>192935.72</v>
      </c>
      <c r="F8" s="38">
        <f t="shared" si="0"/>
        <v>196908.06999999998</v>
      </c>
      <c r="G8" s="110">
        <f t="shared" si="0"/>
        <v>10763.89</v>
      </c>
      <c r="H8" s="111">
        <f t="shared" si="0"/>
        <v>189343.52</v>
      </c>
      <c r="I8" s="110">
        <f t="shared" si="0"/>
        <v>9866.31</v>
      </c>
      <c r="J8" s="111">
        <f>J9-J7</f>
        <v>215026.34000000003</v>
      </c>
      <c r="K8" s="110">
        <f>K9-K7</f>
        <v>7914.17</v>
      </c>
      <c r="L8" s="111">
        <f>L9-L7</f>
        <v>212232.59000000003</v>
      </c>
      <c r="M8" s="110">
        <v>9949.25</v>
      </c>
      <c r="N8" s="111">
        <f>N9-N7</f>
        <v>273671.96000000002</v>
      </c>
      <c r="O8" s="108">
        <f>(-219240.27*N8/$N$9)</f>
        <v>-212479.65779475193</v>
      </c>
      <c r="P8" s="30">
        <f>(-30526.51*N8/$N$9)</f>
        <v>-29585.177935002877</v>
      </c>
      <c r="Q8" s="111">
        <f>Q9-Q7</f>
        <v>24261.464270245189</v>
      </c>
      <c r="R8" s="111">
        <f>+R9-R7</f>
        <v>23627.214270245189</v>
      </c>
      <c r="S8" s="111">
        <f>+S9-S7</f>
        <v>10239.444270245187</v>
      </c>
      <c r="T8" s="111">
        <f>+T9-T7</f>
        <v>9430.444270245187</v>
      </c>
      <c r="U8" s="111">
        <f>+U9-U7</f>
        <v>7961.444270245187</v>
      </c>
    </row>
    <row r="9" spans="1:21" ht="15.75" thickBot="1" x14ac:dyDescent="0.3">
      <c r="B9" s="39" t="s">
        <v>64</v>
      </c>
      <c r="C9" s="40">
        <f>SUM(C6:C8)</f>
        <v>33000</v>
      </c>
      <c r="D9" s="40">
        <f>SUM(D6:D8)</f>
        <v>21484.45</v>
      </c>
      <c r="E9" s="40">
        <v>200000</v>
      </c>
      <c r="F9" s="40">
        <v>205109.3</v>
      </c>
      <c r="G9" s="112">
        <v>11000</v>
      </c>
      <c r="H9" s="113">
        <v>197780.86</v>
      </c>
      <c r="I9" s="112">
        <v>10000</v>
      </c>
      <c r="J9" s="113">
        <v>223597.37000000002</v>
      </c>
      <c r="K9" s="112">
        <v>8000</v>
      </c>
      <c r="L9" s="113">
        <v>220889.45</v>
      </c>
      <c r="M9" s="112">
        <f>SUM(M7:M8)</f>
        <v>10000</v>
      </c>
      <c r="N9" s="113">
        <v>282379.57</v>
      </c>
      <c r="O9" s="112">
        <f>SUM(O7:O8)</f>
        <v>-219240.27</v>
      </c>
      <c r="P9" s="40">
        <f>SUM(P7:P8)</f>
        <v>-30526.510000000002</v>
      </c>
      <c r="Q9" s="113">
        <v>25267.13</v>
      </c>
      <c r="R9" s="113">
        <v>24632.880000000001</v>
      </c>
      <c r="S9" s="113">
        <v>11245.11</v>
      </c>
      <c r="T9" s="113">
        <v>10436.11</v>
      </c>
      <c r="U9" s="113">
        <v>8967.11</v>
      </c>
    </row>
    <row r="10" spans="1:21" ht="15.75" thickTop="1" x14ac:dyDescent="0.25">
      <c r="A10" s="35" t="s">
        <v>65</v>
      </c>
      <c r="C10" s="30"/>
      <c r="D10" s="30"/>
      <c r="E10" s="30"/>
      <c r="F10" s="30"/>
      <c r="G10" s="108"/>
      <c r="H10" s="109"/>
      <c r="I10" s="104"/>
      <c r="J10" s="105"/>
      <c r="K10" s="104"/>
      <c r="L10" s="105"/>
      <c r="M10" s="104"/>
      <c r="N10" s="105"/>
      <c r="O10" s="104"/>
      <c r="Q10" s="105"/>
      <c r="R10" s="105"/>
      <c r="S10" s="105"/>
      <c r="T10" s="105"/>
      <c r="U10" s="105"/>
    </row>
    <row r="11" spans="1:21" x14ac:dyDescent="0.25">
      <c r="B11" s="41" t="s">
        <v>66</v>
      </c>
      <c r="C11" s="30">
        <v>33000</v>
      </c>
      <c r="D11" s="30">
        <v>21484.45</v>
      </c>
      <c r="E11" s="30">
        <v>200000</v>
      </c>
      <c r="F11" s="30">
        <f>F14</f>
        <v>205109.3</v>
      </c>
      <c r="G11" s="108">
        <v>11000</v>
      </c>
      <c r="H11" s="109">
        <f>H14</f>
        <v>197780.86</v>
      </c>
      <c r="I11" s="108">
        <v>10000</v>
      </c>
      <c r="J11" s="109">
        <f>J14</f>
        <v>223597.37000000002</v>
      </c>
      <c r="K11" s="108">
        <f>K14</f>
        <v>8000</v>
      </c>
      <c r="L11" s="109">
        <f>L14</f>
        <v>220889.45</v>
      </c>
      <c r="M11" s="108">
        <f>M14</f>
        <v>10000</v>
      </c>
      <c r="N11" s="109">
        <f>+N9</f>
        <v>282379.57</v>
      </c>
      <c r="O11" s="108">
        <f>O14</f>
        <v>-219240.27</v>
      </c>
      <c r="P11" s="30">
        <f>P14</f>
        <v>-30526.510000000002</v>
      </c>
      <c r="Q11" s="109">
        <f>+Q9</f>
        <v>25267.13</v>
      </c>
      <c r="R11" s="109">
        <f>+R9</f>
        <v>24632.880000000001</v>
      </c>
      <c r="S11" s="109">
        <f>+S9</f>
        <v>11245.11</v>
      </c>
      <c r="T11" s="109">
        <f>+T9</f>
        <v>10436.11</v>
      </c>
      <c r="U11" s="109">
        <f>+U9</f>
        <v>8967.11</v>
      </c>
    </row>
    <row r="12" spans="1:21" x14ac:dyDescent="0.25">
      <c r="B12" s="42" t="s">
        <v>67</v>
      </c>
      <c r="C12" s="38">
        <v>0</v>
      </c>
      <c r="D12" s="38">
        <v>0</v>
      </c>
      <c r="E12" s="38">
        <v>0</v>
      </c>
      <c r="F12" s="38">
        <v>0</v>
      </c>
      <c r="G12" s="110">
        <v>0</v>
      </c>
      <c r="H12" s="111">
        <v>0</v>
      </c>
      <c r="I12" s="110">
        <v>0</v>
      </c>
      <c r="J12" s="111">
        <v>0</v>
      </c>
      <c r="K12" s="110">
        <v>0</v>
      </c>
      <c r="L12" s="111">
        <v>0</v>
      </c>
      <c r="M12" s="110">
        <v>0</v>
      </c>
      <c r="N12" s="111">
        <v>0</v>
      </c>
      <c r="O12" s="110">
        <v>0</v>
      </c>
      <c r="P12" s="38">
        <v>0</v>
      </c>
      <c r="Q12" s="111">
        <v>0</v>
      </c>
      <c r="R12" s="111">
        <v>0</v>
      </c>
      <c r="S12" s="111">
        <v>0</v>
      </c>
      <c r="T12" s="111">
        <v>0</v>
      </c>
      <c r="U12" s="111">
        <v>0</v>
      </c>
    </row>
    <row r="13" spans="1:21" x14ac:dyDescent="0.25">
      <c r="B13" s="41" t="s">
        <v>68</v>
      </c>
      <c r="C13" s="30">
        <v>0</v>
      </c>
      <c r="D13" s="30">
        <v>0</v>
      </c>
      <c r="E13" s="30">
        <v>0</v>
      </c>
      <c r="F13" s="30">
        <v>0</v>
      </c>
      <c r="G13" s="108">
        <v>0</v>
      </c>
      <c r="H13" s="109">
        <v>0</v>
      </c>
      <c r="I13" s="108">
        <v>0</v>
      </c>
      <c r="J13" s="109">
        <v>0</v>
      </c>
      <c r="K13" s="108">
        <v>0</v>
      </c>
      <c r="L13" s="109">
        <v>0</v>
      </c>
      <c r="M13" s="108">
        <v>0</v>
      </c>
      <c r="N13" s="109">
        <v>0</v>
      </c>
      <c r="O13" s="108">
        <v>0</v>
      </c>
      <c r="P13" s="30">
        <v>0</v>
      </c>
      <c r="Q13" s="109">
        <v>0</v>
      </c>
      <c r="R13" s="109">
        <v>0</v>
      </c>
      <c r="S13" s="109">
        <v>0</v>
      </c>
      <c r="T13" s="109">
        <v>0</v>
      </c>
      <c r="U13" s="109">
        <v>0</v>
      </c>
    </row>
    <row r="14" spans="1:21" ht="15.75" thickBot="1" x14ac:dyDescent="0.3">
      <c r="B14" s="43" t="s">
        <v>69</v>
      </c>
      <c r="C14" s="40">
        <f>SUM(C11:C13)</f>
        <v>33000</v>
      </c>
      <c r="D14" s="40">
        <f>D9</f>
        <v>21484.45</v>
      </c>
      <c r="E14" s="40">
        <f>SUM(E11:E13)</f>
        <v>200000</v>
      </c>
      <c r="F14" s="40">
        <f>F9</f>
        <v>205109.3</v>
      </c>
      <c r="G14" s="112">
        <f>SUM(G11:G13)</f>
        <v>11000</v>
      </c>
      <c r="H14" s="113">
        <f>H9</f>
        <v>197780.86</v>
      </c>
      <c r="I14" s="112">
        <f>SUM(I11:I13)</f>
        <v>10000</v>
      </c>
      <c r="J14" s="113">
        <f>J9</f>
        <v>223597.37000000002</v>
      </c>
      <c r="K14" s="112">
        <f>K9</f>
        <v>8000</v>
      </c>
      <c r="L14" s="113">
        <v>220889.45</v>
      </c>
      <c r="M14" s="112">
        <f>M9</f>
        <v>10000</v>
      </c>
      <c r="N14" s="113">
        <f>SUM(N11:N13)</f>
        <v>282379.57</v>
      </c>
      <c r="O14" s="112">
        <f>O9</f>
        <v>-219240.27</v>
      </c>
      <c r="P14" s="40">
        <f>P9</f>
        <v>-30526.510000000002</v>
      </c>
      <c r="Q14" s="113">
        <f>SUM(Q11:Q13)</f>
        <v>25267.13</v>
      </c>
      <c r="R14" s="113">
        <f>SUM(R11:R13)</f>
        <v>24632.880000000001</v>
      </c>
      <c r="S14" s="113">
        <f>SUM(S11:S13)</f>
        <v>11245.11</v>
      </c>
      <c r="T14" s="113">
        <f>SUM(T11:T13)</f>
        <v>10436.11</v>
      </c>
      <c r="U14" s="113">
        <f>SUM(U11:U13)</f>
        <v>8967.11</v>
      </c>
    </row>
    <row r="15" spans="1:21" ht="15.75" thickTop="1" x14ac:dyDescent="0.25">
      <c r="G15" s="114"/>
      <c r="H15" s="115"/>
      <c r="I15" s="114"/>
      <c r="J15" s="115"/>
      <c r="K15" s="114"/>
      <c r="L15" s="115"/>
      <c r="M15" s="114"/>
      <c r="N15" s="115"/>
      <c r="O15" s="114"/>
      <c r="P15" s="131"/>
      <c r="Q15" s="115"/>
      <c r="R15" s="115"/>
      <c r="S15" s="115"/>
      <c r="T15" s="115"/>
      <c r="U15" s="115"/>
    </row>
    <row r="21" spans="15:15" x14ac:dyDescent="0.25">
      <c r="O21" s="132"/>
    </row>
  </sheetData>
  <pageMargins left="0.70866141732283472" right="0.70866141732283472" top="0.74803149606299213" bottom="0.74803149606299213" header="0.31496062992125984" footer="0.31496062992125984"/>
  <pageSetup paperSize="9" orientation="portrait" verticalDpi="200" r:id="rId1"/>
  <headerFooter>
    <oddFooter>&amp;R&amp;D; &amp;Z&amp;F : 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C25"/>
  <sheetViews>
    <sheetView workbookViewId="0">
      <selection activeCell="J9" sqref="J9"/>
    </sheetView>
  </sheetViews>
  <sheetFormatPr defaultRowHeight="12.75" x14ac:dyDescent="0.2"/>
  <cols>
    <col min="1" max="1" width="32" style="14" customWidth="1"/>
    <col min="2" max="2" width="14.5703125" style="14" customWidth="1"/>
    <col min="3" max="3" width="14.28515625" style="14" customWidth="1"/>
    <col min="4" max="16384" width="9.140625" style="14"/>
  </cols>
  <sheetData>
    <row r="1" spans="1:3" s="94" customFormat="1" ht="18.75" customHeight="1" x14ac:dyDescent="0.25">
      <c r="A1" s="95" t="s">
        <v>71</v>
      </c>
    </row>
    <row r="2" spans="1:3" s="94" customFormat="1" ht="15.75" x14ac:dyDescent="0.25">
      <c r="A2" s="95" t="s">
        <v>177</v>
      </c>
    </row>
    <row r="4" spans="1:3" ht="15" x14ac:dyDescent="0.25">
      <c r="B4" s="15"/>
      <c r="C4" s="15"/>
    </row>
    <row r="5" spans="1:3" ht="15" x14ac:dyDescent="0.25">
      <c r="A5" s="14" t="s">
        <v>26</v>
      </c>
      <c r="B5" s="15"/>
      <c r="C5" s="15">
        <v>-809</v>
      </c>
    </row>
    <row r="6" spans="1:3" ht="15" x14ac:dyDescent="0.25">
      <c r="B6" s="15"/>
      <c r="C6" s="15"/>
    </row>
    <row r="7" spans="1:3" ht="15" x14ac:dyDescent="0.25">
      <c r="A7" s="16" t="s">
        <v>27</v>
      </c>
      <c r="B7" s="15"/>
      <c r="C7" s="15"/>
    </row>
    <row r="8" spans="1:3" ht="15" x14ac:dyDescent="0.25">
      <c r="A8" s="14" t="s">
        <v>150</v>
      </c>
      <c r="B8" s="92">
        <v>0</v>
      </c>
      <c r="C8" s="15"/>
    </row>
    <row r="9" spans="1:3" ht="15" x14ac:dyDescent="0.25">
      <c r="A9" s="14" t="s">
        <v>153</v>
      </c>
      <c r="B9" s="92"/>
      <c r="C9" s="15"/>
    </row>
    <row r="10" spans="1:3" ht="15" x14ac:dyDescent="0.25">
      <c r="B10" s="15"/>
      <c r="C10" s="17">
        <f>SUM(B8:B8)</f>
        <v>0</v>
      </c>
    </row>
    <row r="11" spans="1:3" ht="15" x14ac:dyDescent="0.25">
      <c r="B11" s="15"/>
      <c r="C11" s="15"/>
    </row>
    <row r="12" spans="1:3" ht="15" x14ac:dyDescent="0.25">
      <c r="B12" s="15"/>
      <c r="C12" s="15"/>
    </row>
    <row r="13" spans="1:3" ht="15" x14ac:dyDescent="0.25">
      <c r="A13" s="16" t="s">
        <v>29</v>
      </c>
      <c r="B13" s="15"/>
      <c r="C13" s="15"/>
    </row>
    <row r="14" spans="1:3" ht="15" x14ac:dyDescent="0.25">
      <c r="A14" s="14" t="s">
        <v>165</v>
      </c>
      <c r="B14" s="15"/>
      <c r="C14" s="15">
        <v>-550</v>
      </c>
    </row>
    <row r="15" spans="1:3" ht="15" x14ac:dyDescent="0.25">
      <c r="B15" s="92"/>
      <c r="C15" s="15"/>
    </row>
    <row r="16" spans="1:3" ht="15" x14ac:dyDescent="0.25">
      <c r="B16" s="93"/>
      <c r="C16" s="79"/>
    </row>
    <row r="17" spans="1:3" ht="15" x14ac:dyDescent="0.25">
      <c r="C17" s="17">
        <f>SUM(B14:B16)</f>
        <v>0</v>
      </c>
    </row>
    <row r="19" spans="1:3" ht="15" x14ac:dyDescent="0.25">
      <c r="A19" s="18" t="s">
        <v>30</v>
      </c>
      <c r="B19" s="19"/>
      <c r="C19" s="20">
        <f>ROUND(SUM(C5:C18),0)</f>
        <v>-1359</v>
      </c>
    </row>
    <row r="22" spans="1:3" x14ac:dyDescent="0.2">
      <c r="A22" s="14" t="s">
        <v>148</v>
      </c>
      <c r="C22" s="99"/>
    </row>
    <row r="24" spans="1:3" ht="13.5" thickBot="1" x14ac:dyDescent="0.25">
      <c r="A24" s="100" t="s">
        <v>149</v>
      </c>
      <c r="B24" s="100"/>
      <c r="C24" s="101">
        <f>SUM(C19:C23)</f>
        <v>-1359</v>
      </c>
    </row>
    <row r="25" spans="1:3" ht="13.5" thickTop="1" x14ac:dyDescent="0.2"/>
  </sheetData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&amp;R&amp;D; &amp;Z&amp;F ; 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F18"/>
  <sheetViews>
    <sheetView workbookViewId="0">
      <selection activeCell="G26" sqref="G26"/>
    </sheetView>
  </sheetViews>
  <sheetFormatPr defaultRowHeight="15" x14ac:dyDescent="0.25"/>
  <cols>
    <col min="1" max="1" width="14.28515625" bestFit="1" customWidth="1"/>
    <col min="2" max="2" width="14.28515625" customWidth="1"/>
    <col min="3" max="3" width="15.42578125" bestFit="1" customWidth="1"/>
    <col min="4" max="4" width="18.5703125" bestFit="1" customWidth="1"/>
    <col min="5" max="5" width="18.5703125" customWidth="1"/>
    <col min="6" max="6" width="15.42578125" customWidth="1"/>
    <col min="7" max="7" width="17" customWidth="1"/>
  </cols>
  <sheetData>
    <row r="1" spans="1:6" x14ac:dyDescent="0.25">
      <c r="A1" s="35" t="s">
        <v>71</v>
      </c>
    </row>
    <row r="2" spans="1:6" x14ac:dyDescent="0.25">
      <c r="A2" s="35" t="s">
        <v>89</v>
      </c>
    </row>
    <row r="3" spans="1:6" x14ac:dyDescent="0.25">
      <c r="A3" s="35" t="s">
        <v>171</v>
      </c>
    </row>
    <row r="5" spans="1:6" x14ac:dyDescent="0.25">
      <c r="A5" s="31"/>
      <c r="B5" s="31"/>
      <c r="C5" s="31"/>
      <c r="D5" s="31"/>
      <c r="E5" s="31"/>
      <c r="F5" s="31" t="s">
        <v>90</v>
      </c>
    </row>
    <row r="6" spans="1:6" x14ac:dyDescent="0.25">
      <c r="A6" s="31" t="s">
        <v>20</v>
      </c>
      <c r="B6" s="31" t="s">
        <v>144</v>
      </c>
      <c r="C6" s="31" t="s">
        <v>145</v>
      </c>
      <c r="D6" s="31" t="s">
        <v>146</v>
      </c>
      <c r="E6" s="31" t="s">
        <v>151</v>
      </c>
      <c r="F6" s="31" t="s">
        <v>89</v>
      </c>
    </row>
    <row r="7" spans="1:6" x14ac:dyDescent="0.25">
      <c r="A7">
        <v>2012</v>
      </c>
      <c r="D7" s="51">
        <v>-1497</v>
      </c>
      <c r="E7" s="51"/>
      <c r="F7" s="51">
        <f>D7</f>
        <v>-1497</v>
      </c>
    </row>
    <row r="8" spans="1:6" x14ac:dyDescent="0.25">
      <c r="A8">
        <v>2013</v>
      </c>
      <c r="D8" s="51">
        <v>-3375</v>
      </c>
      <c r="E8" s="51"/>
      <c r="F8" s="51">
        <f>F7+D8</f>
        <v>-4872</v>
      </c>
    </row>
    <row r="9" spans="1:6" x14ac:dyDescent="0.25">
      <c r="A9">
        <v>2014</v>
      </c>
      <c r="D9" s="51">
        <v>-12829</v>
      </c>
      <c r="E9" s="51"/>
      <c r="F9" s="51">
        <f>F8+D9</f>
        <v>-17701</v>
      </c>
    </row>
    <row r="10" spans="1:6" x14ac:dyDescent="0.25">
      <c r="A10">
        <v>2015</v>
      </c>
      <c r="D10" s="51">
        <v>-5317</v>
      </c>
      <c r="E10" s="51"/>
      <c r="F10" s="51">
        <f>F9+D10</f>
        <v>-23018</v>
      </c>
    </row>
    <row r="11" spans="1:6" x14ac:dyDescent="0.25">
      <c r="A11">
        <v>2016</v>
      </c>
      <c r="D11" s="51">
        <v>-2405</v>
      </c>
      <c r="E11" s="51"/>
      <c r="F11" s="51">
        <f>F10+D11</f>
        <v>-25423</v>
      </c>
    </row>
    <row r="12" spans="1:6" x14ac:dyDescent="0.25">
      <c r="A12">
        <v>2017</v>
      </c>
      <c r="B12" s="51">
        <v>30125</v>
      </c>
      <c r="C12" s="51">
        <v>-25423</v>
      </c>
      <c r="D12" s="51">
        <f>+B12+C12</f>
        <v>4702</v>
      </c>
      <c r="E12" s="51">
        <v>705.3</v>
      </c>
      <c r="F12" s="51">
        <f>+F11-C12</f>
        <v>0</v>
      </c>
    </row>
    <row r="13" spans="1:6" x14ac:dyDescent="0.25">
      <c r="A13">
        <v>2018</v>
      </c>
      <c r="D13" s="51">
        <v>-6824</v>
      </c>
      <c r="E13" s="51"/>
      <c r="F13" s="51">
        <f>F12+D13</f>
        <v>-6824</v>
      </c>
    </row>
    <row r="14" spans="1:6" x14ac:dyDescent="0.25">
      <c r="A14">
        <v>2019</v>
      </c>
      <c r="D14" s="51">
        <v>-1459</v>
      </c>
      <c r="E14" s="51"/>
      <c r="F14" s="51">
        <f>F13+D14</f>
        <v>-8283</v>
      </c>
    </row>
    <row r="15" spans="1:6" x14ac:dyDescent="0.25">
      <c r="A15">
        <v>2020</v>
      </c>
      <c r="B15" s="1">
        <v>87</v>
      </c>
      <c r="C15" s="1">
        <v>-87</v>
      </c>
      <c r="D15" s="51">
        <f>+B15+C15</f>
        <v>0</v>
      </c>
      <c r="E15" s="51"/>
      <c r="F15" s="51">
        <f>+F14-C15</f>
        <v>-8196</v>
      </c>
    </row>
    <row r="16" spans="1:6" x14ac:dyDescent="0.25">
      <c r="A16">
        <v>2021</v>
      </c>
      <c r="D16" s="51">
        <v>-1359</v>
      </c>
      <c r="E16" s="51"/>
      <c r="F16" s="51">
        <f>+F15-C16+D16</f>
        <v>-9555</v>
      </c>
    </row>
    <row r="17" spans="1:6" x14ac:dyDescent="0.25">
      <c r="A17">
        <v>2022</v>
      </c>
      <c r="D17" s="51">
        <v>-1359</v>
      </c>
      <c r="E17" s="51"/>
      <c r="F17" s="51">
        <f>+F16-C17+D17</f>
        <v>-10914</v>
      </c>
    </row>
    <row r="18" spans="1:6" x14ac:dyDescent="0.25">
      <c r="D18" s="51"/>
      <c r="E18" s="51"/>
      <c r="F18" s="51"/>
    </row>
  </sheetData>
  <pageMargins left="0.7" right="0.7" top="0.75" bottom="0.75" header="0.3" footer="0.3"/>
  <pageSetup paperSize="9" orientation="portrait" horizontalDpi="3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</vt:i4>
      </vt:variant>
    </vt:vector>
  </HeadingPairs>
  <TitlesOfParts>
    <vt:vector size="14" baseType="lpstr">
      <vt:lpstr>(A1) Shares Investment</vt:lpstr>
      <vt:lpstr>(A2) Cash at bank</vt:lpstr>
      <vt:lpstr>Bank Statement</vt:lpstr>
      <vt:lpstr>Bank Pivot</vt:lpstr>
      <vt:lpstr>Jnl</vt:lpstr>
      <vt:lpstr>Member Balance</vt:lpstr>
      <vt:lpstr>Member Benefits</vt:lpstr>
      <vt:lpstr>Recon</vt:lpstr>
      <vt:lpstr>Tax Loss</vt:lpstr>
      <vt:lpstr>Notes</vt:lpstr>
      <vt:lpstr>Report</vt:lpstr>
      <vt:lpstr>'(A1) Shares Investment'!Print_Area</vt:lpstr>
      <vt:lpstr>'(A2) Cash at bank'!Print_Area</vt:lpstr>
      <vt:lpstr>'Member Benefits'!Print_Area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LawLittle</dc:creator>
  <cp:lastModifiedBy>Annie Ping</cp:lastModifiedBy>
  <cp:lastPrinted>2023-04-18T06:23:16Z</cp:lastPrinted>
  <dcterms:created xsi:type="dcterms:W3CDTF">2012-12-07T02:49:41Z</dcterms:created>
  <dcterms:modified xsi:type="dcterms:W3CDTF">2023-04-18T07:05:13Z</dcterms:modified>
</cp:coreProperties>
</file>