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T/THOI/2022/Workpapers/"/>
    </mc:Choice>
  </mc:AlternateContent>
  <xr:revisionPtr revIDLastSave="1376" documentId="8_{7DABB9F9-DAC7-48AF-95BF-A766060AAE59}" xr6:coauthVersionLast="47" xr6:coauthVersionMax="47" xr10:uidLastSave="{F4DA2545-4DB0-4C34-B0D4-D64CE59069AD}"/>
  <bookViews>
    <workbookView xWindow="28680" yWindow="-120" windowWidth="29040" windowHeight="15840" tabRatio="781" xr2:uid="{306213DB-740E-49D0-A494-BE82EF870239}"/>
  </bookViews>
  <sheets>
    <sheet name="Index" sheetId="2" r:id="rId1"/>
    <sheet name="Min Pension" sheetId="3" r:id="rId2"/>
    <sheet name="PAYG &amp; GST Instal" sheetId="4" state="hidden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r:id="rId9"/>
    <sheet name="Depreciation Schedule" sheetId="19" r:id="rId10"/>
    <sheet name="Debtors" sheetId="13" r:id="rId11"/>
    <sheet name="Creditors" sheetId="11" state="hidden" r:id="rId12"/>
    <sheet name="Distbn Income " sheetId="7" state="hidden" r:id="rId13"/>
    <sheet name="Dividend Income" sheetId="18" r:id="rId14"/>
    <sheet name="Foreign Div" sheetId="9" state="hidden" r:id="rId15"/>
    <sheet name="Rental Income" sheetId="15" r:id="rId16"/>
    <sheet name="Acc fees" sheetId="6" r:id="rId17"/>
    <sheet name="Advisor Fees" sheetId="5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9" l="1"/>
  <c r="G14" i="6"/>
  <c r="G12" i="6"/>
  <c r="F25" i="16"/>
  <c r="F24" i="16"/>
  <c r="F26" i="16" s="1"/>
  <c r="H13" i="12"/>
  <c r="K19" i="19"/>
  <c r="D14" i="12" s="1"/>
  <c r="D13" i="12" s="1"/>
  <c r="J19" i="19"/>
  <c r="F21" i="16"/>
  <c r="F17" i="16"/>
  <c r="E30" i="18"/>
  <c r="E34" i="18" s="1"/>
  <c r="F30" i="18"/>
  <c r="D30" i="18"/>
  <c r="D34" i="18" s="1"/>
  <c r="F34" i="18"/>
  <c r="D40" i="7"/>
  <c r="D43" i="7"/>
  <c r="H2" i="17"/>
  <c r="J14" i="19"/>
  <c r="G19" i="19"/>
  <c r="F19" i="19"/>
  <c r="E19" i="19"/>
  <c r="E18" i="19"/>
  <c r="J18" i="19" s="1"/>
  <c r="K18" i="19" s="1"/>
  <c r="E17" i="19"/>
  <c r="J17" i="19" s="1"/>
  <c r="K17" i="19" s="1"/>
  <c r="J16" i="19"/>
  <c r="K16" i="19" s="1"/>
  <c r="J15" i="19"/>
  <c r="K15" i="19" s="1"/>
  <c r="K14" i="19"/>
  <c r="J13" i="19"/>
  <c r="K13" i="19" s="1"/>
  <c r="J12" i="19"/>
  <c r="J11" i="19"/>
  <c r="K11" i="19" s="1"/>
  <c r="J10" i="19"/>
  <c r="K10" i="19" s="1"/>
  <c r="I3" i="19"/>
  <c r="H3" i="19"/>
  <c r="C3" i="19"/>
  <c r="I2" i="19"/>
  <c r="H2" i="19"/>
  <c r="C2" i="19"/>
  <c r="C1" i="19"/>
  <c r="F28" i="16" l="1"/>
  <c r="I28" i="16" s="1"/>
  <c r="D17" i="12"/>
  <c r="D44" i="7"/>
  <c r="K12" i="19"/>
  <c r="F18" i="13" l="1"/>
  <c r="H9" i="15"/>
  <c r="J9" i="15" s="1"/>
  <c r="H10" i="15"/>
  <c r="J10" i="15" s="1"/>
  <c r="H11" i="15"/>
  <c r="J11" i="15" s="1"/>
  <c r="H12" i="15"/>
  <c r="J12" i="15" s="1"/>
  <c r="H13" i="15"/>
  <c r="J13" i="15" s="1"/>
  <c r="H14" i="15"/>
  <c r="J14" i="15" s="1"/>
  <c r="H15" i="15"/>
  <c r="J15" i="15" s="1"/>
  <c r="H16" i="15"/>
  <c r="J16" i="15" s="1"/>
  <c r="I17" i="15"/>
  <c r="I22" i="15" s="1"/>
  <c r="H20" i="15"/>
  <c r="J20" i="15" s="1"/>
  <c r="H19" i="15"/>
  <c r="J19" i="15" s="1"/>
  <c r="H18" i="15"/>
  <c r="J18" i="15" s="1"/>
  <c r="H17" i="15"/>
  <c r="G19" i="5"/>
  <c r="G18" i="5"/>
  <c r="G12" i="5"/>
  <c r="I15" i="8"/>
  <c r="G22" i="15"/>
  <c r="F22" i="15"/>
  <c r="E20" i="15"/>
  <c r="E19" i="15"/>
  <c r="E18" i="15"/>
  <c r="E17" i="15"/>
  <c r="E16" i="15"/>
  <c r="E15" i="15"/>
  <c r="E14" i="15"/>
  <c r="E13" i="15"/>
  <c r="E12" i="15"/>
  <c r="E11" i="15"/>
  <c r="E10" i="15"/>
  <c r="D22" i="15"/>
  <c r="J17" i="15" l="1"/>
  <c r="J22" i="15" s="1"/>
  <c r="K11" i="15"/>
  <c r="K14" i="15"/>
  <c r="K19" i="15"/>
  <c r="K18" i="15"/>
  <c r="K10" i="15"/>
  <c r="K16" i="15"/>
  <c r="K20" i="15"/>
  <c r="K12" i="15"/>
  <c r="K13" i="15"/>
  <c r="K15" i="15"/>
  <c r="E9" i="15"/>
  <c r="H22" i="15"/>
  <c r="K17" i="15" l="1"/>
  <c r="E22" i="15"/>
  <c r="K9" i="15"/>
  <c r="K22" i="15" l="1"/>
  <c r="G3" i="18"/>
  <c r="C3" i="18"/>
  <c r="G2" i="18"/>
  <c r="C2" i="18"/>
  <c r="C1" i="18"/>
  <c r="F21" i="13" l="1"/>
  <c r="G13" i="17"/>
  <c r="G12" i="17"/>
  <c r="I3" i="17"/>
  <c r="H3" i="17"/>
  <c r="C3" i="17"/>
  <c r="I2" i="17"/>
  <c r="C2" i="17"/>
  <c r="C1" i="17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F26" i="3"/>
  <c r="E26" i="3"/>
  <c r="D26" i="3"/>
  <c r="D11" i="3"/>
  <c r="D20" i="3" s="1"/>
  <c r="D23" i="3" s="1"/>
  <c r="D24" i="3" s="1"/>
  <c r="F10" i="3"/>
  <c r="F11" i="3" s="1"/>
  <c r="F20" i="3" s="1"/>
  <c r="E10" i="3"/>
  <c r="E11" i="3" s="1"/>
  <c r="E20" i="3" s="1"/>
  <c r="I3" i="15"/>
  <c r="H3" i="15"/>
  <c r="C3" i="15"/>
  <c r="I2" i="15"/>
  <c r="H2" i="15"/>
  <c r="C2" i="15"/>
  <c r="C1" i="15"/>
  <c r="E22" i="3" l="1"/>
  <c r="E23" i="3"/>
  <c r="E24" i="3" s="1"/>
  <c r="F22" i="3"/>
  <c r="F23" i="3"/>
  <c r="F24" i="3" s="1"/>
  <c r="D22" i="3"/>
  <c r="G24" i="3" l="1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G32" i="14" l="1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5" i="13"/>
  <c r="E13" i="12" l="1"/>
  <c r="F13" i="12" s="1"/>
  <c r="F17" i="12" s="1"/>
  <c r="H17" i="12"/>
  <c r="E17" i="12" l="1"/>
  <c r="F17" i="1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G43" i="7" l="1"/>
  <c r="F43" i="7"/>
  <c r="G40" i="7"/>
  <c r="F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<sst xmlns="http://schemas.openxmlformats.org/spreadsheetml/2006/main" count="675" uniqueCount="386">
  <si>
    <t>Client</t>
  </si>
  <si>
    <t>THE THOMPSON SUPERANNUATION FUND</t>
  </si>
  <si>
    <t>Initials</t>
  </si>
  <si>
    <t>Date</t>
  </si>
  <si>
    <t>Client Code</t>
  </si>
  <si>
    <t>9THOI</t>
  </si>
  <si>
    <t xml:space="preserve">Prep by: </t>
  </si>
  <si>
    <t>CM / NA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</si>
  <si>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</si>
  <si>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</si>
  <si>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</si>
  <si>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</si>
  <si>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</si>
  <si>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</si>
  <si>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</si>
  <si>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</si>
  <si>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</si>
  <si>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</si>
  <si>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</si>
  <si>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</si>
  <si>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</si>
  <si>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</si>
  <si>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</si>
  <si>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</si>
  <si>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</si>
  <si>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</si>
  <si>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</si>
  <si>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</si>
  <si>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</si>
  <si>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</si>
  <si>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</si>
  <si>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</si>
  <si>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</si>
  <si>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</si>
  <si>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</si>
  <si>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</si>
  <si>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</si>
  <si>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</si>
  <si>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</si>
  <si>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</si>
  <si>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</si>
  <si>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</si>
  <si>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</si>
  <si>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</si>
  <si>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</si>
  <si>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</si>
  <si>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</si>
  <si>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</si>
  <si>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</si>
  <si>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</si>
  <si>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</si>
  <si>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</si>
  <si>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</si>
  <si>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</si>
  <si>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</si>
  <si>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</si>
  <si>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</si>
  <si>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</si>
  <si>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</si>
  <si>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</si>
  <si>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</si>
  <si>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</si>
  <si>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</si>
  <si>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</si>
  <si>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</si>
  <si>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</si>
  <si>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</si>
  <si>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</si>
  <si>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</si>
  <si>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</si>
  <si>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</si>
  <si>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</si>
  <si>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</si>
  <si>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</si>
  <si>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</si>
  <si>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</si>
  <si>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</si>
  <si>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</si>
  <si>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</si>
  <si>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</si>
  <si>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Ian Thompson</t>
  </si>
  <si>
    <t>Date of Birth:</t>
  </si>
  <si>
    <t>Total</t>
  </si>
  <si>
    <t>Age as at 01/07/2022:</t>
  </si>
  <si>
    <t>Pension Date:</t>
  </si>
  <si>
    <t>Penion A/c No:</t>
  </si>
  <si>
    <t>THOIAN00002P</t>
  </si>
  <si>
    <t>THOIAN00001P</t>
  </si>
  <si>
    <t>THOIAN00003P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</si>
  <si>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</si>
  <si>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</si>
  <si>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</si>
  <si>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</si>
  <si>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</si>
  <si>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</si>
  <si>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</si>
  <si>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</si>
  <si>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</si>
  <si>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</si>
  <si>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</si>
  <si>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</si>
  <si>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</si>
  <si>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</si>
  <si>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</si>
  <si>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</si>
  <si>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</si>
  <si>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</si>
  <si>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</si>
  <si>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</si>
  <si>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</si>
  <si>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</si>
  <si>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</si>
  <si>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</si>
  <si>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</si>
  <si>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</si>
  <si>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</si>
  <si>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</si>
  <si>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</si>
  <si>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</si>
  <si>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</si>
  <si>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</si>
  <si>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</si>
  <si>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</si>
  <si>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</si>
  <si>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</si>
  <si>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</si>
  <si>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</si>
  <si>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</si>
  <si>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</si>
  <si>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</si>
  <si>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</si>
  <si>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</si>
  <si>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</si>
  <si>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</si>
  <si>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</si>
  <si>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</si>
  <si>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</si>
  <si>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</si>
  <si>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</si>
  <si>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</si>
  <si>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</si>
  <si>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</si>
  <si>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</si>
  <si>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</si>
  <si>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</si>
  <si>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</si>
  <si>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</si>
  <si>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</si>
  <si>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</si>
  <si>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</si>
  <si>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</si>
  <si>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</si>
  <si>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</si>
  <si>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</si>
  <si>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</si>
  <si>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</si>
  <si>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</si>
  <si>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ANZ209248744</t>
  </si>
  <si>
    <t>ANZ ETrade</t>
  </si>
  <si>
    <t>this is interest rec for June according to transactions</t>
  </si>
  <si>
    <t>MBL122324924</t>
  </si>
  <si>
    <t>Macquarie Cash Management Account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</si>
  <si>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</si>
  <si>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</si>
  <si>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</si>
  <si>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</si>
  <si>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</si>
  <si>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</si>
  <si>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</si>
  <si>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</si>
  <si>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</si>
  <si>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</si>
  <si>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</si>
  <si>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</si>
  <si>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</si>
  <si>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</si>
  <si>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</si>
  <si>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</si>
  <si>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</si>
  <si>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</si>
  <si>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</si>
  <si>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</si>
  <si>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</si>
  <si>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</si>
  <si>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</si>
  <si>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</si>
  <si>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</si>
  <si>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</si>
  <si>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</si>
  <si>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</si>
  <si>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</si>
  <si>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</si>
  <si>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</si>
  <si>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</si>
  <si>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</si>
  <si>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</si>
  <si>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</si>
  <si>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</si>
  <si>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</si>
  <si>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</si>
  <si>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</si>
  <si>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</si>
  <si>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</si>
  <si>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Fixed Interest Securities (Australian)</t>
  </si>
  <si>
    <t>Plant and Equipment (at written down value) - Unitised</t>
  </si>
  <si>
    <t>Real Estate Properties (Australian - Residential)</t>
  </si>
  <si>
    <t>Shares in Listed Companies (Australian)</t>
  </si>
  <si>
    <t>Shares in Unlisted Private Companies (Australian)</t>
  </si>
  <si>
    <t>Market Value per Supporting Docs</t>
  </si>
  <si>
    <t xml:space="preserve">ANZ ETrade - Australian Listed Shares </t>
  </si>
  <si>
    <t>Splitpay Investment</t>
  </si>
  <si>
    <t>As per client's email -14/10/2021</t>
  </si>
  <si>
    <t>Fixed Interest Macquarie TD  #1322</t>
  </si>
  <si>
    <t>Fixed Interest Macquarie TD  #2186</t>
  </si>
  <si>
    <t>Fund Depreciation Schedule</t>
  </si>
  <si>
    <t>Property Valn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</si>
  <si>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</si>
  <si>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</si>
  <si>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</si>
  <si>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</si>
  <si>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</si>
  <si>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</si>
  <si>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</si>
  <si>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</si>
  <si>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</si>
  <si>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</si>
  <si>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</si>
  <si>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</si>
  <si>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</si>
  <si>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</si>
  <si>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</si>
  <si>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</si>
  <si>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</si>
  <si>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</si>
  <si>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</si>
  <si>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</si>
  <si>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101BOWENST</t>
  </si>
  <si>
    <t>4/101 Bowen St, Spring Hill</t>
  </si>
  <si>
    <t>Depreciation Schedule - external wp</t>
  </si>
  <si>
    <t>Acq Date</t>
  </si>
  <si>
    <t>Original Cost</t>
  </si>
  <si>
    <t>OWDV</t>
  </si>
  <si>
    <t>Additions</t>
  </si>
  <si>
    <t>Depn Rate</t>
  </si>
  <si>
    <t>Depn</t>
  </si>
  <si>
    <t>CWDV</t>
  </si>
  <si>
    <t>Samsung 51" HDTV</t>
  </si>
  <si>
    <t>D</t>
  </si>
  <si>
    <t>Carpet</t>
  </si>
  <si>
    <t>Queen Bed</t>
  </si>
  <si>
    <t>Westinghouse Fridge</t>
  </si>
  <si>
    <t>Shower Screen</t>
  </si>
  <si>
    <t>P</t>
  </si>
  <si>
    <t>Oven</t>
  </si>
  <si>
    <t>Hoover Vaccuum</t>
  </si>
  <si>
    <t>Table and chairs</t>
  </si>
  <si>
    <t>2 seater sofa</t>
  </si>
  <si>
    <t xml:space="preserve">Plus depn per schedule in BGL </t>
  </si>
  <si>
    <t>Total depn per accounts</t>
  </si>
  <si>
    <t>RECEIVABLES &amp; DEBTORS</t>
  </si>
  <si>
    <t>External Holding 1</t>
  </si>
  <si>
    <t>External Holding 2</t>
  </si>
  <si>
    <t>This should match the finanical statements</t>
  </si>
  <si>
    <t>29/101 Bowen Street, Spring Hill QLD 4000</t>
  </si>
  <si>
    <t>CREDITORS</t>
  </si>
  <si>
    <t>ACCOUNTING FEES</t>
  </si>
  <si>
    <t>BT Panorama</t>
  </si>
  <si>
    <t>SGP</t>
  </si>
  <si>
    <t>APD</t>
  </si>
  <si>
    <t>Related UT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</si>
  <si>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</si>
  <si>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</si>
  <si>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</si>
  <si>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</si>
  <si>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</si>
  <si>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</si>
  <si>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</si>
  <si>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</si>
  <si>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</si>
  <si>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</si>
  <si>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</si>
  <si>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</si>
  <si>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</si>
  <si>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</si>
  <si>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</si>
  <si>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</si>
  <si>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</si>
  <si>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</si>
  <si>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</si>
  <si>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</si>
  <si>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</si>
  <si>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</si>
  <si>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</si>
  <si>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</si>
  <si>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</si>
  <si>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</si>
  <si>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</si>
  <si>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</si>
  <si>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</si>
  <si>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</si>
  <si>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</si>
  <si>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</si>
  <si>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</si>
  <si>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</si>
  <si>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</si>
  <si>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</si>
  <si>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</si>
  <si>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Portfolio - Dividend Income</t>
  </si>
  <si>
    <t>FC</t>
  </si>
  <si>
    <t>Page No. on Doc "Dividend Received"</t>
  </si>
  <si>
    <t>AFI</t>
  </si>
  <si>
    <t>BHP</t>
  </si>
  <si>
    <t>CCP</t>
  </si>
  <si>
    <t>ECL</t>
  </si>
  <si>
    <t>EGN</t>
  </si>
  <si>
    <t>GWA</t>
  </si>
  <si>
    <t>HUM</t>
  </si>
  <si>
    <t>MQG</t>
  </si>
  <si>
    <t>PCG</t>
  </si>
  <si>
    <t>WAM</t>
  </si>
  <si>
    <t xml:space="preserve">Total </t>
  </si>
  <si>
    <t>BGL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</si>
  <si>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</si>
  <si>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</si>
  <si>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</si>
  <si>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</si>
  <si>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</si>
  <si>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</si>
  <si>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</si>
  <si>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</si>
  <si>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</si>
  <si>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</si>
  <si>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Rent Received</t>
  </si>
  <si>
    <t>Gross Rent</t>
  </si>
  <si>
    <t>Letting Fee</t>
  </si>
  <si>
    <t>Office Expenses</t>
  </si>
  <si>
    <t>Agent Fees</t>
  </si>
  <si>
    <t>R&amp;M</t>
  </si>
  <si>
    <t>Gross Exp</t>
  </si>
  <si>
    <t>Net Rent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</si>
  <si>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</si>
  <si>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</si>
  <si>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</si>
  <si>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</si>
  <si>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</si>
  <si>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</si>
  <si>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</si>
  <si>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</si>
  <si>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"Comtech Plumbing - New WC"</t>
  </si>
  <si>
    <t>March</t>
  </si>
  <si>
    <t>"Repairs exit light and bathroom switch"</t>
  </si>
  <si>
    <t>April</t>
  </si>
  <si>
    <t>May</t>
  </si>
  <si>
    <t>June</t>
  </si>
  <si>
    <t>received 8/7/22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</si>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</sst>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6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4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4" fontId="20" fillId="0" borderId="0" xfId="0" applyNumberFormat="1" applyFont="1"/>
    <xf numFmtId="0" fontId="22" fillId="0" borderId="0" xfId="0" applyFont="1"/>
    <xf numFmtId="164" fontId="0" fillId="0" borderId="0" xfId="2" applyFont="1" applyFill="1" applyAlignment="1"/>
    <xf numFmtId="164" fontId="22" fillId="0" borderId="0" xfId="2" applyFont="1"/>
    <xf numFmtId="0" fontId="23" fillId="0" borderId="1" xfId="0" applyFont="1" applyBorder="1" applyAlignment="1">
      <alignment horizontal="center" vertical="center"/>
    </xf>
    <xf numFmtId="166" fontId="24" fillId="0" borderId="0" xfId="0" applyNumberFormat="1" applyFont="1" applyAlignment="1">
      <alignment horizontal="left"/>
    </xf>
    <xf numFmtId="164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4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4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2" applyFont="1" applyBorder="1"/>
    <xf numFmtId="0" fontId="8" fillId="0" borderId="0" xfId="0" applyFont="1"/>
    <xf numFmtId="16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29" xfId="2" applyNumberFormat="1" applyFont="1" applyBorder="1"/>
    <xf numFmtId="0" fontId="3" fillId="0" borderId="0" xfId="0" applyFont="1"/>
    <xf numFmtId="165" fontId="0" fillId="0" borderId="0" xfId="2" applyNumberFormat="1" applyFont="1"/>
    <xf numFmtId="165" fontId="0" fillId="0" borderId="0" xfId="0" applyNumberFormat="1"/>
    <xf numFmtId="165" fontId="0" fillId="0" borderId="0" xfId="1" applyFont="1" applyBorder="1"/>
    <xf numFmtId="165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164" fontId="0" fillId="0" borderId="12" xfId="2" applyFont="1" applyBorder="1"/>
    <xf numFmtId="164" fontId="3" fillId="0" borderId="0" xfId="2" applyFont="1" applyBorder="1" applyAlignment="1">
      <alignment horizontal="center"/>
    </xf>
    <xf numFmtId="164" fontId="0" fillId="5" borderId="0" xfId="2" applyFont="1" applyFill="1" applyBorder="1"/>
    <xf numFmtId="164" fontId="0" fillId="5" borderId="26" xfId="2" applyFont="1" applyFill="1" applyBorder="1"/>
    <xf numFmtId="164" fontId="0" fillId="0" borderId="26" xfId="2" applyFont="1" applyBorder="1"/>
    <xf numFmtId="9" fontId="0" fillId="0" borderId="0" xfId="3" applyFont="1"/>
    <xf numFmtId="0" fontId="0" fillId="5" borderId="0" xfId="0" applyFill="1"/>
    <xf numFmtId="164" fontId="0" fillId="0" borderId="0" xfId="0" applyNumberFormat="1"/>
    <xf numFmtId="164" fontId="0" fillId="0" borderId="26" xfId="0" applyNumberFormat="1" applyBorder="1"/>
    <xf numFmtId="165" fontId="0" fillId="0" borderId="0" xfId="1" applyFont="1"/>
    <xf numFmtId="165" fontId="2" fillId="0" borderId="0" xfId="0" applyNumberFormat="1" applyFont="1"/>
    <xf numFmtId="16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164" fontId="3" fillId="0" borderId="0" xfId="6" applyFont="1" applyAlignment="1">
      <alignment horizontal="center"/>
    </xf>
    <xf numFmtId="165" fontId="0" fillId="0" borderId="0" xfId="7" applyFont="1"/>
    <xf numFmtId="0" fontId="3" fillId="6" borderId="0" xfId="0" applyFont="1" applyFill="1" applyAlignment="1">
      <alignment horizontal="center"/>
    </xf>
    <xf numFmtId="164" fontId="3" fillId="0" borderId="0" xfId="2" applyFont="1" applyFill="1" applyBorder="1" applyAlignment="1">
      <alignment horizontal="center"/>
    </xf>
    <xf numFmtId="16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165" fontId="0" fillId="0" borderId="0" xfId="1" applyFont="1" applyFill="1"/>
    <xf numFmtId="165" fontId="0" fillId="0" borderId="29" xfId="1" applyFont="1" applyFill="1" applyBorder="1"/>
    <xf numFmtId="0" fontId="27" fillId="0" borderId="0" xfId="8" applyFont="1"/>
    <xf numFmtId="166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4" fontId="0" fillId="0" borderId="29" xfId="2" applyFont="1" applyBorder="1"/>
    <xf numFmtId="0" fontId="30" fillId="0" borderId="0" xfId="0" applyFont="1" applyAlignment="1">
      <alignment horizontal="center" wrapText="1"/>
    </xf>
    <xf numFmtId="0" fontId="30" fillId="0" borderId="0" xfId="0" applyFont="1"/>
    <xf numFmtId="165" fontId="0" fillId="0" borderId="26" xfId="1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165" fontId="0" fillId="5" borderId="0" xfId="0" applyNumberFormat="1" applyFill="1"/>
    <xf numFmtId="165" fontId="0" fillId="5" borderId="30" xfId="0" applyNumberFormat="1" applyFill="1" applyBorder="1"/>
    <xf numFmtId="16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4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4" fontId="8" fillId="0" borderId="11" xfId="2" applyFont="1" applyBorder="1" applyAlignment="1">
      <alignment horizontal="center" vertical="center" wrapText="1"/>
    </xf>
    <xf numFmtId="164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5" fontId="30" fillId="0" borderId="0" xfId="8" applyNumberFormat="1" applyFont="1"/>
    <xf numFmtId="0" fontId="30" fillId="0" borderId="36" xfId="8" applyFont="1" applyBorder="1"/>
    <xf numFmtId="43" fontId="30" fillId="0" borderId="37" xfId="8" applyNumberFormat="1" applyFont="1" applyBorder="1"/>
    <xf numFmtId="0" fontId="30" fillId="0" borderId="38" xfId="8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39" xfId="8" applyFont="1" applyBorder="1" applyAlignment="1">
      <alignment horizontal="right"/>
    </xf>
    <xf numFmtId="0" fontId="31" fillId="0" borderId="41" xfId="8" applyFont="1" applyBorder="1" applyAlignment="1">
      <alignment horizontal="right"/>
    </xf>
    <xf numFmtId="165" fontId="31" fillId="0" borderId="42" xfId="8" applyNumberFormat="1" applyFont="1" applyBorder="1"/>
    <xf numFmtId="0" fontId="31" fillId="0" borderId="43" xfId="8" applyFont="1" applyBorder="1"/>
    <xf numFmtId="43" fontId="30" fillId="0" borderId="0" xfId="9" applyFont="1"/>
    <xf numFmtId="0" fontId="8" fillId="0" borderId="33" xfId="0" applyFont="1" applyBorder="1" applyAlignment="1">
      <alignment horizontal="center" vertical="center" wrapText="1"/>
    </xf>
    <xf numFmtId="43" fontId="8" fillId="0" borderId="34" xfId="9" applyFont="1" applyBorder="1" applyAlignment="1">
      <alignment horizontal="center"/>
    </xf>
    <xf numFmtId="43" fontId="30" fillId="0" borderId="35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5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4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7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5" fontId="30" fillId="0" borderId="48" xfId="1" applyFont="1" applyBorder="1"/>
    <xf numFmtId="0" fontId="30" fillId="0" borderId="0" xfId="0" applyFont="1" applyAlignment="1">
      <alignment horizontal="center"/>
    </xf>
    <xf numFmtId="165" fontId="30" fillId="0" borderId="49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7" fontId="30" fillId="0" borderId="49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49" xfId="1" applyNumberFormat="1" applyFont="1" applyBorder="1"/>
    <xf numFmtId="167" fontId="8" fillId="0" borderId="49" xfId="0" applyNumberFormat="1" applyFont="1" applyBorder="1"/>
    <xf numFmtId="167" fontId="30" fillId="0" borderId="49" xfId="0" applyNumberFormat="1" applyFont="1" applyBorder="1"/>
    <xf numFmtId="0" fontId="30" fillId="0" borderId="49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7" fontId="30" fillId="8" borderId="49" xfId="1" applyNumberFormat="1" applyFont="1" applyFill="1" applyBorder="1" applyAlignment="1"/>
    <xf numFmtId="0" fontId="30" fillId="0" borderId="54" xfId="0" applyFont="1" applyBorder="1"/>
    <xf numFmtId="0" fontId="30" fillId="0" borderId="55" xfId="0" applyFont="1" applyBorder="1"/>
    <xf numFmtId="170" fontId="30" fillId="0" borderId="56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7" xfId="3" applyNumberFormat="1" applyFont="1" applyBorder="1" applyAlignment="1">
      <alignment horizontal="right"/>
    </xf>
    <xf numFmtId="0" fontId="30" fillId="8" borderId="58" xfId="0" applyFont="1" applyFill="1" applyBorder="1" applyAlignment="1">
      <alignment horizontal="left"/>
    </xf>
    <xf numFmtId="0" fontId="30" fillId="8" borderId="29" xfId="0" applyFont="1" applyFill="1" applyBorder="1" applyAlignment="1">
      <alignment horizontal="left"/>
    </xf>
    <xf numFmtId="10" fontId="30" fillId="0" borderId="59" xfId="3" applyNumberFormat="1" applyFont="1" applyBorder="1" applyAlignment="1">
      <alignment horizontal="right"/>
    </xf>
    <xf numFmtId="4" fontId="30" fillId="0" borderId="55" xfId="0" applyNumberFormat="1" applyFont="1" applyBorder="1"/>
    <xf numFmtId="4" fontId="30" fillId="0" borderId="60" xfId="0" applyNumberFormat="1" applyFont="1" applyBorder="1"/>
    <xf numFmtId="0" fontId="30" fillId="0" borderId="56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4" fillId="0" borderId="0" xfId="0" applyFont="1"/>
    <xf numFmtId="0" fontId="12" fillId="0" borderId="6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vertical="center" wrapText="1"/>
    </xf>
    <xf numFmtId="0" fontId="33" fillId="0" borderId="64" xfId="5" quotePrefix="1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/>
    </xf>
    <xf numFmtId="44" fontId="0" fillId="0" borderId="0" xfId="0" applyNumberFormat="1"/>
    <xf numFmtId="164" fontId="0" fillId="4" borderId="0" xfId="2" applyFont="1" applyFill="1"/>
    <xf numFmtId="164" fontId="0" fillId="0" borderId="0" xfId="2" applyFont="1" applyFill="1"/>
    <xf numFmtId="165" fontId="0" fillId="0" borderId="28" xfId="1" applyFont="1" applyBorder="1"/>
    <xf numFmtId="164" fontId="0" fillId="4" borderId="0" xfId="2" applyFont="1" applyFill="1" applyBorder="1"/>
    <xf numFmtId="164" fontId="0" fillId="4" borderId="30" xfId="2" applyFont="1" applyFill="1" applyBorder="1"/>
    <xf numFmtId="165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6" applyFont="1" applyAlignment="1">
      <alignment horizontal="center" wrapText="1"/>
    </xf>
    <xf numFmtId="0" fontId="35" fillId="0" borderId="0" xfId="0" applyFont="1"/>
    <xf numFmtId="0" fontId="36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5" fontId="22" fillId="0" borderId="0" xfId="1" applyFont="1"/>
    <xf numFmtId="165" fontId="22" fillId="0" borderId="0" xfId="1" applyFont="1" applyFill="1"/>
    <xf numFmtId="165" fontId="5" fillId="0" borderId="0" xfId="1" applyFont="1"/>
    <xf numFmtId="165" fontId="5" fillId="0" borderId="0" xfId="1" applyFont="1" applyFill="1"/>
    <xf numFmtId="165" fontId="4" fillId="0" borderId="1" xfId="1" applyFont="1" applyBorder="1" applyAlignment="1">
      <alignment horizontal="center" vertical="center" wrapText="1"/>
    </xf>
    <xf numFmtId="165" fontId="2" fillId="0" borderId="9" xfId="1" applyFont="1" applyBorder="1"/>
    <xf numFmtId="0" fontId="3" fillId="6" borderId="0" xfId="0" applyFont="1" applyFill="1" applyAlignment="1">
      <alignment horizontal="center" vertical="center" wrapText="1"/>
    </xf>
    <xf numFmtId="165" fontId="3" fillId="6" borderId="0" xfId="1" applyFont="1" applyFill="1" applyAlignment="1">
      <alignment horizontal="center" vertical="center" wrapText="1"/>
    </xf>
    <xf numFmtId="165" fontId="0" fillId="4" borderId="1" xfId="0" applyNumberFormat="1" applyFill="1" applyBorder="1"/>
    <xf numFmtId="165" fontId="0" fillId="4" borderId="1" xfId="1" applyFont="1" applyFill="1" applyBorder="1"/>
    <xf numFmtId="165" fontId="0" fillId="7" borderId="1" xfId="1" applyFont="1" applyFill="1" applyBorder="1"/>
    <xf numFmtId="165" fontId="0" fillId="4" borderId="16" xfId="0" applyNumberFormat="1" applyFill="1" applyBorder="1"/>
    <xf numFmtId="165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5" fontId="0" fillId="4" borderId="20" xfId="0" applyNumberFormat="1" applyFill="1" applyBorder="1"/>
    <xf numFmtId="165" fontId="0" fillId="7" borderId="20" xfId="1" applyFont="1" applyFill="1" applyBorder="1"/>
    <xf numFmtId="0" fontId="0" fillId="4" borderId="50" xfId="0" applyFill="1" applyBorder="1"/>
    <xf numFmtId="165" fontId="0" fillId="4" borderId="50" xfId="1" applyFont="1" applyFill="1" applyBorder="1"/>
    <xf numFmtId="165" fontId="0" fillId="7" borderId="50" xfId="1" applyFont="1" applyFill="1" applyBorder="1"/>
    <xf numFmtId="165" fontId="1" fillId="4" borderId="61" xfId="1" applyFont="1" applyFill="1" applyBorder="1" applyAlignment="1">
      <alignment horizontal="center" vertical="center"/>
    </xf>
    <xf numFmtId="165" fontId="1" fillId="7" borderId="6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5" fontId="0" fillId="0" borderId="12" xfId="1" applyFont="1" applyFill="1" applyBorder="1"/>
    <xf numFmtId="165" fontId="0" fillId="0" borderId="26" xfId="1" applyFont="1" applyFill="1" applyBorder="1"/>
    <xf numFmtId="0" fontId="0" fillId="0" borderId="9" xfId="0" applyBorder="1"/>
    <xf numFmtId="165" fontId="1" fillId="0" borderId="42" xfId="1" applyFont="1" applyFill="1" applyBorder="1" applyAlignment="1">
      <alignment horizontal="center" vertical="center"/>
    </xf>
    <xf numFmtId="0" fontId="37" fillId="0" borderId="0" xfId="0" applyFont="1"/>
    <xf numFmtId="164" fontId="2" fillId="0" borderId="9" xfId="2" applyFont="1" applyBorder="1"/>
    <xf numFmtId="165" fontId="30" fillId="0" borderId="0" xfId="1" applyFont="1"/>
    <xf numFmtId="0" fontId="38" fillId="0" borderId="0" xfId="0" applyFont="1"/>
    <xf numFmtId="165" fontId="0" fillId="8" borderId="0" xfId="1" quotePrefix="1" applyFont="1" applyFill="1"/>
    <xf numFmtId="164" fontId="35" fillId="0" borderId="0" xfId="2" applyFont="1" applyBorder="1" applyAlignment="1">
      <alignment horizontal="center"/>
    </xf>
    <xf numFmtId="165" fontId="2" fillId="0" borderId="0" xfId="1" applyFont="1"/>
    <xf numFmtId="165" fontId="0" fillId="0" borderId="0" xfId="1" applyFont="1" applyFill="1" applyBorder="1"/>
    <xf numFmtId="165" fontId="1" fillId="0" borderId="0" xfId="1" applyFont="1" applyFill="1" applyBorder="1" applyAlignment="1">
      <alignment horizontal="center" vertical="center"/>
    </xf>
    <xf numFmtId="165" fontId="2" fillId="0" borderId="0" xfId="1" applyFont="1" applyFill="1"/>
    <xf numFmtId="0" fontId="2" fillId="0" borderId="0" xfId="0" quotePrefix="1" applyFont="1"/>
    <xf numFmtId="0" fontId="2" fillId="0" borderId="0" xfId="0" applyFont="1" applyAlignment="1">
      <alignment horizontal="center"/>
    </xf>
    <xf numFmtId="165" fontId="3" fillId="6" borderId="26" xfId="1" applyFont="1" applyFill="1" applyBorder="1" applyAlignment="1">
      <alignment horizontal="center" vertical="center" wrapText="1"/>
    </xf>
    <xf numFmtId="14" fontId="0" fillId="4" borderId="0" xfId="1" applyNumberFormat="1" applyFont="1" applyFill="1"/>
    <xf numFmtId="14" fontId="0" fillId="0" borderId="0" xfId="1" applyNumberFormat="1" applyFont="1" applyBorder="1"/>
    <xf numFmtId="165" fontId="1" fillId="0" borderId="0" xfId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1" applyFont="1" applyBorder="1"/>
    <xf numFmtId="14" fontId="0" fillId="0" borderId="0" xfId="1" applyNumberFormat="1" applyFont="1" applyFill="1" applyBorder="1"/>
    <xf numFmtId="165" fontId="0" fillId="0" borderId="29" xfId="1" applyFont="1" applyBorder="1"/>
    <xf numFmtId="165" fontId="0" fillId="11" borderId="29" xfId="1" applyFont="1" applyFill="1" applyBorder="1"/>
    <xf numFmtId="165" fontId="0" fillId="0" borderId="68" xfId="1" applyFont="1" applyFill="1" applyBorder="1"/>
    <xf numFmtId="165" fontId="3" fillId="0" borderId="0" xfId="1" applyFont="1"/>
    <xf numFmtId="0" fontId="3" fillId="0" borderId="69" xfId="0" applyFont="1" applyBorder="1"/>
    <xf numFmtId="165" fontId="3" fillId="0" borderId="69" xfId="1" applyFont="1" applyBorder="1"/>
    <xf numFmtId="0" fontId="3" fillId="0" borderId="70" xfId="0" applyFont="1" applyBorder="1"/>
    <xf numFmtId="0" fontId="0" fillId="0" borderId="70" xfId="0" applyBorder="1"/>
    <xf numFmtId="165" fontId="3" fillId="0" borderId="70" xfId="1" applyFont="1" applyBorder="1" applyAlignment="1">
      <alignment horizontal="center"/>
    </xf>
    <xf numFmtId="0" fontId="0" fillId="0" borderId="30" xfId="0" applyBorder="1"/>
    <xf numFmtId="165" fontId="0" fillId="0" borderId="30" xfId="1" applyFont="1" applyBorder="1"/>
    <xf numFmtId="0" fontId="3" fillId="0" borderId="30" xfId="0" applyFont="1" applyBorder="1"/>
    <xf numFmtId="164" fontId="0" fillId="0" borderId="0" xfId="2" applyFont="1" applyFill="1" applyBorder="1"/>
    <xf numFmtId="164" fontId="0" fillId="0" borderId="9" xfId="2" applyFont="1" applyFill="1" applyBorder="1"/>
    <xf numFmtId="164" fontId="30" fillId="0" borderId="0" xfId="2" applyFont="1" applyFill="1" applyBorder="1"/>
    <xf numFmtId="0" fontId="11" fillId="0" borderId="65" xfId="0" applyFont="1" applyBorder="1" applyAlignment="1">
      <alignment horizontal="left" vertical="center" wrapText="1"/>
    </xf>
    <xf numFmtId="0" fontId="11" fillId="0" borderId="66" xfId="0" applyFont="1" applyBorder="1" applyAlignment="1">
      <alignment horizontal="left" vertical="center" wrapText="1"/>
    </xf>
    <xf numFmtId="0" fontId="11" fillId="0" borderId="67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5" xfId="0" applyFont="1" applyBorder="1" applyAlignment="1">
      <alignment horizontal="left" vertical="top" wrapText="1"/>
    </xf>
    <xf numFmtId="0" fontId="8" fillId="0" borderId="51" xfId="0" applyFont="1" applyBorder="1" applyAlignment="1">
      <alignment horizontal="left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0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5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23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2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301589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E64" sqref="E6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42578125" bestFit="1" customWidth="1"/>
  </cols>
  <sheetData>
    <row r="1" spans="1:9" ht="18">
      <c r="A1" s="116" t="s">
        <v>0</v>
      </c>
      <c r="B1" s="119"/>
      <c r="C1" s="117" t="s">
        <v>1</v>
      </c>
      <c r="F1" s="54"/>
      <c r="H1" s="56" t="s">
        <v>2</v>
      </c>
      <c r="I1" s="56" t="s">
        <v>3</v>
      </c>
    </row>
    <row r="2" spans="1:9" ht="18">
      <c r="A2" s="116" t="s">
        <v>4</v>
      </c>
      <c r="B2" s="120"/>
      <c r="C2" s="117" t="s">
        <v>5</v>
      </c>
      <c r="D2" s="53"/>
      <c r="E2" s="53"/>
      <c r="F2" s="55"/>
      <c r="G2" s="59" t="s">
        <v>6</v>
      </c>
      <c r="H2" s="60" t="s">
        <v>7</v>
      </c>
      <c r="I2" s="61">
        <v>44953</v>
      </c>
    </row>
    <row r="3" spans="1:9" ht="18">
      <c r="A3" s="116" t="s">
        <v>8</v>
      </c>
      <c r="B3" s="120"/>
      <c r="C3" s="118">
        <v>44742</v>
      </c>
      <c r="D3" s="53"/>
      <c r="E3" s="53"/>
      <c r="F3" s="55"/>
      <c r="G3" s="59" t="s">
        <v>9</v>
      </c>
      <c r="H3" s="60" t="s">
        <v>10</v>
      </c>
      <c r="I3" s="61">
        <v>45005</v>
      </c>
    </row>
    <row r="4" spans="1:9" ht="18">
      <c r="A4" s="121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13" t="s">
        <v>15</v>
      </c>
      <c r="G7" s="314"/>
      <c r="H7" s="315"/>
    </row>
    <row r="8" spans="1:9" ht="20.100000000000001" customHeight="1">
      <c r="A8" s="316" t="s">
        <v>16</v>
      </c>
      <c r="B8" s="317"/>
      <c r="C8" s="318"/>
      <c r="D8" s="215"/>
      <c r="E8" s="10" t="s">
        <v>17</v>
      </c>
      <c r="F8" s="304"/>
      <c r="G8" s="305"/>
      <c r="H8" s="306"/>
    </row>
    <row r="9" spans="1:9" ht="20.100000000000001" customHeight="1">
      <c r="A9" s="11"/>
      <c r="B9" s="12">
        <v>1</v>
      </c>
      <c r="C9" s="13" t="s">
        <v>18</v>
      </c>
      <c r="D9" s="215"/>
      <c r="E9" s="10" t="s">
        <v>17</v>
      </c>
      <c r="F9" s="304"/>
      <c r="G9" s="305"/>
      <c r="H9" s="306"/>
    </row>
    <row r="10" spans="1:9" ht="20.100000000000001" customHeight="1">
      <c r="A10" s="11"/>
      <c r="B10" s="12">
        <v>2</v>
      </c>
      <c r="C10" s="13" t="s">
        <v>19</v>
      </c>
      <c r="D10" s="215"/>
      <c r="E10" s="10" t="s">
        <v>17</v>
      </c>
      <c r="F10" s="304"/>
      <c r="G10" s="305"/>
      <c r="H10" s="306"/>
    </row>
    <row r="11" spans="1:9" ht="20.100000000000001" customHeight="1">
      <c r="A11" s="11"/>
      <c r="B11" s="12">
        <v>3</v>
      </c>
      <c r="C11" s="13" t="s">
        <v>20</v>
      </c>
      <c r="D11" s="215"/>
      <c r="E11" s="10" t="s">
        <v>17</v>
      </c>
      <c r="F11" s="304"/>
      <c r="G11" s="305"/>
      <c r="H11" s="306"/>
    </row>
    <row r="12" spans="1:9" ht="20.100000000000001" customHeight="1">
      <c r="A12" s="11"/>
      <c r="B12" s="12">
        <v>4</v>
      </c>
      <c r="C12" s="13" t="s">
        <v>21</v>
      </c>
      <c r="D12" s="215"/>
      <c r="E12" s="10" t="s">
        <v>17</v>
      </c>
      <c r="F12" s="304"/>
      <c r="G12" s="305"/>
      <c r="H12" s="306"/>
    </row>
    <row r="13" spans="1:9" ht="20.100000000000001" customHeight="1">
      <c r="A13" s="11"/>
      <c r="B13" s="12">
        <v>5</v>
      </c>
      <c r="C13" s="12" t="s">
        <v>22</v>
      </c>
      <c r="D13" s="215"/>
      <c r="E13" s="10" t="s">
        <v>17</v>
      </c>
      <c r="F13" s="304"/>
      <c r="G13" s="305"/>
      <c r="H13" s="306"/>
    </row>
    <row r="14" spans="1:9" ht="20.100000000000001" customHeight="1">
      <c r="A14" s="11"/>
      <c r="B14" s="12">
        <v>6</v>
      </c>
      <c r="C14" s="14" t="s">
        <v>23</v>
      </c>
      <c r="D14" s="215"/>
      <c r="E14" s="10" t="s">
        <v>17</v>
      </c>
      <c r="F14" s="304"/>
      <c r="G14" s="305"/>
      <c r="H14" s="306"/>
    </row>
    <row r="15" spans="1:9" ht="20.100000000000001" customHeight="1">
      <c r="A15" s="15"/>
      <c r="B15" s="16">
        <v>7</v>
      </c>
      <c r="C15" s="12" t="s">
        <v>24</v>
      </c>
      <c r="D15" s="215"/>
      <c r="E15" s="10" t="s">
        <v>17</v>
      </c>
      <c r="F15" s="304"/>
      <c r="G15" s="305"/>
      <c r="H15" s="306"/>
    </row>
    <row r="16" spans="1:9" ht="20.100000000000001" customHeight="1">
      <c r="A16" s="15"/>
      <c r="B16" s="16">
        <v>8</v>
      </c>
      <c r="C16" s="12" t="s">
        <v>25</v>
      </c>
      <c r="D16" s="215"/>
      <c r="E16" s="10" t="s">
        <v>17</v>
      </c>
      <c r="F16" s="304"/>
      <c r="G16" s="305"/>
      <c r="H16" s="306"/>
    </row>
    <row r="17" spans="1:10" ht="20.100000000000001" customHeight="1">
      <c r="A17" s="310" t="s">
        <v>26</v>
      </c>
      <c r="B17" s="311"/>
      <c r="C17" s="312"/>
      <c r="D17" s="215"/>
      <c r="E17" s="17"/>
      <c r="F17" s="304"/>
      <c r="G17" s="305"/>
      <c r="H17" s="306"/>
      <c r="J17" s="18"/>
    </row>
    <row r="18" spans="1:10" ht="20.100000000000001" customHeight="1">
      <c r="A18" s="19">
        <v>2</v>
      </c>
      <c r="B18" s="20" t="s">
        <v>27</v>
      </c>
      <c r="C18" s="21"/>
      <c r="D18" s="215"/>
      <c r="E18" s="17"/>
      <c r="F18" s="304"/>
      <c r="G18" s="305"/>
      <c r="H18" s="306"/>
    </row>
    <row r="19" spans="1:10" ht="20.100000000000001" customHeight="1">
      <c r="A19" s="22"/>
      <c r="B19" s="23"/>
      <c r="C19" s="24" t="s">
        <v>28</v>
      </c>
      <c r="D19" s="215"/>
      <c r="E19" s="10" t="s">
        <v>17</v>
      </c>
      <c r="F19" s="304"/>
      <c r="G19" s="305"/>
      <c r="H19" s="306"/>
    </row>
    <row r="20" spans="1:10" ht="20.100000000000001" customHeight="1">
      <c r="A20" s="22"/>
      <c r="B20" s="23"/>
      <c r="C20" s="24" t="s">
        <v>29</v>
      </c>
      <c r="D20" s="215"/>
      <c r="E20" s="10" t="s">
        <v>17</v>
      </c>
      <c r="F20" s="304"/>
      <c r="G20" s="305"/>
      <c r="H20" s="306"/>
    </row>
    <row r="21" spans="1:10" ht="20.100000000000001" customHeight="1">
      <c r="A21" s="11"/>
      <c r="B21" s="25"/>
      <c r="C21" s="14" t="s">
        <v>30</v>
      </c>
      <c r="D21" s="215"/>
      <c r="E21" s="10" t="s">
        <v>17</v>
      </c>
      <c r="F21" s="304"/>
      <c r="G21" s="305"/>
      <c r="H21" s="306"/>
    </row>
    <row r="22" spans="1:10" ht="20.100000000000001" customHeight="1">
      <c r="A22" s="11"/>
      <c r="B22" s="26"/>
      <c r="C22" s="14" t="s">
        <v>31</v>
      </c>
      <c r="D22" s="216" t="s">
        <v>32</v>
      </c>
      <c r="E22" s="10"/>
      <c r="F22" s="304"/>
      <c r="G22" s="305"/>
      <c r="H22" s="306"/>
    </row>
    <row r="23" spans="1:10" ht="20.100000000000001" customHeight="1">
      <c r="A23" s="19">
        <v>3</v>
      </c>
      <c r="B23" s="27" t="s">
        <v>33</v>
      </c>
      <c r="C23" s="21"/>
      <c r="D23" s="215"/>
      <c r="E23" s="17"/>
      <c r="F23" s="304"/>
      <c r="G23" s="305"/>
      <c r="H23" s="306"/>
    </row>
    <row r="24" spans="1:10" ht="20.100000000000001" customHeight="1">
      <c r="A24" s="11"/>
      <c r="B24" s="28"/>
      <c r="C24" s="14" t="s">
        <v>34</v>
      </c>
      <c r="D24" s="236" t="s">
        <v>32</v>
      </c>
      <c r="E24" s="10" t="s">
        <v>17</v>
      </c>
      <c r="F24" s="304"/>
      <c r="G24" s="305"/>
      <c r="H24" s="306"/>
    </row>
    <row r="25" spans="1:10" ht="20.100000000000001" customHeight="1">
      <c r="A25" s="19">
        <v>4</v>
      </c>
      <c r="B25" s="27" t="s">
        <v>35</v>
      </c>
      <c r="C25" s="27"/>
      <c r="D25" s="215"/>
      <c r="E25" s="10"/>
      <c r="F25" s="304"/>
      <c r="G25" s="305"/>
      <c r="H25" s="306"/>
    </row>
    <row r="26" spans="1:10" ht="20.100000000000001" customHeight="1">
      <c r="A26" s="22"/>
      <c r="B26" s="23"/>
      <c r="C26" s="24" t="s">
        <v>36</v>
      </c>
      <c r="D26" s="216" t="s">
        <v>32</v>
      </c>
      <c r="E26" s="10"/>
      <c r="F26" s="304"/>
      <c r="G26" s="305"/>
      <c r="H26" s="306"/>
    </row>
    <row r="27" spans="1:10" ht="20.100000000000001" customHeight="1">
      <c r="A27" s="11"/>
      <c r="B27" s="25"/>
      <c r="C27" s="14" t="s">
        <v>37</v>
      </c>
      <c r="D27" s="216" t="s">
        <v>32</v>
      </c>
      <c r="E27" s="10"/>
      <c r="F27" s="304"/>
      <c r="G27" s="305"/>
      <c r="H27" s="306"/>
    </row>
    <row r="28" spans="1:10" ht="20.100000000000001" customHeight="1">
      <c r="A28" s="11"/>
      <c r="B28" s="26"/>
      <c r="C28" s="14" t="s">
        <v>38</v>
      </c>
      <c r="D28" s="216" t="s">
        <v>32</v>
      </c>
      <c r="E28" s="10"/>
      <c r="F28" s="304"/>
      <c r="G28" s="305"/>
      <c r="H28" s="306"/>
    </row>
    <row r="29" spans="1:10" ht="20.100000000000001" customHeight="1">
      <c r="A29" s="11"/>
      <c r="B29" s="26"/>
      <c r="C29" s="14" t="s">
        <v>39</v>
      </c>
      <c r="D29" s="216" t="s">
        <v>32</v>
      </c>
      <c r="E29" s="10" t="s">
        <v>17</v>
      </c>
      <c r="F29" s="304"/>
      <c r="G29" s="305"/>
      <c r="H29" s="306"/>
    </row>
    <row r="30" spans="1:10" ht="20.100000000000001" customHeight="1">
      <c r="A30" s="11"/>
      <c r="B30" s="26"/>
      <c r="C30" s="14" t="s">
        <v>40</v>
      </c>
      <c r="D30" s="216" t="s">
        <v>32</v>
      </c>
      <c r="E30" s="10"/>
      <c r="F30" s="304"/>
      <c r="G30" s="305"/>
      <c r="H30" s="306"/>
    </row>
    <row r="31" spans="1:10" ht="20.100000000000001" customHeight="1">
      <c r="A31" s="19">
        <v>5</v>
      </c>
      <c r="B31" s="27" t="s">
        <v>41</v>
      </c>
      <c r="C31" s="27"/>
      <c r="D31" s="215"/>
      <c r="E31" s="10"/>
      <c r="F31" s="304"/>
      <c r="G31" s="305"/>
      <c r="H31" s="306"/>
    </row>
    <row r="32" spans="1:10" ht="20.100000000000001" customHeight="1">
      <c r="A32" s="22"/>
      <c r="B32" s="28"/>
      <c r="C32" s="14" t="s">
        <v>42</v>
      </c>
      <c r="D32" s="215"/>
      <c r="E32" s="10" t="s">
        <v>17</v>
      </c>
      <c r="F32" s="304"/>
      <c r="G32" s="305"/>
      <c r="H32" s="306"/>
    </row>
    <row r="33" spans="1:8" ht="20.100000000000001" customHeight="1">
      <c r="A33" s="11"/>
      <c r="B33" s="28"/>
      <c r="C33" s="14" t="s">
        <v>43</v>
      </c>
      <c r="D33" s="216" t="s">
        <v>32</v>
      </c>
      <c r="E33" s="10" t="s">
        <v>17</v>
      </c>
      <c r="F33" s="304"/>
      <c r="G33" s="305"/>
      <c r="H33" s="306"/>
    </row>
    <row r="34" spans="1:8" ht="20.100000000000001" customHeight="1">
      <c r="A34" s="11"/>
      <c r="B34" s="28"/>
      <c r="C34" s="14" t="s">
        <v>44</v>
      </c>
      <c r="D34" s="215"/>
      <c r="E34" s="17"/>
      <c r="F34" s="304"/>
      <c r="G34" s="305"/>
      <c r="H34" s="306"/>
    </row>
    <row r="35" spans="1:8" ht="20.100000000000001" customHeight="1">
      <c r="A35" s="11"/>
      <c r="B35" s="28"/>
      <c r="C35" s="14" t="s">
        <v>45</v>
      </c>
      <c r="D35" s="216" t="s">
        <v>32</v>
      </c>
      <c r="E35" s="10" t="s">
        <v>17</v>
      </c>
      <c r="F35" s="304"/>
      <c r="G35" s="305"/>
      <c r="H35" s="306"/>
    </row>
    <row r="36" spans="1:8" ht="20.100000000000001" customHeight="1">
      <c r="A36" s="11"/>
      <c r="B36" s="28"/>
      <c r="C36" s="14" t="s">
        <v>46</v>
      </c>
      <c r="D36" s="215"/>
      <c r="E36" s="10" t="s">
        <v>17</v>
      </c>
      <c r="F36" s="304"/>
      <c r="G36" s="305"/>
      <c r="H36" s="306"/>
    </row>
    <row r="37" spans="1:8" ht="20.100000000000001" customHeight="1">
      <c r="A37" s="11"/>
      <c r="B37" s="28"/>
      <c r="C37" s="14" t="s">
        <v>47</v>
      </c>
      <c r="D37" s="215"/>
      <c r="E37" s="17"/>
      <c r="F37" s="304"/>
      <c r="G37" s="305"/>
      <c r="H37" s="306"/>
    </row>
    <row r="38" spans="1:8" ht="20.100000000000001" customHeight="1">
      <c r="A38" s="11"/>
      <c r="B38" s="28"/>
      <c r="C38" s="14" t="s">
        <v>48</v>
      </c>
      <c r="D38" s="216" t="s">
        <v>32</v>
      </c>
      <c r="E38" s="10" t="s">
        <v>17</v>
      </c>
      <c r="F38" s="304"/>
      <c r="G38" s="305"/>
      <c r="H38" s="306"/>
    </row>
    <row r="39" spans="1:8" ht="20.100000000000001" customHeight="1">
      <c r="A39" s="19">
        <v>6</v>
      </c>
      <c r="B39" s="27" t="s">
        <v>49</v>
      </c>
      <c r="C39" s="27"/>
      <c r="D39" s="215"/>
      <c r="E39" s="10"/>
      <c r="F39" s="304"/>
      <c r="G39" s="305"/>
      <c r="H39" s="306"/>
    </row>
    <row r="40" spans="1:8" ht="20.100000000000001" customHeight="1">
      <c r="A40" s="11"/>
      <c r="B40" s="28"/>
      <c r="C40" s="14" t="s">
        <v>50</v>
      </c>
      <c r="D40" s="215"/>
      <c r="E40" s="17"/>
      <c r="F40" s="304"/>
      <c r="G40" s="305"/>
      <c r="H40" s="306"/>
    </row>
    <row r="41" spans="1:8" ht="20.100000000000001" customHeight="1">
      <c r="A41" s="11"/>
      <c r="B41" s="28"/>
      <c r="C41" s="14" t="s">
        <v>51</v>
      </c>
      <c r="D41" s="215"/>
      <c r="E41" s="17"/>
      <c r="F41" s="304"/>
      <c r="G41" s="305"/>
      <c r="H41" s="306"/>
    </row>
    <row r="42" spans="1:8" ht="20.100000000000001" customHeight="1">
      <c r="A42" s="11"/>
      <c r="B42" s="28"/>
      <c r="C42" s="14" t="s">
        <v>52</v>
      </c>
      <c r="D42" s="215"/>
      <c r="E42" s="17"/>
      <c r="F42" s="304"/>
      <c r="G42" s="305"/>
      <c r="H42" s="306"/>
    </row>
    <row r="43" spans="1:8" ht="20.100000000000001" customHeight="1">
      <c r="A43" s="11"/>
      <c r="B43" s="28"/>
      <c r="C43" s="14" t="s">
        <v>53</v>
      </c>
      <c r="D43" s="215"/>
      <c r="E43" s="17"/>
      <c r="F43" s="304"/>
      <c r="G43" s="305"/>
      <c r="H43" s="306"/>
    </row>
    <row r="44" spans="1:8" ht="20.100000000000001" customHeight="1">
      <c r="A44" s="11"/>
      <c r="B44" s="28"/>
      <c r="C44" s="14" t="s">
        <v>54</v>
      </c>
      <c r="D44" s="215"/>
      <c r="E44" s="17"/>
      <c r="F44" s="304"/>
      <c r="G44" s="305"/>
      <c r="H44" s="306"/>
    </row>
    <row r="45" spans="1:8" ht="20.100000000000001" customHeight="1">
      <c r="A45" s="11"/>
      <c r="B45" s="28"/>
      <c r="C45" s="14" t="s">
        <v>55</v>
      </c>
      <c r="D45" s="215"/>
      <c r="E45" s="10" t="s">
        <v>17</v>
      </c>
      <c r="F45" s="304"/>
      <c r="G45" s="305"/>
      <c r="H45" s="306"/>
    </row>
    <row r="46" spans="1:8" ht="20.100000000000001" customHeight="1">
      <c r="A46" s="19">
        <v>7</v>
      </c>
      <c r="B46" s="27" t="s">
        <v>56</v>
      </c>
      <c r="C46" s="27"/>
      <c r="D46" s="215"/>
      <c r="E46" s="17"/>
      <c r="F46" s="304"/>
      <c r="G46" s="305"/>
      <c r="H46" s="306"/>
    </row>
    <row r="47" spans="1:8" ht="20.100000000000001" customHeight="1">
      <c r="A47" s="11"/>
      <c r="B47" s="28"/>
      <c r="C47" s="14" t="s">
        <v>57</v>
      </c>
      <c r="D47" s="216" t="s">
        <v>32</v>
      </c>
      <c r="E47" s="29"/>
      <c r="F47" s="304"/>
      <c r="G47" s="305"/>
      <c r="H47" s="306"/>
    </row>
    <row r="48" spans="1:8" ht="20.100000000000001" customHeight="1">
      <c r="A48" s="11"/>
      <c r="B48" s="30"/>
      <c r="C48" s="14" t="s">
        <v>58</v>
      </c>
      <c r="D48" s="215"/>
      <c r="E48" s="17"/>
      <c r="F48" s="304"/>
      <c r="G48" s="305"/>
      <c r="H48" s="306"/>
    </row>
    <row r="49" spans="1:8" ht="20.100000000000001" customHeight="1">
      <c r="A49" s="19">
        <v>8</v>
      </c>
      <c r="B49" s="27" t="s">
        <v>59</v>
      </c>
      <c r="C49" s="27"/>
      <c r="D49" s="215"/>
      <c r="E49" s="17"/>
      <c r="F49" s="304"/>
      <c r="G49" s="305"/>
      <c r="H49" s="306"/>
    </row>
    <row r="50" spans="1:8" ht="20.100000000000001" customHeight="1">
      <c r="A50" s="11"/>
      <c r="B50" s="28"/>
      <c r="C50" s="24" t="s">
        <v>60</v>
      </c>
      <c r="D50" s="215"/>
      <c r="E50" s="10" t="s">
        <v>17</v>
      </c>
      <c r="F50" s="304"/>
      <c r="G50" s="305"/>
      <c r="H50" s="306"/>
    </row>
    <row r="51" spans="1:8" ht="20.100000000000001" customHeight="1">
      <c r="A51" s="11"/>
      <c r="B51" s="31"/>
      <c r="C51" s="14" t="s">
        <v>61</v>
      </c>
      <c r="D51" s="216" t="s">
        <v>32</v>
      </c>
      <c r="E51" s="10" t="s">
        <v>17</v>
      </c>
      <c r="F51" s="304"/>
      <c r="G51" s="305"/>
      <c r="H51" s="306"/>
    </row>
    <row r="52" spans="1:8" ht="20.100000000000001" customHeight="1">
      <c r="A52" s="11"/>
      <c r="B52" s="31"/>
      <c r="C52" s="24" t="s">
        <v>62</v>
      </c>
      <c r="D52" s="215"/>
      <c r="E52" s="10" t="s">
        <v>17</v>
      </c>
      <c r="F52" s="304"/>
      <c r="G52" s="305"/>
      <c r="H52" s="306"/>
    </row>
    <row r="53" spans="1:8" ht="20.100000000000001" customHeight="1">
      <c r="A53" s="11"/>
      <c r="B53" s="31"/>
      <c r="C53" s="24" t="s">
        <v>63</v>
      </c>
      <c r="D53" s="216" t="s">
        <v>32</v>
      </c>
      <c r="E53" s="10"/>
      <c r="F53" s="304"/>
      <c r="G53" s="305"/>
      <c r="H53" s="306"/>
    </row>
    <row r="54" spans="1:8" ht="20.100000000000001" customHeight="1">
      <c r="A54" s="11"/>
      <c r="B54" s="31"/>
      <c r="C54" s="24" t="s">
        <v>64</v>
      </c>
      <c r="D54" s="216" t="s">
        <v>32</v>
      </c>
      <c r="E54" s="10" t="s">
        <v>17</v>
      </c>
      <c r="F54" s="304"/>
      <c r="G54" s="305"/>
      <c r="H54" s="306"/>
    </row>
    <row r="55" spans="1:8" ht="20.100000000000001" customHeight="1">
      <c r="A55" s="11"/>
      <c r="B55" s="31"/>
      <c r="C55" s="24" t="s">
        <v>65</v>
      </c>
      <c r="D55" s="215"/>
      <c r="E55" s="10" t="s">
        <v>17</v>
      </c>
      <c r="F55" s="304"/>
      <c r="G55" s="305"/>
      <c r="H55" s="306"/>
    </row>
    <row r="56" spans="1:8" ht="20.100000000000001" customHeight="1">
      <c r="A56" s="11"/>
      <c r="B56" s="31"/>
      <c r="C56" s="24" t="s">
        <v>66</v>
      </c>
      <c r="D56" s="215"/>
      <c r="E56" s="10"/>
      <c r="F56" s="304"/>
      <c r="G56" s="305"/>
      <c r="H56" s="306"/>
    </row>
    <row r="57" spans="1:8" ht="20.100000000000001" customHeight="1">
      <c r="A57" s="11"/>
      <c r="B57" s="31"/>
      <c r="C57" s="24" t="s">
        <v>67</v>
      </c>
      <c r="D57" s="215"/>
      <c r="E57" s="10" t="s">
        <v>17</v>
      </c>
      <c r="F57" s="304"/>
      <c r="G57" s="305"/>
      <c r="H57" s="306"/>
    </row>
    <row r="58" spans="1:8" ht="20.100000000000001" customHeight="1">
      <c r="A58" s="19">
        <v>9</v>
      </c>
      <c r="B58" s="27" t="s">
        <v>68</v>
      </c>
      <c r="C58" s="27"/>
      <c r="D58" s="215"/>
      <c r="E58" s="17"/>
      <c r="F58" s="304"/>
      <c r="G58" s="305"/>
      <c r="H58" s="306"/>
    </row>
    <row r="59" spans="1:8" ht="20.100000000000001" customHeight="1">
      <c r="A59" s="32"/>
      <c r="B59" s="26"/>
      <c r="C59" s="14" t="s">
        <v>69</v>
      </c>
      <c r="D59" s="216" t="s">
        <v>32</v>
      </c>
      <c r="E59" s="10" t="s">
        <v>17</v>
      </c>
      <c r="F59" s="304"/>
      <c r="G59" s="305"/>
      <c r="H59" s="306"/>
    </row>
    <row r="60" spans="1:8" ht="20.100000000000001" customHeight="1">
      <c r="A60" s="11"/>
      <c r="B60" s="26"/>
      <c r="C60" s="14" t="s">
        <v>70</v>
      </c>
      <c r="D60" s="215"/>
      <c r="E60" s="10" t="s">
        <v>17</v>
      </c>
      <c r="F60" s="304"/>
      <c r="G60" s="305"/>
      <c r="H60" s="306"/>
    </row>
    <row r="61" spans="1:8" ht="20.100000000000001" customHeight="1">
      <c r="A61" s="11"/>
      <c r="B61" s="26"/>
      <c r="C61" s="14" t="s">
        <v>71</v>
      </c>
      <c r="D61" s="216" t="s">
        <v>32</v>
      </c>
      <c r="E61" s="10" t="s">
        <v>17</v>
      </c>
      <c r="F61" s="304"/>
      <c r="G61" s="305"/>
      <c r="H61" s="306"/>
    </row>
    <row r="62" spans="1:8" ht="20.100000000000001" customHeight="1">
      <c r="A62" s="11"/>
      <c r="B62" s="31"/>
      <c r="C62" s="24" t="s">
        <v>48</v>
      </c>
      <c r="D62" s="215"/>
      <c r="E62" s="10" t="s">
        <v>17</v>
      </c>
      <c r="F62" s="304"/>
      <c r="G62" s="305"/>
      <c r="H62" s="306"/>
    </row>
    <row r="63" spans="1:8" ht="20.100000000000001" customHeight="1">
      <c r="A63" s="19">
        <v>10</v>
      </c>
      <c r="B63" s="27" t="s">
        <v>72</v>
      </c>
      <c r="C63" s="27"/>
      <c r="D63" s="215"/>
      <c r="E63" s="17"/>
      <c r="F63" s="307"/>
      <c r="G63" s="308"/>
      <c r="H63" s="309"/>
    </row>
    <row r="64" spans="1:8" ht="20.100000000000001" customHeight="1">
      <c r="A64" s="11"/>
      <c r="B64" s="31"/>
      <c r="C64" s="24" t="s">
        <v>73</v>
      </c>
      <c r="D64" s="215"/>
      <c r="E64" s="10" t="s">
        <v>17</v>
      </c>
      <c r="F64" s="304" t="s">
        <v>74</v>
      </c>
      <c r="G64" s="305"/>
      <c r="H64" s="306"/>
    </row>
    <row r="65" spans="1:8" ht="20.100000000000001" customHeight="1">
      <c r="A65" s="19">
        <v>11</v>
      </c>
      <c r="B65" s="27" t="s">
        <v>75</v>
      </c>
      <c r="C65" s="27"/>
      <c r="D65" s="215"/>
      <c r="E65" s="17"/>
      <c r="F65" s="304"/>
      <c r="G65" s="305"/>
      <c r="H65" s="306"/>
    </row>
    <row r="66" spans="1:8" ht="20.100000000000001" customHeight="1">
      <c r="A66" s="32"/>
      <c r="B66" s="26"/>
      <c r="C66" s="14" t="s">
        <v>76</v>
      </c>
      <c r="D66" s="216" t="s">
        <v>32</v>
      </c>
      <c r="E66" s="10" t="s">
        <v>17</v>
      </c>
      <c r="F66" s="304"/>
      <c r="G66" s="305"/>
      <c r="H66" s="306"/>
    </row>
    <row r="67" spans="1:8" ht="20.100000000000001" customHeight="1">
      <c r="A67" s="218"/>
      <c r="B67" s="219"/>
      <c r="C67" s="220" t="s">
        <v>77</v>
      </c>
      <c r="D67" s="221" t="s">
        <v>32</v>
      </c>
      <c r="E67" s="222"/>
      <c r="F67" s="301"/>
      <c r="G67" s="302"/>
      <c r="H67" s="303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86311-F0A3-46DB-8E5D-15526A0FF676}">
  <sheetPr>
    <tabColor rgb="FF92D050"/>
  </sheetPr>
  <dimension ref="A1:M24"/>
  <sheetViews>
    <sheetView topLeftCell="A4" workbookViewId="0">
      <selection activeCell="J24" sqref="J24"/>
    </sheetView>
  </sheetViews>
  <sheetFormatPr defaultColWidth="10.28515625" defaultRowHeight="15"/>
  <cols>
    <col min="3" max="3" width="47.5703125" customWidth="1"/>
    <col min="4" max="4" width="13.140625" customWidth="1"/>
  </cols>
  <sheetData>
    <row r="1" spans="1:12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2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2" ht="18">
      <c r="A4" s="121"/>
      <c r="B4" s="53"/>
      <c r="D4" s="55"/>
      <c r="G4" s="122"/>
      <c r="H4" s="65"/>
      <c r="I4" s="66"/>
    </row>
    <row r="5" spans="1:12" ht="18">
      <c r="A5" s="53" t="s">
        <v>229</v>
      </c>
      <c r="C5" s="57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7" spans="1:12">
      <c r="E7" s="58"/>
    </row>
    <row r="8" spans="1:12" s="69" customFormat="1" ht="25.5">
      <c r="A8" s="67" t="s">
        <v>102</v>
      </c>
      <c r="B8" s="360" t="s">
        <v>103</v>
      </c>
      <c r="C8" s="361"/>
      <c r="D8" s="68" t="s">
        <v>239</v>
      </c>
      <c r="E8" s="68" t="s">
        <v>240</v>
      </c>
      <c r="F8" s="68" t="s">
        <v>241</v>
      </c>
      <c r="G8" s="68" t="s">
        <v>242</v>
      </c>
      <c r="H8" s="68" t="s">
        <v>243</v>
      </c>
      <c r="I8" s="68"/>
      <c r="J8" s="68" t="s">
        <v>244</v>
      </c>
      <c r="K8" s="68" t="s">
        <v>245</v>
      </c>
    </row>
    <row r="10" spans="1:12">
      <c r="C10" t="s">
        <v>246</v>
      </c>
      <c r="D10" s="281">
        <v>41395</v>
      </c>
      <c r="E10" s="282">
        <v>757</v>
      </c>
      <c r="F10" s="282">
        <v>122.88</v>
      </c>
      <c r="G10" s="282"/>
      <c r="H10" s="80">
        <v>20</v>
      </c>
      <c r="I10" s="80" t="s">
        <v>247</v>
      </c>
      <c r="J10" s="283">
        <f>+F10*H10/100</f>
        <v>24.576000000000001</v>
      </c>
      <c r="K10" s="283">
        <f t="shared" ref="K10:K18" si="0">+F10-J10</f>
        <v>98.304000000000002</v>
      </c>
      <c r="L10" s="79"/>
    </row>
    <row r="11" spans="1:12">
      <c r="C11" t="s">
        <v>248</v>
      </c>
      <c r="D11" s="281">
        <v>41456</v>
      </c>
      <c r="E11" s="284">
        <v>950</v>
      </c>
      <c r="F11" s="284">
        <v>159.22999999999999</v>
      </c>
      <c r="G11" s="284"/>
      <c r="H11" s="80">
        <v>20</v>
      </c>
      <c r="I11" s="80" t="s">
        <v>247</v>
      </c>
      <c r="J11" s="283">
        <f>+F11*H11/100</f>
        <v>31.846</v>
      </c>
      <c r="K11" s="283">
        <f t="shared" si="0"/>
        <v>127.38399999999999</v>
      </c>
      <c r="L11" s="79"/>
    </row>
    <row r="12" spans="1:12">
      <c r="A12" s="65"/>
      <c r="B12" s="65"/>
      <c r="C12" t="s">
        <v>249</v>
      </c>
      <c r="D12" s="281">
        <v>41487</v>
      </c>
      <c r="E12" s="284">
        <v>888</v>
      </c>
      <c r="F12" s="284">
        <v>62.32</v>
      </c>
      <c r="G12" s="284"/>
      <c r="H12" s="80">
        <v>28.57</v>
      </c>
      <c r="I12" s="80" t="s">
        <v>247</v>
      </c>
      <c r="J12" s="283">
        <f>+F12*H12/100</f>
        <v>17.804824</v>
      </c>
      <c r="K12" s="283">
        <f t="shared" si="0"/>
        <v>44.515175999999997</v>
      </c>
      <c r="L12" s="79"/>
    </row>
    <row r="13" spans="1:12">
      <c r="A13" s="65"/>
      <c r="B13" s="65"/>
      <c r="C13" t="s">
        <v>250</v>
      </c>
      <c r="D13" s="281">
        <v>42514</v>
      </c>
      <c r="E13" s="284">
        <v>769</v>
      </c>
      <c r="F13" s="284">
        <v>246.78</v>
      </c>
      <c r="G13" s="284"/>
      <c r="H13" s="80">
        <v>20</v>
      </c>
      <c r="I13" s="80" t="s">
        <v>247</v>
      </c>
      <c r="J13" s="283">
        <f>+F13*H13/100</f>
        <v>49.356000000000002</v>
      </c>
      <c r="K13" s="283">
        <f t="shared" si="0"/>
        <v>197.42400000000001</v>
      </c>
      <c r="L13" s="79"/>
    </row>
    <row r="14" spans="1:12">
      <c r="C14" t="s">
        <v>251</v>
      </c>
      <c r="D14" s="281">
        <v>42514</v>
      </c>
      <c r="E14" s="284">
        <v>550</v>
      </c>
      <c r="F14" s="284">
        <v>479.75</v>
      </c>
      <c r="G14" s="284"/>
      <c r="H14" s="80">
        <v>2.5</v>
      </c>
      <c r="I14" s="80" t="s">
        <v>252</v>
      </c>
      <c r="J14" s="283">
        <f>+E14*H14/100</f>
        <v>13.75</v>
      </c>
      <c r="K14" s="283">
        <f t="shared" si="0"/>
        <v>466</v>
      </c>
      <c r="L14" s="79"/>
    </row>
    <row r="15" spans="1:12">
      <c r="C15" t="s">
        <v>253</v>
      </c>
      <c r="D15" s="285">
        <v>43060</v>
      </c>
      <c r="E15" s="284">
        <v>979</v>
      </c>
      <c r="F15" s="284">
        <v>440.32</v>
      </c>
      <c r="G15" s="284"/>
      <c r="H15" s="80">
        <v>20</v>
      </c>
      <c r="I15" s="80" t="s">
        <v>247</v>
      </c>
      <c r="J15" s="283">
        <f>+F15*H15/100</f>
        <v>88.063999999999993</v>
      </c>
      <c r="K15" s="283">
        <f t="shared" si="0"/>
        <v>352.25599999999997</v>
      </c>
      <c r="L15" s="79"/>
    </row>
    <row r="16" spans="1:12">
      <c r="C16" t="s">
        <v>254</v>
      </c>
      <c r="D16" s="285">
        <v>43217</v>
      </c>
      <c r="E16" s="284">
        <v>324</v>
      </c>
      <c r="F16" s="284">
        <v>10.59</v>
      </c>
      <c r="G16" s="284"/>
      <c r="H16" s="80">
        <v>66.67</v>
      </c>
      <c r="I16" s="80" t="s">
        <v>247</v>
      </c>
      <c r="J16" s="283">
        <f>+F16*H16/100</f>
        <v>7.0603530000000001</v>
      </c>
      <c r="K16" s="283">
        <f t="shared" si="0"/>
        <v>3.5296469999999998</v>
      </c>
      <c r="L16" s="79"/>
    </row>
    <row r="17" spans="1:13">
      <c r="C17" t="s">
        <v>255</v>
      </c>
      <c r="D17" s="126">
        <v>43368</v>
      </c>
      <c r="E17" s="93">
        <f>398+110</f>
        <v>508</v>
      </c>
      <c r="F17" s="284">
        <v>227.42</v>
      </c>
      <c r="G17" s="284"/>
      <c r="H17" s="80">
        <v>20</v>
      </c>
      <c r="I17" s="80" t="s">
        <v>247</v>
      </c>
      <c r="J17" s="283">
        <f>+E17*H17/100</f>
        <v>101.6</v>
      </c>
      <c r="K17" s="283">
        <f t="shared" si="0"/>
        <v>125.82</v>
      </c>
      <c r="L17" s="79"/>
      <c r="M17" s="80"/>
    </row>
    <row r="18" spans="1:13">
      <c r="C18" t="s">
        <v>256</v>
      </c>
      <c r="D18" s="126">
        <v>43368</v>
      </c>
      <c r="E18" s="93">
        <f>599+90</f>
        <v>689</v>
      </c>
      <c r="F18" s="284">
        <v>308.45</v>
      </c>
      <c r="G18" s="284"/>
      <c r="H18" s="80">
        <v>20</v>
      </c>
      <c r="I18" s="80" t="s">
        <v>247</v>
      </c>
      <c r="J18" s="283">
        <f>+E18*H18/100</f>
        <v>137.80000000000001</v>
      </c>
      <c r="K18" s="283">
        <f t="shared" si="0"/>
        <v>170.64999999999998</v>
      </c>
      <c r="L18" s="79"/>
    </row>
    <row r="19" spans="1:13" ht="15.75" thickBot="1">
      <c r="A19" s="65"/>
      <c r="B19" s="65"/>
      <c r="D19" s="274"/>
      <c r="E19" s="286">
        <f>SUM(E10:E16)</f>
        <v>5217</v>
      </c>
      <c r="F19" s="286">
        <f>SUM(F10:F18)</f>
        <v>2057.7399999999998</v>
      </c>
      <c r="G19" s="286">
        <f>SUM(G10:G18)</f>
        <v>0</v>
      </c>
      <c r="H19" s="80"/>
      <c r="I19" s="80"/>
      <c r="J19" s="287">
        <f>SUM(J10:J18)</f>
        <v>471.85717699999998</v>
      </c>
      <c r="K19" s="287">
        <f>SUM(K10:K18)</f>
        <v>1585.8828229999999</v>
      </c>
    </row>
    <row r="22" spans="1:13">
      <c r="C22" t="s">
        <v>257</v>
      </c>
      <c r="J22">
        <v>91.85</v>
      </c>
    </row>
    <row r="24" spans="1:13">
      <c r="C24" t="s">
        <v>258</v>
      </c>
      <c r="J24" s="79">
        <f>+J19+J22</f>
        <v>563.707177</v>
      </c>
    </row>
  </sheetData>
  <mergeCells count="4">
    <mergeCell ref="C1:E1"/>
    <mergeCell ref="C2:E2"/>
    <mergeCell ref="C3:E3"/>
    <mergeCell ref="B8:C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33"/>
  <sheetViews>
    <sheetView workbookViewId="0">
      <selection activeCell="Q12" sqref="Q1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0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0" ht="18">
      <c r="A4" s="121"/>
      <c r="B4" s="53"/>
      <c r="D4" s="55"/>
      <c r="F4"/>
      <c r="G4" s="122"/>
      <c r="H4" s="65"/>
      <c r="I4" s="66"/>
    </row>
    <row r="5" spans="1:10" ht="18">
      <c r="A5" s="53" t="s">
        <v>259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5" t="s">
        <v>102</v>
      </c>
      <c r="B8" s="322" t="s">
        <v>103</v>
      </c>
      <c r="C8" s="323"/>
      <c r="D8" s="323"/>
      <c r="E8" s="324"/>
      <c r="F8" s="136" t="s">
        <v>104</v>
      </c>
      <c r="G8" s="322" t="s">
        <v>152</v>
      </c>
      <c r="H8" s="331"/>
      <c r="I8" s="332"/>
    </row>
    <row r="10" spans="1:10">
      <c r="F10" s="70"/>
    </row>
    <row r="11" spans="1:10">
      <c r="A11" s="71">
        <v>61800</v>
      </c>
      <c r="B11" s="71"/>
      <c r="C11" s="71" t="s">
        <v>37</v>
      </c>
    </row>
    <row r="12" spans="1:10">
      <c r="A12" s="71"/>
      <c r="B12" s="71"/>
      <c r="C12" s="114" t="s">
        <v>260</v>
      </c>
      <c r="F12" s="58">
        <v>0</v>
      </c>
    </row>
    <row r="13" spans="1:10">
      <c r="A13" s="71"/>
      <c r="B13" s="71"/>
      <c r="C13" s="114" t="s">
        <v>261</v>
      </c>
      <c r="F13" s="58">
        <v>0</v>
      </c>
    </row>
    <row r="15" spans="1:10" ht="15.75" thickBot="1">
      <c r="F15" s="112">
        <f>SUM(F12:F14)</f>
        <v>0</v>
      </c>
      <c r="G15" t="s">
        <v>262</v>
      </c>
    </row>
    <row r="17" spans="1:6">
      <c r="A17" s="77">
        <v>64500</v>
      </c>
      <c r="B17" s="77"/>
      <c r="C17" s="71" t="s">
        <v>39</v>
      </c>
    </row>
    <row r="18" spans="1:6">
      <c r="C18" t="s">
        <v>263</v>
      </c>
      <c r="F18" s="58">
        <f>+'Rental Income'!K20</f>
        <v>1042.68</v>
      </c>
    </row>
    <row r="19" spans="1:6">
      <c r="F19" s="58">
        <v>0</v>
      </c>
    </row>
    <row r="21" spans="1:6" ht="15.75" thickBot="1">
      <c r="F21" s="112">
        <f>SUM(F18:F20)</f>
        <v>1042.68</v>
      </c>
    </row>
    <row r="22" spans="1:6">
      <c r="F22" s="70"/>
    </row>
    <row r="23" spans="1:6">
      <c r="A23" s="71"/>
      <c r="B23" s="71"/>
      <c r="F23" s="70"/>
    </row>
    <row r="24" spans="1:6">
      <c r="F24"/>
    </row>
    <row r="25" spans="1:6">
      <c r="F25"/>
    </row>
    <row r="26" spans="1:6">
      <c r="F26"/>
    </row>
    <row r="27" spans="1:6">
      <c r="F27"/>
    </row>
    <row r="28" spans="1:6">
      <c r="F28"/>
    </row>
    <row r="29" spans="1:6">
      <c r="F29"/>
    </row>
    <row r="31" spans="1:6">
      <c r="F31" s="80"/>
    </row>
    <row r="33" spans="3:3">
      <c r="C33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K23" sqref="K2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0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264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5" t="s">
        <v>102</v>
      </c>
      <c r="B8" s="322" t="s">
        <v>103</v>
      </c>
      <c r="C8" s="323"/>
      <c r="D8" s="323"/>
      <c r="E8" s="324"/>
      <c r="F8" s="136" t="s">
        <v>104</v>
      </c>
      <c r="G8" s="322" t="s">
        <v>152</v>
      </c>
      <c r="H8" s="331"/>
      <c r="I8" s="332"/>
    </row>
    <row r="10" spans="1:10">
      <c r="F10" s="70"/>
    </row>
    <row r="11" spans="1:10">
      <c r="A11" s="71">
        <v>88000</v>
      </c>
      <c r="B11" s="71"/>
      <c r="C11" s="71" t="s">
        <v>57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8" workbookViewId="0">
      <selection activeCell="P28" sqref="P28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6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6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6" ht="18">
      <c r="D4" s="53"/>
      <c r="E4" s="53"/>
      <c r="F4" s="64"/>
      <c r="G4" s="65"/>
      <c r="I4" s="66"/>
    </row>
    <row r="5" spans="1:16" ht="18">
      <c r="A5" s="123" t="s">
        <v>265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5" t="s">
        <v>102</v>
      </c>
      <c r="B8" s="322" t="s">
        <v>103</v>
      </c>
      <c r="C8" s="324"/>
      <c r="D8" s="136" t="s">
        <v>104</v>
      </c>
      <c r="E8" s="136"/>
      <c r="F8" s="136"/>
      <c r="G8" s="136"/>
      <c r="H8" s="136" t="s">
        <v>104</v>
      </c>
      <c r="I8" s="322" t="s">
        <v>152</v>
      </c>
      <c r="J8" s="331"/>
      <c r="K8" s="332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8" t="s">
        <v>266</v>
      </c>
      <c r="E11" s="48" t="s">
        <v>267</v>
      </c>
      <c r="F11" s="48" t="s">
        <v>268</v>
      </c>
      <c r="G11" s="48" t="s">
        <v>269</v>
      </c>
      <c r="H11" s="72" t="s">
        <v>82</v>
      </c>
      <c r="J11" s="77"/>
    </row>
    <row r="12" spans="1:16">
      <c r="D12" s="48" t="s">
        <v>136</v>
      </c>
      <c r="E12" s="77"/>
      <c r="F12" s="48"/>
      <c r="G12" s="48"/>
      <c r="H12" s="58"/>
    </row>
    <row r="13" spans="1:16">
      <c r="H13" s="58"/>
      <c r="K13" s="48" t="s">
        <v>270</v>
      </c>
      <c r="L13" s="48" t="s">
        <v>271</v>
      </c>
      <c r="M13" s="48" t="s">
        <v>272</v>
      </c>
    </row>
    <row r="14" spans="1:16">
      <c r="C14" s="77" t="s">
        <v>273</v>
      </c>
      <c r="D14" s="93"/>
      <c r="E14" s="271"/>
      <c r="F14" s="93"/>
      <c r="G14" s="93"/>
      <c r="H14" s="93">
        <f t="shared" ref="H14:H27" si="0">SUM(D14:G14)</f>
        <v>0</v>
      </c>
      <c r="J14" t="s">
        <v>274</v>
      </c>
      <c r="K14" s="93">
        <f>+H40</f>
        <v>0</v>
      </c>
      <c r="L14" s="93">
        <v>0</v>
      </c>
      <c r="M14" s="93">
        <f>+K14-L14</f>
        <v>0</v>
      </c>
    </row>
    <row r="15" spans="1:16">
      <c r="C15" t="s">
        <v>275</v>
      </c>
      <c r="D15" s="93"/>
      <c r="E15" s="93"/>
      <c r="F15" s="93"/>
      <c r="G15" s="93"/>
      <c r="H15" s="93">
        <f t="shared" si="0"/>
        <v>0</v>
      </c>
      <c r="J15" t="s">
        <v>276</v>
      </c>
      <c r="K15" s="93">
        <f>+H26</f>
        <v>0</v>
      </c>
      <c r="L15" s="93">
        <v>0</v>
      </c>
      <c r="M15" s="93">
        <f t="shared" ref="M15:M27" si="1">+K15-L15</f>
        <v>0</v>
      </c>
    </row>
    <row r="16" spans="1:16">
      <c r="C16" t="s">
        <v>277</v>
      </c>
      <c r="D16" s="93"/>
      <c r="E16" s="93"/>
      <c r="F16" s="93"/>
      <c r="G16" s="93"/>
      <c r="H16" s="93">
        <f t="shared" si="0"/>
        <v>0</v>
      </c>
      <c r="J16" t="s">
        <v>278</v>
      </c>
      <c r="K16" s="93">
        <f>+H24+H25</f>
        <v>0</v>
      </c>
      <c r="L16" s="93">
        <v>0</v>
      </c>
      <c r="M16" s="93">
        <f t="shared" si="1"/>
        <v>0</v>
      </c>
    </row>
    <row r="17" spans="3:13">
      <c r="C17" s="137" t="s">
        <v>279</v>
      </c>
      <c r="D17" s="93"/>
      <c r="E17" s="93"/>
      <c r="F17" s="93"/>
      <c r="G17" s="93"/>
      <c r="H17" s="93">
        <f t="shared" si="0"/>
        <v>0</v>
      </c>
      <c r="J17" t="s">
        <v>280</v>
      </c>
      <c r="K17" s="93">
        <f>+H15+H28</f>
        <v>0</v>
      </c>
      <c r="L17" s="93">
        <v>0</v>
      </c>
      <c r="M17" s="93">
        <f t="shared" si="1"/>
        <v>0</v>
      </c>
    </row>
    <row r="18" spans="3:13">
      <c r="C18" s="137" t="s">
        <v>281</v>
      </c>
      <c r="D18" s="93"/>
      <c r="E18" s="93"/>
      <c r="F18" s="93"/>
      <c r="G18" s="93"/>
      <c r="H18" s="93">
        <f t="shared" si="0"/>
        <v>0</v>
      </c>
      <c r="J18" t="s">
        <v>282</v>
      </c>
      <c r="K18" s="93">
        <f>+H27</f>
        <v>0</v>
      </c>
      <c r="L18" s="93">
        <v>0</v>
      </c>
      <c r="M18" s="93">
        <f t="shared" si="1"/>
        <v>0</v>
      </c>
    </row>
    <row r="19" spans="3:13">
      <c r="C19" t="s">
        <v>283</v>
      </c>
      <c r="D19" s="93"/>
      <c r="E19" s="93"/>
      <c r="F19" s="93"/>
      <c r="G19" s="93"/>
      <c r="H19" s="93">
        <f t="shared" si="0"/>
        <v>0</v>
      </c>
      <c r="J19" t="s">
        <v>284</v>
      </c>
      <c r="K19" s="93">
        <f>+H20+H21-H36</f>
        <v>0</v>
      </c>
      <c r="L19" s="93">
        <v>0</v>
      </c>
      <c r="M19" s="93">
        <f t="shared" si="1"/>
        <v>0</v>
      </c>
    </row>
    <row r="20" spans="3:13">
      <c r="C20" s="137" t="s">
        <v>279</v>
      </c>
      <c r="D20" s="93"/>
      <c r="E20" s="93"/>
      <c r="F20" s="93"/>
      <c r="G20" s="93"/>
      <c r="H20" s="93">
        <f t="shared" si="0"/>
        <v>0</v>
      </c>
      <c r="J20" t="s">
        <v>285</v>
      </c>
      <c r="K20" s="93">
        <f>+H20+H21</f>
        <v>0</v>
      </c>
      <c r="L20" s="93">
        <v>0</v>
      </c>
      <c r="M20" s="93">
        <f t="shared" si="1"/>
        <v>0</v>
      </c>
    </row>
    <row r="21" spans="3:13">
      <c r="C21" s="137" t="s">
        <v>281</v>
      </c>
      <c r="D21" s="93"/>
      <c r="E21" s="93"/>
      <c r="F21" s="93"/>
      <c r="G21" s="93"/>
      <c r="H21" s="93">
        <f t="shared" si="0"/>
        <v>0</v>
      </c>
      <c r="J21" t="s">
        <v>286</v>
      </c>
      <c r="K21" s="93">
        <f>+H17+H18</f>
        <v>0</v>
      </c>
      <c r="L21" s="93">
        <v>0</v>
      </c>
      <c r="M21" s="93">
        <f t="shared" si="1"/>
        <v>0</v>
      </c>
    </row>
    <row r="22" spans="3:13">
      <c r="C22" t="s">
        <v>287</v>
      </c>
      <c r="D22" s="93"/>
      <c r="E22" s="93"/>
      <c r="F22" s="93"/>
      <c r="G22" s="93"/>
      <c r="H22" s="93">
        <f t="shared" si="0"/>
        <v>0</v>
      </c>
      <c r="J22" t="s">
        <v>288</v>
      </c>
      <c r="K22" s="93">
        <f>+H22-H35</f>
        <v>0</v>
      </c>
      <c r="L22" s="93">
        <v>0</v>
      </c>
      <c r="M22" s="93">
        <f t="shared" si="1"/>
        <v>0</v>
      </c>
    </row>
    <row r="23" spans="3:13">
      <c r="C23" t="s">
        <v>289</v>
      </c>
      <c r="D23" s="93"/>
      <c r="E23" s="93"/>
      <c r="F23" s="93"/>
      <c r="G23" s="93"/>
      <c r="H23" s="93">
        <f t="shared" si="0"/>
        <v>0</v>
      </c>
      <c r="J23" t="s">
        <v>290</v>
      </c>
      <c r="K23" s="93">
        <f>+H35+H36</f>
        <v>0</v>
      </c>
      <c r="L23" s="93">
        <v>0</v>
      </c>
      <c r="M23" s="93">
        <f t="shared" si="1"/>
        <v>0</v>
      </c>
    </row>
    <row r="24" spans="3:13">
      <c r="C24" s="137" t="s">
        <v>291</v>
      </c>
      <c r="D24" s="93"/>
      <c r="E24" s="93"/>
      <c r="F24" s="93"/>
      <c r="G24" s="93"/>
      <c r="H24" s="93">
        <f t="shared" si="0"/>
        <v>0</v>
      </c>
      <c r="J24" t="s">
        <v>292</v>
      </c>
      <c r="K24" s="93">
        <v>0</v>
      </c>
      <c r="L24" s="93">
        <v>0</v>
      </c>
      <c r="M24" s="93">
        <f t="shared" si="1"/>
        <v>0</v>
      </c>
    </row>
    <row r="25" spans="3:13">
      <c r="C25" s="137" t="s">
        <v>293</v>
      </c>
      <c r="D25" s="93"/>
      <c r="E25" s="93"/>
      <c r="F25" s="93"/>
      <c r="G25" s="93"/>
      <c r="H25" s="93">
        <f t="shared" si="0"/>
        <v>0</v>
      </c>
      <c r="J25" t="s">
        <v>294</v>
      </c>
      <c r="K25" s="93">
        <v>0</v>
      </c>
      <c r="L25" s="93">
        <v>0</v>
      </c>
      <c r="M25" s="93">
        <f t="shared" si="1"/>
        <v>0</v>
      </c>
    </row>
    <row r="26" spans="3:13">
      <c r="C26" s="137" t="s">
        <v>295</v>
      </c>
      <c r="D26" s="93"/>
      <c r="E26" s="271"/>
      <c r="F26" s="93"/>
      <c r="G26" s="93"/>
      <c r="H26" s="93">
        <f t="shared" si="0"/>
        <v>0</v>
      </c>
      <c r="J26" t="s">
        <v>296</v>
      </c>
      <c r="K26" s="93">
        <f>H31-H38</f>
        <v>0</v>
      </c>
      <c r="L26" s="93">
        <v>0</v>
      </c>
      <c r="M26" s="93">
        <f t="shared" si="1"/>
        <v>0</v>
      </c>
    </row>
    <row r="27" spans="3:13">
      <c r="C27" s="137" t="s">
        <v>297</v>
      </c>
      <c r="D27" s="93"/>
      <c r="E27" s="93"/>
      <c r="F27" s="93"/>
      <c r="G27" s="93"/>
      <c r="H27" s="93">
        <f t="shared" si="0"/>
        <v>0</v>
      </c>
      <c r="J27" t="s">
        <v>68</v>
      </c>
      <c r="K27" s="93">
        <f>+H33</f>
        <v>0</v>
      </c>
      <c r="L27" s="93">
        <v>0</v>
      </c>
      <c r="M27" s="93">
        <f t="shared" si="1"/>
        <v>0</v>
      </c>
    </row>
    <row r="28" spans="3:13">
      <c r="C28" t="s">
        <v>298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285</v>
      </c>
      <c r="D29" s="93"/>
      <c r="E29" s="93"/>
      <c r="F29" s="93"/>
      <c r="G29" s="93"/>
      <c r="H29" s="93">
        <f t="shared" si="2"/>
        <v>0</v>
      </c>
      <c r="J29" t="s">
        <v>299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294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300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292</v>
      </c>
      <c r="D32" s="93"/>
      <c r="E32" s="93"/>
      <c r="F32" s="93"/>
      <c r="G32" s="93"/>
      <c r="H32" s="93">
        <f t="shared" si="2"/>
        <v>0</v>
      </c>
      <c r="J32" s="138"/>
    </row>
    <row r="33" spans="3:10">
      <c r="C33" t="s">
        <v>68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290</v>
      </c>
      <c r="D35" s="93"/>
      <c r="E35" s="271"/>
      <c r="F35" s="93"/>
      <c r="G35" s="93"/>
      <c r="H35" s="93">
        <f>SUM(D35:G35)</f>
        <v>0</v>
      </c>
      <c r="J35" s="138"/>
    </row>
    <row r="36" spans="3:10">
      <c r="C36" t="s">
        <v>301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302</v>
      </c>
      <c r="D37" s="93"/>
      <c r="E37" s="93"/>
      <c r="F37" s="93"/>
      <c r="G37" s="93"/>
      <c r="H37" s="93">
        <f>SUM(D37:G37)</f>
        <v>0</v>
      </c>
    </row>
    <row r="38" spans="3:10">
      <c r="C38" t="s">
        <v>303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304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305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3" t="s">
        <v>178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92D050"/>
  </sheetPr>
  <dimension ref="A1:H36"/>
  <sheetViews>
    <sheetView workbookViewId="0">
      <selection activeCell="A36" sqref="A36"/>
    </sheetView>
  </sheetViews>
  <sheetFormatPr defaultColWidth="13.140625" defaultRowHeight="15"/>
  <cols>
    <col min="2" max="2" width="23.42578125" customWidth="1"/>
    <col min="4" max="6" width="13.140625" style="93"/>
    <col min="7" max="7" width="23.140625" customWidth="1"/>
  </cols>
  <sheetData>
    <row r="1" spans="1:8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G1" s="56" t="s">
        <v>3</v>
      </c>
    </row>
    <row r="2" spans="1:8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61">
        <f>Index!$I$2</f>
        <v>44953</v>
      </c>
    </row>
    <row r="3" spans="1:8" ht="18">
      <c r="A3" s="121" t="s">
        <v>8</v>
      </c>
      <c r="B3" s="53"/>
      <c r="C3" s="321">
        <f>Index!$C$3</f>
        <v>44742</v>
      </c>
      <c r="D3" s="320"/>
      <c r="E3" s="320"/>
      <c r="F3" s="55"/>
      <c r="G3" s="61">
        <f>Index!$I$3</f>
        <v>45005</v>
      </c>
    </row>
    <row r="4" spans="1:8" ht="18">
      <c r="D4" s="53"/>
      <c r="E4" s="53"/>
      <c r="F4" s="64"/>
      <c r="G4" s="66"/>
    </row>
    <row r="5" spans="1:8" ht="18">
      <c r="A5" s="123" t="s">
        <v>306</v>
      </c>
      <c r="D5" s="238"/>
      <c r="E5" s="238"/>
      <c r="F5" s="239"/>
      <c r="G5" s="66"/>
    </row>
    <row r="6" spans="1:8" ht="18.75">
      <c r="D6" s="240"/>
      <c r="E6" s="240"/>
      <c r="F6" s="241"/>
      <c r="G6" s="66"/>
    </row>
    <row r="8" spans="1:8" s="69" customFormat="1" ht="25.5" customHeight="1">
      <c r="A8" s="128" t="s">
        <v>102</v>
      </c>
      <c r="B8" s="362" t="s">
        <v>103</v>
      </c>
      <c r="C8" s="363"/>
      <c r="D8" s="242" t="s">
        <v>104</v>
      </c>
      <c r="E8" s="242" t="s">
        <v>104</v>
      </c>
      <c r="F8" s="242" t="s">
        <v>104</v>
      </c>
      <c r="G8" s="83"/>
    </row>
    <row r="10" spans="1:8">
      <c r="B10" s="292" t="s">
        <v>307</v>
      </c>
      <c r="C10" s="293"/>
      <c r="D10" s="294" t="s">
        <v>276</v>
      </c>
      <c r="E10" s="294" t="s">
        <v>308</v>
      </c>
      <c r="F10" s="294" t="s">
        <v>278</v>
      </c>
      <c r="G10" s="292" t="s">
        <v>309</v>
      </c>
      <c r="H10" s="293"/>
    </row>
    <row r="12" spans="1:8">
      <c r="B12" t="s">
        <v>310</v>
      </c>
      <c r="D12" s="93">
        <v>263.10000000000002</v>
      </c>
      <c r="E12" s="93">
        <v>112.76</v>
      </c>
      <c r="G12" s="77">
        <v>15</v>
      </c>
    </row>
    <row r="13" spans="1:8">
      <c r="B13" s="295"/>
      <c r="C13" s="295"/>
      <c r="D13" s="296">
        <v>368.34</v>
      </c>
      <c r="E13" s="296">
        <v>157.86000000000001</v>
      </c>
      <c r="F13" s="296"/>
      <c r="G13" s="297">
        <v>17</v>
      </c>
    </row>
    <row r="14" spans="1:8">
      <c r="B14" t="s">
        <v>311</v>
      </c>
      <c r="D14" s="93">
        <v>5430.54</v>
      </c>
      <c r="E14" s="93">
        <v>2327.37</v>
      </c>
      <c r="G14" s="77">
        <v>2</v>
      </c>
    </row>
    <row r="15" spans="1:8">
      <c r="D15" s="93">
        <v>4161.12</v>
      </c>
      <c r="E15" s="93">
        <v>1783.34</v>
      </c>
      <c r="G15" s="77">
        <v>3</v>
      </c>
    </row>
    <row r="16" spans="1:8">
      <c r="B16" s="295"/>
      <c r="C16" s="295"/>
      <c r="D16" s="296">
        <v>10743.36</v>
      </c>
      <c r="E16" s="296">
        <v>4604.3</v>
      </c>
      <c r="F16" s="296"/>
      <c r="G16" s="297">
        <v>5</v>
      </c>
    </row>
    <row r="17" spans="2:7">
      <c r="B17" t="s">
        <v>312</v>
      </c>
      <c r="D17" s="93">
        <v>532</v>
      </c>
      <c r="E17" s="93">
        <v>228</v>
      </c>
      <c r="G17" s="77">
        <v>12</v>
      </c>
    </row>
    <row r="18" spans="2:7">
      <c r="B18" s="295"/>
      <c r="C18" s="295"/>
      <c r="D18" s="296">
        <v>504</v>
      </c>
      <c r="E18" s="296">
        <v>216</v>
      </c>
      <c r="F18" s="296"/>
      <c r="G18" s="297">
        <v>18</v>
      </c>
    </row>
    <row r="19" spans="2:7">
      <c r="B19" t="s">
        <v>313</v>
      </c>
      <c r="D19" s="93">
        <v>241.86</v>
      </c>
      <c r="E19" s="93">
        <v>103.65</v>
      </c>
      <c r="G19" s="77">
        <v>9</v>
      </c>
    </row>
    <row r="20" spans="2:7">
      <c r="B20" s="295"/>
      <c r="C20" s="295"/>
      <c r="D20" s="296">
        <v>241.86</v>
      </c>
      <c r="E20" s="296">
        <v>103.65</v>
      </c>
      <c r="F20" s="296"/>
      <c r="G20" s="297">
        <v>23</v>
      </c>
    </row>
    <row r="21" spans="2:7">
      <c r="B21" s="295" t="s">
        <v>314</v>
      </c>
      <c r="C21" s="295"/>
      <c r="D21" s="296">
        <v>672.74</v>
      </c>
      <c r="E21" s="296">
        <v>288.32</v>
      </c>
      <c r="F21" s="296"/>
      <c r="G21" s="297">
        <v>4</v>
      </c>
    </row>
    <row r="22" spans="2:7">
      <c r="B22" t="s">
        <v>315</v>
      </c>
      <c r="D22" s="93">
        <v>399</v>
      </c>
      <c r="E22" s="93">
        <v>171</v>
      </c>
      <c r="G22" s="77">
        <v>13</v>
      </c>
    </row>
    <row r="23" spans="2:7">
      <c r="B23" s="295"/>
      <c r="C23" s="295"/>
      <c r="D23" s="296">
        <v>370.5</v>
      </c>
      <c r="E23" s="296">
        <v>158.79</v>
      </c>
      <c r="F23" s="296"/>
      <c r="G23" s="297">
        <v>22</v>
      </c>
    </row>
    <row r="24" spans="2:7">
      <c r="B24" s="295" t="s">
        <v>316</v>
      </c>
      <c r="C24" s="295"/>
      <c r="D24" s="296">
        <v>170</v>
      </c>
      <c r="E24" s="296">
        <v>72.86</v>
      </c>
      <c r="F24" s="296"/>
      <c r="G24" s="297">
        <v>8</v>
      </c>
    </row>
    <row r="25" spans="2:7">
      <c r="B25" t="s">
        <v>317</v>
      </c>
      <c r="D25" s="93">
        <v>750.4</v>
      </c>
      <c r="E25" s="93">
        <v>321.60000000000002</v>
      </c>
      <c r="F25" s="93">
        <v>1125.5999999999999</v>
      </c>
      <c r="G25" s="77">
        <v>20</v>
      </c>
    </row>
    <row r="26" spans="2:7">
      <c r="B26" s="295"/>
      <c r="C26" s="295"/>
      <c r="D26" s="296">
        <v>609.28</v>
      </c>
      <c r="E26" s="296">
        <v>261.12</v>
      </c>
      <c r="F26" s="296">
        <v>913.92</v>
      </c>
      <c r="G26" s="297">
        <v>21</v>
      </c>
    </row>
    <row r="27" spans="2:7">
      <c r="B27" t="s">
        <v>318</v>
      </c>
      <c r="D27" s="93">
        <v>2400</v>
      </c>
      <c r="E27" s="93">
        <v>1028.57</v>
      </c>
      <c r="G27" s="77">
        <v>11</v>
      </c>
    </row>
    <row r="28" spans="2:7">
      <c r="B28" s="295"/>
      <c r="C28" s="295"/>
      <c r="D28" s="296">
        <v>1600</v>
      </c>
      <c r="E28" s="296">
        <v>685.71</v>
      </c>
      <c r="F28" s="296"/>
      <c r="G28" s="297">
        <v>25</v>
      </c>
    </row>
    <row r="29" spans="2:7">
      <c r="B29" t="s">
        <v>319</v>
      </c>
      <c r="D29" s="93">
        <v>1666.25</v>
      </c>
      <c r="E29" s="93">
        <v>714.11</v>
      </c>
      <c r="F29" s="93">
        <v>0</v>
      </c>
      <c r="G29" s="77">
        <v>1</v>
      </c>
    </row>
    <row r="30" spans="2:7">
      <c r="B30" s="290" t="s">
        <v>320</v>
      </c>
      <c r="C30" s="290"/>
      <c r="D30" s="291">
        <f>SUM(D12:D29)</f>
        <v>31124.350000000002</v>
      </c>
      <c r="E30" s="291">
        <f>SUM(E12:E29)</f>
        <v>13339.010000000002</v>
      </c>
      <c r="F30" s="291">
        <f>SUM(F12:F29)</f>
        <v>2039.52</v>
      </c>
    </row>
    <row r="33" spans="1:6">
      <c r="B33" s="77" t="s">
        <v>321</v>
      </c>
      <c r="C33" s="77"/>
      <c r="D33" s="289">
        <v>31124.35</v>
      </c>
      <c r="E33" s="289">
        <v>13339.01</v>
      </c>
      <c r="F33" s="289">
        <v>2039.52</v>
      </c>
    </row>
    <row r="34" spans="1:6" s="43" customFormat="1">
      <c r="B34" s="43" t="s">
        <v>178</v>
      </c>
      <c r="D34" s="243">
        <f>D30-D33</f>
        <v>0</v>
      </c>
      <c r="E34" s="243">
        <f>E30-E33</f>
        <v>0</v>
      </c>
      <c r="F34" s="243">
        <f>F30-F33</f>
        <v>0</v>
      </c>
    </row>
    <row r="36" spans="1:6">
      <c r="A36" s="43"/>
    </row>
  </sheetData>
  <mergeCells count="4">
    <mergeCell ref="B8:C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N12" sqref="N12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G1"/>
      <c r="H1" s="56" t="s">
        <v>2</v>
      </c>
      <c r="I1" s="56" t="s">
        <v>3</v>
      </c>
    </row>
    <row r="2" spans="1:10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0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322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5" t="s">
        <v>102</v>
      </c>
      <c r="B8" s="322" t="s">
        <v>103</v>
      </c>
      <c r="C8" s="323"/>
      <c r="D8" s="323"/>
      <c r="E8" s="324"/>
      <c r="F8" s="136" t="s">
        <v>104</v>
      </c>
      <c r="G8" s="140"/>
      <c r="H8" s="322" t="s">
        <v>152</v>
      </c>
      <c r="I8" s="331"/>
      <c r="J8" s="332"/>
    </row>
    <row r="10" spans="1:10">
      <c r="A10" s="77" t="s">
        <v>323</v>
      </c>
      <c r="C10" s="48" t="s">
        <v>324</v>
      </c>
      <c r="D10" s="364" t="s">
        <v>325</v>
      </c>
      <c r="E10" s="364"/>
      <c r="F10" s="364"/>
      <c r="G10" s="101" t="s">
        <v>326</v>
      </c>
      <c r="H10" s="365" t="s">
        <v>327</v>
      </c>
      <c r="I10" s="365"/>
      <c r="J10" s="365"/>
    </row>
    <row r="11" spans="1:10">
      <c r="A11" s="71"/>
      <c r="B11" s="71"/>
      <c r="D11" s="48" t="s">
        <v>328</v>
      </c>
      <c r="E11" s="85" t="s">
        <v>329</v>
      </c>
      <c r="F11" s="72" t="s">
        <v>330</v>
      </c>
      <c r="G11" s="72"/>
      <c r="H11" s="48" t="s">
        <v>328</v>
      </c>
      <c r="I11" s="102" t="s">
        <v>329</v>
      </c>
      <c r="J11" s="103" t="s">
        <v>330</v>
      </c>
    </row>
    <row r="12" spans="1:10">
      <c r="A12" s="71"/>
      <c r="B12" s="71"/>
      <c r="D12" s="48"/>
      <c r="E12" s="85"/>
      <c r="F12" s="72"/>
      <c r="G12" s="72"/>
      <c r="H12" s="48"/>
      <c r="I12" s="102"/>
      <c r="J12" s="103"/>
    </row>
    <row r="13" spans="1:10">
      <c r="A13" s="71"/>
      <c r="C13" s="139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39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39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39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39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39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92D050"/>
  </sheetPr>
  <dimension ref="A1:P107"/>
  <sheetViews>
    <sheetView topLeftCell="A7" zoomScale="85" zoomScaleNormal="85" workbookViewId="0">
      <selection activeCell="N23" sqref="N23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</cols>
  <sheetData>
    <row r="1" spans="1:16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6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6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6" ht="18">
      <c r="D4" s="53"/>
      <c r="E4" s="53"/>
      <c r="F4" s="64"/>
      <c r="G4" s="65"/>
      <c r="I4" s="66"/>
    </row>
    <row r="5" spans="1:16" ht="18">
      <c r="A5" s="123" t="s">
        <v>331</v>
      </c>
      <c r="D5" s="53"/>
      <c r="E5" s="53"/>
      <c r="F5" s="64"/>
      <c r="G5" s="65"/>
      <c r="I5" s="66"/>
    </row>
    <row r="6" spans="1:16" ht="20.100000000000001" customHeight="1"/>
    <row r="7" spans="1:16">
      <c r="A7" s="217"/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</row>
    <row r="8" spans="1:16" s="262" customFormat="1" ht="30">
      <c r="C8" s="244"/>
      <c r="D8" s="279" t="s">
        <v>332</v>
      </c>
      <c r="E8" s="244" t="s">
        <v>333</v>
      </c>
      <c r="F8" s="245" t="s">
        <v>334</v>
      </c>
      <c r="G8" s="245" t="s">
        <v>335</v>
      </c>
      <c r="H8" s="245" t="s">
        <v>336</v>
      </c>
      <c r="I8" s="245" t="s">
        <v>337</v>
      </c>
      <c r="J8" s="245" t="s">
        <v>338</v>
      </c>
      <c r="K8" s="245" t="s">
        <v>339</v>
      </c>
    </row>
    <row r="9" spans="1:16">
      <c r="C9" s="253" t="s">
        <v>340</v>
      </c>
      <c r="D9" s="264">
        <v>800</v>
      </c>
      <c r="E9" s="246">
        <f t="shared" ref="E9:E20" si="0">SUM(D9:D9)</f>
        <v>800</v>
      </c>
      <c r="F9" s="263"/>
      <c r="G9" s="263">
        <v>11</v>
      </c>
      <c r="H9" s="263">
        <f>44+22</f>
        <v>66</v>
      </c>
      <c r="I9" s="263">
        <v>65</v>
      </c>
      <c r="J9" s="247">
        <f t="shared" ref="J9:J20" si="1">SUM(F9:I9)</f>
        <v>142</v>
      </c>
      <c r="K9" s="248">
        <f t="shared" ref="K9:K20" si="2">E9-J9</f>
        <v>658</v>
      </c>
    </row>
    <row r="10" spans="1:16">
      <c r="C10" s="251" t="s">
        <v>341</v>
      </c>
      <c r="D10" s="264">
        <v>1600</v>
      </c>
      <c r="E10" s="246">
        <f t="shared" si="0"/>
        <v>1600</v>
      </c>
      <c r="F10" s="263"/>
      <c r="G10" s="264">
        <v>22</v>
      </c>
      <c r="H10" s="264">
        <f>88+44</f>
        <v>132</v>
      </c>
      <c r="I10" s="264"/>
      <c r="J10" s="247">
        <f t="shared" si="1"/>
        <v>154</v>
      </c>
      <c r="K10" s="248">
        <f t="shared" si="2"/>
        <v>1446</v>
      </c>
    </row>
    <row r="11" spans="1:16">
      <c r="C11" s="251" t="s">
        <v>342</v>
      </c>
      <c r="D11" s="264">
        <v>2385</v>
      </c>
      <c r="E11" s="249">
        <f t="shared" si="0"/>
        <v>2385</v>
      </c>
      <c r="F11" s="264"/>
      <c r="G11" s="264">
        <v>33</v>
      </c>
      <c r="H11" s="264">
        <f>131.18+65.59</f>
        <v>196.77</v>
      </c>
      <c r="I11" s="264"/>
      <c r="J11" s="247">
        <f t="shared" si="1"/>
        <v>229.77</v>
      </c>
      <c r="K11" s="250">
        <f t="shared" si="2"/>
        <v>2155.23</v>
      </c>
    </row>
    <row r="12" spans="1:16">
      <c r="C12" s="251" t="s">
        <v>343</v>
      </c>
      <c r="D12" s="264">
        <v>1600</v>
      </c>
      <c r="E12" s="249">
        <f t="shared" si="0"/>
        <v>1600</v>
      </c>
      <c r="F12" s="264"/>
      <c r="G12" s="264">
        <v>22</v>
      </c>
      <c r="H12" s="264">
        <f>88+44</f>
        <v>132</v>
      </c>
      <c r="I12" s="264">
        <v>90</v>
      </c>
      <c r="J12" s="247">
        <f t="shared" si="1"/>
        <v>244</v>
      </c>
      <c r="K12" s="250">
        <f t="shared" si="2"/>
        <v>1356</v>
      </c>
    </row>
    <row r="13" spans="1:16">
      <c r="C13" s="251" t="s">
        <v>344</v>
      </c>
      <c r="D13" s="264">
        <v>1600</v>
      </c>
      <c r="E13" s="249">
        <f t="shared" si="0"/>
        <v>1600</v>
      </c>
      <c r="F13" s="264"/>
      <c r="G13" s="264">
        <v>22</v>
      </c>
      <c r="H13" s="264">
        <f>88+44</f>
        <v>132</v>
      </c>
      <c r="I13" s="264"/>
      <c r="J13" s="247">
        <f t="shared" si="1"/>
        <v>154</v>
      </c>
      <c r="K13" s="250">
        <f t="shared" si="2"/>
        <v>1446</v>
      </c>
    </row>
    <row r="14" spans="1:16">
      <c r="C14" s="251" t="s">
        <v>345</v>
      </c>
      <c r="D14" s="264">
        <v>2000</v>
      </c>
      <c r="E14" s="249">
        <f t="shared" si="0"/>
        <v>2000</v>
      </c>
      <c r="F14" s="264"/>
      <c r="G14" s="264">
        <v>27.5</v>
      </c>
      <c r="H14" s="264">
        <f>110+55</f>
        <v>165</v>
      </c>
      <c r="I14" s="264"/>
      <c r="J14" s="247">
        <f t="shared" si="1"/>
        <v>192.5</v>
      </c>
      <c r="K14" s="250">
        <f t="shared" si="2"/>
        <v>1807.5</v>
      </c>
    </row>
    <row r="15" spans="1:16" ht="15" customHeight="1">
      <c r="C15" s="251" t="s">
        <v>346</v>
      </c>
      <c r="D15" s="264">
        <v>800</v>
      </c>
      <c r="E15" s="249">
        <f t="shared" si="0"/>
        <v>800</v>
      </c>
      <c r="F15" s="264"/>
      <c r="G15" s="264">
        <v>11</v>
      </c>
      <c r="H15" s="264">
        <f>44+22</f>
        <v>66</v>
      </c>
      <c r="I15" s="264"/>
      <c r="J15" s="247">
        <f t="shared" si="1"/>
        <v>77</v>
      </c>
      <c r="K15" s="250">
        <f t="shared" si="2"/>
        <v>723</v>
      </c>
    </row>
    <row r="16" spans="1:16" ht="15" customHeight="1">
      <c r="C16" s="251" t="s">
        <v>347</v>
      </c>
      <c r="D16" s="264">
        <v>1230</v>
      </c>
      <c r="E16" s="249">
        <f t="shared" si="0"/>
        <v>1230</v>
      </c>
      <c r="F16" s="264"/>
      <c r="G16" s="264">
        <v>11</v>
      </c>
      <c r="H16" s="264">
        <f>67.65+33.83</f>
        <v>101.48</v>
      </c>
      <c r="I16" s="264">
        <v>774.46</v>
      </c>
      <c r="J16" s="247">
        <f t="shared" si="1"/>
        <v>886.94</v>
      </c>
      <c r="K16" s="250">
        <f t="shared" si="2"/>
        <v>343.05999999999995</v>
      </c>
      <c r="L16" t="s">
        <v>348</v>
      </c>
    </row>
    <row r="17" spans="3:12" ht="15" customHeight="1">
      <c r="C17" s="252" t="s">
        <v>349</v>
      </c>
      <c r="D17" s="264">
        <v>1640</v>
      </c>
      <c r="E17" s="249">
        <f t="shared" si="0"/>
        <v>1640</v>
      </c>
      <c r="F17" s="264">
        <v>66</v>
      </c>
      <c r="G17" s="264">
        <v>22</v>
      </c>
      <c r="H17" s="264">
        <f>90.2+45.12</f>
        <v>135.32</v>
      </c>
      <c r="I17" s="264">
        <f>407+90</f>
        <v>497</v>
      </c>
      <c r="J17" s="247">
        <f t="shared" si="1"/>
        <v>720.31999999999994</v>
      </c>
      <c r="K17" s="250">
        <f t="shared" si="2"/>
        <v>919.68000000000006</v>
      </c>
      <c r="L17" t="s">
        <v>350</v>
      </c>
    </row>
    <row r="18" spans="3:12" ht="15" customHeight="1">
      <c r="C18" s="253" t="s">
        <v>351</v>
      </c>
      <c r="D18" s="264">
        <v>1640</v>
      </c>
      <c r="E18" s="249">
        <f t="shared" si="0"/>
        <v>1640</v>
      </c>
      <c r="F18" s="264"/>
      <c r="G18" s="264">
        <v>22</v>
      </c>
      <c r="H18" s="264">
        <f>90.2+45.12</f>
        <v>135.32</v>
      </c>
      <c r="I18" s="264"/>
      <c r="J18" s="247">
        <f t="shared" si="1"/>
        <v>157.32</v>
      </c>
      <c r="K18" s="250">
        <f t="shared" si="2"/>
        <v>1482.68</v>
      </c>
    </row>
    <row r="19" spans="3:12" ht="15" customHeight="1">
      <c r="C19" s="252" t="s">
        <v>352</v>
      </c>
      <c r="D19" s="264">
        <v>2050</v>
      </c>
      <c r="E19" s="249">
        <f t="shared" si="0"/>
        <v>2050</v>
      </c>
      <c r="F19" s="264"/>
      <c r="G19" s="264">
        <v>27.5</v>
      </c>
      <c r="H19" s="264">
        <f>112.75+56.4</f>
        <v>169.15</v>
      </c>
      <c r="I19" s="264"/>
      <c r="J19" s="247">
        <f t="shared" si="1"/>
        <v>196.65</v>
      </c>
      <c r="K19" s="250">
        <f t="shared" si="2"/>
        <v>1853.35</v>
      </c>
    </row>
    <row r="20" spans="3:12" ht="15" customHeight="1">
      <c r="C20" s="254" t="s">
        <v>353</v>
      </c>
      <c r="D20" s="264">
        <v>1640</v>
      </c>
      <c r="E20" s="255">
        <f t="shared" si="0"/>
        <v>1640</v>
      </c>
      <c r="F20" s="264">
        <v>440</v>
      </c>
      <c r="G20" s="264">
        <v>22</v>
      </c>
      <c r="H20" s="264">
        <f>90.2+45.12</f>
        <v>135.32</v>
      </c>
      <c r="I20" s="264"/>
      <c r="J20" s="247">
        <f t="shared" si="1"/>
        <v>597.31999999999994</v>
      </c>
      <c r="K20" s="256">
        <f t="shared" si="2"/>
        <v>1042.68</v>
      </c>
      <c r="L20" t="s">
        <v>354</v>
      </c>
    </row>
    <row r="21" spans="3:12">
      <c r="C21" s="265"/>
      <c r="D21" s="275"/>
      <c r="E21" s="257"/>
      <c r="F21" s="274"/>
      <c r="G21" s="274"/>
      <c r="H21" s="274"/>
      <c r="I21" s="274"/>
      <c r="J21" s="258"/>
      <c r="K21" s="259"/>
    </row>
    <row r="22" spans="3:12" ht="15.75" thickBot="1">
      <c r="D22" s="266">
        <f>SUM(D9:D21)</f>
        <v>18985</v>
      </c>
      <c r="E22" s="260">
        <f t="shared" ref="E22:K22" si="3">SUM(E9:E21)</f>
        <v>18985</v>
      </c>
      <c r="F22" s="266">
        <f t="shared" si="3"/>
        <v>506</v>
      </c>
      <c r="G22" s="266">
        <f t="shared" si="3"/>
        <v>253</v>
      </c>
      <c r="H22" s="266">
        <f t="shared" si="3"/>
        <v>1566.36</v>
      </c>
      <c r="I22" s="266">
        <f t="shared" si="3"/>
        <v>1426.46</v>
      </c>
      <c r="J22" s="260">
        <f>SUM(J9:J21)</f>
        <v>3751.8199999999997</v>
      </c>
      <c r="K22" s="261">
        <f t="shared" si="3"/>
        <v>15233.18</v>
      </c>
    </row>
    <row r="23" spans="3:12">
      <c r="F23" s="114"/>
    </row>
    <row r="24" spans="3:12">
      <c r="C24" s="43" t="s">
        <v>154</v>
      </c>
      <c r="D24" s="276"/>
      <c r="E24" s="276"/>
      <c r="F24" s="276"/>
      <c r="G24" s="276"/>
      <c r="H24" s="276"/>
      <c r="I24" s="276"/>
      <c r="J24" s="105"/>
      <c r="K24" s="105"/>
    </row>
    <row r="25" spans="3:12">
      <c r="C25" s="277" t="s">
        <v>355</v>
      </c>
      <c r="D25" s="278">
        <v>28000</v>
      </c>
      <c r="E25" s="278"/>
      <c r="F25" s="278">
        <v>42110</v>
      </c>
      <c r="G25" s="278">
        <v>42090</v>
      </c>
      <c r="H25" s="278">
        <v>41930</v>
      </c>
      <c r="I25" s="278">
        <v>42060</v>
      </c>
      <c r="J25" s="230"/>
      <c r="K25" s="230"/>
    </row>
    <row r="26" spans="3:12">
      <c r="C26" s="43"/>
      <c r="D26" s="43"/>
      <c r="E26" s="43"/>
      <c r="F26" s="43"/>
      <c r="G26" s="43"/>
      <c r="H26" s="43"/>
      <c r="I26" s="43"/>
    </row>
    <row r="27" spans="3:12">
      <c r="D27" s="114"/>
    </row>
    <row r="28" spans="3:12">
      <c r="E28" s="114"/>
      <c r="F28" s="114"/>
    </row>
    <row r="29" spans="3:12">
      <c r="E29" s="114"/>
      <c r="F29" s="114"/>
    </row>
    <row r="30" spans="3:12">
      <c r="E30" s="114"/>
      <c r="F30" s="114"/>
    </row>
    <row r="31" spans="3:12">
      <c r="E31" s="114"/>
      <c r="F31" s="114"/>
    </row>
    <row r="32" spans="3:12">
      <c r="E32" s="114"/>
      <c r="F32" s="114"/>
    </row>
    <row r="33" spans="5:6">
      <c r="E33" s="114"/>
      <c r="F33" s="114"/>
    </row>
    <row r="34" spans="5:6">
      <c r="E34" s="114"/>
      <c r="F34" s="114"/>
    </row>
    <row r="35" spans="5:6">
      <c r="E35" s="114"/>
      <c r="F35" s="114"/>
    </row>
    <row r="36" spans="5:6">
      <c r="E36" s="114"/>
      <c r="F36" s="114"/>
    </row>
    <row r="37" spans="5:6">
      <c r="E37" s="114"/>
      <c r="F37" s="114"/>
    </row>
    <row r="38" spans="5:6">
      <c r="E38" s="114"/>
      <c r="F38" s="114"/>
    </row>
    <row r="39" spans="5:6">
      <c r="E39" s="114"/>
      <c r="F39" s="114"/>
    </row>
    <row r="40" spans="5:6">
      <c r="E40" s="114"/>
      <c r="F40" s="114"/>
    </row>
    <row r="41" spans="5:6">
      <c r="E41" s="114"/>
      <c r="F41" s="114"/>
    </row>
    <row r="42" spans="5:6">
      <c r="E42" s="114"/>
      <c r="F42" s="114"/>
    </row>
    <row r="43" spans="5:6">
      <c r="E43" s="114"/>
      <c r="F43" s="114"/>
    </row>
    <row r="44" spans="5:6">
      <c r="E44" s="114"/>
      <c r="F44" s="114"/>
    </row>
    <row r="45" spans="5:6">
      <c r="E45" s="114"/>
      <c r="F45" s="114"/>
    </row>
    <row r="46" spans="5:6">
      <c r="E46" s="114"/>
      <c r="F46" s="114"/>
    </row>
    <row r="47" spans="5:6">
      <c r="E47" s="114"/>
      <c r="F47" s="114"/>
    </row>
    <row r="48" spans="5:6">
      <c r="E48" s="114"/>
      <c r="F48" s="114"/>
    </row>
    <row r="49" spans="5:6">
      <c r="E49" s="114"/>
      <c r="F49" s="114"/>
    </row>
    <row r="50" spans="5:6">
      <c r="E50" s="114"/>
      <c r="F50" s="114"/>
    </row>
    <row r="51" spans="5:6">
      <c r="E51" s="114"/>
      <c r="F51" s="114"/>
    </row>
    <row r="52" spans="5:6">
      <c r="E52" s="114"/>
      <c r="F52" s="114"/>
    </row>
    <row r="53" spans="5:6">
      <c r="E53" s="114"/>
      <c r="F53" s="114"/>
    </row>
    <row r="54" spans="5:6">
      <c r="E54" s="114"/>
      <c r="F54" s="114"/>
    </row>
    <row r="55" spans="5:6">
      <c r="E55" s="114"/>
      <c r="F55" s="114"/>
    </row>
    <row r="56" spans="5:6">
      <c r="E56" s="114"/>
      <c r="F56" s="114"/>
    </row>
    <row r="57" spans="5:6">
      <c r="E57" s="114"/>
      <c r="F57" s="114"/>
    </row>
    <row r="58" spans="5:6">
      <c r="E58" s="114"/>
      <c r="F58" s="114"/>
    </row>
    <row r="59" spans="5:6">
      <c r="E59" s="114"/>
      <c r="F59" s="114"/>
    </row>
    <row r="60" spans="5:6">
      <c r="E60" s="114"/>
      <c r="F60" s="114"/>
    </row>
    <row r="61" spans="5:6">
      <c r="E61" s="114"/>
      <c r="F61" s="114"/>
    </row>
    <row r="62" spans="5:6">
      <c r="E62" s="114"/>
      <c r="F62" s="114"/>
    </row>
    <row r="63" spans="5:6">
      <c r="E63" s="114"/>
      <c r="F63" s="114"/>
    </row>
    <row r="64" spans="5:6">
      <c r="E64" s="114"/>
      <c r="F64" s="114"/>
    </row>
    <row r="65" spans="5:6">
      <c r="E65" s="114"/>
      <c r="F65" s="114"/>
    </row>
    <row r="66" spans="5:6">
      <c r="E66" s="114"/>
      <c r="F66" s="114"/>
    </row>
    <row r="67" spans="5:6">
      <c r="E67" s="114"/>
      <c r="F67" s="114"/>
    </row>
    <row r="68" spans="5:6">
      <c r="E68" s="114"/>
      <c r="F68" s="114"/>
    </row>
    <row r="69" spans="5:6">
      <c r="E69" s="114"/>
      <c r="F69" s="114"/>
    </row>
    <row r="70" spans="5:6">
      <c r="E70" s="114"/>
      <c r="F70" s="114"/>
    </row>
    <row r="71" spans="5:6">
      <c r="E71" s="114"/>
      <c r="F71" s="114"/>
    </row>
    <row r="72" spans="5:6">
      <c r="E72" s="114"/>
      <c r="F72" s="114"/>
    </row>
    <row r="73" spans="5:6">
      <c r="E73" s="114"/>
      <c r="F73" s="114"/>
    </row>
    <row r="74" spans="5:6">
      <c r="E74" s="114"/>
      <c r="F74" s="114"/>
    </row>
    <row r="75" spans="5:6">
      <c r="E75" s="114"/>
      <c r="F75" s="114"/>
    </row>
    <row r="76" spans="5:6">
      <c r="E76" s="114"/>
      <c r="F76" s="114"/>
    </row>
    <row r="77" spans="5:6">
      <c r="E77" s="114"/>
      <c r="F77" s="114"/>
    </row>
    <row r="78" spans="5:6">
      <c r="E78" s="114"/>
      <c r="F78" s="114"/>
    </row>
    <row r="79" spans="5:6">
      <c r="E79" s="114"/>
      <c r="F79" s="114"/>
    </row>
    <row r="80" spans="5:6">
      <c r="E80" s="114"/>
      <c r="F80" s="114"/>
    </row>
    <row r="81" spans="5:6">
      <c r="E81" s="114"/>
      <c r="F81" s="114"/>
    </row>
    <row r="82" spans="5:6">
      <c r="E82" s="114"/>
      <c r="F82" s="114"/>
    </row>
    <row r="83" spans="5:6">
      <c r="E83" s="114"/>
      <c r="F83" s="114"/>
    </row>
    <row r="84" spans="5:6">
      <c r="E84" s="114"/>
      <c r="F84" s="114"/>
    </row>
    <row r="85" spans="5:6">
      <c r="E85" s="114"/>
      <c r="F85" s="114"/>
    </row>
    <row r="86" spans="5:6">
      <c r="E86" s="114"/>
      <c r="F86" s="114"/>
    </row>
    <row r="87" spans="5:6">
      <c r="E87" s="114"/>
      <c r="F87" s="114"/>
    </row>
    <row r="88" spans="5:6">
      <c r="E88" s="114"/>
      <c r="F88" s="114"/>
    </row>
    <row r="89" spans="5:6">
      <c r="E89" s="114"/>
      <c r="F89" s="114"/>
    </row>
    <row r="90" spans="5:6">
      <c r="E90" s="114"/>
      <c r="F90" s="114"/>
    </row>
    <row r="91" spans="5:6">
      <c r="E91" s="114"/>
      <c r="F91" s="114"/>
    </row>
    <row r="92" spans="5:6">
      <c r="E92" s="114"/>
      <c r="F92" s="114"/>
    </row>
    <row r="93" spans="5:6">
      <c r="E93" s="114"/>
      <c r="F93" s="114"/>
    </row>
    <row r="94" spans="5:6">
      <c r="E94" s="114"/>
      <c r="F94" s="114"/>
    </row>
    <row r="95" spans="5:6">
      <c r="E95" s="114"/>
      <c r="F95" s="114"/>
    </row>
    <row r="96" spans="5:6">
      <c r="E96" s="114"/>
      <c r="F96" s="114"/>
    </row>
    <row r="97" spans="5:6">
      <c r="E97" s="114"/>
      <c r="F97" s="114"/>
    </row>
    <row r="98" spans="5:6">
      <c r="E98" s="114"/>
      <c r="F98" s="114"/>
    </row>
    <row r="99" spans="5:6">
      <c r="E99" s="114"/>
      <c r="F99" s="114"/>
    </row>
    <row r="100" spans="5:6">
      <c r="E100" s="114"/>
      <c r="F100" s="114"/>
    </row>
    <row r="101" spans="5:6">
      <c r="E101" s="114"/>
      <c r="F101" s="114"/>
    </row>
    <row r="102" spans="5:6">
      <c r="E102" s="114"/>
      <c r="F102" s="114"/>
    </row>
    <row r="103" spans="5:6">
      <c r="E103" s="114"/>
      <c r="F103" s="114"/>
    </row>
    <row r="104" spans="5:6">
      <c r="E104" s="114"/>
      <c r="F104" s="114"/>
    </row>
    <row r="105" spans="5:6">
      <c r="E105" s="114"/>
      <c r="F105" s="114"/>
    </row>
    <row r="106" spans="5:6">
      <c r="E106" s="114"/>
      <c r="F106" s="114"/>
    </row>
    <row r="107" spans="5:6">
      <c r="E107" s="114"/>
      <c r="F107" s="114"/>
    </row>
  </sheetData>
  <mergeCells count="3">
    <mergeCell ref="C1:E1"/>
    <mergeCell ref="C2:E2"/>
    <mergeCell ref="C3:E3"/>
  </mergeCells>
  <phoneticPr fontId="1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7" workbookViewId="0">
      <selection activeCell="G12" sqref="G1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4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4" ht="18">
      <c r="D4" s="53"/>
      <c r="E4" s="53"/>
      <c r="F4" s="64"/>
      <c r="G4" s="65"/>
      <c r="I4" s="66"/>
    </row>
    <row r="5" spans="1:14" ht="18">
      <c r="A5" s="123" t="s">
        <v>265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102</v>
      </c>
      <c r="B8" s="360" t="s">
        <v>103</v>
      </c>
      <c r="C8" s="366"/>
      <c r="D8" s="366"/>
      <c r="E8" s="361"/>
      <c r="F8" s="68" t="s">
        <v>104</v>
      </c>
      <c r="G8" s="360" t="s">
        <v>152</v>
      </c>
      <c r="H8" s="331"/>
      <c r="I8" s="332"/>
    </row>
    <row r="10" spans="1:14">
      <c r="F10" s="70"/>
    </row>
    <row r="11" spans="1:14">
      <c r="A11" s="65"/>
      <c r="B11" s="65"/>
      <c r="C11" s="65" t="s">
        <v>356</v>
      </c>
      <c r="G11" s="85" t="s">
        <v>82</v>
      </c>
      <c r="I11" s="48" t="s">
        <v>357</v>
      </c>
    </row>
    <row r="12" spans="1:14">
      <c r="A12" s="65"/>
      <c r="B12" s="65"/>
      <c r="C12" t="s">
        <v>358</v>
      </c>
      <c r="G12" s="86">
        <f>750*1.1</f>
        <v>825.00000000000011</v>
      </c>
      <c r="I12" s="58">
        <v>0</v>
      </c>
    </row>
    <row r="13" spans="1:14">
      <c r="A13" s="65"/>
      <c r="B13" s="65"/>
      <c r="C13" t="s">
        <v>359</v>
      </c>
      <c r="G13" s="86"/>
      <c r="I13" s="58">
        <f>+G13/11*0.75</f>
        <v>0</v>
      </c>
    </row>
    <row r="14" spans="1:14">
      <c r="C14" t="s">
        <v>360</v>
      </c>
      <c r="G14" s="86">
        <f>2490*1.1</f>
        <v>2739</v>
      </c>
      <c r="I14" s="58">
        <v>0</v>
      </c>
    </row>
    <row r="15" spans="1:14">
      <c r="C15" t="s">
        <v>361</v>
      </c>
      <c r="G15" s="87"/>
      <c r="I15" s="88">
        <f>+G15/11*0.75</f>
        <v>0</v>
      </c>
      <c r="K15" t="s">
        <v>362</v>
      </c>
      <c r="N15" s="89">
        <f>+G15/G16</f>
        <v>0</v>
      </c>
    </row>
    <row r="16" spans="1:14">
      <c r="G16" s="70">
        <f>SUM(G12:G15)</f>
        <v>3564</v>
      </c>
      <c r="I16" s="70">
        <f>SUM(I12:I15)</f>
        <v>0</v>
      </c>
      <c r="K16" t="s">
        <v>363</v>
      </c>
      <c r="N16" s="90"/>
    </row>
    <row r="17" spans="1:14">
      <c r="A17" s="65"/>
      <c r="B17" s="65"/>
      <c r="C17" s="65"/>
      <c r="F17" s="70"/>
      <c r="K17" t="s">
        <v>364</v>
      </c>
      <c r="N17">
        <f>ROUND(N16-N18,0)</f>
        <v>0</v>
      </c>
    </row>
    <row r="18" spans="1:14">
      <c r="A18" s="77"/>
      <c r="B18" s="77"/>
      <c r="C18" s="65"/>
      <c r="F18" s="70"/>
      <c r="K18" t="s">
        <v>365</v>
      </c>
      <c r="N18">
        <f>ROUNDDOWN(N16*N15,0)</f>
        <v>0</v>
      </c>
    </row>
    <row r="19" spans="1:14">
      <c r="C19" s="77" t="s">
        <v>366</v>
      </c>
      <c r="E19" s="48" t="s">
        <v>364</v>
      </c>
      <c r="F19" s="85" t="s">
        <v>365</v>
      </c>
      <c r="G19" s="48" t="s">
        <v>82</v>
      </c>
      <c r="I19" s="48" t="s">
        <v>367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368</v>
      </c>
      <c r="F26" s="80"/>
    </row>
    <row r="27" spans="1:14">
      <c r="C27" t="s">
        <v>369</v>
      </c>
      <c r="G27" s="91">
        <f>+G12</f>
        <v>825.00000000000011</v>
      </c>
    </row>
    <row r="28" spans="1:14">
      <c r="C28" t="s">
        <v>370</v>
      </c>
      <c r="F28" s="80"/>
      <c r="G28" s="91">
        <f>+G13</f>
        <v>0</v>
      </c>
      <c r="I28" s="58">
        <f>+G28/11*0.75</f>
        <v>0</v>
      </c>
    </row>
    <row r="29" spans="1:14">
      <c r="C29" t="s">
        <v>364</v>
      </c>
      <c r="F29" s="79"/>
      <c r="G29" s="91">
        <f>+G14-E24</f>
        <v>2739</v>
      </c>
    </row>
    <row r="30" spans="1:14">
      <c r="C30" t="s">
        <v>365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3564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N24" sqref="N2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  <c r="J1" s="237"/>
    </row>
    <row r="2" spans="1:13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  <c r="J2" s="66"/>
    </row>
    <row r="3" spans="1:13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3" t="s">
        <v>371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4"/>
      <c r="G6" s="4"/>
      <c r="I6" s="66"/>
      <c r="J6" s="66"/>
    </row>
    <row r="8" spans="1:13" s="69" customFormat="1" ht="25.5">
      <c r="A8" s="128" t="s">
        <v>102</v>
      </c>
      <c r="B8" s="362" t="s">
        <v>103</v>
      </c>
      <c r="C8" s="363"/>
      <c r="D8" s="363"/>
      <c r="E8" s="367"/>
      <c r="F8" s="129" t="s">
        <v>104</v>
      </c>
      <c r="G8" s="362" t="s">
        <v>152</v>
      </c>
      <c r="H8" s="331"/>
      <c r="I8" s="332"/>
    </row>
    <row r="10" spans="1:13">
      <c r="F10" s="70"/>
    </row>
    <row r="11" spans="1:13">
      <c r="A11" s="77">
        <v>30900</v>
      </c>
      <c r="B11" s="77"/>
      <c r="C11" s="77" t="s">
        <v>372</v>
      </c>
      <c r="F11" s="70"/>
    </row>
    <row r="12" spans="1:13">
      <c r="C12" t="s">
        <v>373</v>
      </c>
      <c r="G12" s="227">
        <f>L13</f>
        <v>0</v>
      </c>
      <c r="K12" s="48" t="s">
        <v>374</v>
      </c>
      <c r="L12" s="48" t="s">
        <v>104</v>
      </c>
    </row>
    <row r="13" spans="1:13">
      <c r="C13" t="s">
        <v>375</v>
      </c>
      <c r="G13" s="70">
        <f>+G12/11*0.75</f>
        <v>0</v>
      </c>
      <c r="H13" t="s">
        <v>376</v>
      </c>
      <c r="K13" t="s">
        <v>377</v>
      </c>
    </row>
    <row r="14" spans="1:13">
      <c r="C14" t="s">
        <v>378</v>
      </c>
      <c r="G14" s="84">
        <f>+G12-G13</f>
        <v>0</v>
      </c>
      <c r="K14" t="s">
        <v>379</v>
      </c>
    </row>
    <row r="15" spans="1:13">
      <c r="G15" s="70"/>
      <c r="K15" t="s">
        <v>380</v>
      </c>
    </row>
    <row r="16" spans="1:13" ht="15.75" thickBot="1">
      <c r="G16" s="58"/>
      <c r="L16" s="226">
        <f>SUM(L13:L15)</f>
        <v>0</v>
      </c>
      <c r="M16" t="s">
        <v>381</v>
      </c>
    </row>
    <row r="17" spans="1:8" ht="15.75" thickTop="1">
      <c r="A17" s="77">
        <v>37500</v>
      </c>
      <c r="B17" s="77"/>
      <c r="C17" s="77" t="s">
        <v>382</v>
      </c>
      <c r="G17" s="58"/>
    </row>
    <row r="18" spans="1:8">
      <c r="C18" t="s">
        <v>383</v>
      </c>
      <c r="G18" s="224">
        <f>L14</f>
        <v>0</v>
      </c>
    </row>
    <row r="19" spans="1:8">
      <c r="C19" t="s">
        <v>384</v>
      </c>
      <c r="G19" s="228">
        <f>L15</f>
        <v>0</v>
      </c>
    </row>
    <row r="20" spans="1:8">
      <c r="G20" s="58">
        <f>SUM(G18:G19)</f>
        <v>0</v>
      </c>
    </row>
    <row r="21" spans="1:8">
      <c r="C21" t="s">
        <v>375</v>
      </c>
      <c r="G21" s="70">
        <f>+G20/11*0.75</f>
        <v>0</v>
      </c>
      <c r="H21" t="s">
        <v>376</v>
      </c>
    </row>
    <row r="22" spans="1:8">
      <c r="C22" t="s">
        <v>385</v>
      </c>
      <c r="G22" s="84">
        <f>+G20-G21</f>
        <v>0</v>
      </c>
    </row>
    <row r="27" spans="1:8">
      <c r="G27" s="22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92D050"/>
  </sheetPr>
  <dimension ref="A1:O37"/>
  <sheetViews>
    <sheetView topLeftCell="A11" workbookViewId="0">
      <selection activeCell="G18" sqref="G18"/>
    </sheetView>
  </sheetViews>
  <sheetFormatPr defaultRowHeight="15"/>
  <cols>
    <col min="3" max="3" width="14" customWidth="1"/>
    <col min="4" max="6" width="15.42578125" customWidth="1"/>
    <col min="7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9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9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9" ht="18">
      <c r="D4" s="53"/>
      <c r="E4" s="53"/>
      <c r="F4" s="64"/>
      <c r="G4" s="65"/>
      <c r="I4" s="66"/>
    </row>
    <row r="5" spans="1:9" ht="18">
      <c r="A5" s="123" t="s">
        <v>78</v>
      </c>
      <c r="D5" s="53"/>
      <c r="E5" s="53"/>
      <c r="F5" s="64"/>
      <c r="G5" s="65"/>
      <c r="I5" s="66"/>
    </row>
    <row r="6" spans="1:9" ht="18.75">
      <c r="B6" s="1"/>
      <c r="C6" s="3"/>
      <c r="D6" s="1"/>
      <c r="E6" s="1"/>
      <c r="F6" s="124"/>
    </row>
    <row r="8" spans="1:9">
      <c r="H8" s="48"/>
    </row>
    <row r="9" spans="1:9" ht="15" customHeight="1">
      <c r="B9" t="s">
        <v>79</v>
      </c>
      <c r="D9" s="319" t="s">
        <v>80</v>
      </c>
      <c r="E9" s="319"/>
      <c r="F9" s="319"/>
      <c r="G9" s="319"/>
    </row>
    <row r="10" spans="1:9">
      <c r="B10" t="s">
        <v>81</v>
      </c>
      <c r="D10" s="125">
        <v>15501</v>
      </c>
      <c r="E10" s="126">
        <f>+D10</f>
        <v>15501</v>
      </c>
      <c r="F10" s="126">
        <f>+D10</f>
        <v>15501</v>
      </c>
      <c r="G10" s="48" t="s">
        <v>82</v>
      </c>
    </row>
    <row r="11" spans="1:9">
      <c r="B11" t="s">
        <v>83</v>
      </c>
      <c r="D11" s="127">
        <f>(D14-D10)/365.25</f>
        <v>80.060232717316907</v>
      </c>
      <c r="E11" s="127">
        <f>(E14-E10)/365.25</f>
        <v>80.060232717316907</v>
      </c>
      <c r="F11" s="127">
        <f>(F14-F10)/365.25</f>
        <v>80.060232717316907</v>
      </c>
      <c r="G11" s="127"/>
    </row>
    <row r="14" spans="1:9">
      <c r="B14" t="s">
        <v>84</v>
      </c>
      <c r="D14" s="126">
        <v>44743</v>
      </c>
      <c r="E14" s="126">
        <v>44743</v>
      </c>
      <c r="F14" s="126">
        <v>44743</v>
      </c>
      <c r="G14" s="126"/>
    </row>
    <row r="16" spans="1:9">
      <c r="B16" t="s">
        <v>85</v>
      </c>
      <c r="D16" s="224" t="s">
        <v>86</v>
      </c>
      <c r="E16" s="224" t="s">
        <v>87</v>
      </c>
      <c r="F16" s="224" t="s">
        <v>88</v>
      </c>
    </row>
    <row r="17" spans="1:15">
      <c r="B17" t="s">
        <v>89</v>
      </c>
      <c r="D17" s="224" t="s">
        <v>90</v>
      </c>
      <c r="E17" s="224" t="s">
        <v>90</v>
      </c>
      <c r="F17" s="224" t="s">
        <v>90</v>
      </c>
    </row>
    <row r="18" spans="1:15">
      <c r="B18" t="s">
        <v>91</v>
      </c>
      <c r="D18" s="224">
        <v>152258.6</v>
      </c>
      <c r="E18" s="224">
        <v>699609.72</v>
      </c>
      <c r="F18" s="224">
        <v>182956.98</v>
      </c>
      <c r="G18" s="225"/>
    </row>
    <row r="20" spans="1:15">
      <c r="B20" t="s">
        <v>92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7.0000000000000007E-2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7.0000000000000007E-2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7.0000000000000007E-2</v>
      </c>
      <c r="G20" s="46"/>
    </row>
    <row r="22" spans="1:15">
      <c r="B22" t="s">
        <v>93</v>
      </c>
      <c r="D22" s="91">
        <f>D18*D20</f>
        <v>10658.102000000001</v>
      </c>
      <c r="E22" s="91">
        <f>E18*E20</f>
        <v>48972.680400000005</v>
      </c>
      <c r="F22" s="91">
        <f>F18*F20</f>
        <v>12806.988600000002</v>
      </c>
      <c r="G22" s="91"/>
    </row>
    <row r="23" spans="1:15" s="43" customFormat="1">
      <c r="B23" s="43" t="s">
        <v>94</v>
      </c>
      <c r="D23" s="44">
        <f>D18*(D20/2)</f>
        <v>5329.0510000000004</v>
      </c>
      <c r="E23" s="44">
        <f>E18*(E20/2)</f>
        <v>24486.340200000002</v>
      </c>
      <c r="F23" s="44">
        <f>F18*(F20/2)</f>
        <v>6403.4943000000012</v>
      </c>
      <c r="G23" s="44"/>
      <c r="I23"/>
      <c r="J23"/>
      <c r="K23"/>
      <c r="L23"/>
      <c r="M23"/>
      <c r="N23"/>
      <c r="O23"/>
    </row>
    <row r="24" spans="1:15" s="45" customFormat="1" ht="15.75" thickBot="1">
      <c r="B24" s="45" t="s">
        <v>95</v>
      </c>
      <c r="D24" s="52">
        <f>ROUND(D23,-1)</f>
        <v>5330</v>
      </c>
      <c r="E24" s="52">
        <f>ROUND(E23,-1)</f>
        <v>24490</v>
      </c>
      <c r="F24" s="52">
        <f>ROUND(F23,-1)</f>
        <v>6400</v>
      </c>
      <c r="G24" s="47">
        <f>SUM(D24:F24)</f>
        <v>36220</v>
      </c>
      <c r="I24"/>
      <c r="J24"/>
      <c r="K24"/>
      <c r="L24"/>
      <c r="M24"/>
      <c r="N24"/>
      <c r="O24"/>
    </row>
    <row r="25" spans="1:15" ht="15.75" thickTop="1"/>
    <row r="26" spans="1:15">
      <c r="B26" t="s">
        <v>96</v>
      </c>
      <c r="D26" s="91">
        <f>IF(D17="ABP",D18,D18*0.1)</f>
        <v>152258.6</v>
      </c>
      <c r="E26" s="91">
        <f t="shared" ref="E26:F26" si="0">IF(E17="ABP",E18,E18*0.1)</f>
        <v>699609.72</v>
      </c>
      <c r="F26" s="91">
        <f t="shared" si="0"/>
        <v>182956.98</v>
      </c>
      <c r="G26" s="91"/>
    </row>
    <row r="30" spans="1:15">
      <c r="A30" s="50" t="s">
        <v>97</v>
      </c>
      <c r="B30" s="50" t="s">
        <v>98</v>
      </c>
      <c r="C30" s="50" t="s">
        <v>99</v>
      </c>
      <c r="D30" s="50" t="s">
        <v>100</v>
      </c>
    </row>
    <row r="31" spans="1:15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5">
      <c r="A32">
        <v>64.989999999999995</v>
      </c>
      <c r="B32">
        <v>74</v>
      </c>
      <c r="C32" s="49">
        <v>0.05</v>
      </c>
      <c r="D32" s="49">
        <f t="shared" ref="D32:D37" si="1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1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1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1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1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1"/>
        <v>7.0000000000000007E-2</v>
      </c>
    </row>
  </sheetData>
  <mergeCells count="4">
    <mergeCell ref="D9:G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9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9" ht="18">
      <c r="D4" s="53"/>
      <c r="E4" s="53"/>
      <c r="F4" s="64"/>
      <c r="G4" s="65"/>
      <c r="I4" s="66"/>
    </row>
    <row r="5" spans="1:9" ht="18">
      <c r="A5" s="123" t="s">
        <v>101</v>
      </c>
      <c r="D5" s="53"/>
      <c r="E5" s="53"/>
      <c r="F5" s="64"/>
      <c r="G5" s="65"/>
      <c r="I5" s="66"/>
    </row>
    <row r="6" spans="1:9" ht="18">
      <c r="A6" s="123"/>
      <c r="D6" s="53"/>
      <c r="E6" s="53"/>
      <c r="F6" s="64"/>
      <c r="G6" s="65"/>
      <c r="I6" s="66"/>
    </row>
    <row r="8" spans="1:9" s="69" customFormat="1" ht="30">
      <c r="A8" s="135" t="s">
        <v>102</v>
      </c>
      <c r="B8" s="322" t="s">
        <v>103</v>
      </c>
      <c r="C8" s="323"/>
      <c r="D8" s="323"/>
      <c r="E8" s="324"/>
      <c r="F8" s="136" t="s">
        <v>104</v>
      </c>
      <c r="G8" s="136" t="s">
        <v>104</v>
      </c>
      <c r="H8" s="136" t="s">
        <v>104</v>
      </c>
      <c r="I8" s="83"/>
    </row>
    <row r="10" spans="1:9">
      <c r="F10" s="70"/>
    </row>
    <row r="11" spans="1:9">
      <c r="A11" s="71"/>
      <c r="B11" s="71"/>
      <c r="C11" s="71" t="s">
        <v>105</v>
      </c>
      <c r="F11" s="72" t="s">
        <v>106</v>
      </c>
      <c r="G11" s="48" t="s">
        <v>107</v>
      </c>
      <c r="H11" s="48" t="s">
        <v>82</v>
      </c>
    </row>
    <row r="12" spans="1:9">
      <c r="A12" s="71"/>
      <c r="B12" s="71"/>
      <c r="C12" s="71"/>
      <c r="F12" s="72"/>
      <c r="G12" s="48"/>
      <c r="H12" s="48"/>
    </row>
    <row r="13" spans="1:9">
      <c r="C13" s="73">
        <v>44805</v>
      </c>
      <c r="F13" s="74">
        <v>0</v>
      </c>
      <c r="G13" s="130">
        <v>0</v>
      </c>
      <c r="H13" s="131">
        <f>SUM(F13:G13)</f>
        <v>0</v>
      </c>
      <c r="I13" t="s">
        <v>108</v>
      </c>
    </row>
    <row r="14" spans="1:9">
      <c r="C14" s="73">
        <v>44896</v>
      </c>
      <c r="F14" s="74">
        <v>0</v>
      </c>
      <c r="G14" s="130">
        <v>0</v>
      </c>
      <c r="H14" s="131">
        <f>SUM(F14:G14)</f>
        <v>0</v>
      </c>
      <c r="I14" t="s">
        <v>109</v>
      </c>
    </row>
    <row r="15" spans="1:9">
      <c r="C15" s="73">
        <v>44986</v>
      </c>
      <c r="F15" s="74"/>
      <c r="G15" s="130"/>
      <c r="H15" s="131">
        <f>SUM(F15:G15)</f>
        <v>0</v>
      </c>
      <c r="I15" t="s">
        <v>110</v>
      </c>
    </row>
    <row r="16" spans="1:9">
      <c r="F16" s="75"/>
      <c r="G16" s="131"/>
      <c r="H16" s="131"/>
      <c r="I16" t="s">
        <v>111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112</v>
      </c>
      <c r="F19">
        <f>COUNT(F13:F15)</f>
        <v>2</v>
      </c>
      <c r="G19">
        <f>COUNT(G13:G15)</f>
        <v>2</v>
      </c>
    </row>
    <row r="21" spans="3:9">
      <c r="C21" t="s">
        <v>113</v>
      </c>
      <c r="F21" s="74"/>
      <c r="I21" t="s">
        <v>114</v>
      </c>
    </row>
    <row r="23" spans="3:9">
      <c r="C23" t="s">
        <v>115</v>
      </c>
      <c r="F23" s="78"/>
      <c r="G23" s="132"/>
      <c r="H23" s="79"/>
      <c r="I23" t="s">
        <v>116</v>
      </c>
    </row>
    <row r="24" spans="3:9">
      <c r="C24" t="s">
        <v>117</v>
      </c>
      <c r="F24" s="80"/>
      <c r="G24" s="132"/>
      <c r="H24" s="79"/>
    </row>
    <row r="25" spans="3:9">
      <c r="C25" t="s">
        <v>118</v>
      </c>
      <c r="F25" s="79"/>
      <c r="G25" s="133"/>
      <c r="H25" s="79"/>
    </row>
    <row r="26" spans="3:9">
      <c r="C26" t="s">
        <v>119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120</v>
      </c>
      <c r="F29" s="75">
        <f>ROUND(F21/4,0)</f>
        <v>0</v>
      </c>
      <c r="G29" s="131">
        <f>ROUND(G26/4,0)</f>
        <v>0</v>
      </c>
      <c r="H29" s="79"/>
    </row>
    <row r="30" spans="3:9">
      <c r="C30" t="s">
        <v>121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122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1">
        <f t="shared" ref="H33:H36" si="0">SUM(F33:G33)</f>
        <v>0</v>
      </c>
      <c r="L33" s="131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1">
        <f t="shared" si="0"/>
        <v>0</v>
      </c>
      <c r="L34" s="131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1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0</v>
      </c>
      <c r="H36" s="131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1" t="s">
        <v>0</v>
      </c>
      <c r="B1" s="320" t="str">
        <f>Index!$C$1</f>
        <v>THE THOMPSON SUPERANNUATION FUND</v>
      </c>
      <c r="C1" s="320"/>
      <c r="D1" s="320"/>
      <c r="F1" s="54"/>
      <c r="H1" s="56" t="s">
        <v>2</v>
      </c>
      <c r="I1" s="56" t="s">
        <v>3</v>
      </c>
    </row>
    <row r="2" spans="1:10" customFormat="1" ht="18">
      <c r="A2" s="121" t="s">
        <v>4</v>
      </c>
      <c r="B2" s="320" t="str">
        <f>Index!$C$2</f>
        <v>9THOI</v>
      </c>
      <c r="C2" s="320"/>
      <c r="D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0" customFormat="1" ht="18">
      <c r="A3" s="121" t="s">
        <v>8</v>
      </c>
      <c r="B3" s="321">
        <f>Index!$C$3</f>
        <v>44742</v>
      </c>
      <c r="C3" s="321"/>
      <c r="D3" s="321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0" customFormat="1" ht="18">
      <c r="A4" s="121"/>
      <c r="B4" s="53"/>
      <c r="D4" s="53"/>
      <c r="E4" s="53"/>
      <c r="F4" s="55"/>
      <c r="G4" s="122"/>
      <c r="H4" s="65"/>
      <c r="I4" s="66"/>
    </row>
    <row r="5" spans="1:10" customFormat="1" ht="18">
      <c r="A5" s="53" t="s">
        <v>123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2" customFormat="1" ht="15.75" thickBot="1">
      <c r="A7" s="144"/>
      <c r="C7" s="161"/>
      <c r="D7" s="161"/>
      <c r="E7" s="161"/>
      <c r="F7" s="114"/>
      <c r="G7" s="161"/>
      <c r="H7" s="161"/>
      <c r="I7" s="161"/>
    </row>
    <row r="8" spans="1:10" s="142" customFormat="1" ht="30.75" thickBot="1">
      <c r="A8" s="327" t="s">
        <v>124</v>
      </c>
      <c r="B8" s="328"/>
      <c r="C8" s="162" t="s">
        <v>125</v>
      </c>
      <c r="D8" s="162" t="s">
        <v>126</v>
      </c>
      <c r="E8" s="162" t="s">
        <v>127</v>
      </c>
      <c r="F8" s="162" t="s">
        <v>128</v>
      </c>
      <c r="G8" s="162" t="s">
        <v>129</v>
      </c>
      <c r="H8" s="162" t="s">
        <v>130</v>
      </c>
      <c r="I8" s="163" t="s">
        <v>131</v>
      </c>
    </row>
    <row r="9" spans="1:10" s="142" customFormat="1" ht="15">
      <c r="A9" s="164" t="s">
        <v>132</v>
      </c>
      <c r="B9" s="165"/>
      <c r="C9" s="166">
        <v>0</v>
      </c>
      <c r="D9" s="166">
        <v>0</v>
      </c>
      <c r="E9" s="166"/>
      <c r="F9" s="167">
        <v>0</v>
      </c>
      <c r="G9" s="166"/>
      <c r="H9" s="166"/>
      <c r="I9" s="166">
        <f>C9-D9+E9+F9+G9+H9</f>
        <v>0</v>
      </c>
    </row>
    <row r="10" spans="1:10" s="142" customFormat="1" ht="15">
      <c r="A10" s="168" t="s">
        <v>133</v>
      </c>
      <c r="B10" s="169"/>
      <c r="C10" s="166">
        <v>0</v>
      </c>
      <c r="D10" s="170">
        <v>0</v>
      </c>
      <c r="E10" s="170"/>
      <c r="F10" s="171">
        <v>0</v>
      </c>
      <c r="G10" s="170"/>
      <c r="H10" s="170"/>
      <c r="I10" s="166">
        <f>C10-D10+E10+F10+G10+H10</f>
        <v>0</v>
      </c>
    </row>
    <row r="11" spans="1:10" s="142" customFormat="1" ht="15">
      <c r="A11" s="168" t="s">
        <v>134</v>
      </c>
      <c r="B11" s="169"/>
      <c r="C11" s="166">
        <v>0</v>
      </c>
      <c r="D11" s="170">
        <v>0</v>
      </c>
      <c r="E11" s="170"/>
      <c r="F11" s="171">
        <v>0</v>
      </c>
      <c r="G11" s="170"/>
      <c r="H11" s="170"/>
      <c r="I11" s="166">
        <f>C11-D11+E11+F11+G11+H11</f>
        <v>0</v>
      </c>
    </row>
    <row r="12" spans="1:10" s="142" customFormat="1" ht="15">
      <c r="A12" s="168" t="s">
        <v>135</v>
      </c>
      <c r="B12" s="169"/>
      <c r="C12" s="166">
        <v>0</v>
      </c>
      <c r="D12" s="170">
        <v>0</v>
      </c>
      <c r="E12" s="170"/>
      <c r="F12" s="171">
        <v>0</v>
      </c>
      <c r="G12" s="170"/>
      <c r="H12" s="170"/>
      <c r="I12" s="166">
        <f>C12-D12+E12+F12+G12+H12</f>
        <v>0</v>
      </c>
    </row>
    <row r="13" spans="1:10" s="142" customFormat="1" ht="15">
      <c r="A13" s="172"/>
      <c r="B13" s="161" t="s">
        <v>136</v>
      </c>
      <c r="C13" s="173">
        <f t="shared" ref="C13:I13" si="0">SUM(C9:C12)</f>
        <v>0</v>
      </c>
      <c r="D13" s="173">
        <f t="shared" si="0"/>
        <v>0</v>
      </c>
      <c r="E13" s="173">
        <f t="shared" si="0"/>
        <v>0</v>
      </c>
      <c r="F13" s="173">
        <f t="shared" si="0"/>
        <v>0</v>
      </c>
      <c r="G13" s="173">
        <f t="shared" si="0"/>
        <v>0</v>
      </c>
      <c r="H13" s="173">
        <f t="shared" si="0"/>
        <v>0</v>
      </c>
      <c r="I13" s="173">
        <f t="shared" si="0"/>
        <v>0</v>
      </c>
    </row>
    <row r="14" spans="1:10" s="142" customFormat="1" ht="15.75" thickBot="1">
      <c r="A14" s="172"/>
      <c r="B14" s="172"/>
      <c r="C14" s="161"/>
      <c r="D14" s="161"/>
      <c r="E14" s="161"/>
      <c r="F14" s="114"/>
      <c r="G14" s="161"/>
      <c r="H14" s="161"/>
      <c r="I14" s="161"/>
    </row>
    <row r="15" spans="1:10" s="142" customFormat="1" ht="30.75" thickBot="1">
      <c r="A15" s="327" t="s">
        <v>137</v>
      </c>
      <c r="B15" s="368"/>
      <c r="C15" s="162" t="s">
        <v>125</v>
      </c>
      <c r="D15" s="162" t="s">
        <v>126</v>
      </c>
      <c r="E15" s="162" t="s">
        <v>127</v>
      </c>
      <c r="F15" s="162" t="s">
        <v>128</v>
      </c>
      <c r="G15" s="162" t="s">
        <v>129</v>
      </c>
      <c r="H15" s="162" t="s">
        <v>130</v>
      </c>
      <c r="I15" s="163" t="s">
        <v>131</v>
      </c>
    </row>
    <row r="16" spans="1:10" s="142" customFormat="1" ht="15">
      <c r="A16" s="174" t="s">
        <v>132</v>
      </c>
      <c r="B16" s="165"/>
      <c r="C16" s="166"/>
      <c r="D16" s="166"/>
      <c r="E16" s="166"/>
      <c r="F16" s="167"/>
      <c r="G16" s="166"/>
      <c r="H16" s="166"/>
      <c r="I16" s="166">
        <f>C16-D16+E16+F16+G16+H16</f>
        <v>0</v>
      </c>
    </row>
    <row r="17" spans="1:9" s="142" customFormat="1" ht="15">
      <c r="A17" s="175" t="s">
        <v>133</v>
      </c>
      <c r="B17" s="169"/>
      <c r="C17" s="166"/>
      <c r="D17" s="170"/>
      <c r="E17" s="170"/>
      <c r="F17" s="171"/>
      <c r="G17" s="170"/>
      <c r="H17" s="170"/>
      <c r="I17" s="166">
        <f>C17-D17+E17+F17+G17+H17</f>
        <v>0</v>
      </c>
    </row>
    <row r="18" spans="1:9" s="142" customFormat="1" ht="15">
      <c r="A18" s="175" t="s">
        <v>134</v>
      </c>
      <c r="B18" s="169"/>
      <c r="C18" s="166"/>
      <c r="D18" s="170"/>
      <c r="E18" s="170"/>
      <c r="F18" s="171"/>
      <c r="G18" s="170"/>
      <c r="H18" s="170"/>
      <c r="I18" s="166">
        <f>C18-D18+E18+F18+G18+H18</f>
        <v>0</v>
      </c>
    </row>
    <row r="19" spans="1:9" s="142" customFormat="1" ht="15">
      <c r="A19" s="175" t="s">
        <v>138</v>
      </c>
      <c r="B19" s="169"/>
      <c r="C19" s="166"/>
      <c r="D19" s="170"/>
      <c r="E19" s="170"/>
      <c r="F19" s="171"/>
      <c r="G19" s="170"/>
      <c r="H19" s="170"/>
      <c r="I19" s="166">
        <f>C19-D19+E19+F19+G19+H19</f>
        <v>0</v>
      </c>
    </row>
    <row r="20" spans="1:9" s="142" customFormat="1" ht="15">
      <c r="A20" s="172"/>
      <c r="B20" s="161" t="s">
        <v>136</v>
      </c>
      <c r="C20" s="176">
        <f t="shared" ref="C20:I20" si="1">SUM(C16:C19)</f>
        <v>0</v>
      </c>
      <c r="D20" s="176">
        <f t="shared" si="1"/>
        <v>0</v>
      </c>
      <c r="E20" s="176">
        <f t="shared" si="1"/>
        <v>0</v>
      </c>
      <c r="F20" s="176">
        <f t="shared" si="1"/>
        <v>0</v>
      </c>
      <c r="G20" s="176">
        <f t="shared" si="1"/>
        <v>0</v>
      </c>
      <c r="H20" s="176">
        <f t="shared" si="1"/>
        <v>0</v>
      </c>
      <c r="I20" s="176">
        <f t="shared" si="1"/>
        <v>0</v>
      </c>
    </row>
    <row r="21" spans="1:9" s="142" customFormat="1" ht="15">
      <c r="A21" s="144"/>
    </row>
    <row r="22" spans="1:9" s="142" customFormat="1" ht="15">
      <c r="A22" s="329" t="s">
        <v>139</v>
      </c>
      <c r="B22" s="330"/>
      <c r="C22" s="177">
        <f t="shared" ref="C22:I22" si="2">+C13-C20</f>
        <v>0</v>
      </c>
      <c r="D22" s="177">
        <f>+D13-D20</f>
        <v>0</v>
      </c>
      <c r="E22" s="177">
        <f t="shared" si="2"/>
        <v>0</v>
      </c>
      <c r="F22" s="177">
        <f t="shared" si="2"/>
        <v>0</v>
      </c>
      <c r="G22" s="177">
        <f t="shared" si="2"/>
        <v>0</v>
      </c>
      <c r="H22" s="177">
        <f t="shared" si="2"/>
        <v>0</v>
      </c>
      <c r="I22" s="177">
        <f t="shared" si="2"/>
        <v>0</v>
      </c>
    </row>
    <row r="23" spans="1:9" s="142" customFormat="1" ht="15">
      <c r="A23" s="144"/>
    </row>
    <row r="24" spans="1:9" s="142" customFormat="1" ht="15">
      <c r="A24" s="142" t="s">
        <v>140</v>
      </c>
      <c r="B24" s="143"/>
      <c r="G24" s="143"/>
    </row>
    <row r="25" spans="1:9" s="142" customFormat="1" ht="15">
      <c r="B25" s="143"/>
      <c r="C25" s="325" t="s">
        <v>141</v>
      </c>
      <c r="D25" s="325"/>
      <c r="E25" s="325" t="s">
        <v>142</v>
      </c>
      <c r="F25" s="325"/>
      <c r="G25" s="326" t="s">
        <v>143</v>
      </c>
      <c r="H25" s="326"/>
    </row>
    <row r="26" spans="1:9" s="142" customFormat="1" ht="15">
      <c r="A26" s="144" t="s">
        <v>3</v>
      </c>
      <c r="B26" s="142" t="s">
        <v>144</v>
      </c>
      <c r="C26" s="142" t="s">
        <v>125</v>
      </c>
      <c r="D26" s="142" t="s">
        <v>126</v>
      </c>
      <c r="E26" s="142" t="s">
        <v>125</v>
      </c>
      <c r="F26" s="142" t="s">
        <v>126</v>
      </c>
      <c r="G26" s="142" t="s">
        <v>125</v>
      </c>
      <c r="H26" s="142" t="s">
        <v>126</v>
      </c>
    </row>
    <row r="27" spans="1:9" s="142" customFormat="1" ht="15">
      <c r="A27" s="145"/>
      <c r="C27" s="146"/>
      <c r="D27" s="146"/>
      <c r="E27" s="146"/>
      <c r="F27" s="146"/>
      <c r="G27" s="146"/>
      <c r="H27" s="146">
        <f>D27-F27</f>
        <v>0</v>
      </c>
    </row>
    <row r="28" spans="1:9" s="142" customFormat="1" ht="15">
      <c r="A28" s="147"/>
      <c r="C28" s="146"/>
      <c r="D28" s="146"/>
      <c r="E28" s="146"/>
      <c r="F28" s="146"/>
      <c r="G28" s="146"/>
      <c r="H28" s="146">
        <f t="shared" ref="H28:H40" si="3">D28-F28</f>
        <v>0</v>
      </c>
    </row>
    <row r="29" spans="1:9" s="142" customFormat="1" ht="15">
      <c r="A29" s="145"/>
      <c r="B29" s="148"/>
      <c r="C29" s="146"/>
      <c r="D29" s="146"/>
      <c r="E29" s="146"/>
      <c r="F29" s="146"/>
      <c r="G29" s="146"/>
      <c r="H29" s="146">
        <f t="shared" si="3"/>
        <v>0</v>
      </c>
    </row>
    <row r="30" spans="1:9" s="142" customFormat="1" ht="15">
      <c r="A30" s="147"/>
      <c r="C30" s="146"/>
      <c r="D30" s="146"/>
      <c r="E30" s="146"/>
      <c r="F30" s="146"/>
      <c r="G30" s="146"/>
      <c r="H30" s="146">
        <f t="shared" si="3"/>
        <v>0</v>
      </c>
    </row>
    <row r="31" spans="1:9" s="142" customFormat="1" ht="15">
      <c r="A31" s="145"/>
      <c r="B31" s="148"/>
      <c r="C31" s="146"/>
      <c r="D31" s="146"/>
      <c r="E31" s="146"/>
      <c r="F31" s="146"/>
      <c r="G31" s="146"/>
      <c r="H31" s="146">
        <f t="shared" si="3"/>
        <v>0</v>
      </c>
    </row>
    <row r="32" spans="1:9" s="142" customFormat="1" ht="15">
      <c r="A32" s="147"/>
      <c r="B32" s="148"/>
      <c r="C32" s="146"/>
      <c r="D32" s="146"/>
      <c r="E32" s="146"/>
      <c r="F32" s="146"/>
      <c r="G32" s="146"/>
      <c r="H32" s="146">
        <f t="shared" si="3"/>
        <v>0</v>
      </c>
    </row>
    <row r="33" spans="1:8" s="142" customFormat="1" ht="15">
      <c r="A33" s="145"/>
      <c r="B33" s="148"/>
      <c r="C33" s="146"/>
      <c r="D33" s="146"/>
      <c r="E33" s="146"/>
      <c r="F33" s="146"/>
      <c r="G33" s="146"/>
      <c r="H33" s="146">
        <f t="shared" si="3"/>
        <v>0</v>
      </c>
    </row>
    <row r="34" spans="1:8" s="142" customFormat="1" ht="15">
      <c r="A34" s="144"/>
      <c r="B34" s="148"/>
      <c r="C34" s="146"/>
      <c r="D34" s="146"/>
      <c r="E34" s="146"/>
      <c r="F34" s="146"/>
      <c r="G34" s="146"/>
      <c r="H34" s="146">
        <f t="shared" si="3"/>
        <v>0</v>
      </c>
    </row>
    <row r="35" spans="1:8" s="142" customFormat="1" ht="15">
      <c r="A35" s="145"/>
      <c r="C35" s="146"/>
      <c r="D35" s="146"/>
      <c r="E35" s="146"/>
      <c r="F35" s="146"/>
      <c r="G35" s="146"/>
      <c r="H35" s="146">
        <f t="shared" si="3"/>
        <v>0</v>
      </c>
    </row>
    <row r="36" spans="1:8" s="142" customFormat="1" ht="15">
      <c r="A36" s="144"/>
      <c r="C36" s="146"/>
      <c r="D36" s="146"/>
      <c r="E36" s="146"/>
      <c r="F36" s="146"/>
      <c r="G36" s="146"/>
      <c r="H36" s="146">
        <f t="shared" si="3"/>
        <v>0</v>
      </c>
    </row>
    <row r="37" spans="1:8" s="142" customFormat="1" ht="15">
      <c r="A37" s="144"/>
      <c r="B37" s="148"/>
      <c r="C37" s="146"/>
      <c r="D37" s="146"/>
      <c r="E37" s="146"/>
      <c r="F37" s="146"/>
      <c r="G37" s="146"/>
      <c r="H37" s="146">
        <f>E37-C37</f>
        <v>0</v>
      </c>
    </row>
    <row r="38" spans="1:8" s="142" customFormat="1" ht="15">
      <c r="A38" s="144"/>
      <c r="C38" s="146"/>
      <c r="D38" s="146"/>
      <c r="E38" s="146"/>
      <c r="F38" s="146"/>
      <c r="G38" s="146"/>
      <c r="H38" s="146">
        <f t="shared" si="3"/>
        <v>0</v>
      </c>
    </row>
    <row r="39" spans="1:8" s="142" customFormat="1" ht="15">
      <c r="A39" s="144"/>
      <c r="B39" s="149" t="s">
        <v>82</v>
      </c>
      <c r="H39" s="150">
        <f>SUM(H27:H38)</f>
        <v>0</v>
      </c>
    </row>
    <row r="40" spans="1:8" s="142" customFormat="1" ht="15">
      <c r="A40" s="144"/>
      <c r="H40" s="142">
        <f t="shared" si="3"/>
        <v>0</v>
      </c>
    </row>
    <row r="41" spans="1:8" s="142" customFormat="1" ht="15.75" thickBot="1">
      <c r="A41" s="144"/>
      <c r="G41" s="142" t="s">
        <v>145</v>
      </c>
      <c r="H41" s="151">
        <f>I22+H39</f>
        <v>0</v>
      </c>
    </row>
    <row r="42" spans="1:8" s="142" customFormat="1" ht="15">
      <c r="A42" s="144"/>
      <c r="B42" s="152" t="s">
        <v>146</v>
      </c>
      <c r="C42" s="153">
        <f>I13</f>
        <v>0</v>
      </c>
      <c r="D42" s="154"/>
    </row>
    <row r="43" spans="1:8" s="142" customFormat="1" ht="15">
      <c r="A43" s="144"/>
      <c r="B43" s="155" t="s">
        <v>147</v>
      </c>
      <c r="C43" s="150">
        <f>I20</f>
        <v>0</v>
      </c>
      <c r="D43" s="156"/>
    </row>
    <row r="44" spans="1:8" s="142" customFormat="1" ht="15">
      <c r="A44" s="144"/>
      <c r="B44" s="157" t="s">
        <v>143</v>
      </c>
      <c r="C44" s="151">
        <f>C42-C43</f>
        <v>0</v>
      </c>
      <c r="D44" s="156"/>
    </row>
    <row r="45" spans="1:8" s="142" customFormat="1" ht="15">
      <c r="A45" s="144"/>
      <c r="B45" s="155"/>
      <c r="D45" s="156"/>
    </row>
    <row r="46" spans="1:8" s="142" customFormat="1" ht="15">
      <c r="A46" s="144"/>
      <c r="B46" s="155" t="s">
        <v>148</v>
      </c>
      <c r="C46" s="151">
        <v>0</v>
      </c>
      <c r="D46" s="156"/>
    </row>
    <row r="47" spans="1:8" s="142" customFormat="1" ht="15.75" thickBot="1">
      <c r="A47" s="144"/>
      <c r="B47" s="158" t="s">
        <v>149</v>
      </c>
      <c r="C47" s="159">
        <f>C46-C44</f>
        <v>0</v>
      </c>
      <c r="D47" s="160" t="s">
        <v>150</v>
      </c>
    </row>
    <row r="48" spans="1:8" s="142" customFormat="1" ht="15">
      <c r="A48" s="144"/>
    </row>
    <row r="49" spans="1:1" s="142" customFormat="1" ht="15">
      <c r="A49" s="144"/>
    </row>
    <row r="50" spans="1:1" s="142" customFormat="1" ht="15">
      <c r="A50" s="144"/>
    </row>
    <row r="51" spans="1:1" s="142" customFormat="1" ht="15">
      <c r="A51" s="144"/>
    </row>
    <row r="52" spans="1:1" s="142" customFormat="1" ht="15">
      <c r="A52" s="144"/>
    </row>
    <row r="53" spans="1:1" s="142" customFormat="1" ht="15">
      <c r="A53" s="144"/>
    </row>
    <row r="54" spans="1:1" s="142" customFormat="1" ht="15">
      <c r="A54" s="144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18"/>
  <sheetViews>
    <sheetView workbookViewId="0">
      <selection activeCell="H13" sqref="H13"/>
    </sheetView>
  </sheetViews>
  <sheetFormatPr defaultColWidth="8.7109375" defaultRowHeight="15"/>
  <cols>
    <col min="1" max="1" width="14.28515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0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151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1"/>
      <c r="G7" s="141"/>
    </row>
    <row r="8" spans="1:10" s="69" customFormat="1" ht="30">
      <c r="A8" s="135" t="s">
        <v>102</v>
      </c>
      <c r="B8" s="322" t="s">
        <v>103</v>
      </c>
      <c r="C8" s="323"/>
      <c r="D8" s="324"/>
      <c r="E8" s="136" t="s">
        <v>104</v>
      </c>
      <c r="F8" s="136" t="s">
        <v>104</v>
      </c>
      <c r="G8" s="136" t="s">
        <v>104</v>
      </c>
      <c r="H8" s="322" t="s">
        <v>152</v>
      </c>
      <c r="I8" s="324"/>
    </row>
    <row r="11" spans="1:10">
      <c r="A11" s="77">
        <v>60400</v>
      </c>
      <c r="B11" s="77"/>
      <c r="C11" s="77" t="s">
        <v>153</v>
      </c>
      <c r="E11" s="48" t="s">
        <v>154</v>
      </c>
      <c r="F11" s="85" t="s">
        <v>155</v>
      </c>
      <c r="G11" s="272" t="s">
        <v>156</v>
      </c>
    </row>
    <row r="12" spans="1:10">
      <c r="A12" t="s">
        <v>157</v>
      </c>
      <c r="C12" t="s">
        <v>158</v>
      </c>
      <c r="E12" s="93">
        <v>304816.39</v>
      </c>
      <c r="F12" s="93">
        <v>304813.92</v>
      </c>
      <c r="G12" s="273">
        <f>+E12-F12</f>
        <v>2.470000000030268</v>
      </c>
      <c r="H12" s="273" t="s">
        <v>159</v>
      </c>
    </row>
    <row r="13" spans="1:10">
      <c r="A13" t="s">
        <v>160</v>
      </c>
      <c r="C13" t="s">
        <v>161</v>
      </c>
      <c r="E13" s="93">
        <v>27860.39</v>
      </c>
      <c r="F13" s="93">
        <v>27860.39</v>
      </c>
      <c r="G13" s="273">
        <f>+E13-F13</f>
        <v>0</v>
      </c>
      <c r="H13" s="93"/>
    </row>
    <row r="14" spans="1:10">
      <c r="E14" s="93"/>
      <c r="F14" s="93"/>
      <c r="G14" s="273"/>
      <c r="H14" s="93"/>
    </row>
    <row r="15" spans="1:10">
      <c r="G15" s="43"/>
    </row>
    <row r="16" spans="1:10">
      <c r="A16" s="43"/>
      <c r="G16" s="43"/>
    </row>
    <row r="17" spans="1:7">
      <c r="A17" s="43"/>
      <c r="G17" s="43"/>
    </row>
    <row r="18" spans="1:7">
      <c r="A18" s="43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26" workbookViewId="0">
      <selection activeCell="N30" sqref="N3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0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162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1"/>
      <c r="G7" s="141"/>
    </row>
    <row r="8" spans="1:10" s="69" customFormat="1" ht="30">
      <c r="A8" s="135" t="s">
        <v>102</v>
      </c>
      <c r="B8" s="322" t="s">
        <v>103</v>
      </c>
      <c r="C8" s="323"/>
      <c r="D8" s="323"/>
      <c r="E8" s="324"/>
      <c r="F8" s="136" t="s">
        <v>104</v>
      </c>
      <c r="G8" s="322" t="s">
        <v>152</v>
      </c>
      <c r="H8" s="331"/>
      <c r="I8" s="332"/>
    </row>
    <row r="10" spans="1:10">
      <c r="F10" s="80"/>
    </row>
    <row r="11" spans="1:10">
      <c r="C11" t="s">
        <v>163</v>
      </c>
      <c r="F11" s="93"/>
      <c r="G11" s="43" t="s">
        <v>164</v>
      </c>
    </row>
    <row r="12" spans="1:10">
      <c r="C12" t="s">
        <v>165</v>
      </c>
      <c r="F12" s="115"/>
    </row>
    <row r="13" spans="1:10">
      <c r="C13" t="s">
        <v>166</v>
      </c>
      <c r="F13" s="93">
        <f>+F11-F12</f>
        <v>0</v>
      </c>
      <c r="H13" t="s">
        <v>167</v>
      </c>
      <c r="I13" s="96" t="e">
        <f>+F13/F12</f>
        <v>#DIV/0!</v>
      </c>
    </row>
    <row r="14" spans="1:10">
      <c r="C14" s="267" t="s">
        <v>168</v>
      </c>
      <c r="F14" s="269">
        <f>G45</f>
        <v>0</v>
      </c>
    </row>
    <row r="15" spans="1:10">
      <c r="C15" s="43" t="s">
        <v>169</v>
      </c>
      <c r="F15" s="268"/>
      <c r="H15" s="43" t="s">
        <v>170</v>
      </c>
      <c r="I15" s="43" t="e">
        <f>+F15/F12</f>
        <v>#DIV/0!</v>
      </c>
      <c r="J15" s="43" t="s">
        <v>171</v>
      </c>
    </row>
    <row r="16" spans="1:10">
      <c r="F16" s="95"/>
      <c r="H16" s="43"/>
      <c r="I16" s="97"/>
    </row>
    <row r="17" spans="3:7">
      <c r="C17" t="s">
        <v>172</v>
      </c>
      <c r="F17"/>
    </row>
    <row r="18" spans="3:7">
      <c r="C18" t="s">
        <v>173</v>
      </c>
    </row>
    <row r="19" spans="3:7">
      <c r="C19" t="s">
        <v>174</v>
      </c>
    </row>
    <row r="22" spans="3:7">
      <c r="C22" s="98" t="s">
        <v>175</v>
      </c>
      <c r="E22" s="48" t="s">
        <v>176</v>
      </c>
      <c r="F22" s="48" t="s">
        <v>177</v>
      </c>
      <c r="G22" s="99" t="s">
        <v>178</v>
      </c>
    </row>
    <row r="23" spans="3:7">
      <c r="C23" t="s">
        <v>179</v>
      </c>
      <c r="E23" s="93"/>
      <c r="F23" s="93"/>
      <c r="G23" s="93">
        <f t="shared" ref="G23:G44" si="0">+E23-F23</f>
        <v>0</v>
      </c>
    </row>
    <row r="24" spans="3:7">
      <c r="C24" t="s">
        <v>180</v>
      </c>
      <c r="E24" s="93"/>
      <c r="F24" s="93"/>
      <c r="G24" s="93">
        <f t="shared" si="0"/>
        <v>0</v>
      </c>
    </row>
    <row r="25" spans="3:7">
      <c r="C25" t="s">
        <v>181</v>
      </c>
      <c r="E25" s="93"/>
      <c r="F25" s="93"/>
      <c r="G25" s="93">
        <f t="shared" si="0"/>
        <v>0</v>
      </c>
    </row>
    <row r="26" spans="3:7">
      <c r="C26" t="s">
        <v>182</v>
      </c>
      <c r="E26" s="93"/>
      <c r="F26" s="93"/>
      <c r="G26" s="93">
        <f t="shared" si="0"/>
        <v>0</v>
      </c>
    </row>
    <row r="27" spans="3:7">
      <c r="C27" t="s">
        <v>183</v>
      </c>
      <c r="E27" s="93"/>
      <c r="F27" s="93"/>
      <c r="G27" s="93">
        <f t="shared" si="0"/>
        <v>0</v>
      </c>
    </row>
    <row r="28" spans="3:7">
      <c r="C28" t="s">
        <v>184</v>
      </c>
      <c r="E28" s="93"/>
      <c r="F28" s="93"/>
      <c r="G28" s="93">
        <f t="shared" si="0"/>
        <v>0</v>
      </c>
    </row>
    <row r="29" spans="3:7">
      <c r="C29" t="s">
        <v>185</v>
      </c>
      <c r="E29" s="93"/>
      <c r="F29" s="93"/>
      <c r="G29" s="93">
        <f t="shared" si="0"/>
        <v>0</v>
      </c>
    </row>
    <row r="30" spans="3:7">
      <c r="C30" t="s">
        <v>186</v>
      </c>
      <c r="E30" s="93"/>
      <c r="F30" s="93"/>
      <c r="G30" s="93">
        <f t="shared" si="0"/>
        <v>0</v>
      </c>
    </row>
    <row r="31" spans="3:7">
      <c r="C31" t="s">
        <v>187</v>
      </c>
      <c r="E31" s="93"/>
      <c r="F31" s="93"/>
      <c r="G31" s="93">
        <f t="shared" si="0"/>
        <v>0</v>
      </c>
    </row>
    <row r="32" spans="3:7">
      <c r="C32" t="s">
        <v>188</v>
      </c>
      <c r="E32" s="93"/>
      <c r="F32" s="93"/>
      <c r="G32" s="93">
        <f t="shared" si="0"/>
        <v>0</v>
      </c>
    </row>
    <row r="33" spans="3:7">
      <c r="C33" t="s">
        <v>189</v>
      </c>
      <c r="E33" s="93"/>
      <c r="F33" s="93"/>
      <c r="G33" s="93">
        <f t="shared" si="0"/>
        <v>0</v>
      </c>
    </row>
    <row r="34" spans="3:7">
      <c r="C34" t="s">
        <v>190</v>
      </c>
      <c r="E34" s="93"/>
      <c r="F34" s="93"/>
      <c r="G34" s="93">
        <f t="shared" si="0"/>
        <v>0</v>
      </c>
    </row>
    <row r="35" spans="3:7">
      <c r="C35" t="s">
        <v>191</v>
      </c>
      <c r="E35" s="93"/>
      <c r="F35" s="93"/>
      <c r="G35" s="93">
        <f t="shared" si="0"/>
        <v>0</v>
      </c>
    </row>
    <row r="36" spans="3:7">
      <c r="C36" t="s">
        <v>192</v>
      </c>
      <c r="E36" s="93"/>
      <c r="F36" s="93"/>
      <c r="G36" s="93">
        <f t="shared" si="0"/>
        <v>0</v>
      </c>
    </row>
    <row r="37" spans="3:7">
      <c r="C37" t="s">
        <v>193</v>
      </c>
      <c r="E37" s="93"/>
      <c r="F37" s="93"/>
      <c r="G37" s="93">
        <f t="shared" si="0"/>
        <v>0</v>
      </c>
    </row>
    <row r="38" spans="3:7">
      <c r="C38" t="s">
        <v>194</v>
      </c>
      <c r="E38" s="93"/>
      <c r="F38" s="93"/>
      <c r="G38" s="93">
        <f t="shared" si="0"/>
        <v>0</v>
      </c>
    </row>
    <row r="39" spans="3:7">
      <c r="C39" t="s">
        <v>195</v>
      </c>
      <c r="E39" s="93"/>
      <c r="F39" s="93"/>
      <c r="G39" s="93">
        <f t="shared" si="0"/>
        <v>0</v>
      </c>
    </row>
    <row r="40" spans="3:7">
      <c r="C40" t="s">
        <v>196</v>
      </c>
      <c r="E40" s="93"/>
      <c r="F40" s="93"/>
      <c r="G40" s="93">
        <f t="shared" si="0"/>
        <v>0</v>
      </c>
    </row>
    <row r="41" spans="3:7">
      <c r="C41" t="s">
        <v>197</v>
      </c>
      <c r="E41" s="93"/>
      <c r="F41" s="93"/>
      <c r="G41" s="93">
        <f t="shared" si="0"/>
        <v>0</v>
      </c>
    </row>
    <row r="42" spans="3:7">
      <c r="C42" t="s">
        <v>198</v>
      </c>
      <c r="E42" s="93"/>
      <c r="F42" s="93"/>
      <c r="G42" s="93">
        <f t="shared" si="0"/>
        <v>0</v>
      </c>
    </row>
    <row r="43" spans="3:7">
      <c r="C43" t="s">
        <v>199</v>
      </c>
      <c r="E43" s="93"/>
      <c r="F43" s="93"/>
      <c r="G43" s="93">
        <f t="shared" si="0"/>
        <v>0</v>
      </c>
    </row>
    <row r="44" spans="3:7">
      <c r="C44" t="s">
        <v>200</v>
      </c>
      <c r="E44" s="229"/>
      <c r="F44" s="229"/>
      <c r="G44" s="93">
        <f t="shared" si="0"/>
        <v>0</v>
      </c>
    </row>
    <row r="45" spans="3:7" ht="15.75" thickBot="1">
      <c r="E45" s="226">
        <f>SUM(E23:E44)</f>
        <v>0</v>
      </c>
      <c r="F45" s="226">
        <f>SUM(F23:F44)</f>
        <v>0</v>
      </c>
      <c r="G45" s="226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92D050"/>
  </sheetPr>
  <dimension ref="A1:J37"/>
  <sheetViews>
    <sheetView topLeftCell="A10" workbookViewId="0">
      <selection activeCell="F20" sqref="F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0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201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1"/>
      <c r="G7" s="141"/>
    </row>
    <row r="8" spans="1:10" s="69" customFormat="1" ht="30">
      <c r="A8" s="135" t="s">
        <v>102</v>
      </c>
      <c r="B8" s="322" t="s">
        <v>103</v>
      </c>
      <c r="C8" s="323"/>
      <c r="D8" s="323"/>
      <c r="E8" s="324"/>
      <c r="F8" s="136" t="s">
        <v>104</v>
      </c>
      <c r="G8" s="322" t="s">
        <v>152</v>
      </c>
      <c r="H8" s="331"/>
      <c r="I8" s="332"/>
    </row>
    <row r="10" spans="1:10">
      <c r="A10" s="235"/>
      <c r="F10" s="70"/>
    </row>
    <row r="11" spans="1:10">
      <c r="C11" s="77" t="s">
        <v>202</v>
      </c>
      <c r="F11" s="70"/>
    </row>
    <row r="12" spans="1:10">
      <c r="C12" t="s">
        <v>203</v>
      </c>
      <c r="F12" s="298">
        <v>100000</v>
      </c>
    </row>
    <row r="13" spans="1:10">
      <c r="C13" t="s">
        <v>204</v>
      </c>
      <c r="F13" s="298">
        <v>2412.5300000000002</v>
      </c>
    </row>
    <row r="14" spans="1:10">
      <c r="C14" t="s">
        <v>205</v>
      </c>
      <c r="F14" s="298">
        <v>297587.46999999997</v>
      </c>
    </row>
    <row r="15" spans="1:10">
      <c r="C15" t="s">
        <v>206</v>
      </c>
      <c r="F15" s="298">
        <v>286105.5</v>
      </c>
    </row>
    <row r="16" spans="1:10">
      <c r="C16" t="s">
        <v>207</v>
      </c>
      <c r="F16" s="298">
        <v>1500</v>
      </c>
    </row>
    <row r="17" spans="3:10">
      <c r="C17" s="77"/>
      <c r="F17" s="299">
        <f>SUM(F12:F16)</f>
        <v>687605.5</v>
      </c>
      <c r="G17" s="91"/>
    </row>
    <row r="18" spans="3:10">
      <c r="C18" s="77"/>
      <c r="F18" s="298"/>
    </row>
    <row r="19" spans="3:10">
      <c r="C19" s="77" t="s">
        <v>208</v>
      </c>
      <c r="F19" s="298"/>
    </row>
    <row r="20" spans="3:10">
      <c r="C20" t="s">
        <v>209</v>
      </c>
      <c r="F20" s="298">
        <v>286105.5</v>
      </c>
    </row>
    <row r="21" spans="3:10">
      <c r="C21" t="s">
        <v>210</v>
      </c>
      <c r="F21" s="298">
        <f>5000*0.3</f>
        <v>1500</v>
      </c>
      <c r="H21" t="s">
        <v>211</v>
      </c>
    </row>
    <row r="22" spans="3:10">
      <c r="C22" t="s">
        <v>212</v>
      </c>
      <c r="F22" s="300">
        <v>50000</v>
      </c>
    </row>
    <row r="23" spans="3:10">
      <c r="C23" t="s">
        <v>213</v>
      </c>
      <c r="F23" s="300">
        <v>50000</v>
      </c>
    </row>
    <row r="24" spans="3:10">
      <c r="C24" t="s">
        <v>214</v>
      </c>
      <c r="F24" s="298">
        <f>+'Property Valn'!D17</f>
        <v>2412.532823</v>
      </c>
    </row>
    <row r="25" spans="3:10">
      <c r="C25" t="s">
        <v>215</v>
      </c>
      <c r="F25" s="298">
        <f>+'Property Valn'!E17</f>
        <v>297587.46717700001</v>
      </c>
    </row>
    <row r="26" spans="3:10">
      <c r="F26" s="299">
        <f>SUM(F20:F25)</f>
        <v>687605.5</v>
      </c>
    </row>
    <row r="27" spans="3:10">
      <c r="F27" s="298"/>
    </row>
    <row r="28" spans="3:10">
      <c r="C28" t="s">
        <v>169</v>
      </c>
      <c r="F28" s="70">
        <f>F17-F26</f>
        <v>0</v>
      </c>
      <c r="H28" s="43" t="s">
        <v>170</v>
      </c>
      <c r="I28" s="97">
        <f>F28/F17</f>
        <v>0</v>
      </c>
      <c r="J28" s="43" t="s">
        <v>171</v>
      </c>
    </row>
    <row r="29" spans="3:10">
      <c r="F29" s="70"/>
    </row>
    <row r="30" spans="3:10">
      <c r="F30" s="70"/>
    </row>
    <row r="31" spans="3:10">
      <c r="C31" s="43"/>
      <c r="F31" s="70"/>
    </row>
    <row r="32" spans="3:10">
      <c r="C32" s="231"/>
      <c r="D32" s="232"/>
      <c r="E32" s="233"/>
      <c r="F32" s="233"/>
      <c r="G32" s="234"/>
    </row>
    <row r="33" spans="5:7">
      <c r="E33" s="100"/>
      <c r="F33" s="100"/>
      <c r="G33" s="91"/>
    </row>
    <row r="34" spans="5:7">
      <c r="E34" s="100"/>
      <c r="F34" s="100"/>
      <c r="G34" s="91"/>
    </row>
    <row r="35" spans="5:7">
      <c r="E35" s="100"/>
      <c r="F35" s="100"/>
      <c r="G35" s="91"/>
    </row>
    <row r="36" spans="5:7">
      <c r="E36" s="100"/>
      <c r="F36" s="100"/>
      <c r="G36" s="91"/>
    </row>
    <row r="37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J14" sqref="J14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2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2" ht="18">
      <c r="A4" s="121"/>
      <c r="B4" s="53"/>
      <c r="D4" s="55"/>
      <c r="G4" s="122"/>
      <c r="H4" s="65"/>
      <c r="I4" s="66"/>
    </row>
    <row r="5" spans="1:12" ht="18">
      <c r="A5" s="53" t="s">
        <v>201</v>
      </c>
      <c r="C5" s="57"/>
      <c r="F5" s="58"/>
      <c r="G5" s="58"/>
      <c r="H5" s="65"/>
      <c r="J5" s="66"/>
    </row>
    <row r="6" spans="1:12" s="107" customFormat="1" ht="18">
      <c r="A6" s="270" t="s">
        <v>216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79"/>
      <c r="H7" s="350"/>
      <c r="I7" s="350"/>
      <c r="J7" s="350"/>
      <c r="K7" s="350"/>
      <c r="L7" s="350"/>
    </row>
    <row r="8" spans="1:12" ht="42.75" customHeight="1" thickBot="1">
      <c r="A8" s="180" t="s">
        <v>102</v>
      </c>
      <c r="B8" s="351" t="s">
        <v>217</v>
      </c>
      <c r="C8" s="352"/>
      <c r="D8" s="353"/>
      <c r="E8" s="181" t="s">
        <v>218</v>
      </c>
      <c r="F8" s="181" t="s">
        <v>219</v>
      </c>
      <c r="G8" s="182" t="s">
        <v>220</v>
      </c>
      <c r="H8" s="183"/>
      <c r="I8" s="183"/>
      <c r="J8" s="183"/>
      <c r="K8" s="184"/>
      <c r="L8" s="184"/>
    </row>
    <row r="9" spans="1:12" ht="15.95" customHeight="1">
      <c r="A9" s="185"/>
      <c r="B9" s="340"/>
      <c r="C9" s="340"/>
      <c r="D9" s="340"/>
      <c r="E9" s="186"/>
      <c r="F9" s="187"/>
      <c r="G9" s="188" t="str">
        <f t="shared" ref="G9:G20" si="0">IF(E9=0,IF(F9=0,"",F9),F9*E9)</f>
        <v/>
      </c>
      <c r="H9" s="189"/>
      <c r="I9" s="189"/>
      <c r="J9" s="189"/>
      <c r="K9" s="189"/>
      <c r="L9" s="189"/>
    </row>
    <row r="10" spans="1:12" ht="15.95" customHeight="1">
      <c r="A10" s="185"/>
      <c r="B10" s="354" t="s">
        <v>221</v>
      </c>
      <c r="C10" s="354"/>
      <c r="D10" s="354"/>
      <c r="E10" s="186"/>
      <c r="F10" s="187"/>
      <c r="G10" s="190" t="str">
        <f t="shared" si="0"/>
        <v/>
      </c>
      <c r="H10" s="189"/>
      <c r="I10" s="189"/>
      <c r="J10" s="189"/>
      <c r="K10" s="189"/>
      <c r="L10" s="189"/>
    </row>
    <row r="11" spans="1:12" ht="15.95" customHeight="1">
      <c r="A11" s="185"/>
      <c r="B11" s="347"/>
      <c r="C11" s="348"/>
      <c r="D11" s="349"/>
      <c r="E11" s="192"/>
      <c r="F11" s="187">
        <v>1</v>
      </c>
      <c r="G11" s="193">
        <f t="shared" si="0"/>
        <v>1</v>
      </c>
      <c r="H11" s="189"/>
      <c r="I11" s="189"/>
      <c r="J11" s="189"/>
      <c r="K11" s="189"/>
      <c r="L11" s="189"/>
    </row>
    <row r="12" spans="1:12" ht="15.95" customHeight="1">
      <c r="A12" s="185"/>
      <c r="B12" s="347"/>
      <c r="C12" s="348"/>
      <c r="D12" s="349"/>
      <c r="E12" s="192">
        <v>0</v>
      </c>
      <c r="F12" s="187">
        <v>1</v>
      </c>
      <c r="G12" s="193">
        <v>0</v>
      </c>
      <c r="H12" s="189"/>
      <c r="I12" s="189"/>
      <c r="J12" s="189"/>
      <c r="K12" s="189"/>
      <c r="L12" s="189"/>
    </row>
    <row r="13" spans="1:12" ht="15.95" customHeight="1">
      <c r="A13" s="185"/>
      <c r="B13" s="347"/>
      <c r="C13" s="348"/>
      <c r="D13" s="349"/>
      <c r="E13" s="192">
        <v>1</v>
      </c>
      <c r="F13" s="187"/>
      <c r="G13" s="193">
        <f t="shared" si="0"/>
        <v>0</v>
      </c>
      <c r="H13" s="189"/>
      <c r="I13" s="189"/>
      <c r="J13" s="189"/>
      <c r="K13" s="189"/>
      <c r="L13" s="189"/>
    </row>
    <row r="14" spans="1:12" ht="15.95" customHeight="1">
      <c r="A14" s="185"/>
      <c r="B14" s="355" t="s">
        <v>222</v>
      </c>
      <c r="C14" s="356"/>
      <c r="D14" s="357"/>
      <c r="E14" s="194"/>
      <c r="F14" s="195"/>
      <c r="G14" s="196">
        <f>SUM(G11:G13)</f>
        <v>1</v>
      </c>
      <c r="H14" s="189"/>
      <c r="I14" s="189"/>
      <c r="J14" s="189"/>
      <c r="K14" s="189"/>
      <c r="L14" s="189"/>
    </row>
    <row r="15" spans="1:12" ht="15.95" customHeight="1">
      <c r="A15" s="185"/>
      <c r="B15" s="337"/>
      <c r="C15" s="338"/>
      <c r="D15" s="339"/>
      <c r="E15" s="186"/>
      <c r="F15" s="187"/>
      <c r="G15" s="193" t="str">
        <f t="shared" si="0"/>
        <v/>
      </c>
      <c r="H15" s="189"/>
      <c r="I15" s="189"/>
      <c r="J15" s="189"/>
      <c r="K15" s="189"/>
      <c r="L15" s="189"/>
    </row>
    <row r="16" spans="1:12" ht="15.95" customHeight="1">
      <c r="A16" s="185"/>
      <c r="B16" s="354" t="s">
        <v>56</v>
      </c>
      <c r="C16" s="354"/>
      <c r="D16" s="354"/>
      <c r="E16" s="186"/>
      <c r="F16" s="187"/>
      <c r="G16" s="193" t="str">
        <f t="shared" si="0"/>
        <v/>
      </c>
      <c r="H16" s="189"/>
      <c r="I16" s="189"/>
      <c r="J16" s="189"/>
      <c r="K16" s="189"/>
      <c r="L16" s="189"/>
    </row>
    <row r="17" spans="1:12" ht="15.95" customHeight="1">
      <c r="A17" s="185"/>
      <c r="B17" s="358"/>
      <c r="C17" s="358"/>
      <c r="D17" s="358"/>
      <c r="E17" s="186"/>
      <c r="F17" s="187">
        <v>1</v>
      </c>
      <c r="G17" s="193">
        <f t="shared" si="0"/>
        <v>1</v>
      </c>
      <c r="H17" s="189"/>
      <c r="I17" s="189"/>
      <c r="J17" s="189"/>
      <c r="K17" s="189"/>
      <c r="L17" s="189"/>
    </row>
    <row r="18" spans="1:12" ht="15.95" customHeight="1">
      <c r="A18" s="185"/>
      <c r="B18" s="347"/>
      <c r="C18" s="348"/>
      <c r="D18" s="349"/>
      <c r="E18" s="186"/>
      <c r="F18" s="187">
        <v>1</v>
      </c>
      <c r="G18" s="193">
        <f t="shared" si="0"/>
        <v>1</v>
      </c>
      <c r="H18" s="189"/>
      <c r="I18" s="189"/>
      <c r="J18" s="189"/>
      <c r="K18" s="189"/>
      <c r="L18" s="189"/>
    </row>
    <row r="19" spans="1:12" ht="15.95" customHeight="1">
      <c r="A19" s="185"/>
      <c r="B19" s="341" t="s">
        <v>223</v>
      </c>
      <c r="C19" s="341"/>
      <c r="D19" s="341"/>
      <c r="E19" s="194"/>
      <c r="F19" s="195"/>
      <c r="G19" s="197">
        <f>SUM(G17:G18)</f>
        <v>2</v>
      </c>
      <c r="H19" s="189"/>
      <c r="I19" s="189"/>
      <c r="J19" s="189"/>
      <c r="K19" s="189"/>
      <c r="L19" s="189"/>
    </row>
    <row r="20" spans="1:12" ht="15.95" customHeight="1">
      <c r="A20" s="185"/>
      <c r="B20" s="337"/>
      <c r="C20" s="338"/>
      <c r="D20" s="339"/>
      <c r="E20" s="186"/>
      <c r="F20" s="187"/>
      <c r="G20" s="198" t="str">
        <f t="shared" si="0"/>
        <v/>
      </c>
      <c r="H20" s="189"/>
      <c r="I20" s="189"/>
      <c r="J20" s="189"/>
      <c r="K20" s="189"/>
      <c r="L20" s="189"/>
    </row>
    <row r="21" spans="1:12" ht="15.95" customHeight="1">
      <c r="A21" s="185"/>
      <c r="B21" s="342" t="s">
        <v>224</v>
      </c>
      <c r="C21" s="343"/>
      <c r="D21" s="344"/>
      <c r="E21" s="194"/>
      <c r="F21" s="195"/>
      <c r="G21" s="197">
        <f>G14-G19</f>
        <v>-1</v>
      </c>
      <c r="H21" s="189"/>
      <c r="I21" s="189"/>
      <c r="J21" s="189"/>
      <c r="K21" s="189"/>
      <c r="L21" s="189"/>
    </row>
    <row r="22" spans="1:12" ht="15.95" customHeight="1" thickBot="1">
      <c r="A22" s="185"/>
      <c r="B22" s="345"/>
      <c r="C22" s="345"/>
      <c r="D22" s="345"/>
      <c r="E22" s="186"/>
      <c r="F22" s="187"/>
      <c r="G22" s="199" t="str">
        <f t="shared" ref="G22:G32" si="1">IF(E22=0,IF(F22=0,"",F22),F22*E22)</f>
        <v/>
      </c>
      <c r="H22" s="189"/>
      <c r="I22" s="189"/>
      <c r="J22" s="189"/>
      <c r="K22" s="189"/>
      <c r="L22" s="189"/>
    </row>
    <row r="23" spans="1:12" ht="15.95" customHeight="1">
      <c r="A23" s="200"/>
      <c r="B23" s="334" t="s">
        <v>225</v>
      </c>
      <c r="C23" s="335"/>
      <c r="D23" s="336"/>
      <c r="E23" s="201"/>
      <c r="F23" s="187"/>
      <c r="G23" s="199" t="str">
        <f t="shared" si="1"/>
        <v/>
      </c>
      <c r="H23" s="189"/>
      <c r="I23" s="189"/>
      <c r="J23" s="189"/>
      <c r="K23" s="189"/>
      <c r="L23" s="189"/>
    </row>
    <row r="24" spans="1:12" ht="15.95" customHeight="1">
      <c r="A24" s="200"/>
      <c r="B24" s="185" t="s">
        <v>226</v>
      </c>
      <c r="C24" s="202"/>
      <c r="D24" s="203"/>
      <c r="E24" s="201"/>
      <c r="F24" s="187"/>
      <c r="G24" s="199" t="str">
        <f t="shared" si="1"/>
        <v/>
      </c>
      <c r="H24" s="189"/>
      <c r="I24" s="189"/>
      <c r="J24" s="189"/>
      <c r="K24" s="189"/>
      <c r="L24" s="189"/>
    </row>
    <row r="25" spans="1:12" ht="15.95" customHeight="1" thickBot="1">
      <c r="A25" s="200"/>
      <c r="B25" s="204" t="s">
        <v>227</v>
      </c>
      <c r="C25" s="205"/>
      <c r="D25" s="206" t="e">
        <f>G21/D24</f>
        <v>#DIV/0!</v>
      </c>
      <c r="E25" s="201"/>
      <c r="F25" s="187"/>
      <c r="G25" s="199" t="str">
        <f t="shared" si="1"/>
        <v/>
      </c>
      <c r="H25" s="189"/>
      <c r="I25" s="189"/>
      <c r="J25" s="189"/>
      <c r="K25" s="189"/>
      <c r="L25" s="189"/>
    </row>
    <row r="26" spans="1:12" ht="15.95" customHeight="1" thickBot="1">
      <c r="A26" s="185"/>
      <c r="B26" s="346"/>
      <c r="C26" s="346"/>
      <c r="D26" s="346"/>
      <c r="E26" s="186"/>
      <c r="F26" s="187"/>
      <c r="G26" s="199" t="str">
        <f t="shared" si="1"/>
        <v/>
      </c>
      <c r="H26" s="189"/>
      <c r="I26" s="189"/>
      <c r="J26" s="189"/>
      <c r="K26" s="189"/>
      <c r="L26" s="189"/>
    </row>
    <row r="27" spans="1:12" ht="15.95" customHeight="1">
      <c r="A27" s="200"/>
      <c r="B27" s="334" t="s">
        <v>228</v>
      </c>
      <c r="C27" s="335"/>
      <c r="D27" s="336"/>
      <c r="E27" s="201"/>
      <c r="F27" s="187"/>
      <c r="G27" s="199" t="str">
        <f t="shared" si="1"/>
        <v/>
      </c>
      <c r="H27" s="189"/>
      <c r="I27" s="189"/>
      <c r="J27" s="189"/>
      <c r="K27" s="189"/>
      <c r="L27" s="189"/>
    </row>
    <row r="28" spans="1:12" ht="15.95" customHeight="1">
      <c r="A28" s="200"/>
      <c r="B28" s="207" t="s">
        <v>33</v>
      </c>
      <c r="C28" s="191"/>
      <c r="D28" s="208">
        <f>(SUM(G11:G12))/G14</f>
        <v>1</v>
      </c>
      <c r="E28" s="201"/>
      <c r="F28" s="187"/>
      <c r="G28" s="199" t="str">
        <f t="shared" si="1"/>
        <v/>
      </c>
      <c r="H28" s="189"/>
      <c r="I28" s="189"/>
      <c r="J28" s="189"/>
      <c r="K28" s="189"/>
      <c r="L28" s="189"/>
    </row>
    <row r="29" spans="1:12" ht="15.95" customHeight="1" thickBot="1">
      <c r="A29" s="200"/>
      <c r="B29" s="209" t="s">
        <v>48</v>
      </c>
      <c r="C29" s="210"/>
      <c r="D29" s="211">
        <f>G13/G14</f>
        <v>0</v>
      </c>
      <c r="E29" s="201"/>
      <c r="F29" s="187"/>
      <c r="G29" s="199" t="str">
        <f t="shared" si="1"/>
        <v/>
      </c>
      <c r="H29" s="189"/>
      <c r="I29" s="189"/>
      <c r="J29" s="189"/>
      <c r="K29" s="189"/>
      <c r="L29" s="189"/>
    </row>
    <row r="30" spans="1:12" ht="15.95" customHeight="1">
      <c r="A30" s="185"/>
      <c r="B30" s="337"/>
      <c r="C30" s="338"/>
      <c r="D30" s="339"/>
      <c r="E30" s="186"/>
      <c r="F30" s="187"/>
      <c r="G30" s="199" t="str">
        <f t="shared" si="1"/>
        <v/>
      </c>
      <c r="H30" s="189"/>
      <c r="I30" s="189"/>
      <c r="J30" s="189"/>
      <c r="K30" s="189"/>
      <c r="L30" s="189"/>
    </row>
    <row r="31" spans="1:12" ht="15.95" customHeight="1">
      <c r="A31" s="185"/>
      <c r="B31" s="337"/>
      <c r="C31" s="338"/>
      <c r="D31" s="339"/>
      <c r="E31" s="186"/>
      <c r="F31" s="187"/>
      <c r="G31" s="199" t="str">
        <f t="shared" si="1"/>
        <v/>
      </c>
      <c r="H31" s="189"/>
      <c r="I31" s="189"/>
      <c r="J31" s="189"/>
      <c r="K31" s="189"/>
      <c r="L31" s="189"/>
    </row>
    <row r="32" spans="1:12" ht="15.95" customHeight="1">
      <c r="A32" s="185"/>
      <c r="B32" s="340"/>
      <c r="C32" s="340"/>
      <c r="D32" s="340"/>
      <c r="E32" s="186"/>
      <c r="F32" s="187"/>
      <c r="G32" s="199" t="str">
        <f t="shared" si="1"/>
        <v/>
      </c>
      <c r="H32" s="189"/>
      <c r="I32" s="189"/>
      <c r="J32" s="189"/>
      <c r="K32" s="189"/>
      <c r="L32" s="189"/>
    </row>
    <row r="33" spans="1:12">
      <c r="A33" s="185"/>
      <c r="B33" s="340"/>
      <c r="C33" s="340"/>
      <c r="D33" s="340"/>
      <c r="E33" s="186"/>
      <c r="F33" s="187"/>
      <c r="G33" s="199"/>
      <c r="H33" s="189"/>
      <c r="I33" s="189"/>
      <c r="J33" s="189"/>
      <c r="K33" s="189"/>
      <c r="L33" s="189"/>
    </row>
    <row r="34" spans="1:12">
      <c r="A34" s="185"/>
      <c r="B34" s="340"/>
      <c r="C34" s="340"/>
      <c r="D34" s="340"/>
      <c r="E34" s="186"/>
      <c r="F34" s="187"/>
      <c r="G34" s="199"/>
      <c r="H34" s="189"/>
      <c r="I34" s="189"/>
      <c r="J34" s="189"/>
      <c r="K34" s="189"/>
      <c r="L34" s="189"/>
    </row>
    <row r="35" spans="1:12" ht="15.75" thickBot="1">
      <c r="A35" s="204"/>
      <c r="B35" s="333"/>
      <c r="C35" s="333"/>
      <c r="D35" s="333"/>
      <c r="E35" s="212"/>
      <c r="F35" s="213"/>
      <c r="G35" s="214"/>
      <c r="H35" s="189"/>
      <c r="I35" s="189"/>
      <c r="J35" s="189"/>
      <c r="K35" s="189"/>
      <c r="L35" s="189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92D050"/>
  </sheetPr>
  <dimension ref="A1:L34"/>
  <sheetViews>
    <sheetView topLeftCell="A7" workbookViewId="0">
      <selection activeCell="D13" sqref="D13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3.42578125" customWidth="1"/>
  </cols>
  <sheetData>
    <row r="1" spans="1:12" ht="18">
      <c r="A1" s="121" t="s">
        <v>0</v>
      </c>
      <c r="B1" s="53"/>
      <c r="C1" s="320" t="str">
        <f>Index!$C$1</f>
        <v>THE THOMPSON SUPERANNUATION FUND</v>
      </c>
      <c r="D1" s="320"/>
      <c r="E1" s="320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320" t="str">
        <f>Index!$C$2</f>
        <v>9THOI</v>
      </c>
      <c r="D2" s="320"/>
      <c r="E2" s="320"/>
      <c r="F2" s="55"/>
      <c r="G2" s="59" t="s">
        <v>6</v>
      </c>
      <c r="H2" s="60" t="str">
        <f>Index!$H$2</f>
        <v>CM / NA</v>
      </c>
      <c r="I2" s="61">
        <f>Index!$I$2</f>
        <v>44953</v>
      </c>
    </row>
    <row r="3" spans="1:12" ht="18">
      <c r="A3" s="121" t="s">
        <v>8</v>
      </c>
      <c r="B3" s="53"/>
      <c r="C3" s="321">
        <f>Index!$C$3</f>
        <v>44742</v>
      </c>
      <c r="D3" s="320"/>
      <c r="E3" s="320"/>
      <c r="F3" s="55"/>
      <c r="G3" s="59" t="s">
        <v>9</v>
      </c>
      <c r="H3" s="60" t="str">
        <f>Index!$H$3</f>
        <v>DB</v>
      </c>
      <c r="I3" s="61">
        <f>Index!$I$3</f>
        <v>45005</v>
      </c>
    </row>
    <row r="4" spans="1:12" ht="18">
      <c r="A4" s="121"/>
      <c r="B4" s="53"/>
      <c r="D4" s="55"/>
      <c r="E4"/>
      <c r="G4" s="122"/>
      <c r="H4" s="65"/>
      <c r="I4" s="66"/>
    </row>
    <row r="5" spans="1:12" ht="18">
      <c r="A5" s="53" t="s">
        <v>229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5" t="s">
        <v>102</v>
      </c>
      <c r="B8" s="322" t="s">
        <v>103</v>
      </c>
      <c r="C8" s="323"/>
      <c r="D8" s="324"/>
      <c r="E8" s="136" t="s">
        <v>104</v>
      </c>
      <c r="F8" s="322" t="s">
        <v>152</v>
      </c>
      <c r="G8" s="331"/>
      <c r="H8" s="332"/>
    </row>
    <row r="10" spans="1:12">
      <c r="D10" s="359" t="s">
        <v>142</v>
      </c>
      <c r="E10" s="359"/>
      <c r="F10" s="359"/>
    </row>
    <row r="11" spans="1:12" ht="30">
      <c r="D11" s="113" t="s">
        <v>230</v>
      </c>
      <c r="E11" s="178" t="s">
        <v>231</v>
      </c>
      <c r="F11" s="178" t="s">
        <v>82</v>
      </c>
      <c r="H11" t="s">
        <v>232</v>
      </c>
      <c r="J11" s="178" t="s">
        <v>233</v>
      </c>
      <c r="K11" s="178" t="s">
        <v>234</v>
      </c>
      <c r="L11" s="178" t="s">
        <v>235</v>
      </c>
    </row>
    <row r="12" spans="1:12" ht="15.75" thickBot="1">
      <c r="A12" s="71"/>
      <c r="B12" s="71"/>
      <c r="E12" s="70"/>
    </row>
    <row r="13" spans="1:12" ht="15.75" thickBot="1">
      <c r="A13" t="s">
        <v>236</v>
      </c>
      <c r="B13" s="71"/>
      <c r="C13" t="s">
        <v>237</v>
      </c>
      <c r="D13" s="288">
        <f>+D14+D15</f>
        <v>2412.532823</v>
      </c>
      <c r="E13" s="93">
        <f>+H13-D13</f>
        <v>297587.46717700001</v>
      </c>
      <c r="F13" s="93">
        <f>+D13+E13</f>
        <v>300000</v>
      </c>
      <c r="G13" s="93"/>
      <c r="H13" s="93">
        <f>SUM(J13:K13)/2</f>
        <v>300000</v>
      </c>
      <c r="I13" s="93"/>
      <c r="J13" s="229">
        <v>300000</v>
      </c>
      <c r="K13" s="229">
        <v>300000</v>
      </c>
      <c r="L13" s="280">
        <v>45001</v>
      </c>
    </row>
    <row r="14" spans="1:12">
      <c r="B14" s="71"/>
      <c r="C14" t="s">
        <v>238</v>
      </c>
      <c r="D14" s="229">
        <f>+'Depreciation Schedule'!K19</f>
        <v>1585.8828229999999</v>
      </c>
      <c r="E14" s="93"/>
      <c r="F14" s="93"/>
      <c r="G14" s="93"/>
      <c r="H14" s="93"/>
      <c r="I14" s="93"/>
      <c r="J14" s="229"/>
      <c r="K14" s="229"/>
      <c r="L14" s="280"/>
    </row>
    <row r="15" spans="1:12">
      <c r="B15" s="71"/>
      <c r="C15" t="s">
        <v>214</v>
      </c>
      <c r="D15" s="229">
        <v>826.65</v>
      </c>
      <c r="E15" s="93"/>
      <c r="F15" s="93"/>
      <c r="G15" s="93"/>
      <c r="H15" s="93"/>
      <c r="I15" s="93"/>
      <c r="J15" s="229"/>
      <c r="K15" s="229"/>
      <c r="L15" s="280"/>
    </row>
    <row r="17" spans="1:8" ht="15.75" thickBot="1">
      <c r="D17" s="112">
        <f>+D13</f>
        <v>2412.532823</v>
      </c>
      <c r="E17" s="112">
        <f>SUM(E13:E16)</f>
        <v>297587.46717700001</v>
      </c>
      <c r="F17" s="112">
        <f>SUM(F13:F16)</f>
        <v>300000</v>
      </c>
      <c r="H17" s="112">
        <f>SUM(H13:H16)</f>
        <v>300000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2023-03-20T07:57:48Z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