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s\2023\Kensit Hilton\Hilton Kensit Superannuation Fund\2022\"/>
    </mc:Choice>
  </mc:AlternateContent>
  <xr:revisionPtr revIDLastSave="0" documentId="13_ncr:1_{9BEE2C60-3D08-49C6-95B7-14B1AB9414E3}" xr6:coauthVersionLast="47" xr6:coauthVersionMax="47" xr10:uidLastSave="{00000000-0000-0000-0000-000000000000}"/>
  <bookViews>
    <workbookView xWindow="-120" yWindow="-120" windowWidth="29040" windowHeight="15720" xr2:uid="{A696D0BE-79CF-43CD-8201-E932A43A028E}"/>
  </bookViews>
  <sheets>
    <sheet name="Repor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H38" i="1"/>
  <c r="E30" i="1"/>
  <c r="G30" i="1"/>
  <c r="F56" i="1"/>
  <c r="F38" i="1"/>
  <c r="G34" i="1"/>
  <c r="E34" i="1"/>
  <c r="G52" i="1"/>
  <c r="G50" i="1"/>
  <c r="G48" i="1"/>
  <c r="G46" i="1"/>
  <c r="G44" i="1"/>
  <c r="G42" i="1"/>
  <c r="G38" i="1"/>
  <c r="G36" i="1"/>
  <c r="E52" i="1"/>
  <c r="E50" i="1"/>
  <c r="E48" i="1"/>
  <c r="E46" i="1"/>
  <c r="E44" i="1"/>
  <c r="E42" i="1"/>
  <c r="F55" i="1"/>
  <c r="B38" i="1"/>
  <c r="H30" i="1"/>
  <c r="F30" i="1"/>
  <c r="I36" i="1"/>
  <c r="K20" i="1"/>
  <c r="O76" i="1"/>
  <c r="Q76" i="1" s="1"/>
  <c r="O77" i="1" s="1"/>
  <c r="P75" i="1"/>
  <c r="G28" i="1"/>
  <c r="I52" i="1"/>
  <c r="I50" i="1"/>
  <c r="I48" i="1"/>
  <c r="I46" i="1"/>
  <c r="I44" i="1"/>
  <c r="I42" i="1"/>
  <c r="I38" i="1"/>
  <c r="I34" i="1"/>
  <c r="I32" i="1"/>
  <c r="I30" i="1"/>
  <c r="G18" i="1"/>
  <c r="G16" i="1"/>
  <c r="G14" i="1"/>
  <c r="E18" i="1"/>
  <c r="E16" i="1"/>
  <c r="E14" i="1"/>
  <c r="I12" i="1"/>
  <c r="K4" i="1"/>
  <c r="M3" i="1" s="1"/>
  <c r="B22" i="1"/>
  <c r="E59" i="1"/>
  <c r="P59" i="1" s="1"/>
  <c r="C54" i="1"/>
  <c r="I35" i="1"/>
  <c r="C22" i="1"/>
  <c r="C66" i="1" s="1"/>
  <c r="E63" i="1"/>
  <c r="J38" i="1" l="1"/>
  <c r="K38" i="1" s="1"/>
  <c r="M2" i="1"/>
  <c r="B54" i="1"/>
  <c r="G22" i="1"/>
  <c r="E22" i="1"/>
  <c r="E65" i="1" s="1"/>
  <c r="I20" i="1"/>
  <c r="G63" i="1"/>
  <c r="I18" i="1"/>
  <c r="I16" i="1"/>
  <c r="I14" i="1"/>
  <c r="E36" i="1"/>
  <c r="E38" i="1"/>
  <c r="E28" i="1"/>
  <c r="H52" i="1" l="1"/>
  <c r="F52" i="1"/>
  <c r="E54" i="1"/>
  <c r="E57" i="1" s="1"/>
  <c r="P57" i="1" s="1"/>
  <c r="G65" i="1"/>
  <c r="I22" i="1"/>
  <c r="H54" i="1" l="1"/>
  <c r="K52" i="1"/>
  <c r="F54" i="1"/>
  <c r="E67" i="1"/>
  <c r="I54" i="1"/>
  <c r="G54" i="1"/>
  <c r="G58" i="1" l="1"/>
  <c r="I58" i="1" s="1"/>
  <c r="M61" i="1" s="1"/>
  <c r="K57" i="1"/>
  <c r="M57" i="1" l="1"/>
</calcChain>
</file>

<file path=xl/sharedStrings.xml><?xml version="1.0" encoding="utf-8"?>
<sst xmlns="http://schemas.openxmlformats.org/spreadsheetml/2006/main" count="66" uniqueCount="47">
  <si>
    <t>Hilton Kensit Superannuation Fund ABN 41 849 756 737</t>
  </si>
  <si>
    <t>ABN 41 849 756 737</t>
  </si>
  <si>
    <t>Detailed Operating Statement</t>
  </si>
  <si>
    <t>$</t>
  </si>
  <si>
    <t>Revenue</t>
  </si>
  <si>
    <t>Employers contributions</t>
  </si>
  <si>
    <t xml:space="preserve"> - Employers contributions</t>
  </si>
  <si>
    <t>Loss or Gain on Market Value</t>
  </si>
  <si>
    <t>Distribution from trusts</t>
  </si>
  <si>
    <t>Interest received</t>
  </si>
  <si>
    <t>Rents received</t>
  </si>
  <si>
    <t>Total revenue</t>
  </si>
  <si>
    <t>Expenses</t>
  </si>
  <si>
    <t>Accountancy</t>
  </si>
  <si>
    <t>Audit fees</t>
  </si>
  <si>
    <t>Bank Fees And Charges</t>
  </si>
  <si>
    <t>Commissions</t>
  </si>
  <si>
    <t>Filing Fees</t>
  </si>
  <si>
    <t>General expenses</t>
  </si>
  <si>
    <t>Boardbeach Rental Expenses</t>
  </si>
  <si>
    <t xml:space="preserve"> - Commission</t>
  </si>
  <si>
    <t xml:space="preserve"> - Advertising</t>
  </si>
  <si>
    <t xml:space="preserve"> - Cleaning &amp; Linen</t>
  </si>
  <si>
    <t xml:space="preserve"> - Rates</t>
  </si>
  <si>
    <t xml:space="preserve"> - Repairs Maintenance</t>
  </si>
  <si>
    <t xml:space="preserve"> - Strata Levies</t>
  </si>
  <si>
    <t>Total expenses</t>
  </si>
  <si>
    <t>Benefits Accrued as a Result of Operations Before Income Tax</t>
  </si>
  <si>
    <t>Income tax expense</t>
  </si>
  <si>
    <t>6</t>
  </si>
  <si>
    <t>Benefits Accrued as a Result of Operations</t>
  </si>
  <si>
    <t>7</t>
  </si>
  <si>
    <t>These financial statements are unaudited. They must be read in conjunction with the attached Accountant's Compilation Report and Notes which form part of these financial statements.</t>
  </si>
  <si>
    <t>Calculations for Tax return after Actuarial report</t>
  </si>
  <si>
    <t xml:space="preserve"> </t>
  </si>
  <si>
    <t>Retiremen</t>
  </si>
  <si>
    <t>Accumulation</t>
  </si>
  <si>
    <t>tax</t>
  </si>
  <si>
    <t>fr cr</t>
  </si>
  <si>
    <t>pension payments</t>
  </si>
  <si>
    <t>estimated tax refund</t>
  </si>
  <si>
    <t>accum</t>
  </si>
  <si>
    <t>Opening</t>
  </si>
  <si>
    <t>pension</t>
  </si>
  <si>
    <t>Capital Gain losses used</t>
  </si>
  <si>
    <t>For the year ended 30 June 2022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</si>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</sst>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#,##0.00"/>
    <numFmt numFmtId="165" formatCode="#,###,##0"/>
    <numFmt numFmtId="166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0" fontId="1" fillId="0" borderId="1" xfId="0" quotePrefix="1" applyFont="1" applyBorder="1"/>
    <xf numFmtId="0" fontId="3" fillId="0" borderId="0" xfId="0" quotePrefix="1" applyFont="1"/>
    <xf numFmtId="0" fontId="2" fillId="0" borderId="0" xfId="0" quotePrefix="1" applyFont="1"/>
    <xf numFmtId="164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1" fillId="0" borderId="0" xfId="0" quotePrefix="1" applyFont="1"/>
    <xf numFmtId="164" fontId="3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5" fillId="0" borderId="0" xfId="0" applyFont="1"/>
    <xf numFmtId="0" fontId="0" fillId="2" borderId="0" xfId="0" applyFill="1"/>
    <xf numFmtId="1" fontId="5" fillId="2" borderId="0" xfId="0" applyNumberFormat="1" applyFont="1" applyFill="1"/>
    <xf numFmtId="1" fontId="0" fillId="2" borderId="0" xfId="0" applyNumberFormat="1" applyFill="1"/>
    <xf numFmtId="1" fontId="0" fillId="2" borderId="1" xfId="0" applyNumberFormat="1" applyFill="1" applyBorder="1"/>
    <xf numFmtId="0" fontId="0" fillId="3" borderId="0" xfId="0" applyFill="1"/>
    <xf numFmtId="165" fontId="0" fillId="3" borderId="0" xfId="0" applyNumberFormat="1" applyFill="1"/>
    <xf numFmtId="166" fontId="0" fillId="3" borderId="0" xfId="0" applyNumberFormat="1" applyFill="1"/>
    <xf numFmtId="1" fontId="0" fillId="3" borderId="0" xfId="0" applyNumberFormat="1" applyFill="1"/>
    <xf numFmtId="1" fontId="1" fillId="2" borderId="1" xfId="0" applyNumberFormat="1" applyFont="1" applyFill="1" applyBorder="1"/>
    <xf numFmtId="1" fontId="1" fillId="3" borderId="1" xfId="0" applyNumberFormat="1" applyFont="1" applyFill="1" applyBorder="1"/>
    <xf numFmtId="4" fontId="0" fillId="0" borderId="0" xfId="0" applyNumberFormat="1"/>
    <xf numFmtId="1" fontId="5" fillId="3" borderId="0" xfId="0" applyNumberFormat="1" applyFont="1" applyFill="1"/>
    <xf numFmtId="44" fontId="0" fillId="0" borderId="0" xfId="1" applyFont="1"/>
    <xf numFmtId="165" fontId="0" fillId="3" borderId="2" xfId="0" applyNumberFormat="1" applyFill="1" applyBorder="1"/>
    <xf numFmtId="44" fontId="0" fillId="0" borderId="0" xfId="0" applyNumberFormat="1"/>
    <xf numFmtId="9" fontId="0" fillId="0" borderId="0" xfId="2" applyFont="1"/>
    <xf numFmtId="165" fontId="5" fillId="0" borderId="0" xfId="0" applyNumberFormat="1" applyFont="1"/>
    <xf numFmtId="0" fontId="5" fillId="4" borderId="0" xfId="0" applyFont="1" applyFill="1"/>
    <xf numFmtId="0" fontId="0" fillId="4" borderId="0" xfId="0" applyFill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ACCE-BF74-4310-8FB1-721F83063BFE}">
  <sheetPr>
    <pageSetUpPr fitToPage="1"/>
  </sheetPr>
  <dimension ref="A1:Q87"/>
  <sheetViews>
    <sheetView tabSelected="1" workbookViewId="0">
      <selection activeCell="N7" sqref="N7"/>
    </sheetView>
  </sheetViews>
  <sheetFormatPr defaultRowHeight="15" x14ac:dyDescent="0.25"/>
  <cols>
    <col min="1" max="1" width="26.7109375" customWidth="1"/>
    <col min="3" max="3" width="10.140625" bestFit="1" customWidth="1"/>
    <col min="5" max="5" width="10.5703125" bestFit="1" customWidth="1"/>
    <col min="7" max="7" width="17.42578125" bestFit="1" customWidth="1"/>
    <col min="9" max="9" width="12.85546875" customWidth="1"/>
    <col min="13" max="13" width="12.5703125" bestFit="1" customWidth="1"/>
  </cols>
  <sheetData>
    <row r="1" spans="1:13" x14ac:dyDescent="0.25">
      <c r="A1" t="s">
        <v>33</v>
      </c>
    </row>
    <row r="2" spans="1:13" x14ac:dyDescent="0.25">
      <c r="J2" t="s">
        <v>42</v>
      </c>
      <c r="K2">
        <v>1517127.46</v>
      </c>
      <c r="L2" t="s">
        <v>43</v>
      </c>
      <c r="M2" s="33">
        <f>SUM(K2/K4)</f>
        <v>0.71572385668379579</v>
      </c>
    </row>
    <row r="3" spans="1:13" x14ac:dyDescent="0.25">
      <c r="A3" s="1" t="s">
        <v>0</v>
      </c>
      <c r="K3">
        <v>602583.16</v>
      </c>
      <c r="L3" t="s">
        <v>41</v>
      </c>
      <c r="M3" s="33">
        <f>SUM(K3/K4)</f>
        <v>0.28427614331620416</v>
      </c>
    </row>
    <row r="4" spans="1:13" x14ac:dyDescent="0.25">
      <c r="A4" s="1" t="s">
        <v>1</v>
      </c>
      <c r="E4">
        <v>1997541.74</v>
      </c>
      <c r="K4">
        <f>SUM(K2+K3)</f>
        <v>2119710.62</v>
      </c>
    </row>
    <row r="5" spans="1:13" x14ac:dyDescent="0.25">
      <c r="A5" s="1" t="s">
        <v>2</v>
      </c>
    </row>
    <row r="6" spans="1:13" x14ac:dyDescent="0.25">
      <c r="A6" s="1" t="s">
        <v>45</v>
      </c>
      <c r="E6" s="18" t="s">
        <v>35</v>
      </c>
      <c r="G6" s="22" t="s">
        <v>36</v>
      </c>
      <c r="I6" s="37" t="s">
        <v>46</v>
      </c>
      <c r="M6" t="s">
        <v>34</v>
      </c>
    </row>
    <row r="7" spans="1:13" x14ac:dyDescent="0.25">
      <c r="B7" s="2">
        <v>2022</v>
      </c>
      <c r="C7" s="2">
        <v>2021</v>
      </c>
      <c r="E7" s="18">
        <v>0.80596000000000001</v>
      </c>
      <c r="G7" s="22">
        <v>0.19403999999999999</v>
      </c>
      <c r="I7" s="37"/>
      <c r="M7" t="s">
        <v>34</v>
      </c>
    </row>
    <row r="8" spans="1:13" x14ac:dyDescent="0.25">
      <c r="B8" t="s">
        <v>3</v>
      </c>
      <c r="C8" s="2" t="s">
        <v>3</v>
      </c>
      <c r="E8" s="18"/>
      <c r="G8" s="22"/>
      <c r="I8" s="37"/>
    </row>
    <row r="9" spans="1:13" x14ac:dyDescent="0.25">
      <c r="A9" s="4" t="s">
        <v>4</v>
      </c>
      <c r="B9" s="3"/>
      <c r="C9" s="3"/>
      <c r="E9" s="18"/>
      <c r="G9" s="22"/>
      <c r="I9" s="37"/>
    </row>
    <row r="10" spans="1:13" x14ac:dyDescent="0.25">
      <c r="A10" s="5" t="s">
        <v>5</v>
      </c>
      <c r="E10" s="18"/>
      <c r="G10" s="22"/>
      <c r="I10" s="37"/>
    </row>
    <row r="11" spans="1:13" x14ac:dyDescent="0.25">
      <c r="E11" s="18"/>
      <c r="G11" s="22"/>
      <c r="I11" s="37"/>
    </row>
    <row r="12" spans="1:13" x14ac:dyDescent="0.25">
      <c r="A12" s="6" t="s">
        <v>6</v>
      </c>
      <c r="B12">
        <v>7567.68</v>
      </c>
      <c r="C12" s="7">
        <v>2726.03</v>
      </c>
      <c r="E12" s="18"/>
      <c r="G12" s="23">
        <v>7567.68</v>
      </c>
      <c r="I12" s="38">
        <f>SUM(G12+E12)</f>
        <v>7567.68</v>
      </c>
    </row>
    <row r="13" spans="1:13" x14ac:dyDescent="0.25">
      <c r="E13" s="20"/>
      <c r="G13" s="23"/>
      <c r="I13" s="37"/>
    </row>
    <row r="14" spans="1:13" x14ac:dyDescent="0.25">
      <c r="A14" s="6" t="s">
        <v>8</v>
      </c>
      <c r="B14">
        <v>198046.11</v>
      </c>
      <c r="C14" s="7">
        <v>103610.11</v>
      </c>
      <c r="E14" s="20">
        <f>SUM(B14*E7)</f>
        <v>159617.24281559998</v>
      </c>
      <c r="G14" s="23">
        <f>SUM(B14*G7)</f>
        <v>38428.867184399998</v>
      </c>
      <c r="I14" s="38">
        <f>SUM(G14+E14)</f>
        <v>198046.11</v>
      </c>
    </row>
    <row r="15" spans="1:13" x14ac:dyDescent="0.25">
      <c r="E15" s="20"/>
      <c r="G15" s="23"/>
      <c r="I15" s="37"/>
    </row>
    <row r="16" spans="1:13" x14ac:dyDescent="0.25">
      <c r="A16" s="6" t="s">
        <v>9</v>
      </c>
      <c r="B16">
        <v>50.19</v>
      </c>
      <c r="C16" s="7">
        <v>206.27</v>
      </c>
      <c r="E16" s="20">
        <f>SUM(B16*E7)</f>
        <v>40.451132399999999</v>
      </c>
      <c r="G16" s="23">
        <f>SUM(B16*G7)</f>
        <v>9.738867599999999</v>
      </c>
      <c r="I16" s="38">
        <f>SUM(G16+E16)</f>
        <v>50.19</v>
      </c>
    </row>
    <row r="17" spans="1:11" x14ac:dyDescent="0.25">
      <c r="E17" s="20"/>
      <c r="G17" s="23"/>
      <c r="I17" s="37"/>
    </row>
    <row r="18" spans="1:11" x14ac:dyDescent="0.25">
      <c r="A18" s="6" t="s">
        <v>10</v>
      </c>
      <c r="B18">
        <v>3745.62</v>
      </c>
      <c r="C18" s="7">
        <v>36033.61</v>
      </c>
      <c r="E18" s="20">
        <f>SUM(B18*E7)</f>
        <v>3018.8198951999998</v>
      </c>
      <c r="G18" s="23">
        <f>SUM(B18*G7)</f>
        <v>726.80010479999999</v>
      </c>
      <c r="I18" s="38">
        <f>SUM(G18+E18)</f>
        <v>3745.62</v>
      </c>
    </row>
    <row r="19" spans="1:11" x14ac:dyDescent="0.25">
      <c r="A19" s="6"/>
      <c r="C19" s="7"/>
      <c r="E19" s="20"/>
      <c r="G19" s="23"/>
      <c r="I19" s="38"/>
    </row>
    <row r="20" spans="1:11" x14ac:dyDescent="0.25">
      <c r="A20" s="6" t="s">
        <v>44</v>
      </c>
      <c r="B20">
        <v>0</v>
      </c>
      <c r="C20" s="7"/>
      <c r="E20" s="20">
        <v>0</v>
      </c>
      <c r="G20" s="23">
        <v>0</v>
      </c>
      <c r="I20" s="38">
        <f>SUM(G20+E20)</f>
        <v>0</v>
      </c>
      <c r="K20">
        <f>3861*0.19404</f>
        <v>749.18844000000001</v>
      </c>
    </row>
    <row r="21" spans="1:11" x14ac:dyDescent="0.25">
      <c r="E21" s="20"/>
      <c r="G21" s="23"/>
      <c r="I21" s="37"/>
    </row>
    <row r="22" spans="1:11" x14ac:dyDescent="0.25">
      <c r="A22" s="6" t="s">
        <v>11</v>
      </c>
      <c r="B22" s="8">
        <f>SUM(B18+B16+B14+B12)+B20</f>
        <v>209409.59999999998</v>
      </c>
      <c r="C22" s="8">
        <f>SUM(C18+C16+C14+C12)</f>
        <v>142576.01999999999</v>
      </c>
      <c r="E22" s="26">
        <f>SUM(E18+E16+E14+E12)+E20</f>
        <v>162676.51384319999</v>
      </c>
      <c r="G22" s="27">
        <f>SUM(G18+G16+G14+G12)+G20</f>
        <v>46733.086156799996</v>
      </c>
      <c r="I22" s="38">
        <f>SUM(G22+E22)</f>
        <v>209409.59999999998</v>
      </c>
    </row>
    <row r="23" spans="1:11" x14ac:dyDescent="0.25">
      <c r="E23" s="18"/>
      <c r="G23" s="22"/>
      <c r="I23" s="37"/>
    </row>
    <row r="24" spans="1:11" x14ac:dyDescent="0.25">
      <c r="E24" s="18"/>
      <c r="G24" s="22"/>
      <c r="I24" s="37"/>
    </row>
    <row r="25" spans="1:11" x14ac:dyDescent="0.25">
      <c r="E25" s="18"/>
      <c r="G25" s="22"/>
      <c r="I25" s="37"/>
    </row>
    <row r="26" spans="1:11" x14ac:dyDescent="0.25">
      <c r="E26" s="18" t="s">
        <v>35</v>
      </c>
      <c r="G26" s="22" t="s">
        <v>36</v>
      </c>
      <c r="I26" s="37"/>
    </row>
    <row r="27" spans="1:11" x14ac:dyDescent="0.25">
      <c r="A27" s="9" t="s">
        <v>12</v>
      </c>
      <c r="E27" s="18">
        <v>0.80596000000000001</v>
      </c>
      <c r="G27" s="24">
        <v>0.19403999999999999</v>
      </c>
      <c r="I27" s="37"/>
    </row>
    <row r="28" spans="1:11" x14ac:dyDescent="0.25">
      <c r="A28" s="6" t="s">
        <v>13</v>
      </c>
      <c r="B28">
        <v>4580</v>
      </c>
      <c r="C28" s="7">
        <v>3350</v>
      </c>
      <c r="E28" s="20">
        <f>SUM(C28*E27)</f>
        <v>2699.9659999999999</v>
      </c>
      <c r="G28" s="25">
        <f>SUM(B28*G27)</f>
        <v>888.70319999999992</v>
      </c>
      <c r="I28" s="38">
        <v>4580</v>
      </c>
    </row>
    <row r="29" spans="1:11" x14ac:dyDescent="0.25">
      <c r="E29" s="20"/>
      <c r="G29" s="25"/>
      <c r="I29" s="37"/>
    </row>
    <row r="30" spans="1:11" x14ac:dyDescent="0.25">
      <c r="A30" s="6" t="s">
        <v>14</v>
      </c>
      <c r="B30">
        <v>499</v>
      </c>
      <c r="C30" s="7">
        <v>770</v>
      </c>
      <c r="E30" s="19">
        <f>B30*E27</f>
        <v>402.17403999999999</v>
      </c>
      <c r="F30" s="35">
        <f>SUM(I30*E27)</f>
        <v>402.17403999999999</v>
      </c>
      <c r="G30" s="29">
        <f>B30*G27</f>
        <v>96.825959999999995</v>
      </c>
      <c r="H30" s="36">
        <f>SUM(G27*I30)</f>
        <v>96.825959999999995</v>
      </c>
      <c r="I30" s="38">
        <f>B30</f>
        <v>499</v>
      </c>
    </row>
    <row r="31" spans="1:11" x14ac:dyDescent="0.25">
      <c r="E31" s="20"/>
      <c r="G31" s="25"/>
      <c r="I31" s="37"/>
    </row>
    <row r="32" spans="1:11" x14ac:dyDescent="0.25">
      <c r="A32" s="6" t="s">
        <v>15</v>
      </c>
      <c r="C32" s="7">
        <v>1.8</v>
      </c>
      <c r="E32" s="20">
        <v>0</v>
      </c>
      <c r="G32" s="25">
        <v>0</v>
      </c>
      <c r="I32" s="38">
        <f>B32</f>
        <v>0</v>
      </c>
    </row>
    <row r="33" spans="1:16" x14ac:dyDescent="0.25">
      <c r="E33" s="20"/>
      <c r="G33" s="25"/>
      <c r="I33" s="37"/>
    </row>
    <row r="34" spans="1:16" x14ac:dyDescent="0.25">
      <c r="A34" s="6" t="s">
        <v>16</v>
      </c>
      <c r="B34">
        <v>24194.23</v>
      </c>
      <c r="C34" s="7">
        <v>13476.9</v>
      </c>
      <c r="E34" s="20">
        <f>SUM(B34*E27)</f>
        <v>19499.5816108</v>
      </c>
      <c r="G34" s="25">
        <f>SUM(B34*G27)</f>
        <v>4694.6483891999997</v>
      </c>
      <c r="I34" s="38">
        <f>B34</f>
        <v>24194.23</v>
      </c>
    </row>
    <row r="35" spans="1:16" x14ac:dyDescent="0.25">
      <c r="E35" s="20"/>
      <c r="G35" s="25"/>
      <c r="I35" s="38">
        <f t="shared" ref="I35" si="0">SUM(G35+E35)</f>
        <v>0</v>
      </c>
    </row>
    <row r="36" spans="1:16" x14ac:dyDescent="0.25">
      <c r="A36" s="6" t="s">
        <v>17</v>
      </c>
      <c r="B36">
        <v>324</v>
      </c>
      <c r="C36" s="7">
        <v>313</v>
      </c>
      <c r="E36" s="20">
        <f>SUM(C36*E27)</f>
        <v>252.26548</v>
      </c>
      <c r="G36" s="25">
        <f>SUM(B36*G27)</f>
        <v>62.868959999999994</v>
      </c>
      <c r="I36" s="38">
        <f>B36</f>
        <v>324</v>
      </c>
    </row>
    <row r="37" spans="1:16" x14ac:dyDescent="0.25">
      <c r="E37" s="20"/>
      <c r="G37" s="25"/>
      <c r="I37" s="37"/>
    </row>
    <row r="38" spans="1:16" x14ac:dyDescent="0.25">
      <c r="A38" s="6" t="s">
        <v>18</v>
      </c>
      <c r="B38">
        <f>596+370+200</f>
        <v>1166</v>
      </c>
      <c r="C38" s="7">
        <v>402</v>
      </c>
      <c r="E38" s="20">
        <f>SUM(C38*E27)</f>
        <v>323.99592000000001</v>
      </c>
      <c r="F38" s="16">
        <f>E28+E32+E36+E38</f>
        <v>3276.2273999999998</v>
      </c>
      <c r="G38" s="25">
        <f>SUM(B38*G27)</f>
        <v>226.25063999999998</v>
      </c>
      <c r="H38" s="16">
        <f>G28+G32+G36+G38</f>
        <v>1177.8227999999999</v>
      </c>
      <c r="I38" s="38">
        <f>B38</f>
        <v>1166</v>
      </c>
      <c r="J38" s="16">
        <f>I28+I32+I36+I38</f>
        <v>6070</v>
      </c>
      <c r="K38" s="16">
        <f>J38*E27</f>
        <v>4892.1772000000001</v>
      </c>
      <c r="L38" t="s">
        <v>34</v>
      </c>
    </row>
    <row r="39" spans="1:16" x14ac:dyDescent="0.25">
      <c r="E39" s="20"/>
      <c r="F39" t="s">
        <v>34</v>
      </c>
      <c r="G39" s="25"/>
      <c r="I39" s="37"/>
    </row>
    <row r="40" spans="1:16" x14ac:dyDescent="0.25">
      <c r="A40" s="5" t="s">
        <v>19</v>
      </c>
      <c r="E40" s="20"/>
      <c r="F40" s="16" t="s">
        <v>34</v>
      </c>
      <c r="G40" s="25"/>
      <c r="I40" s="37"/>
    </row>
    <row r="41" spans="1:16" x14ac:dyDescent="0.25">
      <c r="E41" s="20"/>
      <c r="G41" s="25"/>
      <c r="I41" s="37"/>
    </row>
    <row r="42" spans="1:16" x14ac:dyDescent="0.25">
      <c r="A42" s="6" t="s">
        <v>20</v>
      </c>
      <c r="B42">
        <v>609.19000000000005</v>
      </c>
      <c r="C42" s="7">
        <v>4743.92</v>
      </c>
      <c r="E42" s="20">
        <f>SUM(B42*E27)</f>
        <v>490.98277240000004</v>
      </c>
      <c r="G42" s="25">
        <f>SUM(B42*G27)</f>
        <v>118.20722760000001</v>
      </c>
      <c r="I42" s="38">
        <f>B42</f>
        <v>609.19000000000005</v>
      </c>
    </row>
    <row r="43" spans="1:16" x14ac:dyDescent="0.25">
      <c r="E43" s="20"/>
      <c r="G43" s="25"/>
      <c r="I43" s="37"/>
    </row>
    <row r="44" spans="1:16" x14ac:dyDescent="0.25">
      <c r="A44" s="6" t="s">
        <v>21</v>
      </c>
      <c r="B44">
        <v>112.36</v>
      </c>
      <c r="C44" s="7">
        <v>1185.99</v>
      </c>
      <c r="E44" s="20">
        <f>B44*E27</f>
        <v>90.557665600000007</v>
      </c>
      <c r="G44" s="25">
        <f>SUM(B44*G27)</f>
        <v>21.802334399999999</v>
      </c>
      <c r="I44" s="38">
        <f>B44</f>
        <v>112.36</v>
      </c>
    </row>
    <row r="45" spans="1:16" x14ac:dyDescent="0.25">
      <c r="E45" s="20"/>
      <c r="G45" s="25"/>
      <c r="I45" s="37"/>
    </row>
    <row r="46" spans="1:16" x14ac:dyDescent="0.25">
      <c r="A46" s="6" t="s">
        <v>22</v>
      </c>
      <c r="B46">
        <v>453.5</v>
      </c>
      <c r="C46" s="7">
        <v>2949.5</v>
      </c>
      <c r="E46" s="20">
        <f>B46*E27</f>
        <v>365.50286</v>
      </c>
      <c r="G46" s="25">
        <f>SUM(B46*G27)</f>
        <v>87.997140000000002</v>
      </c>
      <c r="I46" s="38">
        <f>B46</f>
        <v>453.5</v>
      </c>
    </row>
    <row r="47" spans="1:16" x14ac:dyDescent="0.25">
      <c r="E47" s="20"/>
      <c r="G47" s="25"/>
      <c r="I47" s="37"/>
      <c r="P47">
        <v>1492151.01</v>
      </c>
    </row>
    <row r="48" spans="1:16" x14ac:dyDescent="0.25">
      <c r="A48" s="6" t="s">
        <v>23</v>
      </c>
      <c r="B48">
        <v>85</v>
      </c>
      <c r="C48" s="7">
        <v>4887.42</v>
      </c>
      <c r="E48" s="20">
        <f>B48*E27</f>
        <v>68.506600000000006</v>
      </c>
      <c r="G48" s="25">
        <f>SUM(B48*G27)</f>
        <v>16.493399999999998</v>
      </c>
      <c r="I48" s="38">
        <f>B48</f>
        <v>85</v>
      </c>
    </row>
    <row r="49" spans="1:16" x14ac:dyDescent="0.25">
      <c r="E49" s="20"/>
      <c r="G49" s="25"/>
      <c r="I49" s="37"/>
    </row>
    <row r="50" spans="1:16" x14ac:dyDescent="0.25">
      <c r="A50" s="6" t="s">
        <v>24</v>
      </c>
      <c r="B50">
        <v>581.69000000000005</v>
      </c>
      <c r="C50" s="7">
        <v>6756.26</v>
      </c>
      <c r="E50" s="20">
        <f>B50*E27</f>
        <v>468.81887240000003</v>
      </c>
      <c r="G50" s="25">
        <f>SUM(B50*G27)</f>
        <v>112.87112760000001</v>
      </c>
      <c r="I50" s="38">
        <f>B50</f>
        <v>581.69000000000005</v>
      </c>
    </row>
    <row r="51" spans="1:16" x14ac:dyDescent="0.25">
      <c r="E51" s="20"/>
      <c r="G51" s="25"/>
      <c r="I51" s="37"/>
    </row>
    <row r="52" spans="1:16" x14ac:dyDescent="0.25">
      <c r="A52" s="6" t="s">
        <v>25</v>
      </c>
      <c r="B52">
        <v>1903.92</v>
      </c>
      <c r="C52" s="7">
        <v>7615.92</v>
      </c>
      <c r="E52" s="20">
        <f>B52*E27</f>
        <v>1534.4833632</v>
      </c>
      <c r="F52" s="16">
        <f>E42+E44+E46+E48+E50+E52+E34</f>
        <v>22518.433744400001</v>
      </c>
      <c r="G52" s="25">
        <f>SUM(B52*G27)</f>
        <v>369.43663679999997</v>
      </c>
      <c r="H52" s="16">
        <f>SUM(G52+G50+G48+G46+G44+G42)+G34</f>
        <v>5421.4562556000001</v>
      </c>
      <c r="I52" s="38">
        <f>B52</f>
        <v>1903.92</v>
      </c>
      <c r="K52" s="16">
        <f>H52+F52+F38+H38+G30+E30</f>
        <v>32892.940199999997</v>
      </c>
    </row>
    <row r="53" spans="1:16" x14ac:dyDescent="0.25">
      <c r="E53" s="20"/>
      <c r="G53" s="25"/>
      <c r="I53" s="37"/>
    </row>
    <row r="54" spans="1:16" x14ac:dyDescent="0.25">
      <c r="A54" s="6" t="s">
        <v>26</v>
      </c>
      <c r="B54" s="8">
        <f>SUM(B28:B52)</f>
        <v>34508.89</v>
      </c>
      <c r="C54" s="8">
        <f>SUM(C28:C52)</f>
        <v>46452.710000000006</v>
      </c>
      <c r="E54" s="21">
        <f>SUM(E28:E53)</f>
        <v>26196.835184399999</v>
      </c>
      <c r="F54" s="16">
        <f>SUM(F38:F53)+F30</f>
        <v>26196.835184400003</v>
      </c>
      <c r="G54" s="21">
        <f>SUM(G28:G53)</f>
        <v>6696.105015600001</v>
      </c>
      <c r="H54">
        <f>SUM(H37:H53)+H30</f>
        <v>6696.1050156000001</v>
      </c>
      <c r="I54" s="38">
        <f>SUM(I28:I53)</f>
        <v>34508.89</v>
      </c>
    </row>
    <row r="55" spans="1:16" x14ac:dyDescent="0.25">
      <c r="F55">
        <f>SUM(B54*E27)</f>
        <v>27812.784984400001</v>
      </c>
    </row>
    <row r="56" spans="1:16" x14ac:dyDescent="0.25">
      <c r="F56">
        <f>SUM(B54*E27)</f>
        <v>27812.784984400001</v>
      </c>
    </row>
    <row r="57" spans="1:16" x14ac:dyDescent="0.25">
      <c r="E57" s="16">
        <f>SUM(E22-E54)</f>
        <v>136479.6786588</v>
      </c>
      <c r="G57" s="16">
        <f>SUM(G22-G54)-1</f>
        <v>40035.981141199998</v>
      </c>
      <c r="I57" t="s">
        <v>34</v>
      </c>
      <c r="K57" s="16">
        <f>SUM(G57+E57)</f>
        <v>176515.65979999999</v>
      </c>
      <c r="M57" s="32" t="e">
        <f>SUM(M7+G22-G54-G58)</f>
        <v>#VALUE!</v>
      </c>
      <c r="P57" s="16">
        <f>E57</f>
        <v>136479.6786588</v>
      </c>
    </row>
    <row r="58" spans="1:16" x14ac:dyDescent="0.25">
      <c r="E58">
        <v>0</v>
      </c>
      <c r="G58" s="30">
        <f>SUM(G57*0.15)</f>
        <v>6005.3971711799995</v>
      </c>
      <c r="H58" t="s">
        <v>37</v>
      </c>
      <c r="I58" s="32">
        <f>G58</f>
        <v>6005.3971711799995</v>
      </c>
      <c r="M58">
        <v>-3595.81</v>
      </c>
    </row>
    <row r="59" spans="1:16" x14ac:dyDescent="0.25">
      <c r="B59" s="15">
        <v>24493</v>
      </c>
      <c r="C59" s="15">
        <v>24493</v>
      </c>
      <c r="E59" s="18">
        <f>SUM(E7*I59)</f>
        <v>28451.081125600002</v>
      </c>
      <c r="G59" s="23" t="s">
        <v>34</v>
      </c>
      <c r="H59" t="s">
        <v>38</v>
      </c>
      <c r="I59" s="15">
        <v>35300.86</v>
      </c>
      <c r="P59">
        <f>E59</f>
        <v>28451.081125600002</v>
      </c>
    </row>
    <row r="60" spans="1:16" x14ac:dyDescent="0.25">
      <c r="E60" s="18"/>
      <c r="G60" s="23"/>
    </row>
    <row r="61" spans="1:16" x14ac:dyDescent="0.25">
      <c r="C61" t="s">
        <v>39</v>
      </c>
      <c r="E61" s="18">
        <v>74282.45</v>
      </c>
      <c r="G61" s="31" t="s">
        <v>34</v>
      </c>
      <c r="H61" t="s">
        <v>34</v>
      </c>
      <c r="M61" s="34">
        <f>-I58+I59</f>
        <v>29295.46282882</v>
      </c>
      <c r="N61" t="s">
        <v>40</v>
      </c>
    </row>
    <row r="62" spans="1:16" x14ac:dyDescent="0.25">
      <c r="E62" s="18"/>
      <c r="G62" s="23"/>
    </row>
    <row r="63" spans="1:16" x14ac:dyDescent="0.25">
      <c r="A63" s="6" t="s">
        <v>7</v>
      </c>
      <c r="B63">
        <v>-277480</v>
      </c>
      <c r="C63" s="7">
        <v>204358.35</v>
      </c>
      <c r="E63" s="19">
        <f>SUM(C63*E7)</f>
        <v>164704.65576600001</v>
      </c>
      <c r="F63" s="17"/>
      <c r="G63" s="29">
        <f>SUM(C63-E63)</f>
        <v>39653.694233999995</v>
      </c>
      <c r="K63" s="16" t="s">
        <v>34</v>
      </c>
      <c r="M63" t="s">
        <v>34</v>
      </c>
      <c r="P63" s="16" t="s">
        <v>34</v>
      </c>
    </row>
    <row r="65" spans="1:17" x14ac:dyDescent="0.25">
      <c r="E65" s="16">
        <f>SUM(E63+E22)</f>
        <v>327381.16960919998</v>
      </c>
      <c r="G65" s="16">
        <f>SUM(G63+G22)</f>
        <v>86386.780390799991</v>
      </c>
    </row>
    <row r="66" spans="1:17" x14ac:dyDescent="0.25">
      <c r="C66" s="28">
        <f>SUM(C63+C22)</f>
        <v>346934.37</v>
      </c>
      <c r="E66" s="16"/>
      <c r="G66" s="16"/>
      <c r="K66" s="16" t="s">
        <v>34</v>
      </c>
    </row>
    <row r="67" spans="1:17" x14ac:dyDescent="0.25">
      <c r="E67" s="16">
        <f>SUM(E4+E22-E54+E59-E61+E63)</f>
        <v>2252894.7055503996</v>
      </c>
      <c r="G67" s="16"/>
      <c r="M67" s="32" t="s">
        <v>34</v>
      </c>
      <c r="P67" s="16" t="s">
        <v>34</v>
      </c>
    </row>
    <row r="68" spans="1:17" x14ac:dyDescent="0.25">
      <c r="E68" s="16"/>
      <c r="G68" s="16"/>
    </row>
    <row r="69" spans="1:17" x14ac:dyDescent="0.25">
      <c r="E69" s="16"/>
      <c r="G69" s="16"/>
    </row>
    <row r="70" spans="1:17" x14ac:dyDescent="0.25">
      <c r="E70" s="16"/>
      <c r="G70" s="16"/>
    </row>
    <row r="71" spans="1:17" x14ac:dyDescent="0.25">
      <c r="E71" s="16"/>
      <c r="G71" s="16"/>
    </row>
    <row r="72" spans="1:17" x14ac:dyDescent="0.25">
      <c r="E72" s="16"/>
      <c r="G72" s="16"/>
      <c r="N72">
        <v>2018</v>
      </c>
      <c r="O72">
        <v>2720</v>
      </c>
    </row>
    <row r="73" spans="1:17" x14ac:dyDescent="0.25">
      <c r="E73" s="16"/>
      <c r="G73" s="16"/>
      <c r="N73">
        <v>19</v>
      </c>
      <c r="O73">
        <v>4466</v>
      </c>
    </row>
    <row r="74" spans="1:17" x14ac:dyDescent="0.25">
      <c r="E74" s="16"/>
      <c r="G74" s="16"/>
      <c r="N74">
        <v>20</v>
      </c>
      <c r="O74">
        <v>3399</v>
      </c>
    </row>
    <row r="75" spans="1:17" x14ac:dyDescent="0.25">
      <c r="A75" s="5" t="s">
        <v>27</v>
      </c>
      <c r="N75">
        <v>21</v>
      </c>
      <c r="O75">
        <v>3300</v>
      </c>
      <c r="P75">
        <f>SUM(0.02*O75)</f>
        <v>66</v>
      </c>
    </row>
    <row r="76" spans="1:17" x14ac:dyDescent="0.25">
      <c r="C76" s="10">
        <v>27707.45</v>
      </c>
      <c r="N76">
        <v>22</v>
      </c>
      <c r="O76">
        <f>3350+180</f>
        <v>3530</v>
      </c>
      <c r="P76" t="s">
        <v>34</v>
      </c>
      <c r="Q76">
        <f>SUM(0.1*O76)</f>
        <v>353</v>
      </c>
    </row>
    <row r="77" spans="1:17" x14ac:dyDescent="0.25">
      <c r="N77">
        <v>23</v>
      </c>
      <c r="O77">
        <f>O76+Q76</f>
        <v>3883</v>
      </c>
      <c r="P77" t="s">
        <v>34</v>
      </c>
    </row>
    <row r="80" spans="1:17" x14ac:dyDescent="0.25">
      <c r="A80" s="6" t="s">
        <v>28</v>
      </c>
      <c r="B80" s="11" t="s">
        <v>29</v>
      </c>
    </row>
    <row r="81" spans="1:3" x14ac:dyDescent="0.25">
      <c r="A81" s="5" t="s">
        <v>30</v>
      </c>
      <c r="B81" s="12" t="s">
        <v>31</v>
      </c>
      <c r="C81" s="13">
        <v>27707.45</v>
      </c>
    </row>
    <row r="87" spans="1:3" x14ac:dyDescent="0.25">
      <c r="A87" s="14" t="s">
        <v>32</v>
      </c>
    </row>
  </sheetData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</dc:creator>
  <cp:lastModifiedBy>Byrne</cp:lastModifiedBy>
  <cp:lastPrinted>2022-12-08T03:44:34Z</cp:lastPrinted>
  <dcterms:created xsi:type="dcterms:W3CDTF">2020-11-26T04:37:41Z</dcterms:created>
  <dcterms:modified xsi:type="dcterms:W3CDTF">2022-12-08T04:18:20Z</dcterms:modified>
</cp:coreProperties>
</file>