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L\LEWE\2020\Workpapers\5. Investments\Managed funds &amp; UT's\"/>
    </mc:Choice>
  </mc:AlternateContent>
  <xr:revisionPtr revIDLastSave="0" documentId="13_ncr:1_{C771254E-D18D-48A2-ADEF-69B6A7AE1525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2020" sheetId="2" r:id="rId1"/>
    <sheet name="2019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2" l="1"/>
  <c r="I40" i="2"/>
  <c r="F14" i="2"/>
  <c r="F15" i="2"/>
  <c r="G37" i="2" l="1"/>
  <c r="I35" i="2"/>
  <c r="I34" i="2"/>
  <c r="I33" i="2"/>
  <c r="I32" i="2"/>
  <c r="I31" i="2"/>
  <c r="I30" i="2"/>
  <c r="F37" i="2"/>
  <c r="E37" i="2"/>
  <c r="F18" i="2"/>
  <c r="I37" i="2" l="1"/>
  <c r="F13" i="1"/>
  <c r="F15" i="1" s="1"/>
  <c r="I3" i="1" l="1"/>
</calcChain>
</file>

<file path=xl/sharedStrings.xml><?xml version="1.0" encoding="utf-8"?>
<sst xmlns="http://schemas.openxmlformats.org/spreadsheetml/2006/main" count="57" uniqueCount="39">
  <si>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</si>
  <si>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</si>
  <si>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</si>
  <si>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</si>
  <si>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</si>
  <si>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</si>
  <si>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</si>
  <si>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</si>
  <si>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</si>
  <si>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</si>
  <si>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</si>
  <si>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</si>
  <si>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BT WRAP RECONCILIATION</t>
  </si>
  <si>
    <t>Less: distributions receivable</t>
  </si>
  <si>
    <t>Market value per accounts</t>
  </si>
  <si>
    <t>Variance - not material</t>
  </si>
  <si>
    <t>Less: cash account</t>
  </si>
  <si>
    <t>valued by BT using pre-distbn prices</t>
  </si>
  <si>
    <t>Market value per BT Portfolio Valuation report</t>
  </si>
  <si>
    <t>J &amp; M The Superannuation Fund</t>
  </si>
  <si>
    <t>Investment</t>
  </si>
  <si>
    <t>BT</t>
  </si>
  <si>
    <t>BGL</t>
  </si>
  <si>
    <t>Variance</t>
  </si>
  <si>
    <t>30/6 disbn rec</t>
  </si>
  <si>
    <t>Cash banked in July matches trust distribution schedule - 2020 entitlement amt</t>
  </si>
  <si>
    <r>
      <t>Variance -</t>
    </r>
    <r>
      <rPr>
        <sz val="11"/>
        <color rgb="FFFF0000"/>
        <rFont val="Calibri"/>
        <family val="2"/>
        <scheme val="minor"/>
      </rPr>
      <t xml:space="preserve"> not material</t>
    </r>
  </si>
  <si>
    <t>Lewis Superannuation Fund</t>
  </si>
  <si>
    <t>Less: term deposit</t>
  </si>
  <si>
    <t>Less: Aust listed shares</t>
  </si>
  <si>
    <t>Kapstream</t>
  </si>
  <si>
    <t>Macquarie</t>
  </si>
  <si>
    <t>Pendal</t>
  </si>
  <si>
    <t>PIMCO</t>
  </si>
  <si>
    <t>Schroder</t>
  </si>
  <si>
    <t>T Rowe Price</t>
  </si>
  <si>
    <t>excluding STW and SFY</t>
  </si>
  <si>
    <t>Amount banked is only $490.86</t>
  </si>
  <si>
    <t>Add: Schroder non cash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</si>
</sst>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4" fontId="0" fillId="0" borderId="6" xfId="1" applyFont="1" applyBorder="1"/>
    <xf numFmtId="44" fontId="0" fillId="2" borderId="0" xfId="1" applyFont="1" applyFill="1"/>
    <xf numFmtId="0" fontId="8" fillId="0" borderId="0" xfId="0" applyFont="1" applyFill="1"/>
    <xf numFmtId="44" fontId="0" fillId="0" borderId="0" xfId="0" applyNumberFormat="1"/>
    <xf numFmtId="0" fontId="0" fillId="2" borderId="0" xfId="0" applyFill="1"/>
    <xf numFmtId="44" fontId="0" fillId="3" borderId="0" xfId="1" applyFont="1" applyFill="1"/>
    <xf numFmtId="0" fontId="0" fillId="3" borderId="0" xfId="0" applyFill="1"/>
    <xf numFmtId="44" fontId="0" fillId="0" borderId="0" xfId="1" applyFont="1" applyFill="1"/>
    <xf numFmtId="0" fontId="9" fillId="0" borderId="0" xfId="0" applyFont="1" applyAlignment="1">
      <alignment horizontal="center"/>
    </xf>
    <xf numFmtId="44" fontId="9" fillId="0" borderId="0" xfId="1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1BF43-F1AC-4770-935B-6EB54FACDB9A}">
  <dimension ref="A1:J40"/>
  <sheetViews>
    <sheetView tabSelected="1" topLeftCell="A2" zoomScale="130" zoomScaleNormal="130" workbookViewId="0">
      <selection activeCell="F17" sqref="F17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8" width="15.7109375" customWidth="1"/>
    <col min="9" max="9" width="16.14062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27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12</v>
      </c>
      <c r="C3" s="12"/>
      <c r="G3" s="14" t="s">
        <v>4</v>
      </c>
      <c r="H3" s="15" t="s">
        <v>11</v>
      </c>
      <c r="I3" s="16">
        <v>44133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9" t="s">
        <v>8</v>
      </c>
      <c r="C7" s="40"/>
      <c r="D7" s="40"/>
      <c r="E7" s="41"/>
      <c r="F7" s="24" t="s">
        <v>9</v>
      </c>
      <c r="G7" s="39" t="s">
        <v>10</v>
      </c>
      <c r="H7" s="42"/>
      <c r="I7" s="43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C10" t="s">
        <v>18</v>
      </c>
      <c r="F10" s="13">
        <v>1755035.66</v>
      </c>
      <c r="H10" t="s">
        <v>17</v>
      </c>
    </row>
    <row r="11" spans="1:10" x14ac:dyDescent="0.25">
      <c r="C11" t="s">
        <v>16</v>
      </c>
      <c r="F11" s="13">
        <v>32848.959999999999</v>
      </c>
    </row>
    <row r="12" spans="1:10" x14ac:dyDescent="0.25">
      <c r="C12" t="s">
        <v>28</v>
      </c>
      <c r="F12" s="13">
        <v>150000</v>
      </c>
    </row>
    <row r="13" spans="1:10" x14ac:dyDescent="0.25">
      <c r="C13" t="s">
        <v>29</v>
      </c>
      <c r="F13" s="13">
        <v>1023331.59</v>
      </c>
    </row>
    <row r="14" spans="1:10" x14ac:dyDescent="0.25">
      <c r="C14" t="s">
        <v>13</v>
      </c>
      <c r="F14" s="29">
        <f>12574.79-112.07-560.47</f>
        <v>11902.250000000002</v>
      </c>
      <c r="H14" t="s">
        <v>36</v>
      </c>
    </row>
    <row r="15" spans="1:10" x14ac:dyDescent="0.25">
      <c r="C15" s="26"/>
      <c r="D15" s="26"/>
      <c r="E15" s="26"/>
      <c r="F15" s="27">
        <f>+F10-SUM(F11:F14)</f>
        <v>536952.85999999987</v>
      </c>
    </row>
    <row r="16" spans="1:10" x14ac:dyDescent="0.25">
      <c r="C16" s="21" t="s">
        <v>38</v>
      </c>
      <c r="D16" s="26"/>
      <c r="E16" s="26"/>
      <c r="F16" s="27">
        <f>+I40</f>
        <v>826.75999999999988</v>
      </c>
    </row>
    <row r="17" spans="3:10" x14ac:dyDescent="0.25">
      <c r="C17" s="26" t="s">
        <v>14</v>
      </c>
      <c r="D17" s="26"/>
      <c r="E17" s="26"/>
      <c r="F17" s="29">
        <v>537792.22</v>
      </c>
    </row>
    <row r="18" spans="3:10" x14ac:dyDescent="0.25">
      <c r="C18" s="21" t="s">
        <v>26</v>
      </c>
      <c r="F18" s="36">
        <f>+F15-F17+F16</f>
        <v>-12.600000000102568</v>
      </c>
      <c r="G18" s="31"/>
      <c r="H18" s="31"/>
    </row>
    <row r="22" spans="3:10" x14ac:dyDescent="0.25">
      <c r="C22" s="28"/>
    </row>
    <row r="28" spans="3:10" x14ac:dyDescent="0.25">
      <c r="C28" s="37" t="s">
        <v>20</v>
      </c>
      <c r="D28" s="37"/>
      <c r="E28" s="37" t="s">
        <v>21</v>
      </c>
      <c r="F28" s="38" t="s">
        <v>22</v>
      </c>
      <c r="G28" s="37" t="s">
        <v>24</v>
      </c>
      <c r="H28" s="37"/>
      <c r="I28" s="37" t="s">
        <v>23</v>
      </c>
      <c r="J28" s="37"/>
    </row>
    <row r="30" spans="3:10" x14ac:dyDescent="0.25">
      <c r="C30" t="s">
        <v>30</v>
      </c>
      <c r="E30" s="28">
        <v>94609.47</v>
      </c>
      <c r="F30" s="13">
        <v>94154.54</v>
      </c>
      <c r="G30" s="34">
        <v>459.38</v>
      </c>
      <c r="I30" s="32">
        <f>+F30+G30-E30</f>
        <v>4.4499999999970896</v>
      </c>
    </row>
    <row r="31" spans="3:10" x14ac:dyDescent="0.25">
      <c r="C31" t="s">
        <v>31</v>
      </c>
      <c r="E31" s="28">
        <v>92883.14</v>
      </c>
      <c r="F31" s="13">
        <v>90570.62</v>
      </c>
      <c r="G31" s="34">
        <v>2316.17</v>
      </c>
      <c r="I31" s="32">
        <f t="shared" ref="I31:I35" si="0">+F31+G31-E31</f>
        <v>3.6499999999941792</v>
      </c>
    </row>
    <row r="32" spans="3:10" x14ac:dyDescent="0.25">
      <c r="C32" t="s">
        <v>32</v>
      </c>
      <c r="E32" s="28">
        <v>90391.94</v>
      </c>
      <c r="F32" s="13">
        <v>84483.65</v>
      </c>
      <c r="G32" s="34">
        <v>5906.69</v>
      </c>
      <c r="I32" s="32">
        <f t="shared" si="0"/>
        <v>-1.6000000000058208</v>
      </c>
    </row>
    <row r="33" spans="3:9" x14ac:dyDescent="0.25">
      <c r="C33" t="s">
        <v>33</v>
      </c>
      <c r="E33" s="28">
        <v>86357.18</v>
      </c>
      <c r="F33" s="13">
        <v>84602.02</v>
      </c>
      <c r="G33" s="34">
        <v>1763.65</v>
      </c>
      <c r="I33" s="32">
        <f t="shared" si="0"/>
        <v>8.4900000000052387</v>
      </c>
    </row>
    <row r="34" spans="3:9" x14ac:dyDescent="0.25">
      <c r="C34" t="s">
        <v>34</v>
      </c>
      <c r="E34" s="28">
        <v>97958.1</v>
      </c>
      <c r="F34" s="13">
        <v>97463.84</v>
      </c>
      <c r="G34" s="30">
        <v>1317.62</v>
      </c>
      <c r="I34" s="32">
        <f t="shared" si="0"/>
        <v>823.35999999998603</v>
      </c>
    </row>
    <row r="35" spans="3:9" x14ac:dyDescent="0.25">
      <c r="C35" t="s">
        <v>35</v>
      </c>
      <c r="E35" s="28">
        <v>86655.28</v>
      </c>
      <c r="F35" s="13">
        <v>86517.55</v>
      </c>
      <c r="G35" s="34">
        <v>138.74</v>
      </c>
      <c r="I35" s="32">
        <f t="shared" si="0"/>
        <v>1.0100000000093132</v>
      </c>
    </row>
    <row r="36" spans="3:9" x14ac:dyDescent="0.25">
      <c r="E36" s="28"/>
      <c r="G36" s="13"/>
    </row>
    <row r="37" spans="3:9" x14ac:dyDescent="0.25">
      <c r="E37" s="28">
        <f>SUM(E30:E36)</f>
        <v>548855.11</v>
      </c>
      <c r="F37" s="13">
        <f>SUM(F30:F36)</f>
        <v>537792.22</v>
      </c>
      <c r="G37" s="13">
        <f>SUM(G30:G36)</f>
        <v>11902.249999999998</v>
      </c>
      <c r="I37" s="13">
        <f>SUM(I30:I36)</f>
        <v>839.35999999998603</v>
      </c>
    </row>
    <row r="39" spans="3:9" x14ac:dyDescent="0.25">
      <c r="C39" s="35"/>
      <c r="D39" t="s">
        <v>25</v>
      </c>
    </row>
    <row r="40" spans="3:9" x14ac:dyDescent="0.25">
      <c r="C40" s="33"/>
      <c r="D40" t="s">
        <v>37</v>
      </c>
      <c r="I40" s="32">
        <f>+G34-490.86</f>
        <v>826.75999999999988</v>
      </c>
    </row>
  </sheetData>
  <mergeCells count="2">
    <mergeCell ref="B7:E7"/>
    <mergeCell ref="G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19"/>
  <sheetViews>
    <sheetView workbookViewId="0">
      <selection activeCell="F15" sqref="F1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19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12</v>
      </c>
      <c r="C3" s="12"/>
      <c r="G3" s="14" t="s">
        <v>4</v>
      </c>
      <c r="H3" s="15" t="s">
        <v>11</v>
      </c>
      <c r="I3" s="16">
        <f ca="1">TODAY()</f>
        <v>44133</v>
      </c>
    </row>
    <row r="4" spans="1:10" ht="18" x14ac:dyDescent="0.25">
      <c r="A4" s="17" t="s">
        <v>5</v>
      </c>
      <c r="C4" s="18">
        <v>43646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9" t="s">
        <v>8</v>
      </c>
      <c r="C7" s="40"/>
      <c r="D7" s="40"/>
      <c r="E7" s="41"/>
      <c r="F7" s="24" t="s">
        <v>9</v>
      </c>
      <c r="G7" s="39" t="s">
        <v>10</v>
      </c>
      <c r="H7" s="42"/>
      <c r="I7" s="43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C10" t="s">
        <v>18</v>
      </c>
      <c r="F10" s="13">
        <v>1548375.29</v>
      </c>
      <c r="H10" t="s">
        <v>17</v>
      </c>
    </row>
    <row r="11" spans="1:10" x14ac:dyDescent="0.25">
      <c r="C11" t="s">
        <v>16</v>
      </c>
      <c r="F11" s="13">
        <v>5023</v>
      </c>
    </row>
    <row r="12" spans="1:10" x14ac:dyDescent="0.25">
      <c r="C12" t="s">
        <v>13</v>
      </c>
      <c r="F12" s="29">
        <v>84033.27</v>
      </c>
    </row>
    <row r="13" spans="1:10" x14ac:dyDescent="0.25">
      <c r="C13" s="26"/>
      <c r="D13" s="26"/>
      <c r="E13" s="26"/>
      <c r="F13" s="27">
        <f>+F10-F11-F12</f>
        <v>1459319.02</v>
      </c>
    </row>
    <row r="14" spans="1:10" x14ac:dyDescent="0.25">
      <c r="C14" s="26" t="s">
        <v>14</v>
      </c>
      <c r="D14" s="26"/>
      <c r="E14" s="26"/>
      <c r="F14" s="29">
        <v>1460245.31</v>
      </c>
    </row>
    <row r="15" spans="1:10" x14ac:dyDescent="0.25">
      <c r="C15" s="21" t="s">
        <v>15</v>
      </c>
      <c r="F15" s="13">
        <f>+F13-F14</f>
        <v>-926.29000000003725</v>
      </c>
    </row>
    <row r="19" spans="3:3" x14ac:dyDescent="0.25">
      <c r="C19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2020-10-29T02:07:41Z</dcterms:modified>
</cp:coreProperties>
</file>