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ropbox\Dropbox (Personal)\SRC\SRC-Super\SAOSM Super\FY23\"/>
    </mc:Choice>
  </mc:AlternateContent>
  <xr:revisionPtr revIDLastSave="0" documentId="13_ncr:1_{95D4F414-7502-4AAB-81FB-3E96D0241075}" xr6:coauthVersionLast="47" xr6:coauthVersionMax="47" xr10:uidLastSave="{00000000-0000-0000-0000-000000000000}"/>
  <bookViews>
    <workbookView xWindow="28680" yWindow="3450" windowWidth="29040" windowHeight="15840" activeTab="1" xr2:uid="{DC0A9B61-C045-4774-BF7F-3B02250C7D25}"/>
  </bookViews>
  <sheets>
    <sheet name="List" sheetId="11" r:id="rId1"/>
    <sheet name="Cash Rec" sheetId="1" r:id="rId2"/>
    <sheet name="Income" sheetId="2" r:id="rId3"/>
    <sheet name="CGT" sheetId="10" r:id="rId4"/>
    <sheet name="Realised" sheetId="13" r:id="rId5"/>
    <sheet name="ASX Trades" sheetId="14" r:id="rId6"/>
    <sheet name="Fund Buys" sheetId="15" r:id="rId7"/>
  </sheets>
  <externalReferences>
    <externalReference r:id="rId8"/>
  </externalReferences>
  <definedNames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43656.8696064815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6" i="2" l="1"/>
  <c r="K37" i="2" s="1"/>
  <c r="L47" i="2" s="1"/>
  <c r="K10" i="2"/>
  <c r="N10" i="2"/>
  <c r="M10" i="2"/>
  <c r="C7" i="10" s="1"/>
  <c r="G10" i="2"/>
  <c r="F10" i="2"/>
  <c r="E10" i="2"/>
  <c r="L9" i="2"/>
  <c r="E5" i="15" l="1"/>
  <c r="G5" i="15" s="1"/>
  <c r="J5" i="15" s="1"/>
  <c r="H5" i="15"/>
  <c r="M5" i="15" s="1"/>
  <c r="G6" i="15"/>
  <c r="J6" i="15" s="1"/>
  <c r="H6" i="15"/>
  <c r="M6" i="15" s="1"/>
  <c r="N6" i="15"/>
  <c r="Q6" i="15"/>
  <c r="G7" i="15"/>
  <c r="H7" i="15"/>
  <c r="M7" i="15" s="1"/>
  <c r="I7" i="15"/>
  <c r="N7" i="15" s="1"/>
  <c r="J7" i="15"/>
  <c r="G8" i="15"/>
  <c r="H8" i="15"/>
  <c r="M8" i="15" s="1"/>
  <c r="I8" i="15"/>
  <c r="N8" i="15" s="1"/>
  <c r="J8" i="15"/>
  <c r="Q8" i="15"/>
  <c r="G9" i="15"/>
  <c r="H9" i="15"/>
  <c r="J9" i="15"/>
  <c r="N9" i="15"/>
  <c r="Q9" i="15"/>
  <c r="G10" i="15"/>
  <c r="H10" i="15"/>
  <c r="M10" i="15" s="1"/>
  <c r="J10" i="15"/>
  <c r="N10" i="15"/>
  <c r="Q10" i="15"/>
  <c r="J3" i="14"/>
  <c r="K3" i="14"/>
  <c r="J4" i="14"/>
  <c r="K4" i="14"/>
  <c r="K35" i="14" s="1"/>
  <c r="E16" i="1" s="1"/>
  <c r="J5" i="14"/>
  <c r="K5" i="14"/>
  <c r="J6" i="14"/>
  <c r="K6" i="14"/>
  <c r="J7" i="14"/>
  <c r="K7" i="14"/>
  <c r="J8" i="14"/>
  <c r="K8" i="14"/>
  <c r="J9" i="14"/>
  <c r="K9" i="14"/>
  <c r="J10" i="14"/>
  <c r="K10" i="14"/>
  <c r="J11" i="14"/>
  <c r="K11" i="14"/>
  <c r="J12" i="14"/>
  <c r="K12" i="14"/>
  <c r="J13" i="14"/>
  <c r="K13" i="14"/>
  <c r="J14" i="14"/>
  <c r="K14" i="14"/>
  <c r="J15" i="14"/>
  <c r="K15" i="14"/>
  <c r="J16" i="14"/>
  <c r="K16" i="14"/>
  <c r="J17" i="14"/>
  <c r="K17" i="14"/>
  <c r="J18" i="14"/>
  <c r="K18" i="14"/>
  <c r="J19" i="14"/>
  <c r="K19" i="14"/>
  <c r="J20" i="14"/>
  <c r="K20" i="14"/>
  <c r="J21" i="14"/>
  <c r="K21" i="14"/>
  <c r="J22" i="14"/>
  <c r="K22" i="14"/>
  <c r="J23" i="14"/>
  <c r="K23" i="14"/>
  <c r="J24" i="14"/>
  <c r="K24" i="14"/>
  <c r="J25" i="14"/>
  <c r="K25" i="14"/>
  <c r="J26" i="14"/>
  <c r="K26" i="14"/>
  <c r="J27" i="14"/>
  <c r="K27" i="14"/>
  <c r="J28" i="14"/>
  <c r="K28" i="14"/>
  <c r="J29" i="14"/>
  <c r="K29" i="14"/>
  <c r="J30" i="14"/>
  <c r="K30" i="14"/>
  <c r="J31" i="14"/>
  <c r="K31" i="14"/>
  <c r="J32" i="14"/>
  <c r="K32" i="14"/>
  <c r="J33" i="14"/>
  <c r="K33" i="14"/>
  <c r="J34" i="14"/>
  <c r="K34" i="14"/>
  <c r="J35" i="14"/>
  <c r="E17" i="1" s="1"/>
  <c r="J37" i="14"/>
  <c r="K37" i="14"/>
  <c r="J38" i="14"/>
  <c r="K38" i="14"/>
  <c r="J39" i="14"/>
  <c r="K39" i="14"/>
  <c r="J40" i="14"/>
  <c r="K40" i="14"/>
  <c r="J41" i="14"/>
  <c r="K41" i="14"/>
  <c r="J51" i="14"/>
  <c r="K51" i="14"/>
  <c r="E19" i="1" s="1"/>
  <c r="G3" i="13"/>
  <c r="J3" i="13"/>
  <c r="K3" i="13"/>
  <c r="M3" i="13" s="1"/>
  <c r="L3" i="13"/>
  <c r="Q3" i="13"/>
  <c r="G4" i="13"/>
  <c r="M4" i="13" s="1"/>
  <c r="J4" i="13"/>
  <c r="K4" i="13"/>
  <c r="L4" i="13"/>
  <c r="P4" i="13"/>
  <c r="Q4" i="13"/>
  <c r="G5" i="13"/>
  <c r="J5" i="13" s="1"/>
  <c r="H5" i="13"/>
  <c r="L5" i="13"/>
  <c r="Q5" i="13" s="1"/>
  <c r="P5" i="13"/>
  <c r="G6" i="13"/>
  <c r="J6" i="13"/>
  <c r="L6" i="13"/>
  <c r="M6" i="13" s="1"/>
  <c r="P6" i="13"/>
  <c r="G7" i="13"/>
  <c r="J7" i="13"/>
  <c r="L7" i="13"/>
  <c r="M7" i="13" s="1"/>
  <c r="P7" i="13"/>
  <c r="E8" i="13"/>
  <c r="G8" i="13"/>
  <c r="M8" i="13" s="1"/>
  <c r="J8" i="13"/>
  <c r="K8" i="13"/>
  <c r="L8" i="13"/>
  <c r="P8" i="13"/>
  <c r="Q8" i="13"/>
  <c r="G12" i="13"/>
  <c r="M12" i="13" s="1"/>
  <c r="J12" i="13"/>
  <c r="K12" i="13"/>
  <c r="P12" i="13"/>
  <c r="Q12" i="13"/>
  <c r="G13" i="13"/>
  <c r="M13" i="13" s="1"/>
  <c r="J13" i="13"/>
  <c r="K13" i="13"/>
  <c r="P13" i="13"/>
  <c r="Q13" i="13"/>
  <c r="G14" i="13"/>
  <c r="M14" i="13" s="1"/>
  <c r="J14" i="13"/>
  <c r="K14" i="13"/>
  <c r="P14" i="13"/>
  <c r="Q14" i="13"/>
  <c r="P15" i="13"/>
  <c r="Q15" i="13"/>
  <c r="E20" i="1" s="1"/>
  <c r="G17" i="13"/>
  <c r="J17" i="13" s="1"/>
  <c r="M17" i="13"/>
  <c r="U17" i="13" s="1"/>
  <c r="P17" i="13"/>
  <c r="Q17" i="13"/>
  <c r="T17" i="13"/>
  <c r="P18" i="13"/>
  <c r="P23" i="13" s="1"/>
  <c r="Q18" i="13"/>
  <c r="T18" i="13"/>
  <c r="U18" i="13"/>
  <c r="G19" i="13"/>
  <c r="H19" i="13"/>
  <c r="M19" i="13" s="1"/>
  <c r="J19" i="13"/>
  <c r="P19" i="13"/>
  <c r="I3" i="2"/>
  <c r="L3" i="2"/>
  <c r="I4" i="2"/>
  <c r="L4" i="2" s="1"/>
  <c r="I5" i="2"/>
  <c r="L5" i="2" s="1"/>
  <c r="C6" i="2"/>
  <c r="E12" i="1" s="1"/>
  <c r="C8" i="2"/>
  <c r="C10" i="2" s="1"/>
  <c r="L8" i="2"/>
  <c r="L10" i="2" s="1"/>
  <c r="G12" i="2"/>
  <c r="L12" i="2" s="1"/>
  <c r="G13" i="2"/>
  <c r="L13" i="2" s="1"/>
  <c r="P13" i="2"/>
  <c r="L14" i="2"/>
  <c r="P14" i="2"/>
  <c r="G15" i="2"/>
  <c r="L15" i="2" s="1"/>
  <c r="L16" i="2"/>
  <c r="P16" i="2"/>
  <c r="L17" i="2"/>
  <c r="P17" i="2"/>
  <c r="E18" i="2"/>
  <c r="G18" i="2"/>
  <c r="P18" i="2" s="1"/>
  <c r="E19" i="2"/>
  <c r="G19" i="2" s="1"/>
  <c r="C20" i="2"/>
  <c r="E20" i="2" s="1"/>
  <c r="G20" i="2" s="1"/>
  <c r="P20" i="2" s="1"/>
  <c r="E21" i="2"/>
  <c r="G21" i="2"/>
  <c r="P21" i="2"/>
  <c r="E22" i="2"/>
  <c r="G22" i="2" s="1"/>
  <c r="P22" i="2" s="1"/>
  <c r="E23" i="2"/>
  <c r="G23" i="2"/>
  <c r="P23" i="2" s="1"/>
  <c r="C24" i="2"/>
  <c r="E24" i="2" s="1"/>
  <c r="L25" i="2"/>
  <c r="P25" i="2"/>
  <c r="F26" i="2"/>
  <c r="C30" i="2"/>
  <c r="E30" i="2"/>
  <c r="L30" i="2" s="1"/>
  <c r="F30" i="2"/>
  <c r="G30" i="2"/>
  <c r="C35" i="2"/>
  <c r="E35" i="2"/>
  <c r="F35" i="2"/>
  <c r="G35" i="2"/>
  <c r="L35" i="2"/>
  <c r="E10" i="1"/>
  <c r="E40" i="1"/>
  <c r="L23" i="2" l="1"/>
  <c r="L21" i="2"/>
  <c r="L18" i="2"/>
  <c r="M9" i="15"/>
  <c r="U19" i="13"/>
  <c r="T19" i="13"/>
  <c r="T23" i="13" s="1"/>
  <c r="C5" i="10" s="1"/>
  <c r="T14" i="13"/>
  <c r="U14" i="13"/>
  <c r="T3" i="13"/>
  <c r="U3" i="13"/>
  <c r="G24" i="2"/>
  <c r="P24" i="2" s="1"/>
  <c r="E26" i="2"/>
  <c r="E37" i="2" s="1"/>
  <c r="L6" i="2"/>
  <c r="T12" i="13"/>
  <c r="U12" i="13"/>
  <c r="T8" i="13"/>
  <c r="U8" i="13"/>
  <c r="U7" i="13"/>
  <c r="T7" i="13"/>
  <c r="T4" i="13"/>
  <c r="U4" i="13"/>
  <c r="U6" i="13"/>
  <c r="T6" i="13"/>
  <c r="U23" i="13"/>
  <c r="E5" i="10" s="1"/>
  <c r="L19" i="2"/>
  <c r="P19" i="2"/>
  <c r="T13" i="13"/>
  <c r="U13" i="13"/>
  <c r="Q7" i="13"/>
  <c r="Q6" i="13"/>
  <c r="Q9" i="13" s="1"/>
  <c r="Q5" i="15"/>
  <c r="Q13" i="15" s="1"/>
  <c r="E22" i="1" s="1"/>
  <c r="N5" i="15"/>
  <c r="M5" i="13"/>
  <c r="Q7" i="15"/>
  <c r="C26" i="2"/>
  <c r="E14" i="1" s="1"/>
  <c r="E32" i="1" s="1"/>
  <c r="E42" i="1" s="1"/>
  <c r="P3" i="13"/>
  <c r="P9" i="13" s="1"/>
  <c r="Q19" i="13"/>
  <c r="Q23" i="13" s="1"/>
  <c r="E23" i="1" s="1"/>
  <c r="G26" i="2"/>
  <c r="G37" i="2" s="1"/>
  <c r="L46" i="2" s="1"/>
  <c r="L22" i="2"/>
  <c r="L20" i="2"/>
  <c r="P15" i="2"/>
  <c r="P12" i="2"/>
  <c r="C37" i="2" l="1"/>
  <c r="U15" i="13"/>
  <c r="T15" i="13"/>
  <c r="U5" i="13"/>
  <c r="U9" i="13" s="1"/>
  <c r="E3" i="10" s="1"/>
  <c r="E17" i="10" s="1"/>
  <c r="T5" i="13"/>
  <c r="T9" i="13" s="1"/>
  <c r="C3" i="10" s="1"/>
  <c r="C10" i="10" s="1"/>
  <c r="L24" i="2"/>
  <c r="L26" i="2" s="1"/>
  <c r="L37" i="2" l="1"/>
  <c r="L44" i="2" s="1"/>
  <c r="L45" i="2" s="1"/>
  <c r="L48" i="2" s="1"/>
  <c r="N17" i="10"/>
  <c r="E18" i="10"/>
  <c r="N18" i="10" l="1"/>
  <c r="N19" i="10" s="1"/>
  <c r="N20" i="10" l="1"/>
  <c r="E20" i="10" s="1"/>
  <c r="E22" i="10" s="1"/>
  <c r="E26" i="10" s="1"/>
  <c r="N22" i="10" l="1"/>
  <c r="N24" i="10" s="1"/>
  <c r="L49" i="2" s="1"/>
  <c r="L5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Stuart</author>
  </authors>
  <commentList>
    <comment ref="C8" authorId="0" shapeId="0" xr:uid="{5C307061-66FF-471C-91A0-4224641385C2}">
      <text>
        <r>
          <rPr>
            <b/>
            <sz val="9"/>
            <color indexed="81"/>
            <rFont val="Tahoma"/>
            <family val="2"/>
          </rPr>
          <t>Stuart:</t>
        </r>
        <r>
          <rPr>
            <sz val="9"/>
            <color indexed="81"/>
            <rFont val="Tahoma"/>
            <family val="2"/>
          </rPr>
          <t xml:space="preserve">
All income is now paid in cash (used to be DRP). $21,550.10 relates to FY22 distribution that was received 11 July 22.</t>
        </r>
      </text>
    </comment>
    <comment ref="C9" authorId="0" shapeId="0" xr:uid="{49951FA3-6FDC-4AA8-AD71-1DFB3BBCE926}">
      <text>
        <r>
          <rPr>
            <b/>
            <sz val="9"/>
            <color indexed="81"/>
            <rFont val="Tahoma"/>
            <family val="2"/>
          </rPr>
          <t>Stuart:</t>
        </r>
        <r>
          <rPr>
            <sz val="9"/>
            <color indexed="81"/>
            <rFont val="Tahoma"/>
            <family val="2"/>
          </rPr>
          <t xml:space="preserve">
DRP</t>
        </r>
      </text>
    </comment>
    <comment ref="I35" authorId="0" shapeId="0" xr:uid="{93B49273-B2C3-4331-A289-AB3AF520646E}">
      <text>
        <r>
          <rPr>
            <b/>
            <sz val="9"/>
            <color indexed="81"/>
            <rFont val="Tahoma"/>
            <family val="2"/>
          </rPr>
          <t>Stuart:</t>
        </r>
        <r>
          <rPr>
            <sz val="9"/>
            <color indexed="81"/>
            <rFont val="Tahoma"/>
            <family val="2"/>
          </rPr>
          <t xml:space="preserve">
As per LLC EOFY statement</t>
        </r>
      </text>
    </comment>
    <comment ref="J35" authorId="0" shapeId="0" xr:uid="{D5F4C307-57C5-4F9D-965D-81407F49F9D5}">
      <text>
        <r>
          <rPr>
            <b/>
            <sz val="9"/>
            <color indexed="81"/>
            <rFont val="Tahoma"/>
            <family val="2"/>
          </rPr>
          <t>Stuart:</t>
        </r>
        <r>
          <rPr>
            <sz val="9"/>
            <color indexed="81"/>
            <rFont val="Tahoma"/>
            <family val="2"/>
          </rPr>
          <t xml:space="preserve">
As per LLC EOFY statement</t>
        </r>
      </text>
    </comment>
    <comment ref="K35" authorId="0" shapeId="0" xr:uid="{A1E51B79-8DB0-4CAD-B2B1-7FE21002FDFA}">
      <text>
        <r>
          <rPr>
            <b/>
            <sz val="9"/>
            <color indexed="81"/>
            <rFont val="Tahoma"/>
            <family val="2"/>
          </rPr>
          <t>Stuart:</t>
        </r>
        <r>
          <rPr>
            <sz val="9"/>
            <color indexed="81"/>
            <rFont val="Tahoma"/>
            <family val="2"/>
          </rPr>
          <t xml:space="preserve">
As per LLC EOFY statement</t>
        </r>
      </text>
    </comment>
    <comment ref="M35" authorId="0" shapeId="0" xr:uid="{264BA55A-5D77-404D-82DD-61D6C6069FFA}">
      <text>
        <r>
          <rPr>
            <b/>
            <sz val="9"/>
            <color indexed="81"/>
            <rFont val="Tahoma"/>
            <family val="2"/>
          </rPr>
          <t>Stuart:</t>
        </r>
        <r>
          <rPr>
            <sz val="9"/>
            <color indexed="81"/>
            <rFont val="Tahoma"/>
            <family val="2"/>
          </rPr>
          <t xml:space="preserve">
As per LLC EOFY statement</t>
        </r>
      </text>
    </comment>
    <comment ref="N35" authorId="0" shapeId="0" xr:uid="{1B2188EC-D90C-402C-8D85-70F6A6E8D036}">
      <text>
        <r>
          <rPr>
            <b/>
            <sz val="9"/>
            <color indexed="81"/>
            <rFont val="Tahoma"/>
            <family val="2"/>
          </rPr>
          <t>Stuart:</t>
        </r>
        <r>
          <rPr>
            <sz val="9"/>
            <color indexed="81"/>
            <rFont val="Tahoma"/>
            <family val="2"/>
          </rPr>
          <t xml:space="preserve">
As per LLC EOFY statement</t>
        </r>
      </text>
    </comment>
  </commentList>
</comments>
</file>

<file path=xl/sharedStrings.xml><?xml version="1.0" encoding="utf-8"?>
<sst xmlns="http://schemas.openxmlformats.org/spreadsheetml/2006/main" count="318" uniqueCount="179">
  <si>
    <t>Rollover - SRC</t>
  </si>
  <si>
    <t>Rollover - AMC</t>
  </si>
  <si>
    <t>KOV</t>
  </si>
  <si>
    <t>FRI</t>
  </si>
  <si>
    <t>SDG</t>
  </si>
  <si>
    <t>AMP SuperEdge Saver Account</t>
  </si>
  <si>
    <t>NAB Trade Cash account</t>
  </si>
  <si>
    <t>NAB Trade High Interest account</t>
  </si>
  <si>
    <t>Rollovers</t>
  </si>
  <si>
    <t xml:space="preserve">Opening balance </t>
  </si>
  <si>
    <t xml:space="preserve">Dividend income received </t>
  </si>
  <si>
    <t>Interest Income received over period</t>
  </si>
  <si>
    <t>Date</t>
  </si>
  <si>
    <t>Description</t>
  </si>
  <si>
    <t>Stock</t>
  </si>
  <si>
    <t>Franked</t>
  </si>
  <si>
    <t>Unfranked</t>
  </si>
  <si>
    <t>Franking Credits</t>
  </si>
  <si>
    <t>Owner</t>
  </si>
  <si>
    <t>Purchase Date</t>
  </si>
  <si>
    <t>Sale Date</t>
  </si>
  <si>
    <t>Purchase Price</t>
  </si>
  <si>
    <t>Capital Returns</t>
  </si>
  <si>
    <t>Adjusted Purchase Price</t>
  </si>
  <si>
    <t>Sale Price</t>
  </si>
  <si>
    <t>Quantity</t>
  </si>
  <si>
    <t>Adjusted Cost</t>
  </si>
  <si>
    <t>Purchase Brokerage</t>
  </si>
  <si>
    <t>Sale Brokerage</t>
  </si>
  <si>
    <t>Unrealised P/L</t>
  </si>
  <si>
    <t>For Reconciliation</t>
    <phoneticPr fontId="0" type="noConversion"/>
  </si>
  <si>
    <t>FMG</t>
  </si>
  <si>
    <t>Buy trades (NAB Trade)</t>
  </si>
  <si>
    <t>Total Proceeds</t>
  </si>
  <si>
    <t>Cash Cost</t>
  </si>
  <si>
    <t>Sell trades (NAB Trade)</t>
  </si>
  <si>
    <t>As per statement</t>
  </si>
  <si>
    <t>Stapled securities</t>
  </si>
  <si>
    <t>Units in listed trusts (Australian)</t>
  </si>
  <si>
    <t>Shares in listed companies (Australian)</t>
  </si>
  <si>
    <t>Zero Check</t>
  </si>
  <si>
    <t>Foreign Income</t>
  </si>
  <si>
    <t>Foreign Credits</t>
  </si>
  <si>
    <t>Assessable income excl Capital Gains</t>
  </si>
  <si>
    <t>Interst / Other</t>
  </si>
  <si>
    <t>Distributed capital Gains</t>
  </si>
  <si>
    <t>Managed Investments</t>
  </si>
  <si>
    <t>MDEYF</t>
  </si>
  <si>
    <t>Non Assessable payments</t>
  </si>
  <si>
    <t>Cash Account, NABTrade</t>
  </si>
  <si>
    <t>High Interest  Account, NABTrade</t>
  </si>
  <si>
    <t>AMP SuperEdge Saver</t>
  </si>
  <si>
    <t>Gives Taxable Income</t>
  </si>
  <si>
    <t>Income Tax</t>
  </si>
  <si>
    <t>Less franking credits</t>
  </si>
  <si>
    <t>Less foreign credits</t>
  </si>
  <si>
    <t>Gives Current Tax or Refund</t>
  </si>
  <si>
    <t>Supervisory Levy</t>
  </si>
  <si>
    <t>Supervisory Levy Adjustment for New Funds</t>
  </si>
  <si>
    <t>Amount Due or Refundable</t>
  </si>
  <si>
    <t>Tax Calculation</t>
  </si>
  <si>
    <t>Shares in ASX listed companies</t>
  </si>
  <si>
    <t>Capital Gain</t>
  </si>
  <si>
    <t>Capital Loss</t>
  </si>
  <si>
    <t>Unit Trusts</t>
  </si>
  <si>
    <t>A</t>
  </si>
  <si>
    <t>K</t>
  </si>
  <si>
    <t>M</t>
  </si>
  <si>
    <t>C</t>
  </si>
  <si>
    <t>Managed Fund</t>
  </si>
  <si>
    <t>G</t>
  </si>
  <si>
    <t>Total Current Year capital gains</t>
  </si>
  <si>
    <t>1. Current year capital gains and capital losses</t>
  </si>
  <si>
    <t>J</t>
  </si>
  <si>
    <t>2. Capital Losses</t>
  </si>
  <si>
    <t>B</t>
  </si>
  <si>
    <t>Total Prior Year net capital losses applied</t>
  </si>
  <si>
    <t>Total capital losses applied</t>
  </si>
  <si>
    <t>E</t>
  </si>
  <si>
    <t>3. Unapplied net capital losses carried forward</t>
  </si>
  <si>
    <t>Other net capital losses carried forward to later years</t>
  </si>
  <si>
    <t>Total Current Year Capital Losses</t>
  </si>
  <si>
    <t>Total Current Year capital losses applied</t>
  </si>
  <si>
    <t>Files required by Green Frog to complete fund accounts and tax</t>
  </si>
  <si>
    <t>Annual NABTrade portfolio reports</t>
  </si>
  <si>
    <t>Holdings at 30 June FYXX</t>
  </si>
  <si>
    <t>Bank Statements for all bank accounts - through to 31 July FYXX</t>
  </si>
  <si>
    <t>Transaction listing for FYXX</t>
  </si>
  <si>
    <t>Estimate of interest and dividends for FYXX</t>
  </si>
  <si>
    <t>X0093768744</t>
  </si>
  <si>
    <t>No need to send dividend information - this is accessed directly by Green Frog via share registry using HIN.</t>
  </si>
  <si>
    <t>Expenses</t>
  </si>
  <si>
    <t>Green Frog Super fees</t>
  </si>
  <si>
    <t>ATO</t>
  </si>
  <si>
    <t>Prior period capital loss carry forward</t>
  </si>
  <si>
    <t>Current Year Capital Gains net of applied capital losses</t>
  </si>
  <si>
    <t>ie How much of current year losses have been applied against current year gains?</t>
  </si>
  <si>
    <t>Check</t>
  </si>
  <si>
    <t>RHC</t>
  </si>
  <si>
    <t>Cash Income</t>
  </si>
  <si>
    <t>Supervisory levy expense</t>
  </si>
  <si>
    <t>As per Green Frog (to reconcile)</t>
  </si>
  <si>
    <t>Year end Tax statements from listed trusts - eg LLC; not held in FY23 onwards</t>
  </si>
  <si>
    <t>Year end Tax statements from staples securities - eg ALX; Not held in FY22 onwards</t>
  </si>
  <si>
    <t>Total for FY23</t>
  </si>
  <si>
    <t>Based on FY22-SAOSM Super.xlsx</t>
  </si>
  <si>
    <t>SASOM Super Fund - Cash reconciliation (FY23)</t>
  </si>
  <si>
    <t>Expected Cash Position at 30 June 23</t>
  </si>
  <si>
    <t xml:space="preserve">Closing Cash Balance (30 June 23) </t>
  </si>
  <si>
    <t>Audit and admin expenses (paid 5 Nov 22 from AMP Bank)</t>
  </si>
  <si>
    <t>SMSF</t>
  </si>
  <si>
    <t>Realised Gain</t>
  </si>
  <si>
    <t>Realised Loss</t>
  </si>
  <si>
    <t>ORG</t>
  </si>
  <si>
    <t>CAA</t>
  </si>
  <si>
    <t>OZL</t>
  </si>
  <si>
    <t>MacqDEYF</t>
  </si>
  <si>
    <t>Realised P/L</t>
  </si>
  <si>
    <t>AMP Fees Telegrpahic Transfer fee</t>
  </si>
  <si>
    <t>Confirmation No.</t>
  </si>
  <si>
    <t>Code</t>
  </si>
  <si>
    <t>Action</t>
  </si>
  <si>
    <t>Avg. price</t>
  </si>
  <si>
    <t>Fees</t>
  </si>
  <si>
    <t>Settl. value</t>
  </si>
  <si>
    <t>Sales</t>
  </si>
  <si>
    <t>Buys</t>
  </si>
  <si>
    <t>Buy</t>
  </si>
  <si>
    <t>Sell</t>
  </si>
  <si>
    <t>CAA.ASX</t>
  </si>
  <si>
    <t>SDG.ASX</t>
  </si>
  <si>
    <t>MRM.ASX</t>
  </si>
  <si>
    <t>OZL.ASX</t>
  </si>
  <si>
    <t>ORG.ASX</t>
  </si>
  <si>
    <t>FMG.ASX</t>
  </si>
  <si>
    <t>KOV.ASX</t>
  </si>
  <si>
    <t>SGR.ASX</t>
  </si>
  <si>
    <t>DOW.ASX</t>
  </si>
  <si>
    <t>Refer to prior year closing balance; adjusted for unsettled trade at prior year end if necessary</t>
  </si>
  <si>
    <t>Contributions</t>
  </si>
  <si>
    <t>5 monthly contributions</t>
  </si>
  <si>
    <t>Less unsettled trade at 30 June 23</t>
  </si>
  <si>
    <t>Purchase costs of Managed Funds</t>
  </si>
  <si>
    <t>MacqTrueIndexGlobal</t>
  </si>
  <si>
    <t>Managed Funds: Purchases</t>
  </si>
  <si>
    <t>Raw Cost</t>
  </si>
  <si>
    <t>Bank Fees</t>
  </si>
  <si>
    <t>FY23</t>
  </si>
  <si>
    <t>Proceeds from sale of Manage Funds</t>
  </si>
  <si>
    <t>ASX shares bought off-market</t>
  </si>
  <si>
    <t>ASX shares sold off-market</t>
  </si>
  <si>
    <t>On-market trades - NABTrade</t>
  </si>
  <si>
    <t>Bank Accounts: Interest</t>
  </si>
  <si>
    <t>ASX listed companies - on market sale trades</t>
  </si>
  <si>
    <t>ASX listed companies - off market sale trades</t>
  </si>
  <si>
    <t>Unit Trusts - sales</t>
  </si>
  <si>
    <t>Supervisory levy</t>
  </si>
  <si>
    <t>DRP</t>
  </si>
  <si>
    <t>Total cash cost</t>
  </si>
  <si>
    <t>Off-market trades</t>
  </si>
  <si>
    <t>Strip rounding differences</t>
  </si>
  <si>
    <t>These trades were cancelled, so should not be included for cash rec</t>
  </si>
  <si>
    <t>Reconciled at 30 June 23</t>
  </si>
  <si>
    <t>????</t>
  </si>
  <si>
    <t>Tax refund from prio year - mainly franking credits</t>
  </si>
  <si>
    <t>Year end Tax statements from managed funds - eg MDEYF, Macq Global Equities</t>
  </si>
  <si>
    <t>Periodic Statements for the MDEYF, Macq Global Equities</t>
  </si>
  <si>
    <t>Cancelled trades - NAB Trade</t>
  </si>
  <si>
    <t>Postcode</t>
  </si>
  <si>
    <t>HIN</t>
  </si>
  <si>
    <t>Capital Gains Tax payable</t>
  </si>
  <si>
    <t>Taxable capital gains</t>
  </si>
  <si>
    <t>CGT Rate</t>
  </si>
  <si>
    <t>&lt;&lt;&lt; 10% / 15% or a blend ???</t>
  </si>
  <si>
    <t>CGT amount</t>
  </si>
  <si>
    <t>&lt;&lt;&lt;&lt;&lt; added functionality in here</t>
  </si>
  <si>
    <t>Uploaded on 20 Oct 23</t>
  </si>
  <si>
    <t>N/A</t>
  </si>
  <si>
    <t>AMP Statements (to June 23) downloaded in Dropbox - Uploaded to GreenFrog on 20 Oct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</si>
</sst>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8" formatCode="&quot;$&quot;#,##0.00;[Red]\-&quot;$&quot;#,##0.00"/>
    <numFmt numFmtId="164" formatCode="[$-C09]dd\-mmm\-yy;@"/>
    <numFmt numFmtId="165" formatCode="&quot;$&quot;#,##0.00"/>
    <numFmt numFmtId="166" formatCode="dd\-mmm\-yy"/>
    <numFmt numFmtId="167" formatCode="#,##0.0000"/>
    <numFmt numFmtId="168" formatCode="0.000"/>
    <numFmt numFmtId="169" formatCode="0.0000"/>
    <numFmt numFmtId="170" formatCode="0.00000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MS Sans Serif"/>
      <family val="2"/>
    </font>
    <font>
      <sz val="10"/>
      <color indexed="12"/>
      <name val="MS Sans Serif"/>
      <family val="2"/>
    </font>
    <font>
      <sz val="10"/>
      <name val="MS Sans Serif"/>
      <family val="2"/>
    </font>
    <font>
      <i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1"/>
      <color theme="4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Verdana"/>
      <family val="2"/>
    </font>
    <font>
      <b/>
      <sz val="11"/>
      <color indexed="12"/>
      <name val="MS Sans Serif"/>
      <family val="2"/>
    </font>
    <font>
      <sz val="11"/>
      <color indexed="12"/>
      <name val="MS Sans Serif"/>
      <family val="2"/>
    </font>
    <font>
      <b/>
      <sz val="11"/>
      <name val="Calibri"/>
      <family val="2"/>
      <scheme val="minor"/>
    </font>
    <font>
      <b/>
      <sz val="10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79">
    <xf numFmtId="0" fontId="0" fillId="0" borderId="0" xfId="0"/>
    <xf numFmtId="4" fontId="0" fillId="0" borderId="0" xfId="0" applyNumberFormat="1"/>
    <xf numFmtId="15" fontId="0" fillId="0" borderId="0" xfId="0" applyNumberFormat="1"/>
    <xf numFmtId="4" fontId="1" fillId="0" borderId="0" xfId="0" applyNumberFormat="1" applyFont="1"/>
    <xf numFmtId="0" fontId="1" fillId="0" borderId="0" xfId="0" applyFont="1"/>
    <xf numFmtId="4" fontId="1" fillId="0" borderId="1" xfId="0" applyNumberFormat="1" applyFont="1" applyBorder="1"/>
    <xf numFmtId="2" fontId="0" fillId="0" borderId="0" xfId="0" applyNumberFormat="1"/>
    <xf numFmtId="8" fontId="0" fillId="0" borderId="0" xfId="0" applyNumberFormat="1"/>
    <xf numFmtId="0" fontId="0" fillId="2" borderId="0" xfId="0" applyFill="1"/>
    <xf numFmtId="165" fontId="0" fillId="0" borderId="0" xfId="0" applyNumberFormat="1"/>
    <xf numFmtId="10" fontId="3" fillId="0" borderId="0" xfId="1" applyNumberFormat="1" applyFont="1"/>
    <xf numFmtId="0" fontId="4" fillId="0" borderId="0" xfId="0" applyFont="1" applyAlignment="1">
      <alignment textRotation="90"/>
    </xf>
    <xf numFmtId="166" fontId="4" fillId="0" borderId="0" xfId="0" applyNumberFormat="1" applyFont="1" applyAlignment="1">
      <alignment textRotation="90"/>
    </xf>
    <xf numFmtId="167" fontId="4" fillId="0" borderId="0" xfId="0" applyNumberFormat="1" applyFont="1" applyAlignment="1">
      <alignment textRotation="90"/>
    </xf>
    <xf numFmtId="168" fontId="4" fillId="0" borderId="0" xfId="0" applyNumberFormat="1" applyFont="1" applyAlignment="1">
      <alignment textRotation="90"/>
    </xf>
    <xf numFmtId="3" fontId="4" fillId="0" borderId="0" xfId="0" applyNumberFormat="1" applyFont="1" applyAlignment="1">
      <alignment textRotation="90"/>
    </xf>
    <xf numFmtId="166" fontId="0" fillId="2" borderId="0" xfId="0" applyNumberFormat="1" applyFill="1"/>
    <xf numFmtId="167" fontId="0" fillId="2" borderId="0" xfId="0" applyNumberFormat="1" applyFill="1"/>
    <xf numFmtId="3" fontId="0" fillId="2" borderId="0" xfId="0" applyNumberFormat="1" applyFill="1"/>
    <xf numFmtId="3" fontId="0" fillId="0" borderId="0" xfId="0" applyNumberFormat="1"/>
    <xf numFmtId="169" fontId="0" fillId="2" borderId="0" xfId="0" applyNumberFormat="1" applyFill="1"/>
    <xf numFmtId="2" fontId="0" fillId="2" borderId="0" xfId="0" applyNumberFormat="1" applyFill="1"/>
    <xf numFmtId="4" fontId="0" fillId="0" borderId="1" xfId="0" applyNumberFormat="1" applyBorder="1"/>
    <xf numFmtId="4" fontId="0" fillId="2" borderId="0" xfId="0" applyNumberFormat="1" applyFill="1"/>
    <xf numFmtId="0" fontId="7" fillId="0" borderId="0" xfId="0" applyFont="1"/>
    <xf numFmtId="4" fontId="7" fillId="0" borderId="0" xfId="0" applyNumberFormat="1" applyFont="1"/>
    <xf numFmtId="0" fontId="1" fillId="0" borderId="0" xfId="0" applyFont="1" applyAlignment="1">
      <alignment wrapText="1"/>
    </xf>
    <xf numFmtId="4" fontId="0" fillId="0" borderId="0" xfId="0" applyNumberFormat="1" applyAlignment="1">
      <alignment wrapText="1"/>
    </xf>
    <xf numFmtId="9" fontId="0" fillId="2" borderId="0" xfId="0" applyNumberFormat="1" applyFill="1"/>
    <xf numFmtId="4" fontId="1" fillId="0" borderId="2" xfId="0" applyNumberFormat="1" applyFont="1" applyBorder="1"/>
    <xf numFmtId="4" fontId="1" fillId="2" borderId="0" xfId="0" applyNumberFormat="1" applyFont="1" applyFill="1"/>
    <xf numFmtId="15" fontId="0" fillId="2" borderId="0" xfId="0" applyNumberFormat="1" applyFill="1" applyAlignment="1">
      <alignment horizontal="left"/>
    </xf>
    <xf numFmtId="4" fontId="11" fillId="2" borderId="0" xfId="0" applyNumberFormat="1" applyFont="1" applyFill="1"/>
    <xf numFmtId="15" fontId="0" fillId="2" borderId="0" xfId="0" applyNumberFormat="1" applyFill="1"/>
    <xf numFmtId="15" fontId="11" fillId="2" borderId="0" xfId="0" applyNumberFormat="1" applyFont="1" applyFill="1"/>
    <xf numFmtId="15" fontId="12" fillId="2" borderId="0" xfId="0" applyNumberFormat="1" applyFont="1" applyFill="1"/>
    <xf numFmtId="4" fontId="12" fillId="2" borderId="0" xfId="0" applyNumberFormat="1" applyFont="1" applyFill="1"/>
    <xf numFmtId="0" fontId="10" fillId="0" borderId="0" xfId="0" applyFont="1"/>
    <xf numFmtId="0" fontId="13" fillId="0" borderId="0" xfId="0" applyFont="1"/>
    <xf numFmtId="3" fontId="6" fillId="0" borderId="0" xfId="0" applyNumberFormat="1" applyFont="1"/>
    <xf numFmtId="10" fontId="0" fillId="0" borderId="0" xfId="1" applyNumberFormat="1" applyFont="1"/>
    <xf numFmtId="0" fontId="1" fillId="0" borderId="0" xfId="0" applyFont="1" applyAlignment="1">
      <alignment horizontal="right"/>
    </xf>
    <xf numFmtId="169" fontId="12" fillId="2" borderId="0" xfId="0" applyNumberFormat="1" applyFont="1" applyFill="1"/>
    <xf numFmtId="4" fontId="12" fillId="0" borderId="0" xfId="0" applyNumberFormat="1" applyFont="1"/>
    <xf numFmtId="0" fontId="12" fillId="0" borderId="0" xfId="0" applyFont="1"/>
    <xf numFmtId="0" fontId="12" fillId="2" borderId="0" xfId="0" applyFont="1" applyFill="1"/>
    <xf numFmtId="0" fontId="1" fillId="3" borderId="0" xfId="0" applyFont="1" applyFill="1"/>
    <xf numFmtId="4" fontId="11" fillId="0" borderId="0" xfId="0" applyNumberFormat="1" applyFont="1"/>
    <xf numFmtId="4" fontId="0" fillId="3" borderId="0" xfId="0" applyNumberFormat="1" applyFill="1"/>
    <xf numFmtId="166" fontId="12" fillId="2" borderId="0" xfId="0" applyNumberFormat="1" applyFont="1" applyFill="1"/>
    <xf numFmtId="164" fontId="0" fillId="0" borderId="0" xfId="0" applyNumberFormat="1"/>
    <xf numFmtId="0" fontId="0" fillId="3" borderId="0" xfId="0" applyFill="1"/>
    <xf numFmtId="0" fontId="14" fillId="0" borderId="0" xfId="0" applyFont="1"/>
    <xf numFmtId="17" fontId="15" fillId="0" borderId="0" xfId="0" applyNumberFormat="1" applyFont="1" applyAlignment="1">
      <alignment horizontal="center" textRotation="90"/>
    </xf>
    <xf numFmtId="0" fontId="15" fillId="0" borderId="0" xfId="0" applyFont="1" applyAlignment="1">
      <alignment horizontal="center" textRotation="90"/>
    </xf>
    <xf numFmtId="2" fontId="15" fillId="0" borderId="0" xfId="0" applyNumberFormat="1" applyFont="1" applyAlignment="1">
      <alignment horizontal="center" textRotation="90"/>
    </xf>
    <xf numFmtId="0" fontId="16" fillId="0" borderId="0" xfId="0" applyFont="1"/>
    <xf numFmtId="2" fontId="12" fillId="0" borderId="0" xfId="0" applyNumberFormat="1" applyFont="1"/>
    <xf numFmtId="2" fontId="11" fillId="0" borderId="0" xfId="0" applyNumberFormat="1" applyFont="1"/>
    <xf numFmtId="0" fontId="11" fillId="0" borderId="0" xfId="0" applyFont="1"/>
    <xf numFmtId="0" fontId="17" fillId="0" borderId="0" xfId="0" applyFont="1"/>
    <xf numFmtId="168" fontId="5" fillId="4" borderId="0" xfId="0" applyNumberFormat="1" applyFont="1" applyFill="1"/>
    <xf numFmtId="168" fontId="0" fillId="2" borderId="0" xfId="0" applyNumberFormat="1" applyFill="1"/>
    <xf numFmtId="168" fontId="12" fillId="2" borderId="0" xfId="0" applyNumberFormat="1" applyFont="1" applyFill="1"/>
    <xf numFmtId="170" fontId="12" fillId="2" borderId="0" xfId="0" applyNumberFormat="1" applyFont="1" applyFill="1"/>
    <xf numFmtId="3" fontId="17" fillId="0" borderId="0" xfId="0" applyNumberFormat="1" applyFont="1" applyAlignment="1">
      <alignment textRotation="90"/>
    </xf>
    <xf numFmtId="0" fontId="17" fillId="0" borderId="0" xfId="0" applyFont="1" applyAlignment="1">
      <alignment textRotation="90"/>
    </xf>
    <xf numFmtId="166" fontId="17" fillId="0" borderId="0" xfId="0" applyNumberFormat="1" applyFont="1" applyAlignment="1">
      <alignment textRotation="90"/>
    </xf>
    <xf numFmtId="167" fontId="17" fillId="0" borderId="0" xfId="0" applyNumberFormat="1" applyFont="1" applyAlignment="1">
      <alignment textRotation="90"/>
    </xf>
    <xf numFmtId="168" fontId="17" fillId="0" borderId="0" xfId="0" applyNumberFormat="1" applyFont="1" applyAlignment="1">
      <alignment textRotation="90"/>
    </xf>
    <xf numFmtId="0" fontId="18" fillId="0" borderId="0" xfId="0" applyFont="1"/>
    <xf numFmtId="14" fontId="0" fillId="0" borderId="0" xfId="0" applyNumberFormat="1"/>
    <xf numFmtId="4" fontId="1" fillId="0" borderId="0" xfId="0" applyNumberFormat="1" applyFont="1" applyAlignment="1">
      <alignment horizontal="right"/>
    </xf>
    <xf numFmtId="4" fontId="17" fillId="0" borderId="0" xfId="0" applyNumberFormat="1" applyFont="1" applyAlignment="1">
      <alignment horizontal="right"/>
    </xf>
    <xf numFmtId="2" fontId="17" fillId="0" borderId="0" xfId="0" applyNumberFormat="1" applyFont="1"/>
    <xf numFmtId="14" fontId="1" fillId="0" borderId="0" xfId="0" applyNumberFormat="1" applyFont="1"/>
    <xf numFmtId="14" fontId="0" fillId="3" borderId="0" xfId="0" applyNumberFormat="1" applyFill="1"/>
    <xf numFmtId="0" fontId="0" fillId="0" borderId="0" xfId="0" applyAlignment="1">
      <alignment horizontal="left"/>
    </xf>
    <xf numFmtId="9" fontId="0" fillId="3" borderId="0" xfId="0" applyNumberFormat="1" applyFill="1"/>
  </cellXfs>
  <cellStyles count="2">
    <cellStyle name="Normal" xfId="0" builtinId="0"/>
    <cellStyle name="Percent" xfId="1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142874</xdr:colOff>
      <xdr:row>16</xdr:row>
      <xdr:rowOff>177872</xdr:rowOff>
    </xdr:from>
    <xdr:to>
      <xdr:col>22</xdr:col>
      <xdr:colOff>116115</xdr:colOff>
      <xdr:row>22</xdr:row>
      <xdr:rowOff>162166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B6DF40F-A0A3-BA2C-9139-C9799B09B6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15349" y="3225872"/>
          <a:ext cx="8507641" cy="1127294"/>
        </a:xfrm>
        <a:prstGeom prst="rect">
          <a:avLst/>
        </a:prstGeom>
      </xdr:spPr>
    </xdr:pic>
    <xdr:clientData/>
  </xdr:twoCellAnchor>
  <xdr:twoCellAnchor editAs="oneCell">
    <xdr:from>
      <xdr:col>9</xdr:col>
      <xdr:colOff>219075</xdr:colOff>
      <xdr:row>23</xdr:row>
      <xdr:rowOff>19050</xdr:rowOff>
    </xdr:from>
    <xdr:to>
      <xdr:col>19</xdr:col>
      <xdr:colOff>124663</xdr:colOff>
      <xdr:row>49</xdr:row>
      <xdr:rowOff>57852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AE5D6CFD-4D52-0CD9-3A3D-A67B41E837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201150" y="4400550"/>
          <a:ext cx="6001588" cy="502990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579337</xdr:colOff>
      <xdr:row>10</xdr:row>
      <xdr:rowOff>190718</xdr:rowOff>
    </xdr:from>
    <xdr:to>
      <xdr:col>22</xdr:col>
      <xdr:colOff>402341</xdr:colOff>
      <xdr:row>33</xdr:row>
      <xdr:rowOff>176134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A1D5886-3500-0142-7F92-E64388494C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863130" y="2432925"/>
          <a:ext cx="4175907" cy="426851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Dropbox\Dropbox%20(Personal)\SRC\SRC-Other\FRED-Take2.xlsx" TargetMode="External"/><Relationship Id="rId1" Type="http://schemas.openxmlformats.org/officeDocument/2006/relationships/externalLinkPath" Target="/Dropbox/Dropbox%20(Personal)/SRC/SRC-Other/FRED-Take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ummary"/>
      <sheetName val="All Stocks"/>
      <sheetName val="HostPlus"/>
      <sheetName val="SMSF"/>
      <sheetName val="SMSF-Lots"/>
      <sheetName val="SMSF-Realised"/>
      <sheetName val="SAOSM-F-Lots"/>
      <sheetName val="Phoenix"/>
      <sheetName val="Skalata"/>
      <sheetName val="Cash"/>
      <sheetName val="MacqStu"/>
      <sheetName val="UBankStu"/>
      <sheetName val="UBankAngela"/>
      <sheetName val="Prices"/>
      <sheetName val="Dad"/>
      <sheetName val="Dad Lots"/>
      <sheetName val="Realised"/>
      <sheetName val="Car&amp;Bike"/>
      <sheetName val="Bills"/>
      <sheetName val="Uni"/>
      <sheetName val="FF"/>
    </sheetNames>
    <sheetDataSet>
      <sheetData sheetId="0"/>
      <sheetData sheetId="1"/>
      <sheetData sheetId="2"/>
      <sheetData sheetId="3">
        <row r="1">
          <cell r="B1">
            <v>45209</v>
          </cell>
          <cell r="C1" t="str">
            <v>Bid</v>
          </cell>
        </row>
        <row r="2">
          <cell r="B2" t="str">
            <v xml:space="preserve"> </v>
          </cell>
        </row>
        <row r="4">
          <cell r="B4" t="str">
            <v>Future Cash</v>
          </cell>
        </row>
        <row r="5">
          <cell r="B5" t="str">
            <v>Estimated refund on FY24 return (YTD)</v>
          </cell>
        </row>
        <row r="6">
          <cell r="B6" t="str">
            <v>Estimated refund on FY23 return (YTD)</v>
          </cell>
        </row>
        <row r="7">
          <cell r="B7" t="str">
            <v>Cash due from dividends not yet received</v>
          </cell>
        </row>
        <row r="9">
          <cell r="B9" t="str">
            <v>Immediate Cash</v>
          </cell>
        </row>
        <row r="11">
          <cell r="B11" t="str">
            <v>Managed Funds / ETFs</v>
          </cell>
          <cell r="C11" t="str">
            <v>macquarieima.apexgroupportal.com/welcome</v>
          </cell>
        </row>
        <row r="12">
          <cell r="B12" t="str">
            <v>MacqTrueIndexGlobal</v>
          </cell>
          <cell r="C12">
            <v>1.4683999999999999</v>
          </cell>
        </row>
        <row r="13">
          <cell r="B13" t="str">
            <v>JREG.AXW (JP Morgan Research Enhanced Equity)</v>
          </cell>
        </row>
        <row r="14">
          <cell r="B14" t="str">
            <v>VP Capital ?????</v>
          </cell>
        </row>
        <row r="15">
          <cell r="B15" t="str">
            <v>1851 Capital ?????</v>
          </cell>
        </row>
        <row r="16">
          <cell r="B16" t="str">
            <v>ClearLife Capital ????</v>
          </cell>
        </row>
        <row r="17">
          <cell r="B17" t="str">
            <v>IWLD.AXW</v>
          </cell>
          <cell r="C17">
            <v>46.1</v>
          </cell>
        </row>
        <row r="18">
          <cell r="B18" t="str">
            <v>VGS.AXW</v>
          </cell>
        </row>
        <row r="19">
          <cell r="B19" t="str">
            <v>VEU.AXW</v>
          </cell>
          <cell r="C19">
            <v>80.87</v>
          </cell>
        </row>
        <row r="21">
          <cell r="B21" t="str">
            <v>ASX Stocks</v>
          </cell>
        </row>
        <row r="22">
          <cell r="B22" t="str">
            <v>SDG</v>
          </cell>
          <cell r="C22">
            <v>0.95499999999999996</v>
          </cell>
        </row>
        <row r="23">
          <cell r="B23" t="str">
            <v>MRM</v>
          </cell>
          <cell r="C23">
            <v>1.29</v>
          </cell>
        </row>
        <row r="24">
          <cell r="B24" t="str">
            <v>KOV</v>
          </cell>
          <cell r="C24">
            <v>7.82</v>
          </cell>
        </row>
        <row r="25">
          <cell r="B25" t="str">
            <v>CAA</v>
          </cell>
          <cell r="C25">
            <v>8.5</v>
          </cell>
        </row>
        <row r="26">
          <cell r="B26" t="str">
            <v>DOW</v>
          </cell>
          <cell r="C26">
            <v>3.83</v>
          </cell>
        </row>
        <row r="27">
          <cell r="B27" t="str">
            <v>ORG</v>
          </cell>
          <cell r="C27">
            <v>9.2200000000000006</v>
          </cell>
        </row>
        <row r="28">
          <cell r="B28" t="str">
            <v>BOL</v>
          </cell>
          <cell r="C28">
            <v>0.12</v>
          </cell>
        </row>
        <row r="29">
          <cell r="B29" t="str">
            <v>SGR</v>
          </cell>
          <cell r="C29">
            <v>0.60499999999999998</v>
          </cell>
        </row>
        <row r="30">
          <cell r="B30" t="str">
            <v>RHC</v>
          </cell>
          <cell r="C30">
            <v>50.49</v>
          </cell>
        </row>
        <row r="31">
          <cell r="B31" t="str">
            <v>FRI</v>
          </cell>
          <cell r="C31">
            <v>0.66</v>
          </cell>
        </row>
        <row r="34">
          <cell r="B34">
            <v>44034</v>
          </cell>
          <cell r="C34" t="str">
            <v>SRC</v>
          </cell>
        </row>
        <row r="35">
          <cell r="B35">
            <v>44076</v>
          </cell>
          <cell r="C35" t="str">
            <v>AMC</v>
          </cell>
        </row>
        <row r="36">
          <cell r="B36">
            <v>44960</v>
          </cell>
          <cell r="C36" t="str">
            <v>SRC</v>
          </cell>
        </row>
        <row r="37">
          <cell r="B37">
            <v>44972</v>
          </cell>
          <cell r="C37" t="str">
            <v>SRC</v>
          </cell>
        </row>
        <row r="38">
          <cell r="B38">
            <v>45000</v>
          </cell>
          <cell r="C38" t="str">
            <v>SRC</v>
          </cell>
        </row>
        <row r="39">
          <cell r="B39">
            <v>45040</v>
          </cell>
          <cell r="C39" t="str">
            <v>SRC</v>
          </cell>
        </row>
        <row r="40">
          <cell r="B40">
            <v>45065</v>
          </cell>
          <cell r="C40" t="str">
            <v>SRC</v>
          </cell>
        </row>
        <row r="41">
          <cell r="B41">
            <v>45096</v>
          </cell>
          <cell r="C41" t="str">
            <v>SRC</v>
          </cell>
        </row>
        <row r="42">
          <cell r="B42">
            <v>45135</v>
          </cell>
          <cell r="C42" t="str">
            <v>SRC</v>
          </cell>
        </row>
        <row r="43">
          <cell r="B43">
            <v>45182</v>
          </cell>
          <cell r="C43" t="str">
            <v>SRC</v>
          </cell>
        </row>
        <row r="44">
          <cell r="B44">
            <v>45194</v>
          </cell>
          <cell r="C44" t="str">
            <v>SRC</v>
          </cell>
        </row>
        <row r="45">
          <cell r="B45">
            <v>45209</v>
          </cell>
          <cell r="C45" t="str">
            <v>SRC</v>
          </cell>
        </row>
        <row r="46">
          <cell r="C46" t="str">
            <v>SRC</v>
          </cell>
        </row>
        <row r="47">
          <cell r="C47" t="str">
            <v>SRC</v>
          </cell>
        </row>
        <row r="48">
          <cell r="C48" t="str">
            <v>SRC</v>
          </cell>
        </row>
        <row r="49">
          <cell r="C49" t="str">
            <v>SRC</v>
          </cell>
        </row>
        <row r="50">
          <cell r="C50" t="str">
            <v>SRC</v>
          </cell>
        </row>
        <row r="52">
          <cell r="B52">
            <v>45219.403886689812</v>
          </cell>
        </row>
        <row r="53">
          <cell r="B53" t="str">
            <v>Post Tax IRR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00E0A4-D39C-4F83-B89A-D5A3F330E463}">
  <dimension ref="A1:C22"/>
  <sheetViews>
    <sheetView workbookViewId="0">
      <selection activeCell="A21" sqref="A21"/>
    </sheetView>
  </sheetViews>
  <sheetFormatPr defaultRowHeight="15" x14ac:dyDescent="0.25"/>
  <cols>
    <col min="1" max="1" width="25.85546875" customWidth="1"/>
    <col min="2" max="2" width="49.42578125" customWidth="1"/>
  </cols>
  <sheetData>
    <row r="1" spans="1:3" x14ac:dyDescent="0.25">
      <c r="A1" s="4" t="s">
        <v>83</v>
      </c>
    </row>
    <row r="3" spans="1:3" x14ac:dyDescent="0.25">
      <c r="A3" t="s">
        <v>165</v>
      </c>
      <c r="C3" t="s">
        <v>176</v>
      </c>
    </row>
    <row r="4" spans="1:3" x14ac:dyDescent="0.25">
      <c r="A4" t="s">
        <v>103</v>
      </c>
      <c r="C4" t="s">
        <v>177</v>
      </c>
    </row>
    <row r="5" spans="1:3" x14ac:dyDescent="0.25">
      <c r="A5" t="s">
        <v>102</v>
      </c>
      <c r="C5" t="s">
        <v>177</v>
      </c>
    </row>
    <row r="7" spans="1:3" x14ac:dyDescent="0.25">
      <c r="A7" t="s">
        <v>86</v>
      </c>
      <c r="C7" t="s">
        <v>178</v>
      </c>
    </row>
    <row r="9" spans="1:3" x14ac:dyDescent="0.25">
      <c r="A9" t="s">
        <v>166</v>
      </c>
      <c r="C9" t="s">
        <v>176</v>
      </c>
    </row>
    <row r="11" spans="1:3" x14ac:dyDescent="0.25">
      <c r="A11" t="s">
        <v>84</v>
      </c>
    </row>
    <row r="12" spans="1:3" x14ac:dyDescent="0.25">
      <c r="B12" t="s">
        <v>85</v>
      </c>
      <c r="C12" t="s">
        <v>176</v>
      </c>
    </row>
    <row r="13" spans="1:3" x14ac:dyDescent="0.25">
      <c r="B13" t="s">
        <v>87</v>
      </c>
      <c r="C13" t="s">
        <v>176</v>
      </c>
    </row>
    <row r="14" spans="1:3" x14ac:dyDescent="0.25">
      <c r="B14" t="s">
        <v>88</v>
      </c>
      <c r="C14" t="s">
        <v>176</v>
      </c>
    </row>
    <row r="16" spans="1:3" x14ac:dyDescent="0.25">
      <c r="A16" t="s">
        <v>169</v>
      </c>
      <c r="B16" t="s">
        <v>89</v>
      </c>
    </row>
    <row r="17" spans="1:3" x14ac:dyDescent="0.25">
      <c r="A17" t="s">
        <v>168</v>
      </c>
      <c r="B17" s="77">
        <v>3126</v>
      </c>
    </row>
    <row r="19" spans="1:3" x14ac:dyDescent="0.25">
      <c r="A19" t="s">
        <v>90</v>
      </c>
    </row>
    <row r="20" spans="1:3" x14ac:dyDescent="0.25">
      <c r="A20" s="38"/>
      <c r="B20" s="38"/>
      <c r="C20" s="38"/>
    </row>
    <row r="21" spans="1:3" x14ac:dyDescent="0.25">
      <c r="A21" s="38"/>
      <c r="B21" s="38"/>
      <c r="C21" s="38"/>
    </row>
    <row r="22" spans="1:3" x14ac:dyDescent="0.25">
      <c r="A22" s="38"/>
      <c r="B22" s="38"/>
      <c r="C22" s="3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C25553-CBDD-4B37-B49A-A84FD8FA610B}">
  <dimension ref="B1:F42"/>
  <sheetViews>
    <sheetView tabSelected="1" workbookViewId="0">
      <selection activeCell="U36" sqref="U36"/>
    </sheetView>
  </sheetViews>
  <sheetFormatPr defaultRowHeight="15" x14ac:dyDescent="0.25"/>
  <cols>
    <col min="2" max="2" width="43.85546875" bestFit="1" customWidth="1"/>
    <col min="3" max="3" width="13.140625" bestFit="1" customWidth="1"/>
    <col min="4" max="4" width="8.85546875" style="1"/>
    <col min="5" max="5" width="12.85546875" style="1" bestFit="1" customWidth="1"/>
    <col min="6" max="6" width="19.42578125" bestFit="1" customWidth="1"/>
  </cols>
  <sheetData>
    <row r="1" spans="2:6" x14ac:dyDescent="0.25">
      <c r="B1" s="3" t="s">
        <v>106</v>
      </c>
    </row>
    <row r="3" spans="2:6" x14ac:dyDescent="0.25">
      <c r="B3" s="4" t="s">
        <v>9</v>
      </c>
      <c r="E3" s="30">
        <v>3088.65</v>
      </c>
      <c r="F3" t="s">
        <v>138</v>
      </c>
    </row>
    <row r="5" spans="2:6" x14ac:dyDescent="0.25">
      <c r="B5" s="3" t="s">
        <v>8</v>
      </c>
      <c r="C5" s="1"/>
    </row>
    <row r="6" spans="2:6" x14ac:dyDescent="0.25">
      <c r="B6" s="31">
        <v>44960</v>
      </c>
      <c r="C6" t="s">
        <v>0</v>
      </c>
      <c r="E6" s="23">
        <v>2948605.53</v>
      </c>
    </row>
    <row r="7" spans="2:6" x14ac:dyDescent="0.25">
      <c r="B7" s="31"/>
      <c r="C7" t="s">
        <v>1</v>
      </c>
      <c r="E7" s="23">
        <v>0</v>
      </c>
    </row>
    <row r="9" spans="2:6" x14ac:dyDescent="0.25">
      <c r="B9" s="3" t="s">
        <v>139</v>
      </c>
      <c r="C9" s="1"/>
    </row>
    <row r="10" spans="2:6" x14ac:dyDescent="0.25">
      <c r="B10" s="31" t="s">
        <v>140</v>
      </c>
      <c r="E10" s="23">
        <f>2291.67*5</f>
        <v>11458.35</v>
      </c>
    </row>
    <row r="12" spans="2:6" x14ac:dyDescent="0.25">
      <c r="B12" s="1" t="s">
        <v>11</v>
      </c>
      <c r="E12" s="1">
        <f>Income!C6</f>
        <v>28172.49</v>
      </c>
    </row>
    <row r="14" spans="2:6" x14ac:dyDescent="0.25">
      <c r="B14" t="s">
        <v>10</v>
      </c>
      <c r="E14" s="1">
        <f>Income!C10+Income!C26+Income!C30+Income!C35</f>
        <v>1124580.8899999999</v>
      </c>
    </row>
    <row r="16" spans="2:6" x14ac:dyDescent="0.25">
      <c r="B16" t="s">
        <v>32</v>
      </c>
      <c r="E16" s="1">
        <f>'ASX Trades'!K35</f>
        <v>-1559724.53</v>
      </c>
    </row>
    <row r="17" spans="2:6" x14ac:dyDescent="0.25">
      <c r="B17" t="s">
        <v>35</v>
      </c>
      <c r="E17" s="1">
        <f>'ASX Trades'!J35</f>
        <v>168928.47999999998</v>
      </c>
    </row>
    <row r="19" spans="2:6" x14ac:dyDescent="0.25">
      <c r="B19" t="s">
        <v>149</v>
      </c>
      <c r="E19" s="1">
        <f>'ASX Trades'!K51</f>
        <v>0</v>
      </c>
    </row>
    <row r="20" spans="2:6" x14ac:dyDescent="0.25">
      <c r="B20" t="s">
        <v>150</v>
      </c>
      <c r="E20" s="1">
        <f>Realised!Q15</f>
        <v>397500</v>
      </c>
    </row>
    <row r="22" spans="2:6" x14ac:dyDescent="0.25">
      <c r="B22" t="s">
        <v>142</v>
      </c>
      <c r="E22" s="1">
        <f>-'Fund Buys'!Q13</f>
        <v>-1033005.99734</v>
      </c>
    </row>
    <row r="23" spans="2:6" x14ac:dyDescent="0.25">
      <c r="B23" t="s">
        <v>148</v>
      </c>
      <c r="C23" s="1"/>
      <c r="D23"/>
      <c r="E23" s="1">
        <f>Realised!Q23</f>
        <v>659080.83030100004</v>
      </c>
    </row>
    <row r="25" spans="2:6" x14ac:dyDescent="0.25">
      <c r="B25" s="4" t="s">
        <v>93</v>
      </c>
      <c r="E25" s="23">
        <v>58805.24</v>
      </c>
      <c r="F25" t="s">
        <v>164</v>
      </c>
    </row>
    <row r="27" spans="2:6" x14ac:dyDescent="0.25">
      <c r="B27" s="4" t="s">
        <v>91</v>
      </c>
    </row>
    <row r="28" spans="2:6" x14ac:dyDescent="0.25">
      <c r="B28" t="s">
        <v>92</v>
      </c>
      <c r="E28" s="23">
        <v>-1760</v>
      </c>
    </row>
    <row r="29" spans="2:6" x14ac:dyDescent="0.25">
      <c r="B29" s="4" t="s">
        <v>146</v>
      </c>
      <c r="E29" s="23">
        <v>-30</v>
      </c>
    </row>
    <row r="30" spans="2:6" x14ac:dyDescent="0.25">
      <c r="B30" s="4" t="s">
        <v>156</v>
      </c>
      <c r="E30" s="23"/>
    </row>
    <row r="32" spans="2:6" ht="15.75" thickBot="1" x14ac:dyDescent="0.3">
      <c r="B32" s="4" t="s">
        <v>107</v>
      </c>
      <c r="E32" s="5">
        <f>SUM(E3:E31)</f>
        <v>2805699.9329610001</v>
      </c>
    </row>
    <row r="33" spans="2:6" ht="15.75" thickTop="1" x14ac:dyDescent="0.25">
      <c r="F33" s="1"/>
    </row>
    <row r="35" spans="2:6" x14ac:dyDescent="0.25">
      <c r="B35" s="4" t="s">
        <v>108</v>
      </c>
    </row>
    <row r="36" spans="2:6" x14ac:dyDescent="0.25">
      <c r="B36" t="s">
        <v>6</v>
      </c>
      <c r="E36" s="23">
        <v>150.66999999999999</v>
      </c>
      <c r="F36" t="s">
        <v>36</v>
      </c>
    </row>
    <row r="37" spans="2:6" x14ac:dyDescent="0.25">
      <c r="B37" t="s">
        <v>141</v>
      </c>
      <c r="E37" s="23"/>
    </row>
    <row r="38" spans="2:6" x14ac:dyDescent="0.25">
      <c r="B38" t="s">
        <v>7</v>
      </c>
      <c r="E38" s="23">
        <v>2392552.9300000002</v>
      </c>
      <c r="F38" t="s">
        <v>36</v>
      </c>
    </row>
    <row r="39" spans="2:6" x14ac:dyDescent="0.25">
      <c r="B39" t="s">
        <v>5</v>
      </c>
      <c r="E39" s="23">
        <v>412996.33</v>
      </c>
      <c r="F39" t="s">
        <v>36</v>
      </c>
    </row>
    <row r="40" spans="2:6" ht="15.75" thickBot="1" x14ac:dyDescent="0.3">
      <c r="E40" s="5">
        <f>SUM(E36:E39)</f>
        <v>2805699.93</v>
      </c>
    </row>
    <row r="41" spans="2:6" ht="15.75" thickTop="1" x14ac:dyDescent="0.25"/>
    <row r="42" spans="2:6" s="24" customFormat="1" x14ac:dyDescent="0.25">
      <c r="B42" s="24" t="s">
        <v>40</v>
      </c>
      <c r="D42" s="25"/>
      <c r="E42" s="25">
        <f>E32-E40</f>
        <v>2.9609999619424343E-3</v>
      </c>
      <c r="F42" s="44" t="s">
        <v>162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D73A85-2B88-40BD-87DA-2DF2894F8760}">
  <dimension ref="A1:T54"/>
  <sheetViews>
    <sheetView zoomScale="75" zoomScaleNormal="75" workbookViewId="0">
      <pane xSplit="1" ySplit="1" topLeftCell="B19" activePane="bottomRight" state="frozen"/>
      <selection pane="topRight" activeCell="B1" sqref="B1"/>
      <selection pane="bottomLeft" activeCell="A2" sqref="A2"/>
      <selection pane="bottomRight" activeCell="L52" sqref="L52"/>
    </sheetView>
  </sheetViews>
  <sheetFormatPr defaultRowHeight="15" x14ac:dyDescent="0.25"/>
  <cols>
    <col min="1" max="1" width="30.140625" customWidth="1"/>
    <col min="2" max="2" width="30.140625" bestFit="1" customWidth="1"/>
    <col min="3" max="3" width="13" bestFit="1" customWidth="1"/>
    <col min="4" max="4" width="6" customWidth="1"/>
    <col min="5" max="5" width="13" bestFit="1" customWidth="1"/>
    <col min="6" max="6" width="11" bestFit="1" customWidth="1"/>
    <col min="7" max="7" width="15" bestFit="1" customWidth="1"/>
    <col min="9" max="9" width="11.140625" customWidth="1"/>
    <col min="10" max="10" width="11.5703125" customWidth="1"/>
    <col min="11" max="11" width="11.140625" customWidth="1"/>
    <col min="12" max="13" width="14.140625" customWidth="1"/>
    <col min="14" max="14" width="10.85546875" customWidth="1"/>
    <col min="15" max="15" width="9.5703125" bestFit="1" customWidth="1"/>
    <col min="16" max="16" width="8.42578125" customWidth="1"/>
    <col min="18" max="18" width="14" bestFit="1" customWidth="1"/>
    <col min="19" max="19" width="9.85546875" bestFit="1" customWidth="1"/>
    <col min="20" max="20" width="12.42578125" bestFit="1" customWidth="1"/>
  </cols>
  <sheetData>
    <row r="1" spans="1:20" s="4" customFormat="1" ht="45" x14ac:dyDescent="0.25">
      <c r="A1" s="4" t="s">
        <v>12</v>
      </c>
      <c r="B1" s="4" t="s">
        <v>13</v>
      </c>
      <c r="C1" s="4" t="s">
        <v>99</v>
      </c>
      <c r="E1" s="4" t="s">
        <v>15</v>
      </c>
      <c r="F1" s="4" t="s">
        <v>16</v>
      </c>
      <c r="G1" s="4" t="s">
        <v>17</v>
      </c>
      <c r="I1" s="26" t="s">
        <v>44</v>
      </c>
      <c r="J1" s="26" t="s">
        <v>41</v>
      </c>
      <c r="K1" s="26" t="s">
        <v>42</v>
      </c>
      <c r="L1" s="26" t="s">
        <v>43</v>
      </c>
      <c r="M1" s="26" t="s">
        <v>45</v>
      </c>
      <c r="N1" s="26" t="s">
        <v>48</v>
      </c>
      <c r="P1" s="41" t="s">
        <v>97</v>
      </c>
    </row>
    <row r="2" spans="1:20" s="4" customFormat="1" x14ac:dyDescent="0.25">
      <c r="A2" s="4" t="s">
        <v>152</v>
      </c>
      <c r="I2" s="26"/>
      <c r="J2" s="26"/>
      <c r="K2" s="26"/>
      <c r="L2" s="26"/>
      <c r="M2" s="26"/>
      <c r="N2" s="26"/>
    </row>
    <row r="3" spans="1:20" s="4" customFormat="1" x14ac:dyDescent="0.25">
      <c r="A3" t="s">
        <v>147</v>
      </c>
      <c r="B3" t="s">
        <v>49</v>
      </c>
      <c r="C3" s="36">
        <v>161.54</v>
      </c>
      <c r="I3" s="27">
        <f>C3</f>
        <v>161.54</v>
      </c>
      <c r="J3" s="26"/>
      <c r="K3" s="26"/>
      <c r="L3" s="1">
        <f t="shared" ref="L3:L5" si="0">SUM(E3:K3)</f>
        <v>161.54</v>
      </c>
      <c r="M3" s="26"/>
      <c r="N3" s="26"/>
    </row>
    <row r="4" spans="1:20" s="4" customFormat="1" x14ac:dyDescent="0.25">
      <c r="A4" t="s">
        <v>147</v>
      </c>
      <c r="B4" t="s">
        <v>50</v>
      </c>
      <c r="C4" s="36">
        <v>18750.86</v>
      </c>
      <c r="I4" s="27">
        <f t="shared" ref="I4:I5" si="1">C4</f>
        <v>18750.86</v>
      </c>
      <c r="J4" s="26"/>
      <c r="K4" s="26"/>
      <c r="L4" s="1">
        <f t="shared" si="0"/>
        <v>18750.86</v>
      </c>
      <c r="M4" s="26"/>
      <c r="N4" s="26"/>
    </row>
    <row r="5" spans="1:20" s="4" customFormat="1" x14ac:dyDescent="0.25">
      <c r="A5" t="s">
        <v>147</v>
      </c>
      <c r="B5" t="s">
        <v>51</v>
      </c>
      <c r="C5" s="36">
        <v>9260.09</v>
      </c>
      <c r="D5" s="37"/>
      <c r="I5" s="27">
        <f t="shared" si="1"/>
        <v>9260.09</v>
      </c>
      <c r="J5" s="26"/>
      <c r="K5" s="26"/>
      <c r="L5" s="1">
        <f t="shared" si="0"/>
        <v>9260.09</v>
      </c>
      <c r="M5" s="26"/>
      <c r="N5" s="26"/>
    </row>
    <row r="6" spans="1:20" s="4" customFormat="1" ht="15.75" thickBot="1" x14ac:dyDescent="0.3">
      <c r="A6"/>
      <c r="B6"/>
      <c r="C6" s="22">
        <f>SUM(C3:C5)</f>
        <v>28172.49</v>
      </c>
      <c r="I6" s="27"/>
      <c r="J6" s="26"/>
      <c r="K6" s="22">
        <f>SUM(K3:K5)</f>
        <v>0</v>
      </c>
      <c r="L6" s="22">
        <f>SUM(L3:L5)</f>
        <v>28172.49</v>
      </c>
      <c r="M6" s="26"/>
      <c r="N6" s="26"/>
    </row>
    <row r="7" spans="1:20" s="4" customFormat="1" ht="15.75" thickTop="1" x14ac:dyDescent="0.25">
      <c r="A7" s="4" t="s">
        <v>46</v>
      </c>
      <c r="I7" s="26"/>
      <c r="J7" s="26"/>
      <c r="K7" s="26"/>
      <c r="L7" s="26"/>
      <c r="M7" s="26"/>
      <c r="N7" s="26"/>
    </row>
    <row r="8" spans="1:20" s="4" customFormat="1" x14ac:dyDescent="0.25">
      <c r="A8" s="2" t="s">
        <v>147</v>
      </c>
      <c r="B8" s="45" t="s">
        <v>47</v>
      </c>
      <c r="C8" s="36">
        <f>21550.1+829.42+20807.67</f>
        <v>43187.189999999995</v>
      </c>
      <c r="D8" s="47"/>
      <c r="E8" s="36">
        <v>16438.02</v>
      </c>
      <c r="F8" s="36">
        <v>0</v>
      </c>
      <c r="G8" s="36">
        <v>5067.32</v>
      </c>
      <c r="H8" s="43"/>
      <c r="I8" s="36">
        <v>13884.82</v>
      </c>
      <c r="J8" s="36">
        <v>587.45000000000005</v>
      </c>
      <c r="K8" s="36">
        <v>23.86</v>
      </c>
      <c r="L8" s="43">
        <f>SUM(E8:K8)</f>
        <v>36001.47</v>
      </c>
      <c r="M8" s="36">
        <v>731.79</v>
      </c>
      <c r="N8" s="36">
        <v>0</v>
      </c>
    </row>
    <row r="9" spans="1:20" s="4" customFormat="1" x14ac:dyDescent="0.25">
      <c r="A9" s="2" t="s">
        <v>147</v>
      </c>
      <c r="B9" s="8" t="s">
        <v>143</v>
      </c>
      <c r="C9" s="36">
        <v>0</v>
      </c>
      <c r="D9" s="47"/>
      <c r="E9" s="36"/>
      <c r="F9" s="36"/>
      <c r="G9" s="36"/>
      <c r="H9" s="43"/>
      <c r="I9" s="36">
        <v>2416.6999999999998</v>
      </c>
      <c r="J9" s="36">
        <v>18027.919999999998</v>
      </c>
      <c r="K9" s="36">
        <v>2329.2800000000002</v>
      </c>
      <c r="L9" s="43">
        <f>SUM(E9:K9)</f>
        <v>22773.899999999998</v>
      </c>
      <c r="M9" s="36">
        <v>21895.54</v>
      </c>
      <c r="N9" s="36">
        <v>0</v>
      </c>
    </row>
    <row r="10" spans="1:20" s="4" customFormat="1" ht="15.75" thickBot="1" x14ac:dyDescent="0.3">
      <c r="A10"/>
      <c r="B10"/>
      <c r="C10" s="22">
        <f>SUM(C8:C9)</f>
        <v>43187.189999999995</v>
      </c>
      <c r="D10" s="1"/>
      <c r="E10" s="22">
        <f>SUM(E8:E9)</f>
        <v>16438.02</v>
      </c>
      <c r="F10" s="22">
        <f>SUM(F8:F9)</f>
        <v>0</v>
      </c>
      <c r="G10" s="22">
        <f>SUM(G8:G9)</f>
        <v>5067.32</v>
      </c>
      <c r="H10" s="1"/>
      <c r="K10" s="22">
        <f>SUM(K8:K9)</f>
        <v>2353.1400000000003</v>
      </c>
      <c r="L10" s="22">
        <f>SUM(L8:L9)</f>
        <v>58775.369999999995</v>
      </c>
      <c r="M10" s="22">
        <f>SUM(M8:M9)</f>
        <v>22627.33</v>
      </c>
      <c r="N10" s="22">
        <f>SUM(N8:N9)</f>
        <v>0</v>
      </c>
    </row>
    <row r="11" spans="1:20" ht="15.75" thickTop="1" x14ac:dyDescent="0.25">
      <c r="A11" s="4" t="s">
        <v>39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</row>
    <row r="12" spans="1:20" x14ac:dyDescent="0.25">
      <c r="A12" s="35">
        <v>44771</v>
      </c>
      <c r="B12" s="36" t="s">
        <v>4</v>
      </c>
      <c r="C12" s="36">
        <v>199500</v>
      </c>
      <c r="D12" s="43"/>
      <c r="E12" s="36">
        <v>199500</v>
      </c>
      <c r="F12" s="36">
        <v>0</v>
      </c>
      <c r="G12" s="36">
        <f>E12*0.3/0.7</f>
        <v>85500</v>
      </c>
      <c r="H12" s="40"/>
      <c r="I12" s="1"/>
      <c r="J12" s="1"/>
      <c r="K12" s="1"/>
      <c r="L12" s="1">
        <f t="shared" ref="L12:L18" si="2">SUM(E12:K12)</f>
        <v>285000</v>
      </c>
      <c r="M12" s="1"/>
      <c r="N12" s="1"/>
      <c r="O12" s="9"/>
      <c r="P12" s="40">
        <f t="shared" ref="P12:P18" si="3">IF(G12&gt;0,G12/SUM(E12,G12),0)</f>
        <v>0.3</v>
      </c>
      <c r="R12" s="9"/>
      <c r="S12" s="9"/>
      <c r="T12" s="9"/>
    </row>
    <row r="13" spans="1:20" x14ac:dyDescent="0.25">
      <c r="A13" s="35">
        <v>44806</v>
      </c>
      <c r="B13" s="36" t="s">
        <v>2</v>
      </c>
      <c r="C13" s="36">
        <v>9469.6</v>
      </c>
      <c r="D13" s="43"/>
      <c r="E13" s="36">
        <v>9469.6</v>
      </c>
      <c r="F13" s="36">
        <v>0</v>
      </c>
      <c r="G13" s="36">
        <f>E13*0.3/0.7</f>
        <v>4058.4000000000005</v>
      </c>
      <c r="H13" s="40"/>
      <c r="I13" s="1"/>
      <c r="J13" s="1"/>
      <c r="K13" s="1"/>
      <c r="L13" s="1">
        <f t="shared" si="2"/>
        <v>13528</v>
      </c>
      <c r="M13" s="1"/>
      <c r="N13" s="1"/>
      <c r="O13" s="9"/>
      <c r="P13" s="40">
        <f t="shared" si="3"/>
        <v>0.30000000000000004</v>
      </c>
      <c r="R13" s="9"/>
      <c r="S13" s="9"/>
      <c r="T13" s="9"/>
    </row>
    <row r="14" spans="1:20" x14ac:dyDescent="0.25">
      <c r="A14" s="33">
        <v>44813</v>
      </c>
      <c r="B14" s="23" t="s">
        <v>3</v>
      </c>
      <c r="C14" s="23">
        <v>1000</v>
      </c>
      <c r="D14" s="1"/>
      <c r="E14" s="23">
        <v>1000</v>
      </c>
      <c r="F14" s="23">
        <v>0</v>
      </c>
      <c r="G14" s="23">
        <v>428.57</v>
      </c>
      <c r="H14" s="40"/>
      <c r="I14" s="1"/>
      <c r="J14" s="1"/>
      <c r="K14" s="1"/>
      <c r="L14" s="1">
        <f t="shared" si="2"/>
        <v>1428.57</v>
      </c>
      <c r="M14" s="1"/>
      <c r="N14" s="1"/>
      <c r="O14" s="9"/>
      <c r="P14" s="40">
        <f t="shared" si="3"/>
        <v>0.29999929999930003</v>
      </c>
      <c r="R14" s="9"/>
      <c r="S14" s="9"/>
      <c r="T14" s="9"/>
    </row>
    <row r="15" spans="1:20" x14ac:dyDescent="0.25">
      <c r="A15" s="35">
        <v>44819</v>
      </c>
      <c r="B15" s="36" t="s">
        <v>4</v>
      </c>
      <c r="C15" s="36">
        <v>101250</v>
      </c>
      <c r="D15" s="43"/>
      <c r="E15" s="36">
        <v>101250</v>
      </c>
      <c r="F15" s="36">
        <v>0</v>
      </c>
      <c r="G15" s="36">
        <f>E15*0.3/0.7</f>
        <v>43392.857142857145</v>
      </c>
      <c r="H15" s="40"/>
      <c r="I15" s="1"/>
      <c r="J15" s="1"/>
      <c r="K15" s="1"/>
      <c r="L15" s="1">
        <f t="shared" si="2"/>
        <v>144642.85714285716</v>
      </c>
      <c r="M15" s="1"/>
      <c r="N15" s="1"/>
      <c r="O15" s="9"/>
      <c r="P15" s="40">
        <f t="shared" si="3"/>
        <v>0.3</v>
      </c>
      <c r="R15" s="9"/>
      <c r="S15" s="9"/>
      <c r="T15" s="9"/>
    </row>
    <row r="16" spans="1:20" x14ac:dyDescent="0.25">
      <c r="A16" s="33">
        <v>44833</v>
      </c>
      <c r="B16" s="23" t="s">
        <v>98</v>
      </c>
      <c r="C16" s="23">
        <v>339.5</v>
      </c>
      <c r="D16" s="1"/>
      <c r="E16" s="23">
        <v>339.5</v>
      </c>
      <c r="F16" s="23">
        <v>0</v>
      </c>
      <c r="G16" s="23">
        <v>145.5</v>
      </c>
      <c r="H16" s="40"/>
      <c r="I16" s="1"/>
      <c r="J16" s="1"/>
      <c r="K16" s="1"/>
      <c r="L16" s="1">
        <f t="shared" si="2"/>
        <v>485</v>
      </c>
      <c r="M16" s="1"/>
      <c r="N16" s="1"/>
      <c r="O16" s="9"/>
      <c r="P16" s="40">
        <f t="shared" si="3"/>
        <v>0.3</v>
      </c>
      <c r="R16" s="9"/>
      <c r="S16" s="9"/>
      <c r="T16" s="9"/>
    </row>
    <row r="17" spans="1:20" x14ac:dyDescent="0.25">
      <c r="A17" s="33">
        <v>44833</v>
      </c>
      <c r="B17" s="23" t="s">
        <v>31</v>
      </c>
      <c r="C17" s="23">
        <v>4840</v>
      </c>
      <c r="D17" s="1"/>
      <c r="E17" s="23">
        <v>4840</v>
      </c>
      <c r="F17" s="23">
        <v>0</v>
      </c>
      <c r="G17" s="23">
        <v>2074.29</v>
      </c>
      <c r="H17" s="40"/>
      <c r="I17" s="1"/>
      <c r="J17" s="1"/>
      <c r="K17" s="1"/>
      <c r="L17" s="1">
        <f t="shared" si="2"/>
        <v>6914.29</v>
      </c>
      <c r="M17" s="1"/>
      <c r="N17" s="1"/>
      <c r="O17" s="9"/>
      <c r="P17" s="40">
        <f t="shared" si="3"/>
        <v>0.30000043388402858</v>
      </c>
      <c r="R17" s="9"/>
      <c r="S17" s="9"/>
      <c r="T17" s="9"/>
    </row>
    <row r="18" spans="1:20" x14ac:dyDescent="0.25">
      <c r="A18" s="35">
        <v>44902</v>
      </c>
      <c r="B18" s="36" t="s">
        <v>4</v>
      </c>
      <c r="C18" s="36">
        <v>424494.6</v>
      </c>
      <c r="D18" s="43"/>
      <c r="E18" s="36">
        <f t="shared" ref="E18:E24" si="4">C18</f>
        <v>424494.6</v>
      </c>
      <c r="F18" s="23">
        <v>0</v>
      </c>
      <c r="G18" s="36">
        <f t="shared" ref="G18:G24" si="5">E18*0.3/0.7</f>
        <v>181926.25714285715</v>
      </c>
      <c r="H18" s="40"/>
      <c r="I18" s="1"/>
      <c r="J18" s="1"/>
      <c r="K18" s="1"/>
      <c r="L18" s="1">
        <f t="shared" si="2"/>
        <v>606420.85714285716</v>
      </c>
      <c r="M18" s="1"/>
      <c r="N18" s="1"/>
      <c r="O18" s="9"/>
      <c r="P18" s="40">
        <f t="shared" si="3"/>
        <v>0.3</v>
      </c>
      <c r="R18" s="9"/>
      <c r="S18" s="9"/>
      <c r="T18" s="9"/>
    </row>
    <row r="19" spans="1:20" x14ac:dyDescent="0.25">
      <c r="A19" s="35">
        <v>44988</v>
      </c>
      <c r="B19" s="36" t="s">
        <v>2</v>
      </c>
      <c r="C19" s="36">
        <v>8750</v>
      </c>
      <c r="D19" s="47"/>
      <c r="E19" s="36">
        <f>C19</f>
        <v>8750</v>
      </c>
      <c r="F19" s="23">
        <v>0</v>
      </c>
      <c r="G19" s="36">
        <f>E19*0.3/0.7</f>
        <v>3750.0000000000005</v>
      </c>
      <c r="H19" s="40"/>
      <c r="I19" s="1"/>
      <c r="J19" s="1"/>
      <c r="K19" s="1"/>
      <c r="L19" s="1">
        <f>SUM(E19:K19)</f>
        <v>12500</v>
      </c>
      <c r="M19" s="1"/>
      <c r="N19" s="1"/>
      <c r="O19" s="9"/>
      <c r="P19" s="40">
        <f>IF(G19&gt;0,G19/SUM(E19,G19),0)</f>
        <v>0.30000000000000004</v>
      </c>
      <c r="R19" s="9"/>
      <c r="S19" s="9"/>
      <c r="T19" s="9"/>
    </row>
    <row r="20" spans="1:20" x14ac:dyDescent="0.25">
      <c r="A20" s="35">
        <v>45001</v>
      </c>
      <c r="B20" s="36" t="s">
        <v>4</v>
      </c>
      <c r="C20" s="36">
        <f>750000*0.4</f>
        <v>300000</v>
      </c>
      <c r="D20" s="43"/>
      <c r="E20" s="36">
        <f>C20</f>
        <v>300000</v>
      </c>
      <c r="F20" s="23">
        <v>0</v>
      </c>
      <c r="G20" s="36">
        <f>E20*0.3/0.7</f>
        <v>128571.42857142858</v>
      </c>
      <c r="H20" s="40"/>
      <c r="I20" s="1"/>
      <c r="J20" s="1"/>
      <c r="K20" s="1"/>
      <c r="L20" s="1">
        <f>SUM(E20:K20)</f>
        <v>428571.42857142858</v>
      </c>
      <c r="M20" s="1"/>
      <c r="N20" s="1"/>
      <c r="O20" s="9"/>
      <c r="P20" s="40">
        <f>IF(G20&gt;0,G20/SUM(E20,G20),0)</f>
        <v>0.3</v>
      </c>
      <c r="R20" s="9"/>
      <c r="S20" s="9"/>
      <c r="T20" s="9"/>
    </row>
    <row r="21" spans="1:20" x14ac:dyDescent="0.25">
      <c r="A21" s="35">
        <v>45009</v>
      </c>
      <c r="B21" s="36" t="s">
        <v>113</v>
      </c>
      <c r="C21" s="36">
        <v>1650</v>
      </c>
      <c r="D21" s="47"/>
      <c r="E21" s="36">
        <f>C21</f>
        <v>1650</v>
      </c>
      <c r="F21" s="23">
        <v>0</v>
      </c>
      <c r="G21" s="36">
        <f>E21*0.3/0.7</f>
        <v>707.14285714285722</v>
      </c>
      <c r="H21" s="40"/>
      <c r="I21" s="1"/>
      <c r="J21" s="1"/>
      <c r="K21" s="1"/>
      <c r="L21" s="1">
        <f>SUM(E21:K21)</f>
        <v>2357.1428571428573</v>
      </c>
      <c r="M21" s="1"/>
      <c r="N21" s="1"/>
      <c r="O21" s="9"/>
      <c r="P21" s="40">
        <f>IF(G21&gt;0,G21/SUM(E21,G21),0)</f>
        <v>0.3</v>
      </c>
      <c r="R21" s="9"/>
      <c r="S21" s="9"/>
      <c r="T21" s="9"/>
    </row>
    <row r="22" spans="1:20" x14ac:dyDescent="0.25">
      <c r="A22" s="35">
        <v>45009</v>
      </c>
      <c r="B22" s="36" t="s">
        <v>114</v>
      </c>
      <c r="C22" s="36">
        <v>3500</v>
      </c>
      <c r="D22" s="47"/>
      <c r="E22" s="36">
        <f>C22</f>
        <v>3500</v>
      </c>
      <c r="F22" s="23">
        <v>0</v>
      </c>
      <c r="G22" s="36">
        <f>E22*0.3/0.7</f>
        <v>1500</v>
      </c>
      <c r="H22" s="40"/>
      <c r="I22" s="1"/>
      <c r="J22" s="1"/>
      <c r="K22" s="1"/>
      <c r="L22" s="1">
        <f>SUM(E22:K22)</f>
        <v>5000</v>
      </c>
      <c r="M22" s="1"/>
      <c r="N22" s="1"/>
      <c r="O22" s="9"/>
      <c r="P22" s="40">
        <f>IF(G22&gt;0,G22/SUM(E22,G22),0)</f>
        <v>0.3</v>
      </c>
      <c r="R22" s="9"/>
      <c r="S22" s="9"/>
      <c r="T22" s="9"/>
    </row>
    <row r="23" spans="1:20" x14ac:dyDescent="0.25">
      <c r="A23" s="35">
        <v>45015</v>
      </c>
      <c r="B23" s="36" t="s">
        <v>98</v>
      </c>
      <c r="C23" s="36">
        <v>350</v>
      </c>
      <c r="D23" s="47"/>
      <c r="E23" s="36">
        <f>C23</f>
        <v>350</v>
      </c>
      <c r="F23" s="23">
        <v>0</v>
      </c>
      <c r="G23" s="36">
        <f>E23*0.3/0.7</f>
        <v>150</v>
      </c>
      <c r="H23" s="40"/>
      <c r="I23" s="1"/>
      <c r="J23" s="1"/>
      <c r="K23" s="1"/>
      <c r="L23" s="1">
        <f>SUM(E23:K23)</f>
        <v>500</v>
      </c>
      <c r="M23" s="1"/>
      <c r="N23" s="1"/>
      <c r="O23" s="9"/>
      <c r="P23" s="40">
        <f>IF(G23&gt;0,G23/SUM(E23,G23),0)</f>
        <v>0.3</v>
      </c>
      <c r="R23" s="9"/>
      <c r="S23" s="9"/>
      <c r="T23" s="9"/>
    </row>
    <row r="24" spans="1:20" x14ac:dyDescent="0.25">
      <c r="A24" s="35">
        <v>45048</v>
      </c>
      <c r="B24" s="36" t="s">
        <v>115</v>
      </c>
      <c r="C24" s="36">
        <f>15000*1.75</f>
        <v>26250</v>
      </c>
      <c r="D24" s="43"/>
      <c r="E24" s="36">
        <f t="shared" si="4"/>
        <v>26250</v>
      </c>
      <c r="F24" s="36">
        <v>0</v>
      </c>
      <c r="G24" s="36">
        <f t="shared" si="5"/>
        <v>11250</v>
      </c>
      <c r="H24" s="1"/>
      <c r="I24" s="1"/>
      <c r="J24" s="1"/>
      <c r="K24" s="1"/>
      <c r="L24" s="1">
        <f t="shared" ref="L24:L25" si="6">SUM(E24:K24)</f>
        <v>37500</v>
      </c>
      <c r="M24" s="1"/>
      <c r="N24" s="1"/>
      <c r="O24" s="9"/>
      <c r="P24" s="40">
        <f t="shared" ref="P24:P25" si="7">IF(G24&gt;0,G24/SUM(E24,G24),0)</f>
        <v>0.3</v>
      </c>
      <c r="R24" s="9"/>
      <c r="S24" s="9"/>
      <c r="T24" s="9"/>
    </row>
    <row r="25" spans="1:20" x14ac:dyDescent="0.25">
      <c r="A25" s="33"/>
      <c r="B25" s="23"/>
      <c r="C25" s="23"/>
      <c r="D25" s="1"/>
      <c r="E25" s="23"/>
      <c r="F25" s="23"/>
      <c r="G25" s="23"/>
      <c r="H25" s="1"/>
      <c r="I25" s="1"/>
      <c r="J25" s="1"/>
      <c r="K25" s="1"/>
      <c r="L25" s="1">
        <f t="shared" si="6"/>
        <v>0</v>
      </c>
      <c r="M25" s="1"/>
      <c r="N25" s="1"/>
      <c r="O25" s="9"/>
      <c r="P25" s="40">
        <f t="shared" si="7"/>
        <v>0</v>
      </c>
      <c r="R25" s="9"/>
      <c r="S25" s="9"/>
      <c r="T25" s="9"/>
    </row>
    <row r="26" spans="1:20" ht="15.75" thickBot="1" x14ac:dyDescent="0.3">
      <c r="C26" s="22">
        <f>SUM(C12:C25)</f>
        <v>1081393.7</v>
      </c>
      <c r="D26" s="1"/>
      <c r="E26" s="22">
        <f t="shared" ref="E26:G26" si="8">SUM(E12:E25)</f>
        <v>1081393.7</v>
      </c>
      <c r="F26" s="22">
        <f t="shared" si="8"/>
        <v>0</v>
      </c>
      <c r="G26" s="22">
        <f t="shared" si="8"/>
        <v>463454.44571428571</v>
      </c>
      <c r="H26" s="1"/>
      <c r="I26" s="1"/>
      <c r="J26" s="1"/>
      <c r="K26" s="1"/>
      <c r="L26" s="22">
        <f t="shared" ref="L26" si="9">SUM(L12:L25)</f>
        <v>1544848.145714286</v>
      </c>
    </row>
    <row r="27" spans="1:20" ht="15.75" thickTop="1" x14ac:dyDescent="0.25">
      <c r="A27" s="4" t="s">
        <v>37</v>
      </c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1:20" x14ac:dyDescent="0.25">
      <c r="A28" s="33"/>
      <c r="B28" s="23"/>
      <c r="C28" s="23"/>
      <c r="D28" s="1"/>
      <c r="E28" s="23">
        <v>0</v>
      </c>
      <c r="F28" s="23">
        <v>0</v>
      </c>
      <c r="G28" s="23">
        <v>0</v>
      </c>
      <c r="H28" s="1"/>
      <c r="I28" s="1"/>
      <c r="J28" s="1"/>
      <c r="K28" s="1"/>
      <c r="L28" s="1"/>
      <c r="M28" s="1"/>
      <c r="N28" s="1"/>
      <c r="O28" s="9"/>
      <c r="P28" s="10"/>
      <c r="R28" s="9"/>
      <c r="S28" s="9"/>
      <c r="T28" s="9"/>
    </row>
    <row r="29" spans="1:20" x14ac:dyDescent="0.25">
      <c r="A29" s="33"/>
      <c r="B29" s="23"/>
      <c r="C29" s="23"/>
      <c r="D29" s="1"/>
      <c r="E29" s="23">
        <v>0</v>
      </c>
      <c r="F29" s="23">
        <v>0</v>
      </c>
      <c r="G29" s="23">
        <v>0</v>
      </c>
      <c r="H29" s="1"/>
      <c r="I29" s="1"/>
      <c r="J29" s="1"/>
      <c r="K29" s="1"/>
      <c r="L29" s="1"/>
      <c r="M29" s="1"/>
      <c r="N29" s="1"/>
      <c r="O29" s="9"/>
      <c r="P29" s="10"/>
      <c r="R29" s="9"/>
      <c r="S29" s="9"/>
      <c r="T29" s="9"/>
    </row>
    <row r="30" spans="1:20" ht="15.75" thickBot="1" x14ac:dyDescent="0.3">
      <c r="A30" s="2"/>
      <c r="C30" s="22">
        <f>SUM(C28:C29)</f>
        <v>0</v>
      </c>
      <c r="D30" s="1"/>
      <c r="E30" s="22">
        <f>SUM(E28:E29)</f>
        <v>0</v>
      </c>
      <c r="F30" s="22">
        <f>SUM(F28:F29)</f>
        <v>0</v>
      </c>
      <c r="G30" s="22">
        <f>SUM(G28:G29)</f>
        <v>0</v>
      </c>
      <c r="H30" s="1"/>
      <c r="I30" s="23"/>
      <c r="J30" s="23"/>
      <c r="K30" s="23"/>
      <c r="L30" s="1">
        <f>SUM(E30:K30)</f>
        <v>0</v>
      </c>
      <c r="M30" s="23"/>
      <c r="N30" s="23"/>
      <c r="O30" s="9"/>
      <c r="P30" s="10"/>
      <c r="R30" s="9"/>
      <c r="S30" s="9"/>
      <c r="T30" s="9"/>
    </row>
    <row r="31" spans="1:20" ht="15.75" thickTop="1" x14ac:dyDescent="0.25">
      <c r="A31" s="2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9"/>
      <c r="P31" s="10"/>
      <c r="R31" s="9"/>
      <c r="S31" s="9"/>
      <c r="T31" s="9"/>
    </row>
    <row r="32" spans="1:20" x14ac:dyDescent="0.25">
      <c r="A32" s="4" t="s">
        <v>38</v>
      </c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spans="1:20" x14ac:dyDescent="0.25">
      <c r="A33" s="35"/>
      <c r="B33" s="36"/>
      <c r="C33" s="36"/>
      <c r="D33" s="1"/>
      <c r="E33" s="36"/>
      <c r="F33" s="36"/>
      <c r="G33" s="36"/>
      <c r="H33" s="1"/>
      <c r="O33" s="9"/>
      <c r="P33" s="10"/>
      <c r="R33" s="9"/>
      <c r="S33" s="9"/>
      <c r="T33" s="9"/>
    </row>
    <row r="34" spans="1:20" x14ac:dyDescent="0.25">
      <c r="A34" s="34"/>
      <c r="B34" s="32"/>
      <c r="C34" s="32"/>
      <c r="D34" s="1"/>
      <c r="E34" s="32"/>
      <c r="F34" s="32"/>
      <c r="G34" s="32"/>
      <c r="H34" s="1"/>
      <c r="O34" s="9"/>
      <c r="P34" s="10"/>
      <c r="R34" s="9"/>
      <c r="S34" s="9"/>
      <c r="T34" s="9"/>
    </row>
    <row r="35" spans="1:20" ht="15.75" thickBot="1" x14ac:dyDescent="0.3">
      <c r="C35" s="22">
        <f>SUM(C33:C34)</f>
        <v>0</v>
      </c>
      <c r="D35" s="1"/>
      <c r="E35" s="22">
        <f>SUM(E33:E34)</f>
        <v>0</v>
      </c>
      <c r="F35" s="22">
        <f>SUM(F33:F34)</f>
        <v>0</v>
      </c>
      <c r="G35" s="22">
        <f>SUM(G33:G34)</f>
        <v>0</v>
      </c>
      <c r="H35" s="1"/>
      <c r="I35" s="36">
        <v>0</v>
      </c>
      <c r="J35" s="36">
        <v>0</v>
      </c>
      <c r="K35" s="36">
        <v>0</v>
      </c>
      <c r="L35" s="1">
        <f>SUM(E35:K35)</f>
        <v>0</v>
      </c>
      <c r="M35" s="36">
        <v>0</v>
      </c>
      <c r="N35" s="36">
        <v>0</v>
      </c>
    </row>
    <row r="36" spans="1:20" ht="15.75" thickTop="1" x14ac:dyDescent="0.25"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1:20" ht="15.75" thickBot="1" x14ac:dyDescent="0.3">
      <c r="A37" s="4" t="s">
        <v>104</v>
      </c>
      <c r="C37" s="22">
        <f>SUM(C6,C10,C26,C30,C35)</f>
        <v>1152753.3799999999</v>
      </c>
      <c r="D37" s="1"/>
      <c r="E37" s="22">
        <f>SUM(E6,E10,E26,E30,E35)</f>
        <v>1097831.72</v>
      </c>
      <c r="F37" s="1"/>
      <c r="G37" s="22">
        <f>SUM(G6,G10,G26,G30,G35)</f>
        <v>468521.76571428572</v>
      </c>
      <c r="H37" s="1"/>
      <c r="I37" s="1"/>
      <c r="J37" s="1"/>
      <c r="K37" s="22">
        <f>SUM(K6,K10,K26,K30,K35)</f>
        <v>2353.1400000000003</v>
      </c>
      <c r="L37" s="22">
        <f>SUM(L6,L10,L26,L30,L35)</f>
        <v>1631796.0057142861</v>
      </c>
      <c r="M37" s="1"/>
      <c r="N37" s="1"/>
    </row>
    <row r="38" spans="1:20" ht="15.75" thickTop="1" x14ac:dyDescent="0.25"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1:20" x14ac:dyDescent="0.25">
      <c r="A39" s="4" t="s">
        <v>60</v>
      </c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spans="1:20" x14ac:dyDescent="0.25">
      <c r="A40" t="s">
        <v>160</v>
      </c>
      <c r="C40" s="1"/>
      <c r="D40" s="1"/>
      <c r="E40" s="1"/>
      <c r="F40" s="1"/>
      <c r="G40" s="1"/>
      <c r="H40" s="1"/>
      <c r="I40" s="1"/>
      <c r="J40" s="1"/>
      <c r="K40" s="1"/>
      <c r="L40" s="48">
        <v>0</v>
      </c>
      <c r="M40" s="1" t="s">
        <v>101</v>
      </c>
      <c r="N40" s="1"/>
    </row>
    <row r="41" spans="1:20" x14ac:dyDescent="0.25">
      <c r="A41" t="s">
        <v>118</v>
      </c>
      <c r="C41" s="1"/>
      <c r="D41" s="1"/>
      <c r="E41" s="1"/>
      <c r="F41" s="1"/>
      <c r="G41" s="1"/>
      <c r="H41" s="1"/>
      <c r="I41" s="1"/>
      <c r="J41" s="1"/>
      <c r="K41" s="1"/>
      <c r="L41" s="23">
        <v>-30</v>
      </c>
      <c r="M41" s="50">
        <v>45082</v>
      </c>
      <c r="N41" s="1"/>
    </row>
    <row r="42" spans="1:20" x14ac:dyDescent="0.25">
      <c r="A42" s="4" t="s">
        <v>109</v>
      </c>
      <c r="C42" s="1"/>
      <c r="D42" s="1"/>
      <c r="E42" s="1"/>
      <c r="F42" s="1"/>
      <c r="G42" s="1"/>
      <c r="H42" s="1"/>
      <c r="I42" s="1"/>
      <c r="J42" s="1"/>
      <c r="K42" s="1"/>
      <c r="L42" s="23">
        <v>-1760</v>
      </c>
      <c r="M42" s="1"/>
      <c r="N42" s="1"/>
    </row>
    <row r="43" spans="1:20" x14ac:dyDescent="0.25">
      <c r="A43" s="46" t="s">
        <v>100</v>
      </c>
      <c r="C43" s="1"/>
      <c r="D43" s="1"/>
      <c r="E43" s="1"/>
      <c r="F43" s="1"/>
      <c r="G43" s="1"/>
      <c r="H43" s="1"/>
      <c r="I43" s="1"/>
      <c r="J43" s="1"/>
      <c r="K43" s="1"/>
      <c r="L43" s="48">
        <v>-518</v>
      </c>
      <c r="M43" s="1" t="s">
        <v>163</v>
      </c>
      <c r="N43" s="1"/>
    </row>
    <row r="44" spans="1:20" x14ac:dyDescent="0.25">
      <c r="A44" t="s">
        <v>52</v>
      </c>
      <c r="L44" s="1">
        <f>L37+SUM(L40:L43)</f>
        <v>1629488.0057142861</v>
      </c>
    </row>
    <row r="45" spans="1:20" x14ac:dyDescent="0.25">
      <c r="A45" t="s">
        <v>53</v>
      </c>
      <c r="C45" s="7"/>
      <c r="K45" s="28">
        <v>0.15</v>
      </c>
      <c r="L45" s="1">
        <f>L44*K45</f>
        <v>244423.20085714292</v>
      </c>
    </row>
    <row r="46" spans="1:20" x14ac:dyDescent="0.25">
      <c r="A46" t="s">
        <v>54</v>
      </c>
      <c r="L46" s="1">
        <f>G37</f>
        <v>468521.76571428572</v>
      </c>
    </row>
    <row r="47" spans="1:20" x14ac:dyDescent="0.25">
      <c r="A47" t="s">
        <v>55</v>
      </c>
      <c r="L47" s="1">
        <f>K37</f>
        <v>2353.1400000000003</v>
      </c>
    </row>
    <row r="48" spans="1:20" x14ac:dyDescent="0.25">
      <c r="A48" t="s">
        <v>56</v>
      </c>
      <c r="L48" s="1">
        <f>L45-L46-L47</f>
        <v>-226451.70485714282</v>
      </c>
    </row>
    <row r="49" spans="1:13" x14ac:dyDescent="0.25">
      <c r="A49" s="37" t="s">
        <v>170</v>
      </c>
      <c r="L49" s="48">
        <f>CGT!N24</f>
        <v>2026.2</v>
      </c>
      <c r="M49" s="37" t="s">
        <v>175</v>
      </c>
    </row>
    <row r="50" spans="1:13" x14ac:dyDescent="0.25">
      <c r="A50" t="s">
        <v>57</v>
      </c>
      <c r="L50" s="51">
        <v>259</v>
      </c>
      <c r="M50" s="1" t="s">
        <v>163</v>
      </c>
    </row>
    <row r="51" spans="1:13" x14ac:dyDescent="0.25">
      <c r="A51" t="s">
        <v>58</v>
      </c>
      <c r="L51" s="51"/>
      <c r="M51" s="1" t="s">
        <v>163</v>
      </c>
    </row>
    <row r="52" spans="1:13" x14ac:dyDescent="0.25">
      <c r="A52" s="4" t="s">
        <v>59</v>
      </c>
      <c r="L52" s="29">
        <f>L48+L49+L50+L51</f>
        <v>-224166.50485714281</v>
      </c>
    </row>
    <row r="54" spans="1:13" x14ac:dyDescent="0.25">
      <c r="A54" s="37"/>
    </row>
  </sheetData>
  <sortState xmlns:xlrd2="http://schemas.microsoft.com/office/spreadsheetml/2017/richdata2" ref="A19:P23">
    <sortCondition ref="A23"/>
  </sortState>
  <pageMargins left="0.7" right="0.7" top="0.75" bottom="0.75" header="0.3" footer="0.3"/>
  <pageSetup paperSize="9" orientation="portrait" verticalDpi="0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87D8F-F1FE-4409-B0F7-F7D09611ED23}">
  <dimension ref="A1:O26"/>
  <sheetViews>
    <sheetView workbookViewId="0">
      <selection activeCell="N25" sqref="N25"/>
    </sheetView>
  </sheetViews>
  <sheetFormatPr defaultRowHeight="15" x14ac:dyDescent="0.25"/>
  <cols>
    <col min="1" max="1" width="47.5703125" bestFit="1" customWidth="1"/>
    <col min="2" max="2" width="6.42578125" customWidth="1"/>
    <col min="3" max="3" width="11.140625" bestFit="1" customWidth="1"/>
    <col min="4" max="4" width="6.140625" customWidth="1"/>
    <col min="5" max="5" width="11" bestFit="1" customWidth="1"/>
    <col min="6" max="6" width="5.85546875" customWidth="1"/>
    <col min="7" max="7" width="22.7109375" customWidth="1"/>
    <col min="13" max="13" width="46.85546875" bestFit="1" customWidth="1"/>
    <col min="15" max="15" width="28.85546875" bestFit="1" customWidth="1"/>
  </cols>
  <sheetData>
    <row r="1" spans="1:15" x14ac:dyDescent="0.25">
      <c r="A1" s="4" t="s">
        <v>72</v>
      </c>
      <c r="B1" s="4"/>
    </row>
    <row r="2" spans="1:15" x14ac:dyDescent="0.25">
      <c r="C2" t="s">
        <v>62</v>
      </c>
      <c r="E2" t="s">
        <v>63</v>
      </c>
      <c r="M2" t="s">
        <v>94</v>
      </c>
      <c r="N2" s="18">
        <v>2988</v>
      </c>
      <c r="O2" s="37" t="s">
        <v>105</v>
      </c>
    </row>
    <row r="3" spans="1:15" x14ac:dyDescent="0.25">
      <c r="A3" t="s">
        <v>61</v>
      </c>
      <c r="B3" t="s">
        <v>65</v>
      </c>
      <c r="C3" s="19">
        <f>ROUNDDOWN(Realised!T9,0) + ROUNDDOWN(Realised!T15,0)</f>
        <v>519</v>
      </c>
      <c r="D3" t="s">
        <v>66</v>
      </c>
      <c r="E3" s="19">
        <f>-ROUNDDOWN(Realised!U9,0) -ROUNDDOWN(Realised!U15,0)</f>
        <v>97196</v>
      </c>
      <c r="G3" s="37"/>
    </row>
    <row r="4" spans="1:15" x14ac:dyDescent="0.25">
      <c r="G4" s="37"/>
      <c r="N4" s="19"/>
    </row>
    <row r="5" spans="1:15" x14ac:dyDescent="0.25">
      <c r="A5" t="s">
        <v>64</v>
      </c>
      <c r="B5" t="s">
        <v>68</v>
      </c>
      <c r="C5" s="19">
        <f>ROUNDDOWN(Realised!T23,0)</f>
        <v>97300</v>
      </c>
      <c r="D5" t="s">
        <v>67</v>
      </c>
      <c r="E5" s="19">
        <f>-ROUNDDOWN(Realised!U23,0)</f>
        <v>0</v>
      </c>
      <c r="G5" s="37"/>
      <c r="N5" s="19"/>
    </row>
    <row r="6" spans="1:15" x14ac:dyDescent="0.25">
      <c r="G6" s="37"/>
    </row>
    <row r="7" spans="1:15" x14ac:dyDescent="0.25">
      <c r="A7" t="s">
        <v>69</v>
      </c>
      <c r="B7" t="s">
        <v>70</v>
      </c>
      <c r="C7" s="19">
        <f>ROUNDDOWN(Income!M10,0)</f>
        <v>22627</v>
      </c>
      <c r="G7" s="37"/>
    </row>
    <row r="8" spans="1:15" x14ac:dyDescent="0.25">
      <c r="G8" s="37"/>
    </row>
    <row r="10" spans="1:15" x14ac:dyDescent="0.25">
      <c r="A10" t="s">
        <v>71</v>
      </c>
      <c r="B10" t="s">
        <v>73</v>
      </c>
      <c r="C10" s="19">
        <f>SUM(C3:C9)</f>
        <v>120446</v>
      </c>
      <c r="N10" s="19"/>
    </row>
    <row r="15" spans="1:15" x14ac:dyDescent="0.25">
      <c r="A15" s="4" t="s">
        <v>74</v>
      </c>
    </row>
    <row r="17" spans="1:15" x14ac:dyDescent="0.25">
      <c r="A17" t="s">
        <v>81</v>
      </c>
      <c r="B17" t="s">
        <v>65</v>
      </c>
      <c r="E17" s="19">
        <f>SUM(E3:E9)</f>
        <v>97196</v>
      </c>
      <c r="M17" t="s">
        <v>81</v>
      </c>
      <c r="N17" s="19">
        <f>E17</f>
        <v>97196</v>
      </c>
    </row>
    <row r="18" spans="1:15" x14ac:dyDescent="0.25">
      <c r="A18" t="s">
        <v>82</v>
      </c>
      <c r="B18" t="s">
        <v>75</v>
      </c>
      <c r="E18" s="19">
        <f>MIN(C10,E17)</f>
        <v>97196</v>
      </c>
      <c r="G18" t="s">
        <v>96</v>
      </c>
      <c r="M18" t="s">
        <v>82</v>
      </c>
      <c r="N18" s="19">
        <f>E18</f>
        <v>97196</v>
      </c>
    </row>
    <row r="19" spans="1:15" x14ac:dyDescent="0.25">
      <c r="E19" s="19"/>
      <c r="M19" t="s">
        <v>95</v>
      </c>
      <c r="N19" s="19">
        <f>C10-N18</f>
        <v>23250</v>
      </c>
    </row>
    <row r="20" spans="1:15" x14ac:dyDescent="0.25">
      <c r="A20" t="s">
        <v>76</v>
      </c>
      <c r="B20" t="s">
        <v>68</v>
      </c>
      <c r="E20" s="19">
        <f>N20</f>
        <v>2988</v>
      </c>
      <c r="G20" s="37"/>
      <c r="M20" t="s">
        <v>76</v>
      </c>
      <c r="N20" s="19">
        <f>MIN(N2,N19)</f>
        <v>2988</v>
      </c>
    </row>
    <row r="21" spans="1:15" x14ac:dyDescent="0.25">
      <c r="E21" s="19"/>
    </row>
    <row r="22" spans="1:15" x14ac:dyDescent="0.25">
      <c r="A22" t="s">
        <v>77</v>
      </c>
      <c r="B22" t="s">
        <v>78</v>
      </c>
      <c r="E22" s="19">
        <f>SUM(E18,E20)</f>
        <v>100184</v>
      </c>
      <c r="M22" t="s">
        <v>171</v>
      </c>
      <c r="N22" s="19">
        <f>N19-N20</f>
        <v>20262</v>
      </c>
    </row>
    <row r="23" spans="1:15" x14ac:dyDescent="0.25">
      <c r="E23" s="19"/>
      <c r="M23" t="s">
        <v>172</v>
      </c>
      <c r="N23" s="78">
        <v>0.1</v>
      </c>
      <c r="O23" t="s">
        <v>173</v>
      </c>
    </row>
    <row r="24" spans="1:15" x14ac:dyDescent="0.25">
      <c r="E24" s="19"/>
      <c r="M24" t="s">
        <v>174</v>
      </c>
      <c r="N24">
        <f>N22*N23</f>
        <v>2026.2</v>
      </c>
    </row>
    <row r="25" spans="1:15" x14ac:dyDescent="0.25">
      <c r="A25" s="4" t="s">
        <v>79</v>
      </c>
      <c r="E25" s="19"/>
    </row>
    <row r="26" spans="1:15" x14ac:dyDescent="0.25">
      <c r="A26" t="s">
        <v>80</v>
      </c>
      <c r="B26" t="s">
        <v>75</v>
      </c>
      <c r="E26" s="19">
        <f>N2+E17-E22</f>
        <v>0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3767D9-0841-4D74-8309-2A9103103229}">
  <dimension ref="A1:U24"/>
  <sheetViews>
    <sheetView workbookViewId="0">
      <selection activeCell="Q17" sqref="Q17"/>
    </sheetView>
  </sheetViews>
  <sheetFormatPr defaultRowHeight="15" x14ac:dyDescent="0.25"/>
  <cols>
    <col min="2" max="3" width="9.7109375" bestFit="1" customWidth="1"/>
    <col min="4" max="4" width="10.140625" bestFit="1" customWidth="1"/>
    <col min="5" max="7" width="8.85546875" bestFit="1" customWidth="1"/>
    <col min="8" max="8" width="9.42578125" bestFit="1" customWidth="1"/>
    <col min="9" max="9" width="11.42578125" bestFit="1" customWidth="1"/>
    <col min="10" max="11" width="8.85546875" bestFit="1" customWidth="1"/>
    <col min="12" max="13" width="12.28515625" bestFit="1" customWidth="1"/>
    <col min="16" max="17" width="11.28515625" bestFit="1" customWidth="1"/>
    <col min="20" max="20" width="8.85546875" bestFit="1" customWidth="1"/>
    <col min="21" max="21" width="9.85546875" bestFit="1" customWidth="1"/>
  </cols>
  <sheetData>
    <row r="1" spans="1:21" ht="119.25" x14ac:dyDescent="0.25">
      <c r="A1" s="66" t="s">
        <v>18</v>
      </c>
      <c r="B1" s="66" t="s">
        <v>14</v>
      </c>
      <c r="C1" s="67" t="s">
        <v>19</v>
      </c>
      <c r="D1" s="67" t="s">
        <v>20</v>
      </c>
      <c r="E1" s="66" t="s">
        <v>21</v>
      </c>
      <c r="F1" s="68" t="s">
        <v>22</v>
      </c>
      <c r="G1" s="66" t="s">
        <v>23</v>
      </c>
      <c r="H1" s="69" t="s">
        <v>24</v>
      </c>
      <c r="I1" s="65" t="s">
        <v>25</v>
      </c>
      <c r="J1" s="65" t="s">
        <v>26</v>
      </c>
      <c r="K1" s="66" t="s">
        <v>27</v>
      </c>
      <c r="L1" s="66" t="s">
        <v>28</v>
      </c>
      <c r="M1" s="65" t="s">
        <v>117</v>
      </c>
      <c r="P1" s="66" t="s">
        <v>34</v>
      </c>
      <c r="Q1" s="66" t="s">
        <v>33</v>
      </c>
      <c r="R1" s="66"/>
      <c r="S1" s="67"/>
      <c r="T1" s="67" t="s">
        <v>111</v>
      </c>
      <c r="U1" s="66" t="s">
        <v>112</v>
      </c>
    </row>
    <row r="2" spans="1:21" x14ac:dyDescent="0.25">
      <c r="A2" s="60" t="s">
        <v>153</v>
      </c>
      <c r="B2" s="53"/>
      <c r="C2" s="53"/>
      <c r="D2" s="54"/>
      <c r="E2" s="55"/>
      <c r="F2" s="55"/>
      <c r="G2" s="54"/>
      <c r="H2" s="54"/>
      <c r="I2" s="54"/>
      <c r="J2" s="54"/>
      <c r="K2" s="54"/>
      <c r="L2" s="54"/>
      <c r="M2" s="54"/>
      <c r="N2" s="56"/>
      <c r="O2" s="56"/>
      <c r="P2" s="11"/>
      <c r="Q2" s="11"/>
      <c r="R2" s="11"/>
      <c r="S2" s="12"/>
      <c r="T2" s="12"/>
      <c r="U2" s="11"/>
    </row>
    <row r="3" spans="1:21" x14ac:dyDescent="0.25">
      <c r="A3" s="8" t="s">
        <v>110</v>
      </c>
      <c r="B3" s="8" t="s">
        <v>31</v>
      </c>
      <c r="C3" s="16">
        <v>44314</v>
      </c>
      <c r="D3" s="16">
        <v>44939</v>
      </c>
      <c r="E3" s="20">
        <v>22.95</v>
      </c>
      <c r="F3" s="17">
        <v>0</v>
      </c>
      <c r="G3" s="6">
        <f t="shared" ref="G3:G8" si="0">E3-F3</f>
        <v>22.95</v>
      </c>
      <c r="H3" s="62">
        <v>22.95</v>
      </c>
      <c r="I3" s="18">
        <v>2000</v>
      </c>
      <c r="J3" s="19">
        <f t="shared" ref="J3:J8" si="1">I3*G3</f>
        <v>45900</v>
      </c>
      <c r="K3" s="6">
        <f>I3*E3*0.0011</f>
        <v>50.49</v>
      </c>
      <c r="L3" s="6">
        <f>H3*I3*0.0011</f>
        <v>50.49</v>
      </c>
      <c r="M3" s="43">
        <f t="shared" ref="M3:M8" si="2">(H3  - G3)*I3 - SUM(K3:L3)</f>
        <v>-100.98</v>
      </c>
      <c r="P3" s="1">
        <f t="shared" ref="P3" si="3">ROUND(E3*I3+K3,2)</f>
        <v>45950.49</v>
      </c>
      <c r="Q3" s="1">
        <f>I3*H3-L3</f>
        <v>45849.51</v>
      </c>
      <c r="T3" s="1">
        <f>IF(M3&gt;0,M3,0)</f>
        <v>0</v>
      </c>
      <c r="U3" s="1">
        <f>IF(M3&lt;0,M3,0)</f>
        <v>-100.98</v>
      </c>
    </row>
    <row r="4" spans="1:21" s="44" customFormat="1" x14ac:dyDescent="0.25">
      <c r="A4" s="8" t="s">
        <v>110</v>
      </c>
      <c r="B4" s="8" t="s">
        <v>31</v>
      </c>
      <c r="C4" s="16">
        <v>44314</v>
      </c>
      <c r="D4" s="16">
        <v>44939</v>
      </c>
      <c r="E4" s="20">
        <v>22.64</v>
      </c>
      <c r="F4" s="17">
        <v>0</v>
      </c>
      <c r="G4" s="6">
        <f t="shared" si="0"/>
        <v>22.64</v>
      </c>
      <c r="H4" s="62">
        <v>22.95</v>
      </c>
      <c r="I4" s="18">
        <v>2000</v>
      </c>
      <c r="J4" s="19">
        <f t="shared" si="1"/>
        <v>45280</v>
      </c>
      <c r="K4" s="6">
        <f>I4*E4*0.0011</f>
        <v>49.808</v>
      </c>
      <c r="L4" s="6">
        <f>H4*I4*0.0011</f>
        <v>50.49</v>
      </c>
      <c r="M4" s="43">
        <f t="shared" si="2"/>
        <v>519.7019999999975</v>
      </c>
      <c r="N4"/>
      <c r="P4" s="1">
        <f t="shared" ref="P4:P8" si="4">ROUND(E4*I4+K4,2)</f>
        <v>45329.81</v>
      </c>
      <c r="Q4" s="1">
        <f t="shared" ref="Q4:Q8" si="5">I4*H4-L4</f>
        <v>45849.51</v>
      </c>
      <c r="R4"/>
      <c r="S4"/>
      <c r="T4" s="1">
        <f t="shared" ref="T4:T8" si="6">IF(M4&gt;0,M4,0)</f>
        <v>519.7019999999975</v>
      </c>
      <c r="U4" s="1">
        <f t="shared" ref="U4:U8" si="7">IF(M4&lt;0,M4,0)</f>
        <v>0</v>
      </c>
    </row>
    <row r="5" spans="1:21" s="44" customFormat="1" x14ac:dyDescent="0.25">
      <c r="A5" s="8" t="s">
        <v>110</v>
      </c>
      <c r="B5" s="8" t="s">
        <v>4</v>
      </c>
      <c r="C5" s="16">
        <v>44578</v>
      </c>
      <c r="D5" s="49">
        <v>45054</v>
      </c>
      <c r="E5" s="20">
        <v>2.81</v>
      </c>
      <c r="F5" s="17">
        <v>0</v>
      </c>
      <c r="G5" s="6">
        <f t="shared" si="0"/>
        <v>2.81</v>
      </c>
      <c r="H5" s="64">
        <f>(1839*1.395 + 7015*1.39 + 1098*1.38) / 9952</f>
        <v>1.3898206390675241</v>
      </c>
      <c r="I5" s="18">
        <v>9952</v>
      </c>
      <c r="J5" s="19">
        <f t="shared" si="1"/>
        <v>27965.119999999999</v>
      </c>
      <c r="K5" s="21">
        <v>30.77</v>
      </c>
      <c r="L5" s="21">
        <f>14.95+19.95+14.95</f>
        <v>49.849999999999994</v>
      </c>
      <c r="M5" s="43">
        <f t="shared" si="2"/>
        <v>-14214.245000000003</v>
      </c>
      <c r="N5"/>
      <c r="P5" s="1">
        <f t="shared" si="4"/>
        <v>27995.89</v>
      </c>
      <c r="Q5" s="1">
        <f t="shared" si="5"/>
        <v>13781.644999999999</v>
      </c>
      <c r="R5"/>
      <c r="S5"/>
      <c r="T5" s="1">
        <f t="shared" si="6"/>
        <v>0</v>
      </c>
      <c r="U5" s="1">
        <f t="shared" si="7"/>
        <v>-14214.245000000003</v>
      </c>
    </row>
    <row r="6" spans="1:21" s="44" customFormat="1" x14ac:dyDescent="0.25">
      <c r="A6" s="8" t="s">
        <v>110</v>
      </c>
      <c r="B6" s="8" t="s">
        <v>4</v>
      </c>
      <c r="C6" s="16">
        <v>44610</v>
      </c>
      <c r="D6" s="49">
        <v>45082</v>
      </c>
      <c r="E6" s="20">
        <v>2.8</v>
      </c>
      <c r="F6" s="17">
        <v>0</v>
      </c>
      <c r="G6" s="6">
        <f t="shared" si="0"/>
        <v>2.8</v>
      </c>
      <c r="H6" s="63">
        <v>1.41</v>
      </c>
      <c r="I6" s="18">
        <v>10048</v>
      </c>
      <c r="J6" s="19">
        <f t="shared" si="1"/>
        <v>28134.399999999998</v>
      </c>
      <c r="K6" s="21">
        <v>30.94</v>
      </c>
      <c r="L6" s="21">
        <f>69.87*I6/45048</f>
        <v>15.584571124134257</v>
      </c>
      <c r="M6" s="43">
        <f t="shared" si="2"/>
        <v>-14013.244571124134</v>
      </c>
      <c r="O6"/>
      <c r="P6" s="1">
        <f t="shared" si="4"/>
        <v>28165.34</v>
      </c>
      <c r="Q6" s="1">
        <f t="shared" si="5"/>
        <v>14152.095428875864</v>
      </c>
      <c r="R6"/>
      <c r="S6"/>
      <c r="T6" s="1">
        <f t="shared" si="6"/>
        <v>0</v>
      </c>
      <c r="U6" s="1">
        <f t="shared" si="7"/>
        <v>-14013.244571124134</v>
      </c>
    </row>
    <row r="7" spans="1:21" s="44" customFormat="1" x14ac:dyDescent="0.25">
      <c r="A7" s="8" t="s">
        <v>110</v>
      </c>
      <c r="B7" s="8" t="s">
        <v>4</v>
      </c>
      <c r="C7" s="16">
        <v>44610</v>
      </c>
      <c r="D7" s="49">
        <v>45082</v>
      </c>
      <c r="E7" s="20">
        <v>2.8</v>
      </c>
      <c r="F7" s="17">
        <v>0</v>
      </c>
      <c r="G7" s="6">
        <f t="shared" si="0"/>
        <v>2.8</v>
      </c>
      <c r="H7" s="63">
        <v>1.41</v>
      </c>
      <c r="I7" s="18">
        <v>15000</v>
      </c>
      <c r="J7" s="19">
        <f t="shared" si="1"/>
        <v>42000</v>
      </c>
      <c r="K7" s="21">
        <v>46.2</v>
      </c>
      <c r="L7" s="21">
        <f>69.87*I7/45048</f>
        <v>23.265183803942463</v>
      </c>
      <c r="M7" s="43">
        <f t="shared" si="2"/>
        <v>-20919.465183803943</v>
      </c>
      <c r="O7"/>
      <c r="P7" s="1">
        <f t="shared" si="4"/>
        <v>42046.2</v>
      </c>
      <c r="Q7" s="1">
        <f t="shared" si="5"/>
        <v>21126.734816196058</v>
      </c>
      <c r="R7"/>
      <c r="S7"/>
      <c r="T7" s="1">
        <f t="shared" si="6"/>
        <v>0</v>
      </c>
      <c r="U7" s="1">
        <f t="shared" si="7"/>
        <v>-20919.465183803943</v>
      </c>
    </row>
    <row r="8" spans="1:21" s="44" customFormat="1" x14ac:dyDescent="0.25">
      <c r="A8" s="8" t="s">
        <v>110</v>
      </c>
      <c r="B8" s="8" t="s">
        <v>4</v>
      </c>
      <c r="C8" s="16">
        <v>44508</v>
      </c>
      <c r="D8" s="49">
        <v>45082</v>
      </c>
      <c r="E8" s="20">
        <f>53997.06/20000</f>
        <v>2.6998530000000001</v>
      </c>
      <c r="F8" s="17">
        <v>0</v>
      </c>
      <c r="G8" s="6">
        <f t="shared" si="0"/>
        <v>2.6998530000000001</v>
      </c>
      <c r="H8" s="63">
        <v>1.41</v>
      </c>
      <c r="I8" s="18">
        <v>20000</v>
      </c>
      <c r="J8" s="19">
        <f t="shared" si="1"/>
        <v>53997.06</v>
      </c>
      <c r="K8" s="6">
        <f>I8*E8*0.0011</f>
        <v>59.396766</v>
      </c>
      <c r="L8" s="21">
        <f>69.87*I8/45048</f>
        <v>31.020245071923281</v>
      </c>
      <c r="M8" s="43">
        <f t="shared" si="2"/>
        <v>-25887.477011071926</v>
      </c>
      <c r="O8"/>
      <c r="P8" s="1">
        <f t="shared" si="4"/>
        <v>54056.46</v>
      </c>
      <c r="Q8" s="1">
        <f t="shared" si="5"/>
        <v>28168.979754928077</v>
      </c>
      <c r="R8"/>
      <c r="S8"/>
      <c r="T8" s="1">
        <f t="shared" si="6"/>
        <v>0</v>
      </c>
      <c r="U8" s="1">
        <f t="shared" si="7"/>
        <v>-25887.477011071926</v>
      </c>
    </row>
    <row r="9" spans="1:21" ht="15.75" thickBot="1" x14ac:dyDescent="0.3">
      <c r="P9" s="22">
        <f>SUM(P3:P8)</f>
        <v>243544.18999999997</v>
      </c>
      <c r="Q9" s="22">
        <f>SUM(Q3:Q8)</f>
        <v>168928.47500000003</v>
      </c>
      <c r="R9" s="59"/>
      <c r="T9" s="22">
        <f>SUM(T3:T8)</f>
        <v>519.7019999999975</v>
      </c>
      <c r="U9" s="22">
        <f>SUM(U3:U8)</f>
        <v>-75135.411766000005</v>
      </c>
    </row>
    <row r="10" spans="1:21" ht="15.75" thickTop="1" x14ac:dyDescent="0.25"/>
    <row r="11" spans="1:21" x14ac:dyDescent="0.25">
      <c r="A11" s="60" t="s">
        <v>154</v>
      </c>
      <c r="B11" s="53"/>
      <c r="C11" s="53"/>
      <c r="D11" s="54"/>
      <c r="E11" s="55"/>
      <c r="F11" s="55"/>
      <c r="G11" s="54"/>
      <c r="H11" s="54"/>
      <c r="I11" s="54"/>
      <c r="J11" s="54"/>
      <c r="K11" s="54"/>
      <c r="L11" s="54"/>
      <c r="M11" s="54"/>
      <c r="N11" s="56"/>
      <c r="O11" s="56"/>
      <c r="P11" s="11"/>
      <c r="Q11" s="11"/>
      <c r="R11" s="11"/>
      <c r="S11" s="12"/>
      <c r="T11" s="12"/>
      <c r="U11" s="11"/>
    </row>
    <row r="12" spans="1:21" s="44" customFormat="1" x14ac:dyDescent="0.25">
      <c r="A12" s="8" t="s">
        <v>110</v>
      </c>
      <c r="B12" s="8" t="s">
        <v>115</v>
      </c>
      <c r="C12" s="16">
        <v>44931</v>
      </c>
      <c r="D12" s="16">
        <v>45048</v>
      </c>
      <c r="E12" s="20">
        <v>27.95</v>
      </c>
      <c r="F12" s="17">
        <v>0</v>
      </c>
      <c r="G12" s="6">
        <f>E12-F12</f>
        <v>27.95</v>
      </c>
      <c r="H12" s="63">
        <v>26.5</v>
      </c>
      <c r="I12" s="18">
        <v>5000</v>
      </c>
      <c r="J12" s="19">
        <f>I12*G12</f>
        <v>139750</v>
      </c>
      <c r="K12" s="6">
        <f>I12*E12*0.0011</f>
        <v>153.72500000000002</v>
      </c>
      <c r="L12" s="21">
        <v>0</v>
      </c>
      <c r="M12" s="43">
        <f>(H12  - G12)*I12 - SUM(K12:L12)</f>
        <v>-7403.7249999999967</v>
      </c>
      <c r="N12"/>
      <c r="P12" s="1">
        <f>ROUND(E12*I12+K12,2)</f>
        <v>139903.73000000001</v>
      </c>
      <c r="Q12" s="1">
        <f>I12*H12-L12</f>
        <v>132500</v>
      </c>
      <c r="R12"/>
      <c r="S12"/>
      <c r="T12" s="1">
        <f>IF(M12&gt;0,M12,0)</f>
        <v>0</v>
      </c>
      <c r="U12" s="1">
        <f>IF(M12&lt;0,M12,0)</f>
        <v>-7403.7249999999967</v>
      </c>
    </row>
    <row r="13" spans="1:21" s="44" customFormat="1" x14ac:dyDescent="0.25">
      <c r="A13" s="8" t="s">
        <v>110</v>
      </c>
      <c r="B13" s="8" t="s">
        <v>115</v>
      </c>
      <c r="C13" s="16">
        <v>44931</v>
      </c>
      <c r="D13" s="16">
        <v>45048</v>
      </c>
      <c r="E13" s="20">
        <v>27.95</v>
      </c>
      <c r="F13" s="17">
        <v>0</v>
      </c>
      <c r="G13" s="6">
        <f>E13-F13</f>
        <v>27.95</v>
      </c>
      <c r="H13" s="63">
        <v>26.5</v>
      </c>
      <c r="I13" s="18">
        <v>5000</v>
      </c>
      <c r="J13" s="19">
        <f>I13*G13</f>
        <v>139750</v>
      </c>
      <c r="K13" s="6">
        <f>I13*E13*0.0011</f>
        <v>153.72500000000002</v>
      </c>
      <c r="L13" s="21">
        <v>0</v>
      </c>
      <c r="M13" s="43">
        <f>(H13  - G13)*I13 - SUM(K13:L13)</f>
        <v>-7403.7249999999967</v>
      </c>
      <c r="N13"/>
      <c r="P13" s="1">
        <f>ROUND(E13*I13+K13,2)</f>
        <v>139903.73000000001</v>
      </c>
      <c r="Q13" s="1">
        <f>I13*H13-L13</f>
        <v>132500</v>
      </c>
      <c r="R13"/>
      <c r="S13"/>
      <c r="T13" s="1">
        <f>IF(M13&gt;0,M13,0)</f>
        <v>0</v>
      </c>
      <c r="U13" s="1">
        <f>IF(M13&lt;0,M13,0)</f>
        <v>-7403.7249999999967</v>
      </c>
    </row>
    <row r="14" spans="1:21" s="44" customFormat="1" x14ac:dyDescent="0.25">
      <c r="A14" s="8" t="s">
        <v>110</v>
      </c>
      <c r="B14" s="8" t="s">
        <v>115</v>
      </c>
      <c r="C14" s="16">
        <v>44956</v>
      </c>
      <c r="D14" s="16">
        <v>45048</v>
      </c>
      <c r="E14" s="20">
        <v>27.92</v>
      </c>
      <c r="F14" s="17">
        <v>0</v>
      </c>
      <c r="G14" s="6">
        <f>E14-F14</f>
        <v>27.92</v>
      </c>
      <c r="H14" s="63">
        <v>26.5</v>
      </c>
      <c r="I14" s="18">
        <v>5000</v>
      </c>
      <c r="J14" s="19">
        <f>I14*G14</f>
        <v>139600</v>
      </c>
      <c r="K14" s="6">
        <f>I14*E14*0.0011</f>
        <v>153.56</v>
      </c>
      <c r="L14" s="21">
        <v>0</v>
      </c>
      <c r="M14" s="43">
        <f>(H14  - G14)*I14 - SUM(K14:L14)</f>
        <v>-7253.5600000000086</v>
      </c>
      <c r="N14"/>
      <c r="P14" s="1">
        <f>ROUND(E14*I14+K14,2)</f>
        <v>139753.56</v>
      </c>
      <c r="Q14" s="1">
        <f>I14*H14-L14</f>
        <v>132500</v>
      </c>
      <c r="R14"/>
      <c r="S14"/>
      <c r="T14" s="1">
        <f>IF(M14&gt;0,M14,0)</f>
        <v>0</v>
      </c>
      <c r="U14" s="1">
        <f>IF(M14&lt;0,M14,0)</f>
        <v>-7253.5600000000086</v>
      </c>
    </row>
    <row r="15" spans="1:21" ht="15.75" thickBot="1" x14ac:dyDescent="0.3">
      <c r="M15" s="1"/>
      <c r="N15" s="57"/>
      <c r="O15" s="57"/>
      <c r="P15" s="22">
        <f>SUM(P12:P14)</f>
        <v>419561.02</v>
      </c>
      <c r="Q15" s="22">
        <f>SUM(Q12:Q14)</f>
        <v>397500</v>
      </c>
      <c r="R15" s="59"/>
      <c r="T15" s="22">
        <f>SUM(T12:T14)</f>
        <v>0</v>
      </c>
      <c r="U15" s="22">
        <f>SUM(U12:U14)</f>
        <v>-22061.010000000002</v>
      </c>
    </row>
    <row r="16" spans="1:21" ht="15.75" thickTop="1" x14ac:dyDescent="0.25">
      <c r="A16" s="74" t="s">
        <v>155</v>
      </c>
      <c r="B16" s="58"/>
      <c r="C16" s="58"/>
      <c r="D16" s="58"/>
      <c r="E16" s="58"/>
      <c r="F16" s="58"/>
      <c r="G16" s="58"/>
      <c r="H16" s="58"/>
      <c r="I16" s="58"/>
      <c r="J16" s="58"/>
      <c r="K16" s="58"/>
      <c r="M16" s="1"/>
      <c r="N16" s="57"/>
      <c r="O16" s="57"/>
      <c r="P16" s="58"/>
      <c r="Q16" s="58"/>
      <c r="R16" s="59"/>
    </row>
    <row r="17" spans="1:21" s="44" customFormat="1" x14ac:dyDescent="0.25">
      <c r="A17" s="8" t="s">
        <v>110</v>
      </c>
      <c r="B17" s="8" t="s">
        <v>116</v>
      </c>
      <c r="C17" s="16">
        <v>44035</v>
      </c>
      <c r="D17" s="16">
        <v>45077</v>
      </c>
      <c r="E17" s="20">
        <v>0.88549999999999995</v>
      </c>
      <c r="F17" s="17">
        <v>0</v>
      </c>
      <c r="G17" s="6">
        <f>E17-F17</f>
        <v>0.88549999999999995</v>
      </c>
      <c r="H17" s="42">
        <v>1.0403</v>
      </c>
      <c r="I17" s="18">
        <v>578095.67000000004</v>
      </c>
      <c r="J17" s="19">
        <f>I17*G17</f>
        <v>511903.71578500001</v>
      </c>
      <c r="K17" s="21">
        <v>0</v>
      </c>
      <c r="L17" s="21">
        <v>0</v>
      </c>
      <c r="M17" s="43">
        <f>(H17  - G17)*I17 - SUM(K17:L17)</f>
        <v>89489.209716000041</v>
      </c>
      <c r="O17"/>
      <c r="P17" s="1">
        <f>ROUND(E17*I17+K17,2)</f>
        <v>511903.72</v>
      </c>
      <c r="Q17" s="1">
        <f>I17*H17-L17</f>
        <v>601392.92550100002</v>
      </c>
      <c r="R17"/>
      <c r="S17"/>
      <c r="T17" s="1">
        <f>IF(M17&gt;0,M17,0)</f>
        <v>89489.209716000041</v>
      </c>
      <c r="U17" s="1">
        <f>IF(M17&lt;0,M17,0)</f>
        <v>0</v>
      </c>
    </row>
    <row r="18" spans="1:21" s="44" customFormat="1" x14ac:dyDescent="0.25">
      <c r="A18" s="8" t="s">
        <v>110</v>
      </c>
      <c r="B18" s="8" t="s">
        <v>116</v>
      </c>
      <c r="C18" s="16">
        <v>44035</v>
      </c>
      <c r="D18" s="16">
        <v>45078</v>
      </c>
      <c r="E18" s="20">
        <v>0.88549999999999995</v>
      </c>
      <c r="F18" s="17">
        <v>0</v>
      </c>
      <c r="G18" s="6">
        <v>0.88549999999999995</v>
      </c>
      <c r="H18" s="64">
        <v>1.026</v>
      </c>
      <c r="I18" s="18">
        <v>46679.8</v>
      </c>
      <c r="J18" s="19">
        <v>41334.962899999999</v>
      </c>
      <c r="K18" s="21">
        <v>0</v>
      </c>
      <c r="L18" s="21">
        <v>0</v>
      </c>
      <c r="M18" s="43">
        <v>6558.5119000000041</v>
      </c>
      <c r="O18"/>
      <c r="P18" s="1">
        <f>ROUND(E18*I18+K18,2)</f>
        <v>41334.959999999999</v>
      </c>
      <c r="Q18" s="1">
        <f>I18*H18-L18</f>
        <v>47893.474800000004</v>
      </c>
      <c r="R18"/>
      <c r="S18"/>
      <c r="T18" s="1">
        <f>IF(M18&gt;0,M18,0)</f>
        <v>6558.5119000000041</v>
      </c>
      <c r="U18" s="1">
        <f>IF(M18&lt;0,M18,0)</f>
        <v>0</v>
      </c>
    </row>
    <row r="19" spans="1:21" s="44" customFormat="1" x14ac:dyDescent="0.25">
      <c r="A19" s="8" t="s">
        <v>110</v>
      </c>
      <c r="B19" s="8" t="s">
        <v>116</v>
      </c>
      <c r="C19" s="16">
        <v>44035</v>
      </c>
      <c r="D19" s="16">
        <v>45083</v>
      </c>
      <c r="E19" s="20">
        <v>0.88549999999999995</v>
      </c>
      <c r="F19" s="17">
        <v>0</v>
      </c>
      <c r="G19" s="6">
        <f>E19-F19</f>
        <v>0.88549999999999995</v>
      </c>
      <c r="H19" s="64">
        <f>9794.43/I19</f>
        <v>1.0154003574583139</v>
      </c>
      <c r="I19" s="18">
        <v>9645.8799999999992</v>
      </c>
      <c r="J19" s="19">
        <f>I19*G19</f>
        <v>8541.426739999999</v>
      </c>
      <c r="K19" s="21">
        <v>0</v>
      </c>
      <c r="L19" s="21">
        <v>0</v>
      </c>
      <c r="M19" s="43">
        <f>(H19  - G19)*I19 - SUM(K19:L19)</f>
        <v>1253.0032600000013</v>
      </c>
      <c r="O19"/>
      <c r="P19" s="1">
        <f t="shared" ref="P19" si="8">ROUND(E19*I19+K19,2)</f>
        <v>8541.43</v>
      </c>
      <c r="Q19" s="1">
        <f t="shared" ref="Q19" si="9">I19*H19-L19</f>
        <v>9794.43</v>
      </c>
      <c r="R19"/>
      <c r="S19"/>
      <c r="T19" s="1">
        <f t="shared" ref="T19" si="10">IF(M19&gt;0,M19,0)</f>
        <v>1253.0032600000013</v>
      </c>
      <c r="U19" s="1">
        <f t="shared" ref="U19" si="11">IF(M19&lt;0,M19,0)</f>
        <v>0</v>
      </c>
    </row>
    <row r="23" spans="1:21" ht="15.75" thickBot="1" x14ac:dyDescent="0.3">
      <c r="P23" s="22">
        <f>SUM(P17:P22)</f>
        <v>561780.11</v>
      </c>
      <c r="Q23" s="22">
        <f>SUM(Q17:Q22)</f>
        <v>659080.83030100004</v>
      </c>
      <c r="R23" s="59"/>
      <c r="T23" s="22">
        <f>SUM(T17:T22)</f>
        <v>97300.724876000037</v>
      </c>
      <c r="U23" s="22">
        <f>SUM(U17:U22)</f>
        <v>0</v>
      </c>
    </row>
    <row r="24" spans="1:21" ht="15.75" thickTop="1" x14ac:dyDescent="0.25"/>
  </sheetData>
  <conditionalFormatting sqref="L7">
    <cfRule type="cellIs" dxfId="0" priority="1" operator="lessThan">
      <formula>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FA6D02-F350-4A61-995E-C57674FF3173}">
  <dimension ref="A1:N89"/>
  <sheetViews>
    <sheetView workbookViewId="0">
      <pane ySplit="2" topLeftCell="A24" activePane="bottomLeft" state="frozen"/>
      <selection pane="bottomLeft" activeCell="A36" sqref="A36"/>
    </sheetView>
  </sheetViews>
  <sheetFormatPr defaultRowHeight="15" x14ac:dyDescent="0.25"/>
  <cols>
    <col min="1" max="1" width="18.7109375" bestFit="1" customWidth="1"/>
    <col min="2" max="2" width="16.5703125" bestFit="1" customWidth="1"/>
    <col min="3" max="3" width="13" bestFit="1" customWidth="1"/>
    <col min="4" max="4" width="11.140625" bestFit="1" customWidth="1"/>
    <col min="5" max="5" width="10.140625" bestFit="1" customWidth="1"/>
    <col min="6" max="6" width="10.85546875" bestFit="1" customWidth="1"/>
    <col min="7" max="7" width="20.5703125" bestFit="1" customWidth="1"/>
    <col min="8" max="8" width="23.85546875" bestFit="1" customWidth="1"/>
    <col min="9" max="9" width="19.5703125" bestFit="1" customWidth="1"/>
    <col min="10" max="10" width="13.5703125" style="1" bestFit="1" customWidth="1"/>
    <col min="11" max="11" width="14.85546875" bestFit="1" customWidth="1"/>
    <col min="12" max="12" width="13" bestFit="1" customWidth="1"/>
    <col min="13" max="14" width="11.85546875" bestFit="1" customWidth="1"/>
  </cols>
  <sheetData>
    <row r="1" spans="1:12" x14ac:dyDescent="0.25">
      <c r="A1" s="70" t="s">
        <v>151</v>
      </c>
    </row>
    <row r="2" spans="1:12" x14ac:dyDescent="0.25">
      <c r="A2" s="41" t="s">
        <v>12</v>
      </c>
      <c r="B2" s="41" t="s">
        <v>119</v>
      </c>
      <c r="C2" s="41" t="s">
        <v>120</v>
      </c>
      <c r="D2" s="41" t="s">
        <v>25</v>
      </c>
      <c r="E2" s="41" t="s">
        <v>121</v>
      </c>
      <c r="F2" s="41" t="s">
        <v>122</v>
      </c>
      <c r="G2" s="41" t="s">
        <v>123</v>
      </c>
      <c r="H2" s="41" t="s">
        <v>124</v>
      </c>
      <c r="I2" s="72"/>
      <c r="J2" s="73" t="s">
        <v>125</v>
      </c>
      <c r="K2" s="73" t="s">
        <v>126</v>
      </c>
      <c r="L2" s="52"/>
    </row>
    <row r="3" spans="1:12" x14ac:dyDescent="0.25">
      <c r="A3" s="71">
        <v>44760</v>
      </c>
      <c r="B3">
        <v>114904387</v>
      </c>
      <c r="C3" t="s">
        <v>130</v>
      </c>
      <c r="D3">
        <v>10000</v>
      </c>
      <c r="E3" t="s">
        <v>127</v>
      </c>
      <c r="F3">
        <v>2.4500000000000002</v>
      </c>
      <c r="G3">
        <v>26.95</v>
      </c>
      <c r="H3">
        <v>24526.95</v>
      </c>
      <c r="I3" s="1"/>
      <c r="J3" s="1">
        <f t="shared" ref="J3:J34" si="0">IF(E3="Sell",H3,0)</f>
        <v>0</v>
      </c>
      <c r="K3" s="1">
        <f t="shared" ref="K3:K34" si="1">IF(E3="Buy",-H3,0)</f>
        <v>-24526.95</v>
      </c>
    </row>
    <row r="4" spans="1:12" x14ac:dyDescent="0.25">
      <c r="A4" s="71">
        <v>44799</v>
      </c>
      <c r="B4">
        <v>116950322</v>
      </c>
      <c r="C4" t="s">
        <v>131</v>
      </c>
      <c r="D4">
        <v>50000</v>
      </c>
      <c r="E4" t="s">
        <v>127</v>
      </c>
      <c r="F4">
        <v>0.67</v>
      </c>
      <c r="G4">
        <v>36.85</v>
      </c>
      <c r="H4">
        <v>33536.85</v>
      </c>
      <c r="I4" s="1"/>
      <c r="J4" s="1">
        <f t="shared" si="0"/>
        <v>0</v>
      </c>
      <c r="K4" s="1">
        <f t="shared" si="1"/>
        <v>-33536.85</v>
      </c>
    </row>
    <row r="5" spans="1:12" x14ac:dyDescent="0.25">
      <c r="A5" s="71">
        <v>44802</v>
      </c>
      <c r="B5">
        <v>117022867</v>
      </c>
      <c r="C5" t="s">
        <v>131</v>
      </c>
      <c r="D5">
        <v>50000</v>
      </c>
      <c r="E5" t="s">
        <v>127</v>
      </c>
      <c r="F5">
        <v>0.66</v>
      </c>
      <c r="G5">
        <v>36.299999999999997</v>
      </c>
      <c r="H5">
        <v>33036.300000000003</v>
      </c>
      <c r="I5" s="1"/>
      <c r="J5" s="1">
        <f t="shared" si="0"/>
        <v>0</v>
      </c>
      <c r="K5" s="1">
        <f t="shared" si="1"/>
        <v>-33036.300000000003</v>
      </c>
    </row>
    <row r="6" spans="1:12" x14ac:dyDescent="0.25">
      <c r="A6" s="71">
        <v>44811</v>
      </c>
      <c r="B6">
        <v>117540673</v>
      </c>
      <c r="C6" t="s">
        <v>130</v>
      </c>
      <c r="D6">
        <v>20125</v>
      </c>
      <c r="E6" t="s">
        <v>127</v>
      </c>
      <c r="F6">
        <v>2.41</v>
      </c>
      <c r="G6">
        <v>53.35</v>
      </c>
      <c r="H6">
        <v>48554.6</v>
      </c>
      <c r="I6" s="1"/>
      <c r="J6" s="1">
        <f t="shared" si="0"/>
        <v>0</v>
      </c>
      <c r="K6" s="1">
        <f t="shared" si="1"/>
        <v>-48554.6</v>
      </c>
    </row>
    <row r="7" spans="1:12" x14ac:dyDescent="0.25">
      <c r="A7" s="71">
        <v>44834</v>
      </c>
      <c r="B7">
        <v>118602683</v>
      </c>
      <c r="C7" t="s">
        <v>130</v>
      </c>
      <c r="D7">
        <v>4875</v>
      </c>
      <c r="E7" t="s">
        <v>127</v>
      </c>
      <c r="F7">
        <v>2.39</v>
      </c>
      <c r="G7">
        <v>19.95</v>
      </c>
      <c r="H7">
        <v>11671.2</v>
      </c>
      <c r="I7" s="1"/>
      <c r="J7" s="1">
        <f t="shared" si="0"/>
        <v>0</v>
      </c>
      <c r="K7" s="1">
        <f t="shared" si="1"/>
        <v>-11671.2</v>
      </c>
    </row>
    <row r="8" spans="1:12" x14ac:dyDescent="0.25">
      <c r="A8" s="71">
        <v>44837</v>
      </c>
      <c r="B8">
        <v>118683549</v>
      </c>
      <c r="C8" t="s">
        <v>130</v>
      </c>
      <c r="D8">
        <v>5116</v>
      </c>
      <c r="E8" t="s">
        <v>127</v>
      </c>
      <c r="F8">
        <v>2.29</v>
      </c>
      <c r="G8">
        <v>19.95</v>
      </c>
      <c r="H8">
        <v>11735.59</v>
      </c>
      <c r="I8" s="1"/>
      <c r="J8" s="1">
        <f t="shared" si="0"/>
        <v>0</v>
      </c>
      <c r="K8" s="1">
        <f t="shared" si="1"/>
        <v>-11735.59</v>
      </c>
    </row>
    <row r="9" spans="1:12" x14ac:dyDescent="0.25">
      <c r="A9" s="71">
        <v>44837</v>
      </c>
      <c r="B9">
        <v>118683547</v>
      </c>
      <c r="C9" t="s">
        <v>130</v>
      </c>
      <c r="D9">
        <v>2375</v>
      </c>
      <c r="E9" t="s">
        <v>127</v>
      </c>
      <c r="F9">
        <v>2.2799999999999998</v>
      </c>
      <c r="G9">
        <v>19.95</v>
      </c>
      <c r="H9">
        <v>5434.95</v>
      </c>
      <c r="I9" s="1"/>
      <c r="J9" s="1">
        <f t="shared" si="0"/>
        <v>0</v>
      </c>
      <c r="K9" s="1">
        <f t="shared" si="1"/>
        <v>-5434.95</v>
      </c>
    </row>
    <row r="10" spans="1:12" x14ac:dyDescent="0.25">
      <c r="A10" s="71">
        <v>44848</v>
      </c>
      <c r="B10">
        <v>119216755</v>
      </c>
      <c r="C10" t="s">
        <v>129</v>
      </c>
      <c r="D10">
        <v>7000</v>
      </c>
      <c r="E10" t="s">
        <v>127</v>
      </c>
      <c r="F10">
        <v>7.1170799999999996</v>
      </c>
      <c r="G10">
        <v>54.8</v>
      </c>
      <c r="H10">
        <v>49874.36</v>
      </c>
      <c r="I10" s="1"/>
      <c r="J10" s="1">
        <f t="shared" si="0"/>
        <v>0</v>
      </c>
      <c r="K10" s="1">
        <f t="shared" si="1"/>
        <v>-49874.36</v>
      </c>
    </row>
    <row r="11" spans="1:12" x14ac:dyDescent="0.25">
      <c r="A11" s="71">
        <v>44888</v>
      </c>
      <c r="B11">
        <v>121139876</v>
      </c>
      <c r="C11" t="s">
        <v>130</v>
      </c>
      <c r="D11">
        <v>20000</v>
      </c>
      <c r="E11" t="s">
        <v>127</v>
      </c>
      <c r="F11">
        <v>1.68</v>
      </c>
      <c r="G11">
        <v>36.96</v>
      </c>
      <c r="H11">
        <v>33636.959999999999</v>
      </c>
      <c r="I11" s="1"/>
      <c r="J11" s="1">
        <f t="shared" si="0"/>
        <v>0</v>
      </c>
      <c r="K11" s="1">
        <f t="shared" si="1"/>
        <v>-33636.959999999999</v>
      </c>
    </row>
    <row r="12" spans="1:12" x14ac:dyDescent="0.25">
      <c r="A12" s="71">
        <v>44888</v>
      </c>
      <c r="B12">
        <v>121131324</v>
      </c>
      <c r="C12" t="s">
        <v>130</v>
      </c>
      <c r="D12">
        <v>22509</v>
      </c>
      <c r="E12" t="s">
        <v>127</v>
      </c>
      <c r="F12">
        <v>1.68</v>
      </c>
      <c r="G12">
        <v>41.6</v>
      </c>
      <c r="H12">
        <v>37856.720000000001</v>
      </c>
      <c r="I12" s="1"/>
      <c r="J12" s="1">
        <f t="shared" si="0"/>
        <v>0</v>
      </c>
      <c r="K12" s="1">
        <f t="shared" si="1"/>
        <v>-37856.720000000001</v>
      </c>
    </row>
    <row r="13" spans="1:12" x14ac:dyDescent="0.25">
      <c r="A13" s="71">
        <v>44931</v>
      </c>
      <c r="B13">
        <v>122730414</v>
      </c>
      <c r="C13" t="s">
        <v>132</v>
      </c>
      <c r="D13">
        <v>5000</v>
      </c>
      <c r="E13" t="s">
        <v>127</v>
      </c>
      <c r="F13">
        <v>27.95</v>
      </c>
      <c r="G13">
        <v>153.72999999999999</v>
      </c>
      <c r="H13">
        <v>139903.73000000001</v>
      </c>
      <c r="I13" s="1"/>
      <c r="J13" s="1">
        <f t="shared" si="0"/>
        <v>0</v>
      </c>
      <c r="K13" s="1">
        <f t="shared" si="1"/>
        <v>-139903.73000000001</v>
      </c>
    </row>
    <row r="14" spans="1:12" x14ac:dyDescent="0.25">
      <c r="A14" s="71">
        <v>44931</v>
      </c>
      <c r="B14">
        <v>122695962</v>
      </c>
      <c r="C14" t="s">
        <v>132</v>
      </c>
      <c r="D14">
        <v>5000</v>
      </c>
      <c r="E14" t="s">
        <v>127</v>
      </c>
      <c r="F14">
        <v>27.95</v>
      </c>
      <c r="G14">
        <v>153.72999999999999</v>
      </c>
      <c r="H14">
        <v>139903.73000000001</v>
      </c>
      <c r="I14" s="1"/>
      <c r="J14" s="1">
        <f t="shared" si="0"/>
        <v>0</v>
      </c>
      <c r="K14" s="1">
        <f t="shared" si="1"/>
        <v>-139903.73000000001</v>
      </c>
    </row>
    <row r="15" spans="1:12" x14ac:dyDescent="0.25">
      <c r="A15" s="71">
        <v>44931</v>
      </c>
      <c r="B15">
        <v>122695912</v>
      </c>
      <c r="C15" t="s">
        <v>133</v>
      </c>
      <c r="D15">
        <v>10000</v>
      </c>
      <c r="E15" t="s">
        <v>127</v>
      </c>
      <c r="F15">
        <v>7.7</v>
      </c>
      <c r="G15">
        <v>84.7</v>
      </c>
      <c r="H15">
        <v>77084.7</v>
      </c>
      <c r="I15" s="1"/>
      <c r="J15" s="1">
        <f t="shared" si="0"/>
        <v>0</v>
      </c>
      <c r="K15" s="1">
        <f t="shared" si="1"/>
        <v>-77084.7</v>
      </c>
    </row>
    <row r="16" spans="1:12" x14ac:dyDescent="0.25">
      <c r="A16" s="71">
        <v>44939</v>
      </c>
      <c r="B16">
        <v>123054568</v>
      </c>
      <c r="C16" t="s">
        <v>134</v>
      </c>
      <c r="D16">
        <v>4000</v>
      </c>
      <c r="E16" t="s">
        <v>128</v>
      </c>
      <c r="F16">
        <v>22.95</v>
      </c>
      <c r="G16">
        <v>100.98</v>
      </c>
      <c r="H16">
        <v>91699.02</v>
      </c>
      <c r="I16" s="1"/>
      <c r="J16" s="1">
        <f t="shared" si="0"/>
        <v>91699.02</v>
      </c>
      <c r="K16" s="1">
        <f t="shared" si="1"/>
        <v>0</v>
      </c>
    </row>
    <row r="17" spans="1:11" x14ac:dyDescent="0.25">
      <c r="A17" s="71">
        <v>44953</v>
      </c>
      <c r="B17">
        <v>123619676</v>
      </c>
      <c r="C17" t="s">
        <v>135</v>
      </c>
      <c r="D17">
        <v>7944</v>
      </c>
      <c r="E17" t="s">
        <v>127</v>
      </c>
      <c r="F17">
        <v>8</v>
      </c>
      <c r="G17">
        <v>69.91</v>
      </c>
      <c r="H17">
        <v>63621.91</v>
      </c>
      <c r="J17" s="1">
        <f t="shared" si="0"/>
        <v>0</v>
      </c>
      <c r="K17" s="1">
        <f t="shared" si="1"/>
        <v>-63621.91</v>
      </c>
    </row>
    <row r="18" spans="1:11" x14ac:dyDescent="0.25">
      <c r="A18" s="71">
        <v>44956</v>
      </c>
      <c r="B18">
        <v>123678859</v>
      </c>
      <c r="C18" t="s">
        <v>132</v>
      </c>
      <c r="D18">
        <v>5000</v>
      </c>
      <c r="E18" t="s">
        <v>127</v>
      </c>
      <c r="F18">
        <v>27.92</v>
      </c>
      <c r="G18">
        <v>153.56</v>
      </c>
      <c r="H18">
        <v>139753.56</v>
      </c>
      <c r="I18" s="1"/>
      <c r="J18" s="1">
        <f t="shared" si="0"/>
        <v>0</v>
      </c>
      <c r="K18" s="1">
        <f t="shared" si="1"/>
        <v>-139753.56</v>
      </c>
    </row>
    <row r="19" spans="1:11" x14ac:dyDescent="0.25">
      <c r="A19" s="71">
        <v>44956</v>
      </c>
      <c r="B19">
        <v>123678056</v>
      </c>
      <c r="C19" t="s">
        <v>131</v>
      </c>
      <c r="D19">
        <v>50000</v>
      </c>
      <c r="E19" t="s">
        <v>127</v>
      </c>
      <c r="F19">
        <v>0.95</v>
      </c>
      <c r="G19">
        <v>52.25</v>
      </c>
      <c r="H19">
        <v>47552.25</v>
      </c>
      <c r="I19" s="1"/>
      <c r="J19" s="1">
        <f t="shared" si="0"/>
        <v>0</v>
      </c>
      <c r="K19" s="1">
        <f t="shared" si="1"/>
        <v>-47552.25</v>
      </c>
    </row>
    <row r="20" spans="1:11" x14ac:dyDescent="0.25">
      <c r="A20" s="71">
        <v>44995</v>
      </c>
      <c r="B20">
        <v>125524180</v>
      </c>
      <c r="C20" t="s">
        <v>136</v>
      </c>
      <c r="D20">
        <v>50000</v>
      </c>
      <c r="E20" t="s">
        <v>127</v>
      </c>
      <c r="F20">
        <v>1.46</v>
      </c>
      <c r="G20">
        <v>80.3</v>
      </c>
      <c r="H20">
        <v>73080.3</v>
      </c>
      <c r="I20" s="1"/>
      <c r="J20" s="1">
        <f t="shared" si="0"/>
        <v>0</v>
      </c>
      <c r="K20" s="1">
        <f t="shared" si="1"/>
        <v>-73080.3</v>
      </c>
    </row>
    <row r="21" spans="1:11" x14ac:dyDescent="0.25">
      <c r="A21" s="71">
        <v>44995</v>
      </c>
      <c r="B21">
        <v>125521968</v>
      </c>
      <c r="C21" t="s">
        <v>137</v>
      </c>
      <c r="D21">
        <v>25000</v>
      </c>
      <c r="E21" t="s">
        <v>127</v>
      </c>
      <c r="F21">
        <v>3.26</v>
      </c>
      <c r="G21">
        <v>89.65</v>
      </c>
      <c r="H21">
        <v>81589.649999999994</v>
      </c>
      <c r="I21" s="1"/>
      <c r="J21" s="1">
        <f t="shared" si="0"/>
        <v>0</v>
      </c>
      <c r="K21" s="1">
        <f t="shared" si="1"/>
        <v>-81589.649999999994</v>
      </c>
    </row>
    <row r="22" spans="1:11" x14ac:dyDescent="0.25">
      <c r="A22" s="71">
        <v>45042</v>
      </c>
      <c r="B22">
        <v>127355389</v>
      </c>
      <c r="C22" t="s">
        <v>129</v>
      </c>
      <c r="D22">
        <v>13000</v>
      </c>
      <c r="E22" t="s">
        <v>127</v>
      </c>
      <c r="F22">
        <v>7.0896590000000002</v>
      </c>
      <c r="G22">
        <v>101.39</v>
      </c>
      <c r="H22">
        <v>92266.96</v>
      </c>
      <c r="I22" s="1"/>
      <c r="J22" s="1">
        <f t="shared" si="0"/>
        <v>0</v>
      </c>
      <c r="K22" s="1">
        <f t="shared" si="1"/>
        <v>-92266.96</v>
      </c>
    </row>
    <row r="23" spans="1:11" x14ac:dyDescent="0.25">
      <c r="A23" s="71">
        <v>45049</v>
      </c>
      <c r="B23">
        <v>127643687</v>
      </c>
      <c r="C23" t="s">
        <v>130</v>
      </c>
      <c r="D23">
        <v>3020</v>
      </c>
      <c r="E23" t="s">
        <v>127</v>
      </c>
      <c r="F23">
        <v>1.4</v>
      </c>
      <c r="G23">
        <v>14.95</v>
      </c>
      <c r="H23">
        <v>4242.95</v>
      </c>
      <c r="I23" s="1"/>
      <c r="J23" s="1">
        <f t="shared" si="0"/>
        <v>0</v>
      </c>
      <c r="K23" s="1">
        <f t="shared" si="1"/>
        <v>-4242.95</v>
      </c>
    </row>
    <row r="24" spans="1:11" x14ac:dyDescent="0.25">
      <c r="A24" s="71">
        <v>45049</v>
      </c>
      <c r="B24">
        <v>127625751</v>
      </c>
      <c r="C24" t="s">
        <v>130</v>
      </c>
      <c r="D24">
        <v>20000</v>
      </c>
      <c r="E24" t="s">
        <v>127</v>
      </c>
      <c r="F24">
        <v>1.41</v>
      </c>
      <c r="G24">
        <v>31.02</v>
      </c>
      <c r="H24">
        <v>28231.02</v>
      </c>
      <c r="I24" s="1"/>
      <c r="J24" s="1">
        <f t="shared" si="0"/>
        <v>0</v>
      </c>
      <c r="K24" s="1">
        <f t="shared" si="1"/>
        <v>-28231.02</v>
      </c>
    </row>
    <row r="25" spans="1:11" x14ac:dyDescent="0.25">
      <c r="A25" s="71">
        <v>45050</v>
      </c>
      <c r="B25">
        <v>127670666</v>
      </c>
      <c r="C25" t="s">
        <v>130</v>
      </c>
      <c r="D25">
        <v>16980</v>
      </c>
      <c r="E25" t="s">
        <v>127</v>
      </c>
      <c r="F25">
        <v>1.4</v>
      </c>
      <c r="G25">
        <v>15.85</v>
      </c>
      <c r="H25">
        <v>23787.85</v>
      </c>
      <c r="I25" s="1"/>
      <c r="J25" s="1">
        <f t="shared" si="0"/>
        <v>0</v>
      </c>
      <c r="K25" s="1">
        <f t="shared" si="1"/>
        <v>-23787.85</v>
      </c>
    </row>
    <row r="26" spans="1:11" x14ac:dyDescent="0.25">
      <c r="A26" s="71">
        <v>45054</v>
      </c>
      <c r="B26">
        <v>127812035</v>
      </c>
      <c r="C26" t="s">
        <v>130</v>
      </c>
      <c r="D26">
        <v>1098</v>
      </c>
      <c r="E26" t="s">
        <v>128</v>
      </c>
      <c r="F26">
        <v>1.38</v>
      </c>
      <c r="G26">
        <v>14.95</v>
      </c>
      <c r="H26">
        <v>1500.29</v>
      </c>
      <c r="I26" s="1"/>
      <c r="J26" s="1">
        <f t="shared" si="0"/>
        <v>1500.29</v>
      </c>
      <c r="K26" s="1">
        <f t="shared" si="1"/>
        <v>0</v>
      </c>
    </row>
    <row r="27" spans="1:11" x14ac:dyDescent="0.25">
      <c r="A27" s="71">
        <v>45054</v>
      </c>
      <c r="B27">
        <v>127807923</v>
      </c>
      <c r="C27" t="s">
        <v>130</v>
      </c>
      <c r="D27">
        <v>3854</v>
      </c>
      <c r="E27" t="s">
        <v>127</v>
      </c>
      <c r="F27">
        <v>1.403108</v>
      </c>
      <c r="G27">
        <v>19.95</v>
      </c>
      <c r="H27">
        <v>5427.53</v>
      </c>
      <c r="I27" s="1"/>
      <c r="J27" s="1">
        <f t="shared" si="0"/>
        <v>0</v>
      </c>
      <c r="K27" s="1">
        <f t="shared" si="1"/>
        <v>-5427.53</v>
      </c>
    </row>
    <row r="28" spans="1:11" x14ac:dyDescent="0.25">
      <c r="A28" s="71">
        <v>45054</v>
      </c>
      <c r="B28">
        <v>127807921</v>
      </c>
      <c r="C28" t="s">
        <v>130</v>
      </c>
      <c r="D28">
        <v>7015</v>
      </c>
      <c r="E28" t="s">
        <v>128</v>
      </c>
      <c r="F28">
        <v>1.39</v>
      </c>
      <c r="G28">
        <v>19.95</v>
      </c>
      <c r="H28">
        <v>9730.9</v>
      </c>
      <c r="I28" s="1"/>
      <c r="J28" s="1">
        <f t="shared" si="0"/>
        <v>9730.9</v>
      </c>
      <c r="K28" s="1">
        <f t="shared" si="1"/>
        <v>0</v>
      </c>
    </row>
    <row r="29" spans="1:11" x14ac:dyDescent="0.25">
      <c r="A29" s="71">
        <v>45054</v>
      </c>
      <c r="B29">
        <v>127807920</v>
      </c>
      <c r="C29" t="s">
        <v>130</v>
      </c>
      <c r="D29">
        <v>1839</v>
      </c>
      <c r="E29" t="s">
        <v>128</v>
      </c>
      <c r="F29">
        <v>1.395</v>
      </c>
      <c r="G29">
        <v>14.95</v>
      </c>
      <c r="H29">
        <v>2550.46</v>
      </c>
      <c r="I29" s="1"/>
      <c r="J29" s="1">
        <f t="shared" si="0"/>
        <v>2550.46</v>
      </c>
      <c r="K29" s="1">
        <f t="shared" si="1"/>
        <v>0</v>
      </c>
    </row>
    <row r="30" spans="1:11" x14ac:dyDescent="0.25">
      <c r="A30" s="71">
        <v>45062</v>
      </c>
      <c r="B30">
        <v>128136774</v>
      </c>
      <c r="C30" t="s">
        <v>130</v>
      </c>
      <c r="D30">
        <v>16098</v>
      </c>
      <c r="E30" t="s">
        <v>127</v>
      </c>
      <c r="F30">
        <v>1.379723</v>
      </c>
      <c r="G30">
        <v>24.43</v>
      </c>
      <c r="H30">
        <v>22235.22</v>
      </c>
      <c r="J30" s="1">
        <f t="shared" si="0"/>
        <v>0</v>
      </c>
      <c r="K30" s="1">
        <f t="shared" si="1"/>
        <v>-22235.22</v>
      </c>
    </row>
    <row r="31" spans="1:11" x14ac:dyDescent="0.25">
      <c r="A31" s="71">
        <v>45082</v>
      </c>
      <c r="B31">
        <v>128942485</v>
      </c>
      <c r="C31" t="s">
        <v>130</v>
      </c>
      <c r="D31">
        <v>45048</v>
      </c>
      <c r="E31" t="s">
        <v>128</v>
      </c>
      <c r="F31">
        <v>1.41</v>
      </c>
      <c r="G31">
        <v>69.87</v>
      </c>
      <c r="H31">
        <v>63447.81</v>
      </c>
      <c r="J31" s="1">
        <f t="shared" si="0"/>
        <v>63447.81</v>
      </c>
      <c r="K31" s="1">
        <f t="shared" si="1"/>
        <v>0</v>
      </c>
    </row>
    <row r="32" spans="1:11" x14ac:dyDescent="0.25">
      <c r="A32" s="71">
        <v>45097</v>
      </c>
      <c r="B32">
        <v>129593020</v>
      </c>
      <c r="C32" t="s">
        <v>130</v>
      </c>
      <c r="D32">
        <v>150000</v>
      </c>
      <c r="E32" t="s">
        <v>127</v>
      </c>
      <c r="F32">
        <v>1.35</v>
      </c>
      <c r="G32">
        <v>222.75</v>
      </c>
      <c r="H32">
        <v>202722.75</v>
      </c>
      <c r="J32" s="1">
        <f t="shared" si="0"/>
        <v>0</v>
      </c>
      <c r="K32" s="1">
        <f t="shared" si="1"/>
        <v>-202722.75</v>
      </c>
    </row>
    <row r="33" spans="1:14" x14ac:dyDescent="0.25">
      <c r="A33" s="71">
        <v>45097</v>
      </c>
      <c r="B33">
        <v>129592124</v>
      </c>
      <c r="C33" t="s">
        <v>130</v>
      </c>
      <c r="D33">
        <v>50000</v>
      </c>
      <c r="E33" t="s">
        <v>127</v>
      </c>
      <c r="F33">
        <v>1.35</v>
      </c>
      <c r="G33">
        <v>74.25</v>
      </c>
      <c r="H33">
        <v>67574.25</v>
      </c>
      <c r="J33" s="1">
        <f t="shared" si="0"/>
        <v>0</v>
      </c>
      <c r="K33" s="1">
        <f t="shared" si="1"/>
        <v>-67574.25</v>
      </c>
    </row>
    <row r="34" spans="1:14" x14ac:dyDescent="0.25">
      <c r="A34" s="71">
        <v>45097</v>
      </c>
      <c r="B34">
        <v>129591338</v>
      </c>
      <c r="C34" t="s">
        <v>130</v>
      </c>
      <c r="D34">
        <v>45048</v>
      </c>
      <c r="E34" t="s">
        <v>127</v>
      </c>
      <c r="F34">
        <v>1.35</v>
      </c>
      <c r="G34">
        <v>66.89</v>
      </c>
      <c r="H34">
        <v>60881.69</v>
      </c>
      <c r="J34" s="1">
        <f t="shared" si="0"/>
        <v>0</v>
      </c>
      <c r="K34" s="1">
        <f t="shared" si="1"/>
        <v>-60881.69</v>
      </c>
    </row>
    <row r="35" spans="1:14" ht="15.75" thickBot="1" x14ac:dyDescent="0.3">
      <c r="A35" s="71"/>
      <c r="F35" s="7"/>
      <c r="J35" s="22">
        <f>SUM(J3:J34)</f>
        <v>168928.47999999998</v>
      </c>
      <c r="K35" s="22">
        <f>SUM(K3:K34)</f>
        <v>-1559724.53</v>
      </c>
    </row>
    <row r="36" spans="1:14" ht="15.75" thickTop="1" x14ac:dyDescent="0.25">
      <c r="A36" s="75" t="s">
        <v>167</v>
      </c>
      <c r="F36" s="7"/>
      <c r="K36" s="1"/>
    </row>
    <row r="37" spans="1:14" x14ac:dyDescent="0.25">
      <c r="A37" s="76">
        <v>45054</v>
      </c>
      <c r="B37" s="51">
        <v>127798159</v>
      </c>
      <c r="C37" s="51" t="s">
        <v>130</v>
      </c>
      <c r="D37" s="51">
        <v>50000</v>
      </c>
      <c r="E37" s="51" t="s">
        <v>127</v>
      </c>
      <c r="F37" s="51">
        <v>1.3910100000000001</v>
      </c>
      <c r="G37" s="51">
        <v>76.510000000000005</v>
      </c>
      <c r="H37" s="51">
        <v>69627.03</v>
      </c>
      <c r="I37" s="48"/>
      <c r="J37" s="48">
        <f>IF(E37="Sell",H37,0)</f>
        <v>0</v>
      </c>
      <c r="K37" s="48">
        <f>IF(E37="Buy",-H37,0)</f>
        <v>-69627.03</v>
      </c>
      <c r="L37" s="51"/>
      <c r="M37" s="51"/>
      <c r="N37" s="51" t="s">
        <v>161</v>
      </c>
    </row>
    <row r="38" spans="1:14" x14ac:dyDescent="0.25">
      <c r="A38" s="76">
        <v>45054</v>
      </c>
      <c r="B38" s="51">
        <v>127797895</v>
      </c>
      <c r="C38" s="51" t="s">
        <v>130</v>
      </c>
      <c r="D38" s="51">
        <v>20000</v>
      </c>
      <c r="E38" s="51" t="s">
        <v>128</v>
      </c>
      <c r="F38" s="51">
        <v>1.39</v>
      </c>
      <c r="G38" s="51">
        <v>30.58</v>
      </c>
      <c r="H38" s="51">
        <v>27769.42</v>
      </c>
      <c r="I38" s="51"/>
      <c r="J38" s="48">
        <f>IF(E38="Sell",H38,0)</f>
        <v>27769.42</v>
      </c>
      <c r="K38" s="48">
        <f>IF(E38="Buy",-H38,0)</f>
        <v>0</v>
      </c>
      <c r="L38" s="51"/>
      <c r="M38" s="51"/>
      <c r="N38" s="51" t="s">
        <v>161</v>
      </c>
    </row>
    <row r="39" spans="1:14" x14ac:dyDescent="0.25">
      <c r="A39" s="76">
        <v>45054</v>
      </c>
      <c r="B39" s="51">
        <v>127797735</v>
      </c>
      <c r="C39" s="51" t="s">
        <v>130</v>
      </c>
      <c r="D39" s="51">
        <v>15000</v>
      </c>
      <c r="E39" s="51" t="s">
        <v>128</v>
      </c>
      <c r="F39" s="51">
        <v>1.39</v>
      </c>
      <c r="G39" s="51">
        <v>22.94</v>
      </c>
      <c r="H39" s="51">
        <v>20827.060000000001</v>
      </c>
      <c r="I39" s="51"/>
      <c r="J39" s="48">
        <f>IF(E39="Sell",H39,0)</f>
        <v>20827.060000000001</v>
      </c>
      <c r="K39" s="48">
        <f>IF(E39="Buy",-H39,0)</f>
        <v>0</v>
      </c>
      <c r="L39" s="51"/>
      <c r="M39" s="51"/>
      <c r="N39" s="51" t="s">
        <v>161</v>
      </c>
    </row>
    <row r="40" spans="1:14" x14ac:dyDescent="0.25">
      <c r="A40" s="76">
        <v>45054</v>
      </c>
      <c r="B40" s="51">
        <v>127797629</v>
      </c>
      <c r="C40" s="51" t="s">
        <v>130</v>
      </c>
      <c r="D40" s="51">
        <v>9952</v>
      </c>
      <c r="E40" s="51" t="s">
        <v>128</v>
      </c>
      <c r="F40" s="51">
        <v>1.390924</v>
      </c>
      <c r="G40" s="51">
        <v>19.95</v>
      </c>
      <c r="H40" s="51">
        <v>13822.53</v>
      </c>
      <c r="I40" s="51"/>
      <c r="J40" s="48">
        <f>IF(E40="Sell",H40,0)</f>
        <v>13822.53</v>
      </c>
      <c r="K40" s="48">
        <f>IF(E40="Buy",-H40,0)</f>
        <v>0</v>
      </c>
      <c r="L40" s="51"/>
      <c r="M40" s="51"/>
      <c r="N40" s="51" t="s">
        <v>161</v>
      </c>
    </row>
    <row r="41" spans="1:14" x14ac:dyDescent="0.25">
      <c r="A41" s="76">
        <v>45054</v>
      </c>
      <c r="B41" s="51">
        <v>127795079</v>
      </c>
      <c r="C41" s="51" t="s">
        <v>130</v>
      </c>
      <c r="D41" s="51">
        <v>10048</v>
      </c>
      <c r="E41" s="51" t="s">
        <v>128</v>
      </c>
      <c r="F41" s="51">
        <v>1.39</v>
      </c>
      <c r="G41" s="51">
        <v>19.95</v>
      </c>
      <c r="H41" s="51">
        <v>13946.77</v>
      </c>
      <c r="I41" s="51"/>
      <c r="J41" s="48">
        <f>IF(E41="Sell",H41,0)</f>
        <v>13946.77</v>
      </c>
      <c r="K41" s="48">
        <f>IF(E41="Buy",-H41,0)</f>
        <v>0</v>
      </c>
      <c r="L41" s="51"/>
      <c r="M41" s="51"/>
      <c r="N41" s="51" t="s">
        <v>161</v>
      </c>
    </row>
    <row r="42" spans="1:14" x14ac:dyDescent="0.25">
      <c r="A42" s="71"/>
      <c r="F42" s="7"/>
      <c r="K42" s="1"/>
    </row>
    <row r="43" spans="1:14" x14ac:dyDescent="0.25">
      <c r="A43" s="71"/>
      <c r="F43" s="7"/>
      <c r="K43" s="1"/>
    </row>
    <row r="44" spans="1:14" x14ac:dyDescent="0.25">
      <c r="A44" s="71"/>
      <c r="F44" s="7"/>
      <c r="K44" s="1"/>
    </row>
    <row r="45" spans="1:14" x14ac:dyDescent="0.25">
      <c r="A45" s="71"/>
      <c r="F45" s="7"/>
    </row>
    <row r="46" spans="1:14" x14ac:dyDescent="0.25">
      <c r="A46" s="70" t="s">
        <v>159</v>
      </c>
      <c r="F46" s="7"/>
    </row>
    <row r="47" spans="1:14" x14ac:dyDescent="0.25">
      <c r="A47" s="8"/>
      <c r="B47" s="8"/>
      <c r="C47" s="8"/>
      <c r="D47" s="8"/>
      <c r="E47" s="8"/>
      <c r="F47" s="8"/>
      <c r="G47" s="8"/>
      <c r="H47" s="8"/>
      <c r="I47" s="8"/>
      <c r="J47" s="23"/>
      <c r="K47" s="8"/>
    </row>
    <row r="48" spans="1:14" x14ac:dyDescent="0.25">
      <c r="A48" s="8"/>
      <c r="B48" s="8"/>
      <c r="C48" s="8"/>
      <c r="D48" s="8"/>
      <c r="E48" s="8"/>
      <c r="F48" s="8"/>
      <c r="G48" s="8"/>
      <c r="H48" s="8"/>
      <c r="I48" s="8"/>
      <c r="J48" s="23"/>
      <c r="K48" s="8"/>
    </row>
    <row r="49" spans="1:11" x14ac:dyDescent="0.25">
      <c r="A49" s="8"/>
      <c r="B49" s="8"/>
      <c r="C49" s="8"/>
      <c r="D49" s="8"/>
      <c r="E49" s="8"/>
      <c r="F49" s="8"/>
      <c r="G49" s="8"/>
      <c r="H49" s="8"/>
      <c r="I49" s="8"/>
      <c r="J49" s="23"/>
      <c r="K49" s="8"/>
    </row>
    <row r="51" spans="1:11" ht="15.75" thickBot="1" x14ac:dyDescent="0.3">
      <c r="J51" s="22">
        <f>SUM(J47:J50)</f>
        <v>0</v>
      </c>
      <c r="K51" s="22">
        <f>SUM(K47:K50)</f>
        <v>0</v>
      </c>
    </row>
    <row r="52" spans="1:11" ht="15.75" thickTop="1" x14ac:dyDescent="0.25"/>
    <row r="56" spans="1:11" x14ac:dyDescent="0.25">
      <c r="A56" s="71"/>
    </row>
    <row r="57" spans="1:11" x14ac:dyDescent="0.25">
      <c r="A57" s="71"/>
    </row>
    <row r="58" spans="1:11" x14ac:dyDescent="0.25">
      <c r="A58" s="71"/>
    </row>
    <row r="59" spans="1:11" x14ac:dyDescent="0.25">
      <c r="A59" s="71"/>
    </row>
    <row r="60" spans="1:11" x14ac:dyDescent="0.25">
      <c r="A60" s="71"/>
    </row>
    <row r="61" spans="1:11" x14ac:dyDescent="0.25">
      <c r="A61" s="71"/>
    </row>
    <row r="62" spans="1:11" x14ac:dyDescent="0.25">
      <c r="A62" s="71"/>
    </row>
    <row r="63" spans="1:11" x14ac:dyDescent="0.25">
      <c r="A63" s="71"/>
    </row>
    <row r="64" spans="1:11" x14ac:dyDescent="0.25">
      <c r="A64" s="71"/>
    </row>
    <row r="65" spans="1:1" x14ac:dyDescent="0.25">
      <c r="A65" s="71"/>
    </row>
    <row r="66" spans="1:1" x14ac:dyDescent="0.25">
      <c r="A66" s="71"/>
    </row>
    <row r="67" spans="1:1" x14ac:dyDescent="0.25">
      <c r="A67" s="71"/>
    </row>
    <row r="68" spans="1:1" x14ac:dyDescent="0.25">
      <c r="A68" s="71"/>
    </row>
    <row r="69" spans="1:1" x14ac:dyDescent="0.25">
      <c r="A69" s="71"/>
    </row>
    <row r="70" spans="1:1" x14ac:dyDescent="0.25">
      <c r="A70" s="71"/>
    </row>
    <row r="71" spans="1:1" x14ac:dyDescent="0.25">
      <c r="A71" s="71"/>
    </row>
    <row r="72" spans="1:1" x14ac:dyDescent="0.25">
      <c r="A72" s="71"/>
    </row>
    <row r="73" spans="1:1" x14ac:dyDescent="0.25">
      <c r="A73" s="71"/>
    </row>
    <row r="74" spans="1:1" x14ac:dyDescent="0.25">
      <c r="A74" s="71"/>
    </row>
    <row r="75" spans="1:1" x14ac:dyDescent="0.25">
      <c r="A75" s="71"/>
    </row>
    <row r="76" spans="1:1" x14ac:dyDescent="0.25">
      <c r="A76" s="71"/>
    </row>
    <row r="77" spans="1:1" x14ac:dyDescent="0.25">
      <c r="A77" s="71"/>
    </row>
    <row r="78" spans="1:1" x14ac:dyDescent="0.25">
      <c r="A78" s="71"/>
    </row>
    <row r="79" spans="1:1" x14ac:dyDescent="0.25">
      <c r="A79" s="71"/>
    </row>
    <row r="80" spans="1:1" x14ac:dyDescent="0.25">
      <c r="A80" s="71"/>
    </row>
    <row r="81" spans="1:1" x14ac:dyDescent="0.25">
      <c r="A81" s="71"/>
    </row>
    <row r="82" spans="1:1" x14ac:dyDescent="0.25">
      <c r="A82" s="71"/>
    </row>
    <row r="83" spans="1:1" x14ac:dyDescent="0.25">
      <c r="A83" s="71"/>
    </row>
    <row r="84" spans="1:1" x14ac:dyDescent="0.25">
      <c r="A84" s="71"/>
    </row>
    <row r="85" spans="1:1" x14ac:dyDescent="0.25">
      <c r="A85" s="71"/>
    </row>
    <row r="86" spans="1:1" x14ac:dyDescent="0.25">
      <c r="A86" s="71"/>
    </row>
    <row r="87" spans="1:1" x14ac:dyDescent="0.25">
      <c r="A87" s="71"/>
    </row>
    <row r="88" spans="1:1" x14ac:dyDescent="0.25">
      <c r="A88" s="71"/>
    </row>
    <row r="89" spans="1:1" x14ac:dyDescent="0.25">
      <c r="A89" s="71"/>
    </row>
  </sheetData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0CB36C-285C-48E8-B744-0EF21BAD0F93}">
  <dimension ref="A1:R14"/>
  <sheetViews>
    <sheetView workbookViewId="0">
      <selection activeCell="H5" sqref="H5"/>
    </sheetView>
  </sheetViews>
  <sheetFormatPr defaultRowHeight="15" x14ac:dyDescent="0.25"/>
  <cols>
    <col min="2" max="2" width="19.42578125" bestFit="1" customWidth="1"/>
    <col min="3" max="3" width="9.5703125" bestFit="1" customWidth="1"/>
    <col min="9" max="9" width="9.85546875" bestFit="1" customWidth="1"/>
    <col min="14" max="14" width="9.85546875" bestFit="1" customWidth="1"/>
    <col min="17" max="17" width="11.7109375" bestFit="1" customWidth="1"/>
  </cols>
  <sheetData>
    <row r="1" spans="1:18" ht="137.25" x14ac:dyDescent="0.25">
      <c r="A1" s="11" t="s">
        <v>18</v>
      </c>
      <c r="B1" s="11" t="s">
        <v>14</v>
      </c>
      <c r="C1" s="12" t="s">
        <v>19</v>
      </c>
      <c r="D1" s="12" t="s">
        <v>20</v>
      </c>
      <c r="E1" s="11" t="s">
        <v>21</v>
      </c>
      <c r="F1" s="13" t="s">
        <v>22</v>
      </c>
      <c r="G1" s="11" t="s">
        <v>23</v>
      </c>
      <c r="H1" s="14" t="s">
        <v>24</v>
      </c>
      <c r="I1" s="15" t="s">
        <v>25</v>
      </c>
      <c r="J1" s="15" t="s">
        <v>26</v>
      </c>
      <c r="K1" s="11" t="s">
        <v>27</v>
      </c>
      <c r="L1" s="11" t="s">
        <v>28</v>
      </c>
      <c r="M1" s="15" t="s">
        <v>29</v>
      </c>
      <c r="N1" s="11" t="s">
        <v>30</v>
      </c>
      <c r="O1" s="11"/>
      <c r="P1" s="11"/>
      <c r="Q1" s="11" t="s">
        <v>145</v>
      </c>
    </row>
    <row r="3" spans="1:18" x14ac:dyDescent="0.25">
      <c r="A3" s="75" t="s">
        <v>144</v>
      </c>
      <c r="F3" s="7"/>
      <c r="J3" s="1"/>
    </row>
    <row r="4" spans="1:18" x14ac:dyDescent="0.25">
      <c r="A4" s="75"/>
      <c r="F4" s="7"/>
      <c r="J4" s="1"/>
    </row>
    <row r="5" spans="1:18" x14ac:dyDescent="0.25">
      <c r="A5" s="8" t="s">
        <v>110</v>
      </c>
      <c r="B5" s="8" t="s">
        <v>143</v>
      </c>
      <c r="C5" s="16">
        <v>44970</v>
      </c>
      <c r="D5" s="16"/>
      <c r="E5" s="20">
        <f>500000/371112.6</f>
        <v>1.3472999838862922</v>
      </c>
      <c r="F5" s="17">
        <v>0</v>
      </c>
      <c r="G5" s="6">
        <f t="shared" ref="G5:G10" si="0">E5-F5</f>
        <v>1.3472999838862922</v>
      </c>
      <c r="H5" s="61">
        <f>VLOOKUP(B5,[1]SMSF!B:C,2,FALSE)</f>
        <v>1.4683999999999999</v>
      </c>
      <c r="I5" s="23">
        <v>371112.6</v>
      </c>
      <c r="J5" s="19">
        <f t="shared" ref="J5:J10" si="1">I5*G5</f>
        <v>500000</v>
      </c>
      <c r="K5" s="21">
        <v>0</v>
      </c>
      <c r="L5" s="21">
        <v>0</v>
      </c>
      <c r="M5" s="39">
        <f t="shared" ref="M5:M10" si="2">(H5  - G5)*I5 - SUM(K5:L5)</f>
        <v>44941.741839999951</v>
      </c>
      <c r="N5" s="1">
        <f t="shared" ref="N5:N10" si="3">E5*I5 + K5</f>
        <v>500000</v>
      </c>
      <c r="Q5" s="1">
        <f>IF(R5="DRP",0,E5*I5)</f>
        <v>500000</v>
      </c>
    </row>
    <row r="6" spans="1:18" x14ac:dyDescent="0.25">
      <c r="A6" s="8" t="s">
        <v>110</v>
      </c>
      <c r="B6" s="8" t="s">
        <v>143</v>
      </c>
      <c r="C6" s="16">
        <v>44977</v>
      </c>
      <c r="D6" s="16"/>
      <c r="E6" s="20">
        <v>1.3440000000000001</v>
      </c>
      <c r="F6" s="17">
        <v>0</v>
      </c>
      <c r="G6" s="6">
        <f t="shared" si="0"/>
        <v>1.3440000000000001</v>
      </c>
      <c r="H6" s="61">
        <f>VLOOKUP(B6,[1]SMSF!B:C,2,FALSE)</f>
        <v>1.4683999999999999</v>
      </c>
      <c r="I6" s="23">
        <v>18601.189999999999</v>
      </c>
      <c r="J6" s="19">
        <f t="shared" si="1"/>
        <v>24999.999359999998</v>
      </c>
      <c r="K6" s="21">
        <v>0</v>
      </c>
      <c r="L6" s="21">
        <v>0</v>
      </c>
      <c r="M6" s="39">
        <f t="shared" si="2"/>
        <v>2313.988035999997</v>
      </c>
      <c r="N6" s="1">
        <f t="shared" si="3"/>
        <v>24999.999359999998</v>
      </c>
      <c r="Q6" s="1">
        <f t="shared" ref="Q6:Q10" si="4">IF(R6="DRP",0,E6*I6)</f>
        <v>24999.999359999998</v>
      </c>
    </row>
    <row r="7" spans="1:18" x14ac:dyDescent="0.25">
      <c r="A7" s="8" t="s">
        <v>110</v>
      </c>
      <c r="B7" s="8" t="s">
        <v>143</v>
      </c>
      <c r="C7" s="16">
        <v>44979</v>
      </c>
      <c r="D7" s="16"/>
      <c r="E7" s="20">
        <v>1.3371</v>
      </c>
      <c r="F7" s="17">
        <v>0</v>
      </c>
      <c r="G7" s="6">
        <f t="shared" si="0"/>
        <v>1.3371</v>
      </c>
      <c r="H7" s="61">
        <f>VLOOKUP(B7,[1]SMSF!B:C,2,FALSE)</f>
        <v>1.4683999999999999</v>
      </c>
      <c r="I7" s="23">
        <f>249001/E7</f>
        <v>186224.66532046968</v>
      </c>
      <c r="J7" s="19">
        <f t="shared" si="1"/>
        <v>249001</v>
      </c>
      <c r="K7" s="21">
        <v>0</v>
      </c>
      <c r="L7" s="21">
        <v>0</v>
      </c>
      <c r="M7" s="39">
        <f t="shared" si="2"/>
        <v>24451.298556577665</v>
      </c>
      <c r="N7" s="1">
        <f t="shared" si="3"/>
        <v>249001</v>
      </c>
      <c r="Q7" s="1">
        <f t="shared" si="4"/>
        <v>249001</v>
      </c>
    </row>
    <row r="8" spans="1:18" x14ac:dyDescent="0.25">
      <c r="A8" s="8" t="s">
        <v>110</v>
      </c>
      <c r="B8" s="8" t="s">
        <v>143</v>
      </c>
      <c r="C8" s="16">
        <v>44984</v>
      </c>
      <c r="D8" s="16"/>
      <c r="E8" s="20">
        <v>1.3517999999999999</v>
      </c>
      <c r="F8" s="17">
        <v>0</v>
      </c>
      <c r="G8" s="6">
        <f t="shared" si="0"/>
        <v>1.3517999999999999</v>
      </c>
      <c r="H8" s="61">
        <f>VLOOKUP(B8,[1]SMSF!B:C,2,FALSE)</f>
        <v>1.4683999999999999</v>
      </c>
      <c r="I8" s="23">
        <f>249002/E8</f>
        <v>184200.3254919367</v>
      </c>
      <c r="J8" s="19">
        <f t="shared" si="1"/>
        <v>249002.00000000003</v>
      </c>
      <c r="K8" s="21">
        <v>0</v>
      </c>
      <c r="L8" s="21">
        <v>0</v>
      </c>
      <c r="M8" s="39">
        <f t="shared" si="2"/>
        <v>21477.757952359825</v>
      </c>
      <c r="N8" s="1">
        <f t="shared" si="3"/>
        <v>249002.00000000003</v>
      </c>
      <c r="Q8" s="1">
        <f t="shared" si="4"/>
        <v>249002.00000000003</v>
      </c>
    </row>
    <row r="9" spans="1:18" x14ac:dyDescent="0.25">
      <c r="A9" s="8" t="s">
        <v>110</v>
      </c>
      <c r="B9" s="8" t="s">
        <v>143</v>
      </c>
      <c r="C9" s="16">
        <v>45016</v>
      </c>
      <c r="D9" s="16"/>
      <c r="E9" s="20">
        <v>1.391</v>
      </c>
      <c r="F9" s="17">
        <v>0</v>
      </c>
      <c r="G9" s="6">
        <f t="shared" si="0"/>
        <v>1.391</v>
      </c>
      <c r="H9" s="61">
        <f>VLOOKUP(B9,[1]SMSF!B:C,2,FALSE)</f>
        <v>1.4683999999999999</v>
      </c>
      <c r="I9" s="23">
        <v>3018.66</v>
      </c>
      <c r="J9" s="19">
        <f t="shared" si="1"/>
        <v>4198.9560599999995</v>
      </c>
      <c r="K9" s="21">
        <v>0</v>
      </c>
      <c r="L9" s="21">
        <v>0</v>
      </c>
      <c r="M9" s="39">
        <f t="shared" si="2"/>
        <v>233.64428399999971</v>
      </c>
      <c r="N9" s="1">
        <f t="shared" si="3"/>
        <v>4198.9560599999995</v>
      </c>
      <c r="Q9" s="1">
        <f t="shared" si="4"/>
        <v>0</v>
      </c>
      <c r="R9" t="s">
        <v>157</v>
      </c>
    </row>
    <row r="10" spans="1:18" x14ac:dyDescent="0.25">
      <c r="A10" s="8" t="s">
        <v>110</v>
      </c>
      <c r="B10" s="8" t="s">
        <v>143</v>
      </c>
      <c r="C10" s="16">
        <v>45034</v>
      </c>
      <c r="D10" s="16"/>
      <c r="E10" s="20">
        <v>1.4085000000000001</v>
      </c>
      <c r="F10" s="17">
        <v>0</v>
      </c>
      <c r="G10" s="6">
        <f t="shared" si="0"/>
        <v>1.4085000000000001</v>
      </c>
      <c r="H10" s="61">
        <f>VLOOKUP(B10,[1]SMSF!B:C,2,FALSE)</f>
        <v>1.4683999999999999</v>
      </c>
      <c r="I10" s="23">
        <v>7101.88</v>
      </c>
      <c r="J10" s="19">
        <f t="shared" si="1"/>
        <v>10002.99798</v>
      </c>
      <c r="K10" s="21">
        <v>0</v>
      </c>
      <c r="L10" s="21">
        <v>0</v>
      </c>
      <c r="M10" s="39">
        <f t="shared" si="2"/>
        <v>425.4026119999989</v>
      </c>
      <c r="N10" s="1">
        <f t="shared" si="3"/>
        <v>10002.99798</v>
      </c>
      <c r="Q10" s="1">
        <f t="shared" si="4"/>
        <v>10002.99798</v>
      </c>
    </row>
    <row r="11" spans="1:18" x14ac:dyDescent="0.25">
      <c r="A11" s="71"/>
      <c r="J11" s="1"/>
      <c r="Q11" s="1"/>
    </row>
    <row r="12" spans="1:18" x14ac:dyDescent="0.25">
      <c r="Q12" s="1"/>
    </row>
    <row r="13" spans="1:18" s="4" customFormat="1" ht="15.75" thickBot="1" x14ac:dyDescent="0.3">
      <c r="A13" s="4" t="s">
        <v>158</v>
      </c>
      <c r="Q13" s="5">
        <f>SUM(Q5:Q12)</f>
        <v>1033005.99734</v>
      </c>
    </row>
    <row r="14" spans="1:18" ht="15.75" thickTop="1" x14ac:dyDescent="0.25"/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409F7F56125D54F90392E74B6CA87E9" ma:contentTypeVersion="19" ma:contentTypeDescription="Create a new document." ma:contentTypeScope="" ma:versionID="c4a3162601276ae14381144f1b92bfe6">
  <xsd:schema xmlns:xsd="http://www.w3.org/2001/XMLSchema" xmlns:xs="http://www.w3.org/2001/XMLSchema" xmlns:p="http://schemas.microsoft.com/office/2006/metadata/properties" xmlns:ns2="fdeb6669-d464-4701-bd3a-0c342e62f23c" xmlns:ns3="49111568-fa7e-4c01-9031-519e05a26ba5" targetNamespace="http://schemas.microsoft.com/office/2006/metadata/properties" ma:root="true" ma:fieldsID="36f5dbe93b74ffbf010a001adc5db890" ns2:_="" ns3:_="">
    <xsd:import namespace="fdeb6669-d464-4701-bd3a-0c342e62f23c"/>
    <xsd:import namespace="49111568-fa7e-4c01-9031-519e05a26ba5"/>
    <xsd:element name="properties">
      <xsd:complexType>
        <xsd:sequence>
          <xsd:element name="documentManagement">
            <xsd:complexType>
              <xsd:all>
                <xsd:element ref="ns2:SharedDocumentAccessGuid" minOccurs="0"/>
                <xsd:element ref="ns2:Archived" minOccurs="0"/>
                <xsd:element ref="ns2:MigratedSourceSystemLocation" minOccurs="0"/>
                <xsd:element ref="ns2:JSONPreview" minOccurs="0"/>
                <xsd:element ref="ns2:MigratedSourceSystemLocationNote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EventHashCode" minOccurs="0"/>
                <xsd:element ref="ns2:MediaServiceGenerationTim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eb6669-d464-4701-bd3a-0c342e62f23c" elementFormDefault="qualified">
    <xsd:import namespace="http://schemas.microsoft.com/office/2006/documentManagement/types"/>
    <xsd:import namespace="http://schemas.microsoft.com/office/infopath/2007/PartnerControls"/>
    <xsd:element name="SharedDocumentAccessGuid" ma:index="8" nillable="true" ma:displayName="SharedDocumentAccessGuid" ma:hidden="true" ma:internalName="SharedDocumentAccessGuid">
      <xsd:simpleType>
        <xsd:restriction base="dms:Text"/>
      </xsd:simpleType>
    </xsd:element>
    <xsd:element name="Archived" ma:index="9" nillable="true" ma:displayName="Archived" ma:internalName="Archived">
      <xsd:simpleType>
        <xsd:restriction base="dms:Boolean"/>
      </xsd:simpleType>
    </xsd:element>
    <xsd:element name="MigratedSourceSystemLocation" ma:index="10" nillable="true" ma:displayName="MigratedSourceSystemLocation" ma:hidden="true" ma:internalName="MigratedSourceSystemLocation">
      <xsd:simpleType>
        <xsd:restriction base="dms:Text"/>
      </xsd:simpleType>
    </xsd:element>
    <xsd:element name="JSONPreview" ma:index="11" nillable="true" ma:displayName="JSONPreview" ma:hidden="true" ma:internalName="JSONPreview">
      <xsd:simpleType>
        <xsd:restriction base="dms:Note"/>
      </xsd:simpleType>
    </xsd:element>
    <xsd:element name="MigratedSourceSystemLocationNote" ma:index="12" nillable="true" ma:displayName="MigratedSourceSystemLocationNote" ma:hidden="true" ma:internalName="MigratedSourceSystemLocationNote">
      <xsd:simpleType>
        <xsd:restriction base="dms:Note"/>
      </xsd:simpleType>
    </xsd:element>
    <xsd:element name="MediaServiceMetadata" ma:index="13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5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6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7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8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2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9aee0b57-a322-45e9-8e24-38de1839965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111568-fa7e-4c01-9031-519e05a26ba5" elementFormDefault="qualified">
    <xsd:import namespace="http://schemas.microsoft.com/office/2006/documentManagement/types"/>
    <xsd:import namespace="http://schemas.microsoft.com/office/infopath/2007/PartnerControls"/>
    <xsd:element name="TaxCatchAll" ma:index="25" nillable="true" ma:displayName="Taxonomy Catch All Column" ma:hidden="true" ma:list="{0d837cf9-c01c-4b0b-8305-210fb7789d92}" ma:internalName="TaxCatchAll" ma:showField="CatchAllData" ma:web="49111568-fa7e-4c01-9031-519e05a26b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rchived xmlns="fdeb6669-d464-4701-bd3a-0c342e62f23c" xsi:nil="true"/>
    <MigratedSourceSystemLocation xmlns="fdeb6669-d464-4701-bd3a-0c342e62f23c" xsi:nil="true"/>
    <TaxCatchAll xmlns="49111568-fa7e-4c01-9031-519e05a26ba5" xsi:nil="true"/>
    <JSONPreview xmlns="fdeb6669-d464-4701-bd3a-0c342e62f23c" xsi:nil="true"/>
    <SharedDocumentAccessGuid xmlns="fdeb6669-d464-4701-bd3a-0c342e62f23c" xsi:nil="true"/>
    <lcf76f155ced4ddcb4097134ff3c332f xmlns="fdeb6669-d464-4701-bd3a-0c342e62f23c">
      <Terms xmlns="http://schemas.microsoft.com/office/infopath/2007/PartnerControls"/>
    </lcf76f155ced4ddcb4097134ff3c332f>
    <MigratedSourceSystemLocationNote xmlns="fdeb6669-d464-4701-bd3a-0c342e62f23c" xsi:nil="true"/>
  </documentManagement>
</p:properties>
</file>

<file path=customXml/itemProps1.xml><?xml version="1.0" encoding="utf-8"?>
<ds:datastoreItem xmlns:ds="http://schemas.openxmlformats.org/officeDocument/2006/customXml" ds:itemID="{49C10A35-9EA9-4F12-B012-82334732808E}"/>
</file>

<file path=customXml/itemProps2.xml><?xml version="1.0" encoding="utf-8"?>
<ds:datastoreItem xmlns:ds="http://schemas.openxmlformats.org/officeDocument/2006/customXml" ds:itemID="{C0CC4D74-D62B-4564-B63E-50752F629400}"/>
</file>

<file path=customXml/itemProps3.xml><?xml version="1.0" encoding="utf-8"?>
<ds:datastoreItem xmlns:ds="http://schemas.openxmlformats.org/officeDocument/2006/customXml" ds:itemID="{BD1FB261-B9A6-460D-B268-63E924A8363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List</vt:lpstr>
      <vt:lpstr>Cash Rec</vt:lpstr>
      <vt:lpstr>Income</vt:lpstr>
      <vt:lpstr>CGT</vt:lpstr>
      <vt:lpstr>Realised</vt:lpstr>
      <vt:lpstr>ASX Trades</vt:lpstr>
      <vt:lpstr>Fund Buys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Stuart</dc:creator>
  <cp:lastModifiedBy>Stuart Cartledge</cp:lastModifiedBy>
  <dcterms:created xsi:type="dcterms:W3CDTF">2020-11-18T20:41:58Z</dcterms:created>
  <dcterms:modified xsi:type="dcterms:W3CDTF">2023-10-19T22:41:36Z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{C1AF7E25-4867-485C-85F9-3E03C4DCAB7A}</vt:lpwstr>
  </property>
  <property fmtid="{D5CDD505-2E9C-101B-9397-08002B2CF9AE}" pid="3" name="ContentTypeId">
    <vt:lpwstr>0x0101003409F7F56125D54F90392E74B6CA87E9</vt:lpwstr>
  </property>
</Properties>
</file>