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Powerhouse Clients/CRAI0007 - Craig Ross Superannuation Fund/2019/Workpapers/"/>
    </mc:Choice>
  </mc:AlternateContent>
  <xr:revisionPtr revIDLastSave="1324" documentId="8_{7DABB9F9-DAC7-48AF-95BF-A766060AAE59}" xr6:coauthVersionLast="47" xr6:coauthVersionMax="47" xr10:uidLastSave="{B3E24C36-F3D2-4538-9BB0-3FEA8FE54E23}"/>
  <bookViews>
    <workbookView xWindow="-120" yWindow="-120" windowWidth="29040" windowHeight="15720" tabRatio="781" firstSheet="13" xr2:uid="{306213DB-740E-49D0-A494-BE82EF870239}"/>
  </bookViews>
  <sheets>
    <sheet name="Index" sheetId="2" r:id="rId1"/>
    <sheet name="Queries" sheetId="21" state="hidden" r:id="rId2"/>
    <sheet name="Min Pension" sheetId="3" state="hidden" r:id="rId3"/>
    <sheet name="Queries-Review" sheetId="19" state="hidden" r:id="rId4"/>
    <sheet name="Journals" sheetId="20" state="hidden" r:id="rId5"/>
    <sheet name="PAYG &amp; GST Instal" sheetId="4" state="hidden" r:id="rId6"/>
    <sheet name="GST Rec" sheetId="10" state="hidden" r:id="rId7"/>
    <sheet name="Bank Balance" sheetId="17" r:id="rId8"/>
    <sheet name="Investment Recon - BT" sheetId="8" state="hidden" r:id="rId9"/>
    <sheet name="Investment Recon - Other" sheetId="16" r:id="rId10"/>
    <sheet name="Related UT " sheetId="14" state="hidden" r:id="rId11"/>
    <sheet name="Property Valn" sheetId="12" state="hidden" r:id="rId12"/>
    <sheet name="Debtors" sheetId="13" r:id="rId13"/>
    <sheet name="Creditors" sheetId="11" r:id="rId14"/>
    <sheet name="Distbn Income " sheetId="7" r:id="rId15"/>
    <sheet name="Dividend Income" sheetId="18" r:id="rId16"/>
    <sheet name="Foreign Div" sheetId="9" state="hidden" r:id="rId17"/>
    <sheet name="Rental Income" sheetId="15" state="hidden" r:id="rId18"/>
    <sheet name="Acc fees" sheetId="6" state="hidden" r:id="rId19"/>
    <sheet name="Advisor Fees" sheetId="5" state="hidden" r:id="rId20"/>
  </sheets>
  <externalReferences>
    <externalReference r:id="rId21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13" l="1"/>
  <c r="K20" i="7"/>
  <c r="K19" i="7"/>
  <c r="K16" i="7"/>
  <c r="F24" i="13"/>
  <c r="F16" i="13"/>
  <c r="I3" i="21"/>
  <c r="H3" i="21"/>
  <c r="C3" i="21"/>
  <c r="I2" i="21"/>
  <c r="H2" i="21"/>
  <c r="C2" i="21"/>
  <c r="C1" i="21"/>
  <c r="C52" i="19"/>
  <c r="C51" i="19"/>
  <c r="C50" i="19"/>
  <c r="C47" i="19"/>
  <c r="C48" i="19" s="1"/>
  <c r="N27" i="20"/>
  <c r="N23" i="20"/>
  <c r="O27" i="20"/>
  <c r="N26" i="20"/>
  <c r="N24" i="20"/>
  <c r="E40" i="7"/>
  <c r="F43" i="7"/>
  <c r="D17" i="18"/>
  <c r="B28" i="18"/>
  <c r="B22" i="18"/>
  <c r="G19" i="5"/>
  <c r="G18" i="5"/>
  <c r="G12" i="5"/>
  <c r="I15" i="8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D51" i="19" l="1"/>
  <c r="L81" i="15"/>
  <c r="L87" i="15"/>
  <c r="L91" i="15"/>
  <c r="L83" i="15"/>
  <c r="L88" i="15"/>
  <c r="L84" i="15"/>
  <c r="L86" i="15"/>
  <c r="E80" i="15"/>
  <c r="H93" i="15"/>
  <c r="H97" i="15" s="1"/>
  <c r="E93" i="15" l="1"/>
  <c r="E97" i="15" s="1"/>
  <c r="L80" i="15"/>
  <c r="L93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26" i="13" l="1"/>
  <c r="G13" i="17"/>
  <c r="G12" i="17"/>
  <c r="I3" i="17"/>
  <c r="H3" i="17"/>
  <c r="C3" i="17"/>
  <c r="I2" i="17"/>
  <c r="H2" i="17"/>
  <c r="C2" i="17"/>
  <c r="C1" i="17"/>
  <c r="F21" i="16"/>
  <c r="F15" i="16"/>
  <c r="F32" i="16"/>
  <c r="E32" i="16"/>
  <c r="G31" i="16"/>
  <c r="G30" i="16"/>
  <c r="G29" i="16"/>
  <c r="G28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F23" i="16" l="1"/>
  <c r="I23" i="16" s="1"/>
  <c r="G32" i="16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C3" i="11"/>
  <c r="I2" i="11"/>
  <c r="H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33" i="13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G40" i="7"/>
  <c r="F40" i="7"/>
  <c r="D40" i="7"/>
  <c r="H38" i="7"/>
  <c r="H37" i="7"/>
  <c r="E36" i="7"/>
  <c r="H36" i="7" s="1"/>
  <c r="H35" i="7"/>
  <c r="E33" i="7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K22" i="7" s="1"/>
  <c r="H21" i="7"/>
  <c r="H20" i="7"/>
  <c r="H19" i="7"/>
  <c r="H18" i="7"/>
  <c r="H17" i="7"/>
  <c r="H15" i="7"/>
  <c r="H14" i="7"/>
  <c r="H33" i="7" l="1"/>
  <c r="K27" i="7" s="1"/>
  <c r="M27" i="7" s="1"/>
  <c r="E43" i="7"/>
  <c r="E44" i="7" s="1"/>
  <c r="D44" i="7"/>
  <c r="K26" i="7"/>
  <c r="M26" i="7" s="1"/>
  <c r="H40" i="7"/>
  <c r="K14" i="7" s="1"/>
  <c r="M14" i="7" s="1"/>
  <c r="K21" i="7"/>
  <c r="M21" i="7" s="1"/>
  <c r="G44" i="7"/>
  <c r="K17" i="7"/>
  <c r="M17" i="7" s="1"/>
  <c r="F44" i="7"/>
  <c r="K23" i="7"/>
  <c r="M23" i="7" s="1"/>
  <c r="M22" i="7"/>
  <c r="H32" i="7"/>
  <c r="M16" i="7"/>
  <c r="M20" i="7"/>
  <c r="M19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<sst xmlns="http://schemas.openxmlformats.org/spreadsheetml/2006/main" count="829" uniqueCount="472">
  <si>
    <t>Client</t>
  </si>
  <si>
    <t>Craig Ross Superannuation Fund</t>
  </si>
  <si>
    <t>Initials</t>
  </si>
  <si>
    <t>Date</t>
  </si>
  <si>
    <t>Client Code</t>
  </si>
  <si>
    <t>P9CRAI</t>
  </si>
  <si>
    <t xml:space="preserve">Prep by: </t>
  </si>
  <si>
    <t>MM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</si>
  <si>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</si>
  <si>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</si>
  <si>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</si>
  <si>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</si>
  <si>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</si>
  <si>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</si>
  <si>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</si>
  <si>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</si>
  <si>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</si>
  <si>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</si>
  <si>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</si>
  <si>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</si>
  <si>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</si>
  <si>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</si>
  <si>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</si>
  <si>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</si>
  <si>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</si>
  <si>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</si>
  <si>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</si>
  <si>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</si>
  <si>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</si>
  <si>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</si>
  <si>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</si>
  <si>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</si>
  <si>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</si>
  <si>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</si>
  <si>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</si>
  <si>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</si>
  <si>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</si>
  <si>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</si>
  <si>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</si>
  <si>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</si>
  <si>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</si>
  <si>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</si>
  <si>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</si>
  <si>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</si>
  <si>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</si>
  <si>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</si>
  <si>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</si>
  <si>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</si>
  <si>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</si>
  <si>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</si>
  <si>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</si>
  <si>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</si>
  <si>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</si>
  <si>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</si>
  <si>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</si>
  <si>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</si>
  <si>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</si>
  <si>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</si>
  <si>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</si>
  <si>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</si>
  <si>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</si>
  <si>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</si>
  <si>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</si>
  <si>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</si>
  <si>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</si>
  <si>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</si>
  <si>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</si>
  <si>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</si>
  <si>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</si>
  <si>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</si>
  <si>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</si>
  <si>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</si>
  <si>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</si>
  <si>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</si>
  <si>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</si>
  <si>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</si>
  <si>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</si>
  <si>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</si>
  <si>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Query No</t>
  </si>
  <si>
    <t>Information Required</t>
  </si>
  <si>
    <t>Notes</t>
  </si>
  <si>
    <t>Confirm tax treatment of contributions</t>
  </si>
  <si>
    <t>2 x deposits into account for $10k &amp; $15k titled "contribu". Have these been claimed in personal return? Have coded to concessional contributions for now.</t>
  </si>
  <si>
    <t>Check coding of tax refund</t>
  </si>
  <si>
    <t>Unsure how it will be coded in prior year account yet. Refund is for several years. Check if coded to sundry debtors or not. Have coded to 85000 for now.</t>
  </si>
  <si>
    <t>MINIMUM PENSION CALCULATION 2022/23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</si>
  <si>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</si>
  <si>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</si>
  <si>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</si>
  <si>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</si>
  <si>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</si>
  <si>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</si>
  <si>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</si>
  <si>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</si>
  <si>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</si>
  <si>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</si>
  <si>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</si>
  <si>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</si>
  <si>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</si>
  <si>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</si>
  <si>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</si>
  <si>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</si>
  <si>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</si>
  <si>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</si>
  <si>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</si>
  <si>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</si>
  <si>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</si>
  <si>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</si>
  <si>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Trust income</t>
  </si>
  <si>
    <t>Should be $7018.45 after jnls. Reconiliation below</t>
  </si>
  <si>
    <t>Dividends Franked</t>
  </si>
  <si>
    <t>Should be $32056.43 after jnls</t>
  </si>
  <si>
    <t>Dividends unfrankded</t>
  </si>
  <si>
    <t>Should be $6175.50 after jnls</t>
  </si>
  <si>
    <t xml:space="preserve">What does the $3264.17 deposit relate to? </t>
  </si>
  <si>
    <t>Interest Exp</t>
  </si>
  <si>
    <t>Should be $115.47</t>
  </si>
  <si>
    <t>General Exp</t>
  </si>
  <si>
    <t>Should be $5</t>
  </si>
  <si>
    <t>Bank</t>
  </si>
  <si>
    <t>Balance is out by 1c. Not material</t>
  </si>
  <si>
    <t>Reconcile trust income</t>
  </si>
  <si>
    <t>2019 Trust income</t>
  </si>
  <si>
    <t xml:space="preserve">Income on TB + LLC income </t>
  </si>
  <si>
    <t>Difference</t>
  </si>
  <si>
    <t>Less 2018 income</t>
  </si>
  <si>
    <t>Plus 2019 income</t>
  </si>
  <si>
    <t>DR</t>
  </si>
  <si>
    <t>CR</t>
  </si>
  <si>
    <t>Dividends - Franked</t>
  </si>
  <si>
    <t xml:space="preserve">Receivables </t>
  </si>
  <si>
    <t>Take up Origin dividend paid 29/03/2019, withheld due to no bank details</t>
  </si>
  <si>
    <t>Dividends - Unfranked</t>
  </si>
  <si>
    <t>Distribution from Trusts</t>
  </si>
  <si>
    <t>Move LLC from div income to trust income</t>
  </si>
  <si>
    <t>Receivables</t>
  </si>
  <si>
    <t>Take up GMG 2019 income, received post 30 June</t>
  </si>
  <si>
    <t>Take up LLC 2019 income, received post 30 June</t>
  </si>
  <si>
    <t>2018 Income received in Sept 2019, receipted to Trust income</t>
  </si>
  <si>
    <t>Interest - Australia</t>
  </si>
  <si>
    <t>General Expensees</t>
  </si>
  <si>
    <t>Move ATO interest expense to correct account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</si>
  <si>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</si>
  <si>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</si>
  <si>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</si>
  <si>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</si>
  <si>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</si>
  <si>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</si>
  <si>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</si>
  <si>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</si>
  <si>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</si>
  <si>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</si>
  <si>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</si>
  <si>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</si>
  <si>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</si>
  <si>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</si>
  <si>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</si>
  <si>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</si>
  <si>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</si>
  <si>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</si>
  <si>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</si>
  <si>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</si>
  <si>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</si>
  <si>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</si>
  <si>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</si>
  <si>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</si>
  <si>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</si>
  <si>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</si>
  <si>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</si>
  <si>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</si>
  <si>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</si>
  <si>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</si>
  <si>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</si>
  <si>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</si>
  <si>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</si>
  <si>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</si>
  <si>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</si>
  <si>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</si>
  <si>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</si>
  <si>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</si>
  <si>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</si>
  <si>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</si>
  <si>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</si>
  <si>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</si>
  <si>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</si>
  <si>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</si>
  <si>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</si>
  <si>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</si>
  <si>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</si>
  <si>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</si>
  <si>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</si>
  <si>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</si>
  <si>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</si>
  <si>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</si>
  <si>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</si>
  <si>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</si>
  <si>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</si>
  <si>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60400/MBL122735400</t>
  </si>
  <si>
    <t>Macquarie Cash Management Account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</si>
  <si>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</si>
  <si>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</si>
  <si>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</si>
  <si>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</si>
  <si>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</si>
  <si>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</si>
  <si>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</si>
  <si>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</si>
  <si>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</si>
  <si>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</si>
  <si>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</si>
  <si>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</si>
  <si>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</si>
  <si>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</si>
  <si>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</si>
  <si>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</si>
  <si>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</si>
  <si>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</si>
  <si>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</si>
  <si>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</si>
  <si>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</si>
  <si>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</si>
  <si>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</si>
  <si>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</si>
  <si>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</si>
  <si>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</si>
  <si>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</si>
  <si>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</si>
  <si>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</si>
  <si>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</si>
  <si>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</si>
  <si>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</si>
  <si>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</si>
  <si>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</si>
  <si>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</si>
  <si>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</si>
  <si>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</si>
  <si>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</si>
  <si>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</si>
  <si>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</si>
  <si>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</si>
  <si>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Units in Listed UT</t>
  </si>
  <si>
    <t>Units in Unlisted UT</t>
  </si>
  <si>
    <t>Market Value per Supporting Docs</t>
  </si>
  <si>
    <t>Commsec Portfolio</t>
  </si>
  <si>
    <t xml:space="preserve">If the variance is material - please fill out below investments that have an issue </t>
  </si>
  <si>
    <t>BGL - 
Market Value</t>
  </si>
  <si>
    <t>Support Doc - Market Value</t>
  </si>
  <si>
    <t>CNU</t>
  </si>
  <si>
    <t>difference in # units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</si>
  <si>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</si>
  <si>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</si>
  <si>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</si>
  <si>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</si>
  <si>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</si>
  <si>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</si>
  <si>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</si>
  <si>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</si>
  <si>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</si>
  <si>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</si>
  <si>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</si>
  <si>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</si>
  <si>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</si>
  <si>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</si>
  <si>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</si>
  <si>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</si>
  <si>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</si>
  <si>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</si>
  <si>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</si>
  <si>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</si>
  <si>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</si>
  <si>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</si>
  <si>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</si>
  <si>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</si>
  <si>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</si>
  <si>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</si>
  <si>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</si>
  <si>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</si>
  <si>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</si>
  <si>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</si>
  <si>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GMG</t>
  </si>
  <si>
    <t>banked 10/9/2019</t>
  </si>
  <si>
    <t>GPT</t>
  </si>
  <si>
    <t>unpresented cheque</t>
  </si>
  <si>
    <t>LLC</t>
  </si>
  <si>
    <t>DRP 16/9/2019</t>
  </si>
  <si>
    <t>ORG</t>
  </si>
  <si>
    <t>Dividend w/held no banking instructions</t>
  </si>
  <si>
    <t>deposited 23/11/2020</t>
  </si>
  <si>
    <t>ELD</t>
  </si>
  <si>
    <t>15/06/2018</t>
  </si>
  <si>
    <t>Cheque presented 1/4/2020</t>
  </si>
  <si>
    <t>14/12/2018</t>
  </si>
  <si>
    <t>deposited 29/7/2019</t>
  </si>
  <si>
    <t>21/6/2019</t>
  </si>
  <si>
    <t>2018FY income tax refund</t>
  </si>
  <si>
    <t>return not lodged yet</t>
  </si>
  <si>
    <t>Reinvestment Residual Account</t>
  </si>
  <si>
    <t>BHP</t>
  </si>
  <si>
    <t>CAR</t>
  </si>
  <si>
    <t>SUN</t>
  </si>
  <si>
    <t>WBC</t>
  </si>
  <si>
    <t xml:space="preserve">HSO </t>
  </si>
  <si>
    <t>needs to be written off as shares sold under SOA</t>
  </si>
  <si>
    <t>will do this in the 2020FY accounts</t>
  </si>
  <si>
    <t>CREDITORS</t>
  </si>
  <si>
    <t>Accounting Fees</t>
  </si>
  <si>
    <t>paid 1/7/2019</t>
  </si>
  <si>
    <t>June 2019 PAYGI</t>
  </si>
  <si>
    <t>was varied to Nil</t>
  </si>
  <si>
    <t>DISTRIBUTION INCOME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</si>
  <si>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</si>
  <si>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</si>
  <si>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</si>
  <si>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</si>
  <si>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</si>
  <si>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</si>
  <si>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</si>
  <si>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</si>
  <si>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</si>
  <si>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</si>
  <si>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</si>
  <si>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</si>
  <si>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</si>
  <si>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</si>
  <si>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</si>
  <si>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</si>
  <si>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</si>
  <si>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</si>
  <si>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</si>
  <si>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</si>
  <si>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</si>
  <si>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</si>
  <si>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</si>
  <si>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</si>
  <si>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</si>
  <si>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</si>
  <si>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</si>
  <si>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</si>
  <si>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</si>
  <si>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</si>
  <si>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</si>
  <si>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</si>
  <si>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</si>
  <si>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</si>
  <si>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</si>
  <si>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</si>
  <si>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</si>
  <si>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</si>
  <si>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</si>
  <si>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</si>
  <si>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</si>
  <si>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</si>
  <si>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</si>
  <si>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Should be</t>
  </si>
  <si>
    <t>Suncorp</t>
  </si>
  <si>
    <t>Received</t>
  </si>
  <si>
    <t xml:space="preserve">Agrees with Div Statement </t>
  </si>
  <si>
    <t xml:space="preserve">Commsec 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</si>
  <si>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</si>
  <si>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</si>
  <si>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</si>
  <si>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</si>
  <si>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</si>
  <si>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</si>
  <si>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</si>
  <si>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</si>
  <si>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</si>
  <si>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</si>
  <si>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</si>
  <si>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</si>
  <si>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</si>
  <si>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</si>
  <si>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</si>
  <si>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</si>
  <si>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</si>
  <si>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</si>
  <si>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</si>
  <si>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</si>
  <si>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</si>
  <si>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</si>
  <si>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</si>
  <si>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</si>
  <si>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</si>
  <si>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</si>
  <si>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</si>
  <si>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</si>
  <si>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</si>
  <si>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</si>
  <si>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</si>
  <si>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</si>
  <si>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</si>
  <si>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</si>
  <si>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</si>
  <si>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</si>
  <si>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</si>
  <si>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</si>
  <si>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</si>
  <si>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</si>
  <si>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</si>
  <si>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</si>
  <si>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</si>
  <si>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</si>
  <si>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</si>
  <si>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</si>
  <si>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</si>
  <si>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</si>
  <si>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</si>
  <si>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</si>
  <si>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</si>
  <si>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</si>
  <si>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</si>
  <si>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</si>
  <si>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</si>
  <si>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</si>
  <si>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</si>
  <si>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</si>
  <si>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</si>
  <si>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</si>
  <si>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</si>
  <si>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</si>
  <si>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</si>
  <si>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</si>
  <si>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</si>
  <si>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</si>
  <si>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</si>
  <si>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</si>
  <si>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</si>
  <si>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</si>
  <si>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</si>
  <si>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</si>
  <si>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</si>
  <si>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</si>
  <si>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</si>
  <si>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</si>
  <si>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</si>
  <si>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</si>
  <si>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</si>
  <si>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</si>
  <si>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</si>
  <si>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</si>
  <si>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</si>
  <si>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ACCOUNTING FEES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</si>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</sst>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40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 applyAlignment="1">
      <alignment horizontal="center" wrapText="1"/>
    </xf>
    <xf numFmtId="168" fontId="0" fillId="4" borderId="0" xfId="1" applyNumberFormat="1" applyFont="1" applyFill="1"/>
    <xf numFmtId="0" fontId="29" fillId="0" borderId="0" xfId="0" applyFont="1"/>
    <xf numFmtId="166" fontId="0" fillId="0" borderId="26" xfId="1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6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165" fontId="29" fillId="0" borderId="19" xfId="2" applyFont="1" applyBorder="1" applyAlignment="1"/>
    <xf numFmtId="165" fontId="29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29" fillId="0" borderId="19" xfId="2" applyFont="1" applyFill="1" applyBorder="1" applyAlignment="1"/>
    <xf numFmtId="165" fontId="29" fillId="0" borderId="1" xfId="2" applyFont="1" applyFill="1" applyBorder="1" applyAlignment="1"/>
    <xf numFmtId="165" fontId="8" fillId="0" borderId="19" xfId="2" applyFont="1" applyFill="1" applyBorder="1" applyAlignment="1"/>
    <xf numFmtId="165" fontId="29" fillId="0" borderId="19" xfId="2" applyFont="1" applyFill="1" applyBorder="1" applyAlignment="1">
      <alignment horizontal="left"/>
    </xf>
    <xf numFmtId="165" fontId="29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164" fontId="33" fillId="0" borderId="0" xfId="0" applyNumberFormat="1" applyFont="1"/>
    <xf numFmtId="164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6" fontId="21" fillId="0" borderId="0" xfId="1" applyFont="1"/>
    <xf numFmtId="166" fontId="21" fillId="0" borderId="0" xfId="1" applyFont="1" applyFill="1"/>
    <xf numFmtId="166" fontId="22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166" fontId="0" fillId="7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1" fillId="7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29" fillId="0" borderId="0" xfId="1" applyFont="1" applyFill="1"/>
    <xf numFmtId="0" fontId="38" fillId="0" borderId="0" xfId="0" applyFont="1"/>
    <xf numFmtId="165" fontId="2" fillId="0" borderId="9" xfId="2" applyFont="1" applyBorder="1"/>
    <xf numFmtId="166" fontId="29" fillId="0" borderId="0" xfId="1" applyFont="1"/>
    <xf numFmtId="0" fontId="39" fillId="0" borderId="0" xfId="0" applyFont="1"/>
    <xf numFmtId="166" fontId="0" fillId="8" borderId="0" xfId="1" quotePrefix="1" applyFont="1" applyFill="1"/>
    <xf numFmtId="166" fontId="2" fillId="11" borderId="9" xfId="1" applyFont="1" applyFill="1" applyBorder="1"/>
    <xf numFmtId="0" fontId="3" fillId="11" borderId="0" xfId="0" applyFont="1" applyFill="1"/>
    <xf numFmtId="166" fontId="3" fillId="11" borderId="0" xfId="1" applyFont="1" applyFill="1"/>
    <xf numFmtId="0" fontId="40" fillId="0" borderId="0" xfId="0" applyFont="1"/>
    <xf numFmtId="0" fontId="41" fillId="0" borderId="0" xfId="0" applyFont="1"/>
    <xf numFmtId="0" fontId="41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right"/>
    </xf>
    <xf numFmtId="0" fontId="0" fillId="0" borderId="31" xfId="0" applyBorder="1"/>
    <xf numFmtId="165" fontId="0" fillId="0" borderId="0" xfId="2" applyFont="1" applyFill="1" applyBorder="1"/>
    <xf numFmtId="9" fontId="0" fillId="0" borderId="0" xfId="3" applyFont="1" applyFill="1" applyBorder="1"/>
    <xf numFmtId="10" fontId="0" fillId="0" borderId="0" xfId="3" applyNumberFormat="1" applyFont="1" applyFill="1" applyBorder="1"/>
    <xf numFmtId="165" fontId="18" fillId="0" borderId="0" xfId="0" applyNumberFormat="1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0" fontId="0" fillId="0" borderId="0" xfId="3" applyNumberFormat="1" applyFont="1" applyFill="1" applyBorder="1" applyAlignment="1">
      <alignment horizontal="left" vertical="center" wrapText="1"/>
    </xf>
    <xf numFmtId="43" fontId="0" fillId="0" borderId="31" xfId="0" applyNumberFormat="1" applyBorder="1"/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8" borderId="1" xfId="0" applyFont="1" applyFill="1" applyBorder="1" applyAlignment="1">
      <alignment horizontal="left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4" fillId="0" borderId="0" xfId="0" applyFont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65" fontId="3" fillId="12" borderId="30" xfId="2" applyFont="1" applyFill="1" applyBorder="1"/>
    <xf numFmtId="0" fontId="0" fillId="0" borderId="0" xfId="0" applyFill="1"/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  <color rgb="FFE8D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abSelected="1" workbookViewId="0">
      <selection activeCell="F63" sqref="F63:H63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7109375" bestFit="1" customWidth="1"/>
  </cols>
  <sheetData>
    <row r="1" spans="1:9" ht="18">
      <c r="A1" s="117" t="s">
        <v>0</v>
      </c>
      <c r="B1" s="120"/>
      <c r="C1" s="118" t="s">
        <v>1</v>
      </c>
      <c r="F1" s="54"/>
      <c r="H1" s="56" t="s">
        <v>2</v>
      </c>
      <c r="I1" s="56" t="s">
        <v>3</v>
      </c>
    </row>
    <row r="2" spans="1:9" ht="18">
      <c r="A2" s="117" t="s">
        <v>4</v>
      </c>
      <c r="B2" s="121"/>
      <c r="C2" s="118" t="s">
        <v>5</v>
      </c>
      <c r="D2" s="53"/>
      <c r="E2" s="53"/>
      <c r="F2" s="55"/>
      <c r="G2" s="59" t="s">
        <v>6</v>
      </c>
      <c r="H2" s="60" t="s">
        <v>7</v>
      </c>
      <c r="I2" s="61">
        <v>45090</v>
      </c>
    </row>
    <row r="3" spans="1:9" ht="18">
      <c r="A3" s="117" t="s">
        <v>8</v>
      </c>
      <c r="B3" s="121"/>
      <c r="C3" s="119">
        <v>43646</v>
      </c>
      <c r="D3" s="53"/>
      <c r="E3" s="53"/>
      <c r="F3" s="55"/>
      <c r="G3" s="59" t="s">
        <v>9</v>
      </c>
      <c r="H3" s="60" t="s">
        <v>10</v>
      </c>
      <c r="I3" s="61">
        <v>45099</v>
      </c>
    </row>
    <row r="4" spans="1:9" ht="18">
      <c r="A4" s="122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53" t="s">
        <v>15</v>
      </c>
      <c r="G7" s="354"/>
      <c r="H7" s="355"/>
    </row>
    <row r="8" spans="1:9" ht="20.100000000000001" customHeight="1">
      <c r="A8" s="356" t="s">
        <v>16</v>
      </c>
      <c r="B8" s="357"/>
      <c r="C8" s="358"/>
      <c r="D8" s="220"/>
      <c r="E8" s="10" t="s">
        <v>17</v>
      </c>
      <c r="F8" s="350"/>
      <c r="G8" s="351"/>
      <c r="H8" s="352"/>
    </row>
    <row r="9" spans="1:9" ht="20.100000000000001" customHeight="1">
      <c r="A9" s="11"/>
      <c r="B9" s="12">
        <v>1</v>
      </c>
      <c r="C9" s="13" t="s">
        <v>18</v>
      </c>
      <c r="D9" s="220"/>
      <c r="E9" s="10" t="s">
        <v>17</v>
      </c>
      <c r="F9" s="350"/>
      <c r="G9" s="351"/>
      <c r="H9" s="352"/>
    </row>
    <row r="10" spans="1:9" ht="20.100000000000001" customHeight="1">
      <c r="A10" s="11"/>
      <c r="B10" s="12">
        <v>2</v>
      </c>
      <c r="C10" s="13" t="s">
        <v>19</v>
      </c>
      <c r="D10" s="220"/>
      <c r="E10" s="10" t="s">
        <v>17</v>
      </c>
      <c r="F10" s="350"/>
      <c r="G10" s="351"/>
      <c r="H10" s="352"/>
    </row>
    <row r="11" spans="1:9" ht="20.100000000000001" customHeight="1">
      <c r="A11" s="11"/>
      <c r="B11" s="12">
        <v>3</v>
      </c>
      <c r="C11" s="13" t="s">
        <v>20</v>
      </c>
      <c r="D11" s="220"/>
      <c r="E11" s="10" t="s">
        <v>17</v>
      </c>
      <c r="F11" s="350"/>
      <c r="G11" s="351"/>
      <c r="H11" s="352"/>
    </row>
    <row r="12" spans="1:9" ht="20.100000000000001" customHeight="1">
      <c r="A12" s="11"/>
      <c r="B12" s="12">
        <v>4</v>
      </c>
      <c r="C12" s="13" t="s">
        <v>21</v>
      </c>
      <c r="D12" s="220"/>
      <c r="E12" s="10" t="s">
        <v>17</v>
      </c>
      <c r="F12" s="350"/>
      <c r="G12" s="351"/>
      <c r="H12" s="352"/>
    </row>
    <row r="13" spans="1:9" ht="20.100000000000001" customHeight="1">
      <c r="A13" s="11"/>
      <c r="B13" s="12">
        <v>5</v>
      </c>
      <c r="C13" s="12" t="s">
        <v>22</v>
      </c>
      <c r="D13" s="220"/>
      <c r="E13" s="10" t="s">
        <v>17</v>
      </c>
      <c r="F13" s="350"/>
      <c r="G13" s="351"/>
      <c r="H13" s="352"/>
    </row>
    <row r="14" spans="1:9" ht="20.100000000000001" customHeight="1">
      <c r="A14" s="11"/>
      <c r="B14" s="12">
        <v>6</v>
      </c>
      <c r="C14" s="14" t="s">
        <v>23</v>
      </c>
      <c r="D14" s="220"/>
      <c r="E14" s="10" t="s">
        <v>17</v>
      </c>
      <c r="F14" s="350"/>
      <c r="G14" s="351"/>
      <c r="H14" s="352"/>
    </row>
    <row r="15" spans="1:9" ht="20.100000000000001" customHeight="1">
      <c r="A15" s="15"/>
      <c r="B15" s="16">
        <v>7</v>
      </c>
      <c r="C15" s="12" t="s">
        <v>24</v>
      </c>
      <c r="D15" s="220"/>
      <c r="E15" s="10" t="s">
        <v>17</v>
      </c>
      <c r="F15" s="350"/>
      <c r="G15" s="351"/>
      <c r="H15" s="352"/>
    </row>
    <row r="16" spans="1:9" ht="20.100000000000001" customHeight="1">
      <c r="A16" s="15"/>
      <c r="B16" s="16">
        <v>8</v>
      </c>
      <c r="C16" s="12" t="s">
        <v>25</v>
      </c>
      <c r="D16" s="220"/>
      <c r="E16" s="10" t="s">
        <v>17</v>
      </c>
      <c r="F16" s="350"/>
      <c r="G16" s="351"/>
      <c r="H16" s="352"/>
    </row>
    <row r="17" spans="1:10" ht="20.100000000000001" customHeight="1">
      <c r="A17" s="347" t="s">
        <v>26</v>
      </c>
      <c r="B17" s="348"/>
      <c r="C17" s="349"/>
      <c r="D17" s="220"/>
      <c r="E17" s="17"/>
      <c r="F17" s="350"/>
      <c r="G17" s="351"/>
      <c r="H17" s="352"/>
      <c r="J17" s="18"/>
    </row>
    <row r="18" spans="1:10" ht="20.100000000000001" customHeight="1">
      <c r="A18" s="19">
        <v>2</v>
      </c>
      <c r="B18" s="20" t="s">
        <v>27</v>
      </c>
      <c r="C18" s="21"/>
      <c r="D18" s="220"/>
      <c r="E18" s="17"/>
      <c r="F18" s="350"/>
      <c r="G18" s="351"/>
      <c r="H18" s="352"/>
    </row>
    <row r="19" spans="1:10" ht="20.100000000000001" customHeight="1">
      <c r="A19" s="22"/>
      <c r="B19" s="23"/>
      <c r="C19" s="24" t="s">
        <v>28</v>
      </c>
      <c r="D19" s="220"/>
      <c r="E19" s="10" t="s">
        <v>17</v>
      </c>
      <c r="F19" s="350"/>
      <c r="G19" s="351"/>
      <c r="H19" s="352"/>
    </row>
    <row r="20" spans="1:10" ht="20.100000000000001" customHeight="1">
      <c r="A20" s="22"/>
      <c r="B20" s="23"/>
      <c r="C20" s="24" t="s">
        <v>29</v>
      </c>
      <c r="D20" s="220"/>
      <c r="E20" s="17"/>
      <c r="F20" s="350"/>
      <c r="G20" s="351"/>
      <c r="H20" s="352"/>
    </row>
    <row r="21" spans="1:10" ht="20.100000000000001" customHeight="1">
      <c r="A21" s="11"/>
      <c r="B21" s="25"/>
      <c r="C21" s="14" t="s">
        <v>30</v>
      </c>
      <c r="D21" s="220"/>
      <c r="E21" s="10" t="s">
        <v>17</v>
      </c>
      <c r="F21" s="350"/>
      <c r="G21" s="351"/>
      <c r="H21" s="352"/>
    </row>
    <row r="22" spans="1:10" ht="20.100000000000001" customHeight="1">
      <c r="A22" s="11"/>
      <c r="B22" s="26"/>
      <c r="C22" s="14" t="s">
        <v>31</v>
      </c>
      <c r="D22" s="221" t="s">
        <v>32</v>
      </c>
      <c r="E22" s="10"/>
      <c r="F22" s="350"/>
      <c r="G22" s="351"/>
      <c r="H22" s="352"/>
    </row>
    <row r="23" spans="1:10" ht="20.100000000000001" customHeight="1">
      <c r="A23" s="19">
        <v>3</v>
      </c>
      <c r="B23" s="27" t="s">
        <v>33</v>
      </c>
      <c r="C23" s="21"/>
      <c r="D23" s="220"/>
      <c r="E23" s="17"/>
      <c r="F23" s="350"/>
      <c r="G23" s="351"/>
      <c r="H23" s="352"/>
    </row>
    <row r="24" spans="1:10" ht="20.100000000000001" customHeight="1">
      <c r="A24" s="11"/>
      <c r="B24" s="28"/>
      <c r="C24" s="14" t="s">
        <v>34</v>
      </c>
      <c r="D24" s="271" t="s">
        <v>32</v>
      </c>
      <c r="E24" s="10" t="s">
        <v>17</v>
      </c>
      <c r="F24" s="350"/>
      <c r="G24" s="351"/>
      <c r="H24" s="352"/>
    </row>
    <row r="25" spans="1:10" ht="20.100000000000001" customHeight="1">
      <c r="A25" s="19">
        <v>4</v>
      </c>
      <c r="B25" s="27" t="s">
        <v>35</v>
      </c>
      <c r="C25" s="27"/>
      <c r="D25" s="220"/>
      <c r="E25" s="10"/>
      <c r="F25" s="350"/>
      <c r="G25" s="351"/>
      <c r="H25" s="352"/>
    </row>
    <row r="26" spans="1:10" ht="20.100000000000001" customHeight="1">
      <c r="A26" s="22"/>
      <c r="B26" s="23"/>
      <c r="C26" s="24" t="s">
        <v>36</v>
      </c>
      <c r="D26" s="221" t="s">
        <v>32</v>
      </c>
      <c r="E26" s="10"/>
      <c r="F26" s="350"/>
      <c r="G26" s="351"/>
      <c r="H26" s="352"/>
    </row>
    <row r="27" spans="1:10" ht="20.100000000000001" customHeight="1">
      <c r="A27" s="11"/>
      <c r="B27" s="25"/>
      <c r="C27" s="14" t="s">
        <v>37</v>
      </c>
      <c r="D27" s="221" t="s">
        <v>32</v>
      </c>
      <c r="E27" s="10" t="s">
        <v>17</v>
      </c>
      <c r="F27" s="350"/>
      <c r="G27" s="351"/>
      <c r="H27" s="352"/>
    </row>
    <row r="28" spans="1:10" ht="20.100000000000001" customHeight="1">
      <c r="A28" s="11"/>
      <c r="B28" s="26"/>
      <c r="C28" s="14" t="s">
        <v>38</v>
      </c>
      <c r="D28" s="221" t="s">
        <v>32</v>
      </c>
      <c r="E28" s="10" t="s">
        <v>17</v>
      </c>
      <c r="F28" s="350"/>
      <c r="G28" s="351"/>
      <c r="H28" s="352"/>
    </row>
    <row r="29" spans="1:10" ht="20.100000000000001" customHeight="1">
      <c r="A29" s="11"/>
      <c r="B29" s="26"/>
      <c r="C29" s="14" t="s">
        <v>39</v>
      </c>
      <c r="D29" s="221" t="s">
        <v>32</v>
      </c>
      <c r="E29" s="10"/>
      <c r="F29" s="350"/>
      <c r="G29" s="351"/>
      <c r="H29" s="352"/>
    </row>
    <row r="30" spans="1:10" ht="20.100000000000001" customHeight="1">
      <c r="A30" s="11"/>
      <c r="B30" s="26"/>
      <c r="C30" s="14" t="s">
        <v>40</v>
      </c>
      <c r="D30" s="221" t="s">
        <v>32</v>
      </c>
      <c r="E30" s="10" t="s">
        <v>17</v>
      </c>
      <c r="F30" s="350"/>
      <c r="G30" s="351"/>
      <c r="H30" s="352"/>
    </row>
    <row r="31" spans="1:10" ht="20.100000000000001" customHeight="1">
      <c r="A31" s="19">
        <v>5</v>
      </c>
      <c r="B31" s="27" t="s">
        <v>41</v>
      </c>
      <c r="C31" s="27"/>
      <c r="D31" s="220"/>
      <c r="E31" s="10"/>
      <c r="F31" s="350"/>
      <c r="G31" s="351"/>
      <c r="H31" s="352"/>
    </row>
    <row r="32" spans="1:10" ht="20.100000000000001" customHeight="1">
      <c r="A32" s="22"/>
      <c r="B32" s="28"/>
      <c r="C32" s="14" t="s">
        <v>42</v>
      </c>
      <c r="D32" s="220"/>
      <c r="E32" s="10"/>
      <c r="F32" s="350"/>
      <c r="G32" s="351"/>
      <c r="H32" s="352"/>
    </row>
    <row r="33" spans="1:8" ht="20.100000000000001" customHeight="1">
      <c r="A33" s="11"/>
      <c r="B33" s="28"/>
      <c r="C33" s="14" t="s">
        <v>43</v>
      </c>
      <c r="D33" s="221" t="s">
        <v>32</v>
      </c>
      <c r="E33" s="10" t="s">
        <v>17</v>
      </c>
      <c r="F33" s="350"/>
      <c r="G33" s="351"/>
      <c r="H33" s="352"/>
    </row>
    <row r="34" spans="1:8" ht="20.100000000000001" customHeight="1">
      <c r="A34" s="11"/>
      <c r="B34" s="28"/>
      <c r="C34" s="14" t="s">
        <v>44</v>
      </c>
      <c r="D34" s="220"/>
      <c r="E34" s="17"/>
      <c r="F34" s="350"/>
      <c r="G34" s="351"/>
      <c r="H34" s="352"/>
    </row>
    <row r="35" spans="1:8" ht="20.100000000000001" customHeight="1">
      <c r="A35" s="11"/>
      <c r="B35" s="28"/>
      <c r="C35" s="14" t="s">
        <v>45</v>
      </c>
      <c r="D35" s="221" t="s">
        <v>32</v>
      </c>
      <c r="E35" s="10"/>
      <c r="F35" s="350"/>
      <c r="G35" s="351"/>
      <c r="H35" s="352"/>
    </row>
    <row r="36" spans="1:8" ht="20.100000000000001" customHeight="1">
      <c r="A36" s="11"/>
      <c r="B36" s="28"/>
      <c r="C36" s="14" t="s">
        <v>46</v>
      </c>
      <c r="D36" s="220"/>
      <c r="E36" s="10"/>
      <c r="F36" s="350"/>
      <c r="G36" s="351"/>
      <c r="H36" s="352"/>
    </row>
    <row r="37" spans="1:8" ht="20.100000000000001" customHeight="1">
      <c r="A37" s="11"/>
      <c r="B37" s="28"/>
      <c r="C37" s="14" t="s">
        <v>47</v>
      </c>
      <c r="D37" s="220"/>
      <c r="E37" s="17"/>
      <c r="F37" s="350"/>
      <c r="G37" s="351"/>
      <c r="H37" s="352"/>
    </row>
    <row r="38" spans="1:8" ht="20.100000000000001" customHeight="1">
      <c r="A38" s="11"/>
      <c r="B38" s="28"/>
      <c r="C38" s="14" t="s">
        <v>48</v>
      </c>
      <c r="D38" s="221" t="s">
        <v>32</v>
      </c>
      <c r="E38" s="10"/>
      <c r="F38" s="350"/>
      <c r="G38" s="351"/>
      <c r="H38" s="352"/>
    </row>
    <row r="39" spans="1:8" ht="20.100000000000001" customHeight="1">
      <c r="A39" s="19">
        <v>6</v>
      </c>
      <c r="B39" s="27" t="s">
        <v>49</v>
      </c>
      <c r="C39" s="27"/>
      <c r="D39" s="220"/>
      <c r="E39" s="10"/>
      <c r="F39" s="350"/>
      <c r="G39" s="351"/>
      <c r="H39" s="352"/>
    </row>
    <row r="40" spans="1:8" ht="20.100000000000001" customHeight="1">
      <c r="A40" s="11"/>
      <c r="B40" s="28"/>
      <c r="C40" s="14" t="s">
        <v>50</v>
      </c>
      <c r="D40" s="220"/>
      <c r="E40" s="10" t="s">
        <v>17</v>
      </c>
      <c r="F40" s="350"/>
      <c r="G40" s="351"/>
      <c r="H40" s="352"/>
    </row>
    <row r="41" spans="1:8" ht="20.100000000000001" customHeight="1">
      <c r="A41" s="11"/>
      <c r="B41" s="28"/>
      <c r="C41" s="14" t="s">
        <v>51</v>
      </c>
      <c r="D41" s="220"/>
      <c r="E41" s="17"/>
      <c r="F41" s="350"/>
      <c r="G41" s="351"/>
      <c r="H41" s="352"/>
    </row>
    <row r="42" spans="1:8" ht="20.100000000000001" customHeight="1">
      <c r="A42" s="11"/>
      <c r="B42" s="28"/>
      <c r="C42" s="14" t="s">
        <v>52</v>
      </c>
      <c r="D42" s="220"/>
      <c r="E42" s="17"/>
      <c r="F42" s="350"/>
      <c r="G42" s="351"/>
      <c r="H42" s="352"/>
    </row>
    <row r="43" spans="1:8" ht="20.100000000000001" customHeight="1">
      <c r="A43" s="11"/>
      <c r="B43" s="28"/>
      <c r="C43" s="14" t="s">
        <v>53</v>
      </c>
      <c r="D43" s="220"/>
      <c r="E43" s="17"/>
      <c r="F43" s="350"/>
      <c r="G43" s="351"/>
      <c r="H43" s="352"/>
    </row>
    <row r="44" spans="1:8" ht="20.100000000000001" customHeight="1">
      <c r="A44" s="11"/>
      <c r="B44" s="28"/>
      <c r="C44" s="14" t="s">
        <v>54</v>
      </c>
      <c r="D44" s="220"/>
      <c r="E44" s="17"/>
      <c r="F44" s="350"/>
      <c r="G44" s="351"/>
      <c r="H44" s="352"/>
    </row>
    <row r="45" spans="1:8" ht="20.100000000000001" customHeight="1">
      <c r="A45" s="11"/>
      <c r="B45" s="28"/>
      <c r="C45" s="14" t="s">
        <v>55</v>
      </c>
      <c r="D45" s="220"/>
      <c r="E45" s="10"/>
      <c r="F45" s="350"/>
      <c r="G45" s="351"/>
      <c r="H45" s="352"/>
    </row>
    <row r="46" spans="1:8" ht="20.100000000000001" customHeight="1">
      <c r="A46" s="19">
        <v>7</v>
      </c>
      <c r="B46" s="27" t="s">
        <v>56</v>
      </c>
      <c r="C46" s="27"/>
      <c r="D46" s="220"/>
      <c r="E46" s="17"/>
      <c r="F46" s="350"/>
      <c r="G46" s="351"/>
      <c r="H46" s="352"/>
    </row>
    <row r="47" spans="1:8" ht="20.100000000000001" customHeight="1">
      <c r="A47" s="11"/>
      <c r="B47" s="28"/>
      <c r="C47" s="14" t="s">
        <v>57</v>
      </c>
      <c r="D47" s="221" t="s">
        <v>32</v>
      </c>
      <c r="E47" s="10" t="s">
        <v>17</v>
      </c>
      <c r="F47" s="350"/>
      <c r="G47" s="351"/>
      <c r="H47" s="352"/>
    </row>
    <row r="48" spans="1:8" ht="20.100000000000001" customHeight="1">
      <c r="A48" s="11"/>
      <c r="B48" s="29"/>
      <c r="C48" s="14" t="s">
        <v>58</v>
      </c>
      <c r="D48" s="220"/>
      <c r="E48" s="17"/>
      <c r="F48" s="350"/>
      <c r="G48" s="351"/>
      <c r="H48" s="352"/>
    </row>
    <row r="49" spans="1:8" ht="20.100000000000001" customHeight="1">
      <c r="A49" s="19">
        <v>8</v>
      </c>
      <c r="B49" s="27" t="s">
        <v>59</v>
      </c>
      <c r="C49" s="27"/>
      <c r="D49" s="220"/>
      <c r="E49" s="17"/>
      <c r="F49" s="350"/>
      <c r="G49" s="351"/>
      <c r="H49" s="352"/>
    </row>
    <row r="50" spans="1:8" ht="20.100000000000001" customHeight="1">
      <c r="A50" s="11"/>
      <c r="B50" s="28"/>
      <c r="C50" s="24" t="s">
        <v>60</v>
      </c>
      <c r="D50" s="220"/>
      <c r="E50" s="10" t="s">
        <v>17</v>
      </c>
      <c r="F50" s="350"/>
      <c r="G50" s="351"/>
      <c r="H50" s="352"/>
    </row>
    <row r="51" spans="1:8" ht="20.100000000000001" customHeight="1">
      <c r="A51" s="11"/>
      <c r="B51" s="30"/>
      <c r="C51" s="14" t="s">
        <v>61</v>
      </c>
      <c r="D51" s="221" t="s">
        <v>32</v>
      </c>
      <c r="E51" s="10" t="s">
        <v>17</v>
      </c>
      <c r="F51" s="350"/>
      <c r="G51" s="351"/>
      <c r="H51" s="352"/>
    </row>
    <row r="52" spans="1:8" ht="20.100000000000001" customHeight="1">
      <c r="A52" s="11"/>
      <c r="B52" s="30"/>
      <c r="C52" s="24" t="s">
        <v>62</v>
      </c>
      <c r="D52" s="220"/>
      <c r="E52" s="10" t="s">
        <v>17</v>
      </c>
      <c r="F52" s="350"/>
      <c r="G52" s="351"/>
      <c r="H52" s="352"/>
    </row>
    <row r="53" spans="1:8" ht="20.100000000000001" customHeight="1">
      <c r="A53" s="11"/>
      <c r="B53" s="30"/>
      <c r="C53" s="24" t="s">
        <v>63</v>
      </c>
      <c r="D53" s="221" t="s">
        <v>32</v>
      </c>
      <c r="E53" s="10"/>
      <c r="F53" s="350"/>
      <c r="G53" s="351"/>
      <c r="H53" s="352"/>
    </row>
    <row r="54" spans="1:8" ht="20.100000000000001" customHeight="1">
      <c r="A54" s="11"/>
      <c r="B54" s="30"/>
      <c r="C54" s="24" t="s">
        <v>64</v>
      </c>
      <c r="D54" s="221" t="s">
        <v>32</v>
      </c>
      <c r="E54" s="10"/>
      <c r="F54" s="350"/>
      <c r="G54" s="351"/>
      <c r="H54" s="352"/>
    </row>
    <row r="55" spans="1:8" ht="20.100000000000001" customHeight="1">
      <c r="A55" s="11"/>
      <c r="B55" s="30"/>
      <c r="C55" s="24" t="s">
        <v>65</v>
      </c>
      <c r="D55" s="220"/>
      <c r="E55" s="10" t="s">
        <v>17</v>
      </c>
      <c r="F55" s="350"/>
      <c r="G55" s="351"/>
      <c r="H55" s="352"/>
    </row>
    <row r="56" spans="1:8" ht="20.100000000000001" customHeight="1">
      <c r="A56" s="11"/>
      <c r="B56" s="30"/>
      <c r="C56" s="24" t="s">
        <v>66</v>
      </c>
      <c r="D56" s="220"/>
      <c r="E56" s="10"/>
      <c r="F56" s="350"/>
      <c r="G56" s="351"/>
      <c r="H56" s="352"/>
    </row>
    <row r="57" spans="1:8" ht="20.100000000000001" customHeight="1">
      <c r="A57" s="11"/>
      <c r="B57" s="30"/>
      <c r="C57" s="24" t="s">
        <v>67</v>
      </c>
      <c r="D57" s="220"/>
      <c r="E57" s="10" t="s">
        <v>17</v>
      </c>
      <c r="F57" s="350"/>
      <c r="G57" s="351"/>
      <c r="H57" s="352"/>
    </row>
    <row r="58" spans="1:8" ht="20.100000000000001" customHeight="1">
      <c r="A58" s="19">
        <v>9</v>
      </c>
      <c r="B58" s="27" t="s">
        <v>68</v>
      </c>
      <c r="C58" s="27"/>
      <c r="D58" s="220"/>
      <c r="E58" s="17"/>
      <c r="F58" s="350"/>
      <c r="G58" s="351"/>
      <c r="H58" s="352"/>
    </row>
    <row r="59" spans="1:8" ht="20.100000000000001" customHeight="1">
      <c r="A59" s="31"/>
      <c r="B59" s="26"/>
      <c r="C59" s="14" t="s">
        <v>69</v>
      </c>
      <c r="D59" s="221" t="s">
        <v>32</v>
      </c>
      <c r="E59" s="10" t="s">
        <v>17</v>
      </c>
      <c r="F59" s="350"/>
      <c r="G59" s="351"/>
      <c r="H59" s="352"/>
    </row>
    <row r="60" spans="1:8" ht="20.100000000000001" customHeight="1">
      <c r="A60" s="11"/>
      <c r="B60" s="26"/>
      <c r="C60" s="14" t="s">
        <v>70</v>
      </c>
      <c r="D60" s="220"/>
      <c r="E60" s="10"/>
      <c r="F60" s="350"/>
      <c r="G60" s="351"/>
      <c r="H60" s="352"/>
    </row>
    <row r="61" spans="1:8" ht="20.100000000000001" customHeight="1">
      <c r="A61" s="11"/>
      <c r="B61" s="26"/>
      <c r="C61" s="14" t="s">
        <v>71</v>
      </c>
      <c r="D61" s="221" t="s">
        <v>32</v>
      </c>
      <c r="E61" s="10"/>
      <c r="F61" s="350"/>
      <c r="G61" s="351"/>
      <c r="H61" s="352"/>
    </row>
    <row r="62" spans="1:8" ht="20.100000000000001" customHeight="1">
      <c r="A62" s="11"/>
      <c r="B62" s="30"/>
      <c r="C62" s="24" t="s">
        <v>48</v>
      </c>
      <c r="D62" s="220"/>
      <c r="E62" s="10"/>
      <c r="F62" s="350"/>
      <c r="G62" s="351"/>
      <c r="H62" s="352"/>
    </row>
    <row r="63" spans="1:8" ht="20.100000000000001" customHeight="1">
      <c r="A63" s="19">
        <v>10</v>
      </c>
      <c r="B63" s="27" t="s">
        <v>72</v>
      </c>
      <c r="C63" s="27"/>
      <c r="D63" s="220"/>
      <c r="E63" s="17"/>
      <c r="F63" s="362"/>
      <c r="G63" s="363"/>
      <c r="H63" s="364"/>
    </row>
    <row r="64" spans="1:8" ht="20.100000000000001" customHeight="1">
      <c r="A64" s="11"/>
      <c r="B64" s="30"/>
      <c r="C64" s="24" t="s">
        <v>73</v>
      </c>
      <c r="D64" s="220"/>
      <c r="E64" s="10" t="s">
        <v>17</v>
      </c>
      <c r="F64" s="350" t="s">
        <v>74</v>
      </c>
      <c r="G64" s="351"/>
      <c r="H64" s="352"/>
    </row>
    <row r="65" spans="1:8" ht="20.100000000000001" customHeight="1">
      <c r="A65" s="19">
        <v>11</v>
      </c>
      <c r="B65" s="27" t="s">
        <v>75</v>
      </c>
      <c r="C65" s="27"/>
      <c r="D65" s="220"/>
      <c r="E65" s="17"/>
      <c r="F65" s="350"/>
      <c r="G65" s="351"/>
      <c r="H65" s="352"/>
    </row>
    <row r="66" spans="1:8" ht="20.100000000000001" customHeight="1">
      <c r="A66" s="31"/>
      <c r="B66" s="26"/>
      <c r="C66" s="14" t="s">
        <v>76</v>
      </c>
      <c r="D66" s="221" t="s">
        <v>32</v>
      </c>
      <c r="E66" s="17"/>
      <c r="F66" s="350"/>
      <c r="G66" s="351"/>
      <c r="H66" s="352"/>
    </row>
    <row r="67" spans="1:8" ht="20.100000000000001" customHeight="1">
      <c r="A67" s="252"/>
      <c r="B67" s="253"/>
      <c r="C67" s="254" t="s">
        <v>77</v>
      </c>
      <c r="D67" s="255" t="s">
        <v>32</v>
      </c>
      <c r="E67" s="256"/>
      <c r="F67" s="359"/>
      <c r="G67" s="360"/>
      <c r="H67" s="361"/>
    </row>
    <row r="68" spans="1:8" ht="15.95" customHeight="1">
      <c r="A68" s="32"/>
      <c r="B68" s="33"/>
      <c r="C68" s="33"/>
      <c r="D68" s="33"/>
      <c r="E68" s="33"/>
      <c r="F68" s="33"/>
      <c r="G68" s="33"/>
      <c r="H68" s="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4"/>
      <c r="B97" s="35"/>
      <c r="C97" s="35"/>
      <c r="D97" s="35"/>
      <c r="E97" s="35"/>
      <c r="F97" s="35"/>
      <c r="G97" s="35"/>
      <c r="H97" s="35"/>
    </row>
    <row r="98" spans="1:8" ht="15.95" customHeight="1">
      <c r="A98" s="36"/>
      <c r="B98" s="37"/>
      <c r="C98" s="37"/>
      <c r="D98" s="37"/>
      <c r="E98" s="37"/>
      <c r="F98" s="37"/>
      <c r="G98" s="37"/>
      <c r="H98" s="37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2"/>
      <c r="B116" s="9"/>
      <c r="C116" s="9"/>
      <c r="D116" s="9"/>
      <c r="E116" s="9"/>
      <c r="F116" s="9"/>
      <c r="G116" s="9"/>
      <c r="H116" s="38"/>
    </row>
    <row r="117" spans="1:8">
      <c r="A117" s="39"/>
      <c r="B117" s="39"/>
      <c r="C117" s="40"/>
      <c r="D117" s="40"/>
      <c r="E117" s="40"/>
      <c r="F117" s="40"/>
      <c r="G117" s="41"/>
      <c r="H117" s="40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FFFF00"/>
  </sheetPr>
  <dimension ref="A1:J33"/>
  <sheetViews>
    <sheetView workbookViewId="0">
      <selection activeCell="F14" sqref="F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66" t="str">
        <f>Index!$C$1</f>
        <v>Craig Ross Superannuation Fund</v>
      </c>
      <c r="D1" s="366"/>
      <c r="E1" s="366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66" t="str">
        <f>Index!$C$2</f>
        <v>P9CRAI</v>
      </c>
      <c r="D2" s="366"/>
      <c r="E2" s="366"/>
      <c r="F2" s="55"/>
      <c r="G2" s="59" t="s">
        <v>6</v>
      </c>
      <c r="H2" s="60" t="str">
        <f>Index!$H$2</f>
        <v>MM</v>
      </c>
      <c r="I2" s="61">
        <f>Index!$I$2</f>
        <v>45090</v>
      </c>
    </row>
    <row r="3" spans="1:10" ht="18">
      <c r="A3" s="122" t="s">
        <v>8</v>
      </c>
      <c r="B3" s="53"/>
      <c r="C3" s="367">
        <f>Index!$C$3</f>
        <v>43646</v>
      </c>
      <c r="D3" s="366"/>
      <c r="E3" s="366"/>
      <c r="F3" s="55"/>
      <c r="G3" s="59" t="s">
        <v>9</v>
      </c>
      <c r="H3" s="60" t="str">
        <f>Index!$H$3</f>
        <v>DB</v>
      </c>
      <c r="I3" s="61">
        <f>Index!$I$3</f>
        <v>45099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238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 s="69" customFormat="1" ht="30">
      <c r="A8" s="136" t="s">
        <v>143</v>
      </c>
      <c r="B8" s="371" t="s">
        <v>144</v>
      </c>
      <c r="C8" s="372"/>
      <c r="D8" s="372"/>
      <c r="E8" s="373"/>
      <c r="F8" s="137" t="s">
        <v>145</v>
      </c>
      <c r="G8" s="371" t="s">
        <v>192</v>
      </c>
      <c r="H8" s="380"/>
      <c r="I8" s="381"/>
    </row>
    <row r="10" spans="1:10">
      <c r="A10" s="270"/>
      <c r="F10" s="70"/>
    </row>
    <row r="11" spans="1:10">
      <c r="C11" s="77" t="s">
        <v>239</v>
      </c>
      <c r="F11" s="70"/>
    </row>
    <row r="12" spans="1:10">
      <c r="C12" t="s">
        <v>43</v>
      </c>
      <c r="F12" s="70">
        <v>941361.48</v>
      </c>
    </row>
    <row r="13" spans="1:10">
      <c r="C13" t="s">
        <v>240</v>
      </c>
      <c r="F13" s="70">
        <v>236297.54</v>
      </c>
    </row>
    <row r="14" spans="1:10">
      <c r="C14" t="s">
        <v>241</v>
      </c>
      <c r="F14" s="70"/>
    </row>
    <row r="15" spans="1:10">
      <c r="F15" s="269">
        <f>SUM(F12:F14)</f>
        <v>1177659.02</v>
      </c>
    </row>
    <row r="16" spans="1:10">
      <c r="F16" s="70"/>
    </row>
    <row r="17" spans="3:10">
      <c r="C17" s="77" t="s">
        <v>242</v>
      </c>
      <c r="F17" s="70"/>
    </row>
    <row r="18" spans="3:10">
      <c r="C18" t="s">
        <v>243</v>
      </c>
      <c r="F18" s="70">
        <v>1177659.02</v>
      </c>
    </row>
    <row r="20" spans="3:10">
      <c r="F20" s="70"/>
    </row>
    <row r="21" spans="3:10">
      <c r="F21" s="269">
        <f>SUM(F18:F20)</f>
        <v>1177659.02</v>
      </c>
    </row>
    <row r="22" spans="3:10">
      <c r="F22" s="70"/>
    </row>
    <row r="23" spans="3:10">
      <c r="C23" t="s">
        <v>206</v>
      </c>
      <c r="F23" s="70">
        <f>+F15-F21</f>
        <v>0</v>
      </c>
      <c r="H23" s="42" t="s">
        <v>207</v>
      </c>
      <c r="I23" s="97">
        <f>F23/F15</f>
        <v>0</v>
      </c>
      <c r="J23" s="42" t="s">
        <v>208</v>
      </c>
    </row>
    <row r="24" spans="3:10">
      <c r="F24" s="70"/>
    </row>
    <row r="25" spans="3:10">
      <c r="F25" s="70"/>
    </row>
    <row r="26" spans="3:10">
      <c r="C26" s="42" t="s">
        <v>244</v>
      </c>
      <c r="F26" s="70"/>
    </row>
    <row r="27" spans="3:10" ht="30">
      <c r="C27" s="265" t="s">
        <v>212</v>
      </c>
      <c r="D27" s="266"/>
      <c r="E27" s="267" t="s">
        <v>245</v>
      </c>
      <c r="F27" s="267" t="s">
        <v>246</v>
      </c>
      <c r="G27" s="268" t="s">
        <v>215</v>
      </c>
    </row>
    <row r="28" spans="3:10">
      <c r="C28" t="s">
        <v>247</v>
      </c>
      <c r="E28" s="100">
        <v>58752</v>
      </c>
      <c r="F28" s="100">
        <v>61412.160000000003</v>
      </c>
      <c r="G28" s="91">
        <f t="shared" ref="G28:G31" si="0">+E28-F28</f>
        <v>-2660.1600000000035</v>
      </c>
      <c r="H28" t="s">
        <v>248</v>
      </c>
    </row>
    <row r="29" spans="3:10">
      <c r="C29" t="s">
        <v>249</v>
      </c>
      <c r="E29" s="100"/>
      <c r="F29" s="100"/>
      <c r="G29" s="91">
        <f t="shared" si="0"/>
        <v>0</v>
      </c>
    </row>
    <row r="30" spans="3:10">
      <c r="C30" t="s">
        <v>250</v>
      </c>
      <c r="E30" s="100"/>
      <c r="F30" s="100"/>
      <c r="G30" s="91">
        <f t="shared" si="0"/>
        <v>0</v>
      </c>
    </row>
    <row r="31" spans="3:10">
      <c r="C31" t="s">
        <v>251</v>
      </c>
      <c r="E31" s="100"/>
      <c r="F31" s="100"/>
      <c r="G31" s="91">
        <f t="shared" si="0"/>
        <v>0</v>
      </c>
    </row>
    <row r="32" spans="3:10" ht="15.75" thickBot="1">
      <c r="E32" s="142">
        <f>SUM(E28:E31)</f>
        <v>58752</v>
      </c>
      <c r="F32" s="142">
        <f>SUM(F28:F31)</f>
        <v>61412.160000000003</v>
      </c>
      <c r="G32" s="142">
        <f>SUM(G28:G31)</f>
        <v>-2660.1600000000035</v>
      </c>
    </row>
    <row r="33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2" t="s">
        <v>0</v>
      </c>
      <c r="B1" s="53"/>
      <c r="C1" s="366" t="str">
        <f>Index!$C$1</f>
        <v>Craig Ross Superannuation Fund</v>
      </c>
      <c r="D1" s="366"/>
      <c r="E1" s="366"/>
      <c r="F1" s="54"/>
      <c r="H1" s="56" t="s">
        <v>2</v>
      </c>
      <c r="I1" s="56" t="s">
        <v>3</v>
      </c>
    </row>
    <row r="2" spans="1:12" ht="18">
      <c r="A2" s="122" t="s">
        <v>4</v>
      </c>
      <c r="B2" s="53"/>
      <c r="C2" s="366" t="str">
        <f>Index!$C$2</f>
        <v>P9CRAI</v>
      </c>
      <c r="D2" s="366"/>
      <c r="E2" s="366"/>
      <c r="F2" s="55"/>
      <c r="G2" s="59" t="s">
        <v>6</v>
      </c>
      <c r="H2" s="60" t="str">
        <f>Index!$H$2</f>
        <v>MM</v>
      </c>
      <c r="I2" s="61">
        <f>Index!$I$2</f>
        <v>45090</v>
      </c>
    </row>
    <row r="3" spans="1:12" ht="18">
      <c r="A3" s="122" t="s">
        <v>8</v>
      </c>
      <c r="B3" s="53"/>
      <c r="C3" s="367">
        <f>Index!$C$3</f>
        <v>43646</v>
      </c>
      <c r="D3" s="366"/>
      <c r="E3" s="366"/>
      <c r="F3" s="55"/>
      <c r="G3" s="59" t="s">
        <v>9</v>
      </c>
      <c r="H3" s="60" t="str">
        <f>Index!$H$3</f>
        <v>DB</v>
      </c>
      <c r="I3" s="61">
        <f>Index!$I$3</f>
        <v>45099</v>
      </c>
    </row>
    <row r="4" spans="1:12" ht="18">
      <c r="A4" s="122"/>
      <c r="B4" s="53"/>
      <c r="D4" s="55"/>
      <c r="G4" s="123"/>
      <c r="H4" s="65"/>
      <c r="I4" s="66"/>
    </row>
    <row r="5" spans="1:12" ht="18">
      <c r="A5" s="53" t="s">
        <v>238</v>
      </c>
      <c r="C5" s="57"/>
      <c r="F5" s="58"/>
      <c r="G5" s="58"/>
      <c r="H5" s="65"/>
      <c r="J5" s="66"/>
    </row>
    <row r="6" spans="1:12" s="107" customFormat="1" ht="18">
      <c r="A6" s="320" t="s">
        <v>252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81"/>
      <c r="H7" s="385"/>
      <c r="I7" s="385"/>
      <c r="J7" s="385"/>
      <c r="K7" s="385"/>
      <c r="L7" s="385"/>
    </row>
    <row r="8" spans="1:12" ht="42.75" customHeight="1" thickBot="1">
      <c r="A8" s="182" t="s">
        <v>143</v>
      </c>
      <c r="B8" s="386" t="s">
        <v>253</v>
      </c>
      <c r="C8" s="387"/>
      <c r="D8" s="388"/>
      <c r="E8" s="184" t="s">
        <v>254</v>
      </c>
      <c r="F8" s="184" t="s">
        <v>255</v>
      </c>
      <c r="G8" s="185" t="s">
        <v>256</v>
      </c>
      <c r="H8" s="186"/>
      <c r="I8" s="186"/>
      <c r="J8" s="186"/>
      <c r="K8" s="187"/>
      <c r="L8" s="187"/>
    </row>
    <row r="9" spans="1:12" ht="15.95" customHeight="1">
      <c r="A9" s="188"/>
      <c r="B9" s="389"/>
      <c r="C9" s="389"/>
      <c r="D9" s="389"/>
      <c r="E9" s="189"/>
      <c r="F9" s="190"/>
      <c r="G9" s="191" t="str">
        <f t="shared" ref="G9:G20" si="0">IF(E9=0,IF(F9=0,"",F9),F9*E9)</f>
        <v/>
      </c>
      <c r="H9" s="192"/>
      <c r="I9" s="192"/>
      <c r="J9" s="192"/>
      <c r="K9" s="192"/>
      <c r="L9" s="192"/>
    </row>
    <row r="10" spans="1:12" ht="15.95" customHeight="1">
      <c r="A10" s="188"/>
      <c r="B10" s="390" t="s">
        <v>257</v>
      </c>
      <c r="C10" s="390"/>
      <c r="D10" s="390"/>
      <c r="E10" s="189"/>
      <c r="F10" s="190"/>
      <c r="G10" s="193" t="str">
        <f t="shared" si="0"/>
        <v/>
      </c>
      <c r="H10" s="192"/>
      <c r="I10" s="192"/>
      <c r="J10" s="192"/>
      <c r="K10" s="192"/>
      <c r="L10" s="192"/>
    </row>
    <row r="11" spans="1:12" ht="15.95" customHeight="1">
      <c r="A11" s="188"/>
      <c r="B11" s="382"/>
      <c r="C11" s="383"/>
      <c r="D11" s="384"/>
      <c r="E11" s="195"/>
      <c r="F11" s="190">
        <v>1</v>
      </c>
      <c r="G11" s="196">
        <f t="shared" si="0"/>
        <v>1</v>
      </c>
      <c r="H11" s="192"/>
      <c r="I11" s="192"/>
      <c r="J11" s="192"/>
      <c r="K11" s="192"/>
      <c r="L11" s="192"/>
    </row>
    <row r="12" spans="1:12" ht="15.95" customHeight="1">
      <c r="A12" s="188"/>
      <c r="B12" s="382"/>
      <c r="C12" s="383"/>
      <c r="D12" s="384"/>
      <c r="E12" s="195">
        <v>0</v>
      </c>
      <c r="F12" s="190">
        <v>1</v>
      </c>
      <c r="G12" s="196">
        <v>0</v>
      </c>
      <c r="H12" s="192"/>
      <c r="I12" s="192"/>
      <c r="J12" s="192"/>
      <c r="K12" s="192"/>
      <c r="L12" s="192"/>
    </row>
    <row r="13" spans="1:12" ht="15.95" customHeight="1">
      <c r="A13" s="188"/>
      <c r="B13" s="382"/>
      <c r="C13" s="383"/>
      <c r="D13" s="384"/>
      <c r="E13" s="195">
        <v>1</v>
      </c>
      <c r="F13" s="190"/>
      <c r="G13" s="196">
        <f t="shared" si="0"/>
        <v>0</v>
      </c>
      <c r="H13" s="192"/>
      <c r="I13" s="192"/>
      <c r="J13" s="192"/>
      <c r="K13" s="192"/>
      <c r="L13" s="192"/>
    </row>
    <row r="14" spans="1:12" ht="15.95" customHeight="1">
      <c r="A14" s="188"/>
      <c r="B14" s="391" t="s">
        <v>258</v>
      </c>
      <c r="C14" s="392"/>
      <c r="D14" s="393"/>
      <c r="E14" s="197"/>
      <c r="F14" s="198"/>
      <c r="G14" s="199">
        <f>SUM(G11:G13)</f>
        <v>1</v>
      </c>
      <c r="H14" s="192"/>
      <c r="I14" s="192"/>
      <c r="J14" s="192"/>
      <c r="K14" s="192"/>
      <c r="L14" s="192"/>
    </row>
    <row r="15" spans="1:12" ht="15.95" customHeight="1">
      <c r="A15" s="188"/>
      <c r="B15" s="394"/>
      <c r="C15" s="395"/>
      <c r="D15" s="396"/>
      <c r="E15" s="189"/>
      <c r="F15" s="190"/>
      <c r="G15" s="196" t="str">
        <f t="shared" si="0"/>
        <v/>
      </c>
      <c r="H15" s="192"/>
      <c r="I15" s="192"/>
      <c r="J15" s="192"/>
      <c r="K15" s="192"/>
      <c r="L15" s="192"/>
    </row>
    <row r="16" spans="1:12" ht="15.95" customHeight="1">
      <c r="A16" s="188"/>
      <c r="B16" s="390" t="s">
        <v>56</v>
      </c>
      <c r="C16" s="390"/>
      <c r="D16" s="390"/>
      <c r="E16" s="189"/>
      <c r="F16" s="190"/>
      <c r="G16" s="196" t="str">
        <f t="shared" si="0"/>
        <v/>
      </c>
      <c r="H16" s="192"/>
      <c r="I16" s="192"/>
      <c r="J16" s="192"/>
      <c r="K16" s="192"/>
      <c r="L16" s="192"/>
    </row>
    <row r="17" spans="1:12" ht="15.95" customHeight="1">
      <c r="A17" s="188"/>
      <c r="B17" s="397"/>
      <c r="C17" s="397"/>
      <c r="D17" s="397"/>
      <c r="E17" s="189"/>
      <c r="F17" s="190">
        <v>1</v>
      </c>
      <c r="G17" s="196">
        <f t="shared" si="0"/>
        <v>1</v>
      </c>
      <c r="H17" s="192"/>
      <c r="I17" s="192"/>
      <c r="J17" s="192"/>
      <c r="K17" s="192"/>
      <c r="L17" s="192"/>
    </row>
    <row r="18" spans="1:12" ht="15.95" customHeight="1">
      <c r="A18" s="188"/>
      <c r="B18" s="382"/>
      <c r="C18" s="383"/>
      <c r="D18" s="384"/>
      <c r="E18" s="189"/>
      <c r="F18" s="190">
        <v>1</v>
      </c>
      <c r="G18" s="196">
        <f t="shared" si="0"/>
        <v>1</v>
      </c>
      <c r="H18" s="192"/>
      <c r="I18" s="192"/>
      <c r="J18" s="192"/>
      <c r="K18" s="192"/>
      <c r="L18" s="192"/>
    </row>
    <row r="19" spans="1:12" ht="15.95" customHeight="1">
      <c r="A19" s="188"/>
      <c r="B19" s="402" t="s">
        <v>259</v>
      </c>
      <c r="C19" s="402"/>
      <c r="D19" s="402"/>
      <c r="E19" s="197"/>
      <c r="F19" s="198"/>
      <c r="G19" s="202">
        <f>SUM(G17:G18)</f>
        <v>2</v>
      </c>
      <c r="H19" s="192"/>
      <c r="I19" s="192"/>
      <c r="J19" s="192"/>
      <c r="K19" s="192"/>
      <c r="L19" s="192"/>
    </row>
    <row r="20" spans="1:12" ht="15.95" customHeight="1">
      <c r="A20" s="188"/>
      <c r="B20" s="394"/>
      <c r="C20" s="395"/>
      <c r="D20" s="396"/>
      <c r="E20" s="189"/>
      <c r="F20" s="190"/>
      <c r="G20" s="203" t="str">
        <f t="shared" si="0"/>
        <v/>
      </c>
      <c r="H20" s="192"/>
      <c r="I20" s="192"/>
      <c r="J20" s="192"/>
      <c r="K20" s="192"/>
      <c r="L20" s="192"/>
    </row>
    <row r="21" spans="1:12" ht="15.95" customHeight="1">
      <c r="A21" s="188"/>
      <c r="B21" s="403" t="s">
        <v>260</v>
      </c>
      <c r="C21" s="404"/>
      <c r="D21" s="405"/>
      <c r="E21" s="197"/>
      <c r="F21" s="198"/>
      <c r="G21" s="202">
        <f>G14-G19</f>
        <v>-1</v>
      </c>
      <c r="H21" s="192"/>
      <c r="I21" s="192"/>
      <c r="J21" s="192"/>
      <c r="K21" s="192"/>
      <c r="L21" s="192"/>
    </row>
    <row r="22" spans="1:12" ht="15.95" customHeight="1" thickBot="1">
      <c r="A22" s="188"/>
      <c r="B22" s="406"/>
      <c r="C22" s="406"/>
      <c r="D22" s="406"/>
      <c r="E22" s="189"/>
      <c r="F22" s="190"/>
      <c r="G22" s="204" t="str">
        <f t="shared" ref="G22:G32" si="1">IF(E22=0,IF(F22=0,"",F22),F22*E22)</f>
        <v/>
      </c>
      <c r="H22" s="192"/>
      <c r="I22" s="192"/>
      <c r="J22" s="192"/>
      <c r="K22" s="192"/>
      <c r="L22" s="192"/>
    </row>
    <row r="23" spans="1:12" ht="15.95" customHeight="1">
      <c r="A23" s="205"/>
      <c r="B23" s="399" t="s">
        <v>261</v>
      </c>
      <c r="C23" s="400"/>
      <c r="D23" s="401"/>
      <c r="E23" s="206"/>
      <c r="F23" s="190"/>
      <c r="G23" s="204" t="str">
        <f t="shared" si="1"/>
        <v/>
      </c>
      <c r="H23" s="192"/>
      <c r="I23" s="192"/>
      <c r="J23" s="192"/>
      <c r="K23" s="192"/>
      <c r="L23" s="192"/>
    </row>
    <row r="24" spans="1:12" ht="15.95" customHeight="1">
      <c r="A24" s="205"/>
      <c r="B24" s="188" t="s">
        <v>262</v>
      </c>
      <c r="C24" s="207"/>
      <c r="D24" s="208"/>
      <c r="E24" s="206"/>
      <c r="F24" s="190"/>
      <c r="G24" s="204" t="str">
        <f t="shared" si="1"/>
        <v/>
      </c>
      <c r="H24" s="192"/>
      <c r="I24" s="192"/>
      <c r="J24" s="192"/>
      <c r="K24" s="192"/>
      <c r="L24" s="192"/>
    </row>
    <row r="25" spans="1:12" ht="15.95" customHeight="1" thickBot="1">
      <c r="A25" s="205"/>
      <c r="B25" s="209" t="s">
        <v>263</v>
      </c>
      <c r="C25" s="210"/>
      <c r="D25" s="211" t="e">
        <f>G21/D24</f>
        <v>#DIV/0!</v>
      </c>
      <c r="E25" s="206"/>
      <c r="F25" s="190"/>
      <c r="G25" s="204" t="str">
        <f t="shared" si="1"/>
        <v/>
      </c>
      <c r="H25" s="192"/>
      <c r="I25" s="192"/>
      <c r="J25" s="192"/>
      <c r="K25" s="192"/>
      <c r="L25" s="192"/>
    </row>
    <row r="26" spans="1:12" ht="15.95" customHeight="1" thickBot="1">
      <c r="A26" s="188"/>
      <c r="B26" s="407"/>
      <c r="C26" s="407"/>
      <c r="D26" s="407"/>
      <c r="E26" s="189"/>
      <c r="F26" s="190"/>
      <c r="G26" s="204" t="str">
        <f t="shared" si="1"/>
        <v/>
      </c>
      <c r="H26" s="192"/>
      <c r="I26" s="192"/>
      <c r="J26" s="192"/>
      <c r="K26" s="192"/>
      <c r="L26" s="192"/>
    </row>
    <row r="27" spans="1:12" ht="15.95" customHeight="1">
      <c r="A27" s="205"/>
      <c r="B27" s="399" t="s">
        <v>264</v>
      </c>
      <c r="C27" s="400"/>
      <c r="D27" s="401"/>
      <c r="E27" s="206"/>
      <c r="F27" s="190"/>
      <c r="G27" s="204" t="str">
        <f t="shared" si="1"/>
        <v/>
      </c>
      <c r="H27" s="192"/>
      <c r="I27" s="192"/>
      <c r="J27" s="192"/>
      <c r="K27" s="192"/>
      <c r="L27" s="192"/>
    </row>
    <row r="28" spans="1:12" ht="15.95" customHeight="1">
      <c r="A28" s="205"/>
      <c r="B28" s="212" t="s">
        <v>33</v>
      </c>
      <c r="C28" s="194"/>
      <c r="D28" s="213">
        <f>(SUM(G11:G12))/G14</f>
        <v>1</v>
      </c>
      <c r="E28" s="206"/>
      <c r="F28" s="190"/>
      <c r="G28" s="204" t="str">
        <f t="shared" si="1"/>
        <v/>
      </c>
      <c r="H28" s="192"/>
      <c r="I28" s="192"/>
      <c r="J28" s="192"/>
      <c r="K28" s="192"/>
      <c r="L28" s="192"/>
    </row>
    <row r="29" spans="1:12" ht="15.95" customHeight="1" thickBot="1">
      <c r="A29" s="205"/>
      <c r="B29" s="214" t="s">
        <v>48</v>
      </c>
      <c r="C29" s="215"/>
      <c r="D29" s="216">
        <f>G13/G14</f>
        <v>0</v>
      </c>
      <c r="E29" s="206"/>
      <c r="F29" s="190"/>
      <c r="G29" s="204" t="str">
        <f t="shared" si="1"/>
        <v/>
      </c>
      <c r="H29" s="192"/>
      <c r="I29" s="192"/>
      <c r="J29" s="192"/>
      <c r="K29" s="192"/>
      <c r="L29" s="192"/>
    </row>
    <row r="30" spans="1:12" ht="15.95" customHeight="1">
      <c r="A30" s="188"/>
      <c r="B30" s="394"/>
      <c r="C30" s="395"/>
      <c r="D30" s="396"/>
      <c r="E30" s="189"/>
      <c r="F30" s="190"/>
      <c r="G30" s="204" t="str">
        <f t="shared" si="1"/>
        <v/>
      </c>
      <c r="H30" s="192"/>
      <c r="I30" s="192"/>
      <c r="J30" s="192"/>
      <c r="K30" s="192"/>
      <c r="L30" s="192"/>
    </row>
    <row r="31" spans="1:12" ht="15.95" customHeight="1">
      <c r="A31" s="188"/>
      <c r="B31" s="394"/>
      <c r="C31" s="395"/>
      <c r="D31" s="396"/>
      <c r="E31" s="189"/>
      <c r="F31" s="190"/>
      <c r="G31" s="204" t="str">
        <f t="shared" si="1"/>
        <v/>
      </c>
      <c r="H31" s="192"/>
      <c r="I31" s="192"/>
      <c r="J31" s="192"/>
      <c r="K31" s="192"/>
      <c r="L31" s="192"/>
    </row>
    <row r="32" spans="1:12" ht="15.95" customHeight="1">
      <c r="A32" s="188"/>
      <c r="B32" s="389"/>
      <c r="C32" s="389"/>
      <c r="D32" s="389"/>
      <c r="E32" s="189"/>
      <c r="F32" s="190"/>
      <c r="G32" s="204" t="str">
        <f t="shared" si="1"/>
        <v/>
      </c>
      <c r="H32" s="192"/>
      <c r="I32" s="192"/>
      <c r="J32" s="192"/>
      <c r="K32" s="192"/>
      <c r="L32" s="192"/>
    </row>
    <row r="33" spans="1:12">
      <c r="A33" s="188"/>
      <c r="B33" s="389"/>
      <c r="C33" s="389"/>
      <c r="D33" s="389"/>
      <c r="E33" s="189"/>
      <c r="F33" s="190"/>
      <c r="G33" s="204"/>
      <c r="H33" s="192"/>
      <c r="I33" s="192"/>
      <c r="J33" s="192"/>
      <c r="K33" s="192"/>
      <c r="L33" s="192"/>
    </row>
    <row r="34" spans="1:12">
      <c r="A34" s="188"/>
      <c r="B34" s="389"/>
      <c r="C34" s="389"/>
      <c r="D34" s="389"/>
      <c r="E34" s="189"/>
      <c r="F34" s="190"/>
      <c r="G34" s="204"/>
      <c r="H34" s="192"/>
      <c r="I34" s="192"/>
      <c r="J34" s="192"/>
      <c r="K34" s="192"/>
      <c r="L34" s="192"/>
    </row>
    <row r="35" spans="1:12" ht="15.75" thickBot="1">
      <c r="A35" s="209"/>
      <c r="B35" s="398"/>
      <c r="C35" s="398"/>
      <c r="D35" s="398"/>
      <c r="E35" s="217"/>
      <c r="F35" s="218"/>
      <c r="G35" s="219"/>
      <c r="H35" s="192"/>
      <c r="I35" s="192"/>
      <c r="J35" s="192"/>
      <c r="K35" s="192"/>
      <c r="L35" s="192"/>
    </row>
    <row r="36" spans="1:12" ht="15.9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>
      <c r="A196" s="115"/>
      <c r="B196" s="115"/>
      <c r="C196" s="115"/>
      <c r="D196" s="115"/>
      <c r="E196" s="115"/>
      <c r="F196" s="115"/>
      <c r="G196" s="115"/>
      <c r="H196" s="115"/>
    </row>
    <row r="197" spans="1:11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A7" sqref="A7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2" t="s">
        <v>0</v>
      </c>
      <c r="B1" s="53"/>
      <c r="C1" s="366" t="str">
        <f>Index!$C$1</f>
        <v>Craig Ross Superannuation Fund</v>
      </c>
      <c r="D1" s="366"/>
      <c r="E1" s="366"/>
      <c r="F1" s="54"/>
      <c r="H1" s="56" t="s">
        <v>2</v>
      </c>
      <c r="I1" s="56" t="s">
        <v>3</v>
      </c>
    </row>
    <row r="2" spans="1:12" ht="18">
      <c r="A2" s="122" t="s">
        <v>4</v>
      </c>
      <c r="B2" s="53"/>
      <c r="C2" s="366" t="str">
        <f>Index!$C$2</f>
        <v>P9CRAI</v>
      </c>
      <c r="D2" s="366"/>
      <c r="E2" s="366"/>
      <c r="F2" s="55"/>
      <c r="G2" s="59" t="s">
        <v>6</v>
      </c>
      <c r="H2" s="60" t="str">
        <f>Index!$H$2</f>
        <v>MM</v>
      </c>
      <c r="I2" s="61">
        <f>Index!$I$2</f>
        <v>45090</v>
      </c>
    </row>
    <row r="3" spans="1:12" ht="18">
      <c r="A3" s="122" t="s">
        <v>8</v>
      </c>
      <c r="B3" s="53"/>
      <c r="C3" s="367">
        <f>Index!$C$3</f>
        <v>43646</v>
      </c>
      <c r="D3" s="366"/>
      <c r="E3" s="366"/>
      <c r="F3" s="55"/>
      <c r="G3" s="59" t="s">
        <v>9</v>
      </c>
      <c r="H3" s="60" t="str">
        <f>Index!$H$3</f>
        <v>DB</v>
      </c>
      <c r="I3" s="61">
        <f>Index!$I$3</f>
        <v>45099</v>
      </c>
    </row>
    <row r="4" spans="1:12" ht="18">
      <c r="A4" s="122"/>
      <c r="B4" s="53"/>
      <c r="D4" s="55"/>
      <c r="E4"/>
      <c r="G4" s="123"/>
      <c r="H4" s="65"/>
      <c r="I4" s="66"/>
    </row>
    <row r="5" spans="1:12" ht="18">
      <c r="A5" s="53" t="s">
        <v>265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>
      <c r="A8" s="136" t="s">
        <v>143</v>
      </c>
      <c r="B8" s="371" t="s">
        <v>144</v>
      </c>
      <c r="C8" s="372"/>
      <c r="D8" s="373"/>
      <c r="E8" s="137" t="s">
        <v>145</v>
      </c>
      <c r="F8" s="371" t="s">
        <v>192</v>
      </c>
      <c r="G8" s="380"/>
      <c r="H8" s="381"/>
    </row>
    <row r="10" spans="1:12">
      <c r="D10" s="408" t="s">
        <v>183</v>
      </c>
      <c r="E10" s="408"/>
      <c r="F10" s="408"/>
    </row>
    <row r="11" spans="1:12" ht="30">
      <c r="D11" s="113" t="s">
        <v>266</v>
      </c>
      <c r="E11" s="180" t="s">
        <v>267</v>
      </c>
      <c r="F11" s="180" t="s">
        <v>91</v>
      </c>
      <c r="H11" t="s">
        <v>268</v>
      </c>
      <c r="J11" s="180" t="s">
        <v>269</v>
      </c>
      <c r="K11" s="180" t="s">
        <v>270</v>
      </c>
      <c r="L11" s="180" t="s">
        <v>271</v>
      </c>
    </row>
    <row r="12" spans="1:12">
      <c r="A12" s="71"/>
      <c r="B12" s="71"/>
      <c r="E12" s="70"/>
    </row>
    <row r="13" spans="1:12">
      <c r="A13" t="s">
        <v>272</v>
      </c>
      <c r="B13" s="71"/>
      <c r="C13" t="s">
        <v>273</v>
      </c>
      <c r="D13" s="263"/>
      <c r="E13" s="93">
        <f>+H13-D13</f>
        <v>0</v>
      </c>
      <c r="F13" s="93">
        <f>+D13+E13</f>
        <v>0</v>
      </c>
      <c r="G13" s="93"/>
      <c r="H13" s="93">
        <f>SUM(J13:K13)/2</f>
        <v>0</v>
      </c>
      <c r="I13" s="93"/>
      <c r="J13" s="263"/>
      <c r="K13" s="263"/>
      <c r="L13" s="114"/>
    </row>
    <row r="14" spans="1:12">
      <c r="A14" t="s">
        <v>274</v>
      </c>
      <c r="B14" s="71"/>
      <c r="C14" t="s">
        <v>275</v>
      </c>
      <c r="D14" s="263"/>
      <c r="E14" s="93">
        <f>+H14-D14</f>
        <v>0</v>
      </c>
      <c r="F14" s="93">
        <f>+D14+E14</f>
        <v>0</v>
      </c>
      <c r="G14" s="93"/>
      <c r="H14" s="93">
        <f>SUM(J14:K14)/2</f>
        <v>0</v>
      </c>
      <c r="I14" s="93"/>
      <c r="J14" s="263"/>
      <c r="K14" s="263"/>
      <c r="L14" s="114"/>
    </row>
    <row r="15" spans="1:12">
      <c r="A15" t="s">
        <v>276</v>
      </c>
      <c r="B15" s="71"/>
      <c r="C15" t="s">
        <v>277</v>
      </c>
      <c r="D15" s="263"/>
      <c r="E15" s="93">
        <f>+H15-D15</f>
        <v>0</v>
      </c>
      <c r="F15" s="93">
        <f>+D15+E15</f>
        <v>0</v>
      </c>
      <c r="G15" s="93"/>
      <c r="H15" s="93">
        <f>SUM(J15:K15)/2</f>
        <v>0</v>
      </c>
      <c r="I15" s="93"/>
      <c r="J15" s="263"/>
      <c r="K15" s="263"/>
      <c r="L15" s="114"/>
    </row>
    <row r="17" spans="1:8" ht="15.75" thickBot="1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43"/>
  <sheetViews>
    <sheetView topLeftCell="A14" workbookViewId="0">
      <selection activeCell="G43" sqref="G4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66" t="str">
        <f>Index!$C$1</f>
        <v>Craig Ross Superannuation Fund</v>
      </c>
      <c r="D1" s="366"/>
      <c r="E1" s="366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66" t="str">
        <f>Index!$C$2</f>
        <v>P9CRAI</v>
      </c>
      <c r="D2" s="366"/>
      <c r="E2" s="366"/>
      <c r="F2" s="55"/>
      <c r="G2" s="59" t="s">
        <v>6</v>
      </c>
      <c r="H2" s="60" t="str">
        <f>Index!$H$2</f>
        <v>MM</v>
      </c>
      <c r="I2" s="61">
        <f>Index!$I$2</f>
        <v>45090</v>
      </c>
    </row>
    <row r="3" spans="1:10" ht="18">
      <c r="A3" s="122" t="s">
        <v>8</v>
      </c>
      <c r="B3" s="53"/>
      <c r="C3" s="367">
        <f>Index!$C$3</f>
        <v>43646</v>
      </c>
      <c r="D3" s="366"/>
      <c r="E3" s="366"/>
      <c r="F3" s="55"/>
      <c r="G3" s="59" t="s">
        <v>9</v>
      </c>
      <c r="H3" s="60" t="str">
        <f>Index!$H$3</f>
        <v>DB</v>
      </c>
      <c r="I3" s="61">
        <f>Index!$I$3</f>
        <v>45099</v>
      </c>
    </row>
    <row r="4" spans="1:10" ht="18">
      <c r="A4" s="122"/>
      <c r="B4" s="53"/>
      <c r="D4" s="55"/>
      <c r="F4"/>
      <c r="G4" s="123"/>
      <c r="H4" s="65"/>
      <c r="I4" s="66"/>
    </row>
    <row r="5" spans="1:10" ht="18">
      <c r="A5" s="53" t="s">
        <v>278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6" t="s">
        <v>143</v>
      </c>
      <c r="B8" s="371" t="s">
        <v>144</v>
      </c>
      <c r="C8" s="372"/>
      <c r="D8" s="372"/>
      <c r="E8" s="373"/>
      <c r="F8" s="137" t="s">
        <v>145</v>
      </c>
      <c r="G8" s="371" t="s">
        <v>192</v>
      </c>
      <c r="H8" s="380"/>
      <c r="I8" s="381"/>
    </row>
    <row r="10" spans="1:10">
      <c r="F10" s="70"/>
    </row>
    <row r="11" spans="1:10">
      <c r="A11" s="71">
        <v>61800</v>
      </c>
      <c r="B11" s="71"/>
      <c r="C11" s="71" t="s">
        <v>37</v>
      </c>
    </row>
    <row r="12" spans="1:10">
      <c r="A12" s="71"/>
      <c r="B12" s="71"/>
      <c r="C12" s="115" t="s">
        <v>279</v>
      </c>
      <c r="F12" s="58">
        <v>911.8</v>
      </c>
      <c r="G12" t="s">
        <v>280</v>
      </c>
    </row>
    <row r="13" spans="1:10">
      <c r="A13" s="71"/>
      <c r="B13" s="71"/>
      <c r="C13" s="115" t="s">
        <v>281</v>
      </c>
      <c r="F13" s="58">
        <v>210</v>
      </c>
      <c r="G13" t="s">
        <v>282</v>
      </c>
    </row>
    <row r="14" spans="1:10">
      <c r="C14" t="s">
        <v>283</v>
      </c>
      <c r="F14" s="58">
        <v>861.65</v>
      </c>
      <c r="G14" t="s">
        <v>284</v>
      </c>
    </row>
    <row r="16" spans="1:10" ht="15.75" thickBot="1">
      <c r="F16" s="112">
        <f>SUM(F12:F15)</f>
        <v>1983.4499999999998</v>
      </c>
    </row>
    <row r="18" spans="1:10">
      <c r="A18" s="71"/>
      <c r="B18" s="71"/>
      <c r="F18" s="70"/>
    </row>
    <row r="19" spans="1:10">
      <c r="A19" s="77">
        <v>62000</v>
      </c>
      <c r="B19" s="77"/>
      <c r="C19" s="71" t="s">
        <v>38</v>
      </c>
    </row>
    <row r="20" spans="1:10">
      <c r="C20" t="s">
        <v>285</v>
      </c>
      <c r="D20" s="140">
        <v>43558</v>
      </c>
      <c r="F20" s="58">
        <v>500</v>
      </c>
      <c r="G20" t="s">
        <v>286</v>
      </c>
      <c r="J20" t="s">
        <v>287</v>
      </c>
    </row>
    <row r="21" spans="1:10">
      <c r="D21" s="140"/>
    </row>
    <row r="22" spans="1:10">
      <c r="C22" t="s">
        <v>288</v>
      </c>
      <c r="D22" s="140" t="s">
        <v>289</v>
      </c>
      <c r="E22" s="139">
        <v>272.97000000000003</v>
      </c>
      <c r="G22" t="s">
        <v>290</v>
      </c>
    </row>
    <row r="23" spans="1:10">
      <c r="D23" t="s">
        <v>291</v>
      </c>
      <c r="E23" s="139">
        <v>272.97000000000003</v>
      </c>
      <c r="G23" t="s">
        <v>286</v>
      </c>
      <c r="J23" t="s">
        <v>292</v>
      </c>
    </row>
    <row r="24" spans="1:10">
      <c r="D24" t="s">
        <v>293</v>
      </c>
      <c r="E24" s="346">
        <v>272.97000000000003</v>
      </c>
      <c r="F24" s="58">
        <f>SUM(E22:E24)</f>
        <v>818.91000000000008</v>
      </c>
      <c r="G24" t="s">
        <v>286</v>
      </c>
      <c r="J24" t="s">
        <v>292</v>
      </c>
    </row>
    <row r="26" spans="1:10" ht="15.75" thickBot="1">
      <c r="F26" s="112">
        <f>SUM(F20:F25)</f>
        <v>1318.91</v>
      </c>
    </row>
    <row r="27" spans="1:10">
      <c r="F27" s="70"/>
    </row>
    <row r="28" spans="1:10">
      <c r="A28" s="71"/>
      <c r="B28" s="71"/>
      <c r="F28" s="70"/>
    </row>
    <row r="29" spans="1:10">
      <c r="A29" s="77">
        <v>68000</v>
      </c>
      <c r="B29" s="77"/>
      <c r="C29" s="71" t="s">
        <v>40</v>
      </c>
    </row>
    <row r="30" spans="1:10">
      <c r="C30" t="s">
        <v>294</v>
      </c>
      <c r="F30" s="58">
        <v>6624</v>
      </c>
      <c r="G30" t="s">
        <v>295</v>
      </c>
    </row>
    <row r="31" spans="1:10">
      <c r="F31" s="58">
        <v>0</v>
      </c>
    </row>
    <row r="33" spans="1:7" ht="15.75" thickBot="1">
      <c r="F33" s="112">
        <f>SUM(F30:F32)</f>
        <v>6624</v>
      </c>
    </row>
    <row r="36" spans="1:7">
      <c r="A36" s="77">
        <v>62550</v>
      </c>
      <c r="C36" s="77" t="s">
        <v>296</v>
      </c>
      <c r="F36" s="80"/>
    </row>
    <row r="37" spans="1:7">
      <c r="C37" t="s">
        <v>297</v>
      </c>
      <c r="F37" s="259">
        <v>28.9</v>
      </c>
    </row>
    <row r="38" spans="1:7">
      <c r="C38" t="s">
        <v>298</v>
      </c>
      <c r="F38" s="259">
        <v>0.79</v>
      </c>
    </row>
    <row r="39" spans="1:7">
      <c r="C39" t="s">
        <v>299</v>
      </c>
      <c r="F39" s="259">
        <v>0.32</v>
      </c>
    </row>
    <row r="40" spans="1:7">
      <c r="C40" t="s">
        <v>300</v>
      </c>
      <c r="F40" s="259">
        <v>6.51</v>
      </c>
    </row>
    <row r="41" spans="1:7">
      <c r="C41" t="s">
        <v>283</v>
      </c>
      <c r="F41" s="58">
        <v>3.01</v>
      </c>
    </row>
    <row r="42" spans="1:7">
      <c r="C42" t="s">
        <v>301</v>
      </c>
      <c r="F42" s="58">
        <v>0.5</v>
      </c>
      <c r="G42" t="s">
        <v>302</v>
      </c>
    </row>
    <row r="43" spans="1:7" ht="15.75" thickBot="1">
      <c r="F43" s="420">
        <f>SUM(F37:F42)</f>
        <v>40.029999999999994</v>
      </c>
      <c r="G43" t="s">
        <v>303</v>
      </c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G13" sqref="G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66" t="str">
        <f>Index!$C$1</f>
        <v>Craig Ross Superannuation Fund</v>
      </c>
      <c r="D1" s="366"/>
      <c r="E1" s="366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66" t="s">
        <v>5</v>
      </c>
      <c r="D2" s="366"/>
      <c r="E2" s="366"/>
      <c r="F2" s="55"/>
      <c r="G2" s="59" t="s">
        <v>6</v>
      </c>
      <c r="H2" s="60" t="str">
        <f>Index!$H$2</f>
        <v>MM</v>
      </c>
      <c r="I2" s="61">
        <f>Index!$I$2</f>
        <v>45090</v>
      </c>
    </row>
    <row r="3" spans="1:10" ht="18">
      <c r="A3" s="122" t="s">
        <v>8</v>
      </c>
      <c r="B3" s="53"/>
      <c r="C3" s="367">
        <f>Index!$C$3</f>
        <v>43646</v>
      </c>
      <c r="D3" s="366"/>
      <c r="E3" s="366"/>
      <c r="F3" s="55"/>
      <c r="G3" s="59" t="s">
        <v>9</v>
      </c>
      <c r="H3" s="60" t="s">
        <v>10</v>
      </c>
      <c r="I3" s="61">
        <v>45099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304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6" t="s">
        <v>143</v>
      </c>
      <c r="B8" s="371" t="s">
        <v>144</v>
      </c>
      <c r="C8" s="372"/>
      <c r="D8" s="372"/>
      <c r="E8" s="373"/>
      <c r="F8" s="137" t="s">
        <v>145</v>
      </c>
      <c r="G8" s="371" t="s">
        <v>192</v>
      </c>
      <c r="H8" s="380"/>
      <c r="I8" s="381"/>
    </row>
    <row r="10" spans="1:10">
      <c r="F10" s="70"/>
    </row>
    <row r="11" spans="1:10">
      <c r="A11" s="71">
        <v>88000</v>
      </c>
      <c r="B11" s="71"/>
      <c r="C11" s="71" t="s">
        <v>57</v>
      </c>
    </row>
    <row r="12" spans="1:10">
      <c r="C12" t="s">
        <v>305</v>
      </c>
      <c r="F12" s="58">
        <v>12441</v>
      </c>
      <c r="G12" t="s">
        <v>306</v>
      </c>
    </row>
    <row r="13" spans="1:10">
      <c r="C13" t="s">
        <v>307</v>
      </c>
      <c r="F13" s="58">
        <v>0</v>
      </c>
      <c r="G13" t="s">
        <v>308</v>
      </c>
    </row>
    <row r="14" spans="1:10">
      <c r="F14" s="58">
        <v>0</v>
      </c>
    </row>
    <row r="15" spans="1:10">
      <c r="F15" s="58">
        <v>0</v>
      </c>
    </row>
    <row r="17" spans="3:6" ht="15.75" thickBot="1">
      <c r="F17" s="112">
        <f>SUM(F12:F16)</f>
        <v>12441</v>
      </c>
    </row>
    <row r="20" spans="3:6">
      <c r="F20" s="80"/>
    </row>
    <row r="21" spans="3:6">
      <c r="F21" s="79"/>
    </row>
    <row r="22" spans="3:6">
      <c r="F22" s="70"/>
    </row>
    <row r="27" spans="3:6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workbookViewId="0">
      <selection activeCell="A6" sqref="A6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2" t="s">
        <v>0</v>
      </c>
      <c r="B1" s="53"/>
      <c r="C1" s="366" t="str">
        <f>Index!$C$1</f>
        <v>Craig Ross Superannuation Fund</v>
      </c>
      <c r="D1" s="366"/>
      <c r="E1" s="366"/>
      <c r="F1" s="54"/>
      <c r="H1" s="56" t="s">
        <v>2</v>
      </c>
      <c r="I1" s="56" t="s">
        <v>3</v>
      </c>
    </row>
    <row r="2" spans="1:16" ht="18">
      <c r="A2" s="122" t="s">
        <v>4</v>
      </c>
      <c r="B2" s="53"/>
      <c r="C2" s="366" t="str">
        <f>Index!$C$2</f>
        <v>P9CRAI</v>
      </c>
      <c r="D2" s="366"/>
      <c r="E2" s="366"/>
      <c r="F2" s="55"/>
      <c r="G2" s="59" t="s">
        <v>6</v>
      </c>
      <c r="H2" s="60" t="str">
        <f>Index!$H$2</f>
        <v>MM</v>
      </c>
      <c r="I2" s="61">
        <f>Index!$I$2</f>
        <v>45090</v>
      </c>
    </row>
    <row r="3" spans="1:16" ht="18">
      <c r="A3" s="122" t="s">
        <v>8</v>
      </c>
      <c r="B3" s="53"/>
      <c r="C3" s="367">
        <f>Index!$C$3</f>
        <v>43646</v>
      </c>
      <c r="D3" s="366"/>
      <c r="E3" s="366"/>
      <c r="F3" s="55"/>
      <c r="G3" s="59" t="s">
        <v>9</v>
      </c>
      <c r="H3" s="60" t="str">
        <f>Index!$H$3</f>
        <v>DB</v>
      </c>
      <c r="I3" s="61">
        <f>Index!$I$3</f>
        <v>45099</v>
      </c>
    </row>
    <row r="4" spans="1:16" ht="18">
      <c r="D4" s="53"/>
      <c r="E4" s="53"/>
      <c r="F4" s="64"/>
      <c r="G4" s="65"/>
      <c r="I4" s="66"/>
    </row>
    <row r="5" spans="1:16" ht="18">
      <c r="A5" s="124" t="s">
        <v>309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6" t="s">
        <v>143</v>
      </c>
      <c r="B8" s="371" t="s">
        <v>144</v>
      </c>
      <c r="C8" s="373"/>
      <c r="D8" s="137" t="s">
        <v>145</v>
      </c>
      <c r="E8" s="137"/>
      <c r="F8" s="137"/>
      <c r="G8" s="137"/>
      <c r="H8" s="137" t="s">
        <v>145</v>
      </c>
      <c r="I8" s="371" t="s">
        <v>192</v>
      </c>
      <c r="J8" s="380"/>
      <c r="K8" s="381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279</v>
      </c>
      <c r="E11" s="47" t="s">
        <v>281</v>
      </c>
      <c r="F11" s="47" t="s">
        <v>283</v>
      </c>
      <c r="G11" s="47"/>
      <c r="H11" s="72" t="s">
        <v>91</v>
      </c>
      <c r="J11" s="77"/>
    </row>
    <row r="12" spans="1:16">
      <c r="D12" s="47"/>
      <c r="E12" s="77"/>
      <c r="F12" s="47"/>
      <c r="G12" s="47"/>
      <c r="H12" s="58"/>
    </row>
    <row r="13" spans="1:16">
      <c r="H13" s="58"/>
      <c r="K13" s="47" t="s">
        <v>310</v>
      </c>
      <c r="L13" s="47" t="s">
        <v>311</v>
      </c>
      <c r="M13" s="47" t="s">
        <v>312</v>
      </c>
    </row>
    <row r="14" spans="1:16">
      <c r="C14" s="77" t="s">
        <v>313</v>
      </c>
      <c r="D14" s="93">
        <v>2735.4</v>
      </c>
      <c r="E14" s="321">
        <v>2922.81</v>
      </c>
      <c r="F14" s="93">
        <v>1360.24</v>
      </c>
      <c r="G14" s="93"/>
      <c r="H14" s="93">
        <f t="shared" ref="H14:H27" si="0">SUM(D14:G14)</f>
        <v>7018.45</v>
      </c>
      <c r="J14" t="s">
        <v>314</v>
      </c>
      <c r="K14" s="93">
        <f>+H40</f>
        <v>7018.45</v>
      </c>
      <c r="L14" s="93">
        <v>7018.45</v>
      </c>
      <c r="M14" s="93">
        <f>+K14-L14</f>
        <v>0</v>
      </c>
    </row>
    <row r="15" spans="1:16">
      <c r="C15" t="s">
        <v>315</v>
      </c>
      <c r="D15" s="93">
        <v>44.15</v>
      </c>
      <c r="E15" s="93"/>
      <c r="F15" s="93"/>
      <c r="G15" s="93"/>
      <c r="H15" s="93">
        <f t="shared" si="0"/>
        <v>44.15</v>
      </c>
      <c r="J15" t="s">
        <v>316</v>
      </c>
      <c r="K15" s="93">
        <f>+H26</f>
        <v>0</v>
      </c>
      <c r="L15" s="93"/>
      <c r="M15" s="93">
        <f t="shared" ref="M15:M27" si="1">+K15-L15</f>
        <v>0</v>
      </c>
    </row>
    <row r="16" spans="1:16">
      <c r="C16" t="s">
        <v>317</v>
      </c>
      <c r="D16" s="93"/>
      <c r="E16" s="93"/>
      <c r="F16" s="93"/>
      <c r="G16" s="93"/>
      <c r="H16" s="93"/>
      <c r="J16" t="s">
        <v>318</v>
      </c>
      <c r="K16" s="93">
        <f>+H24</f>
        <v>355.43</v>
      </c>
      <c r="L16" s="93">
        <v>355.43</v>
      </c>
      <c r="M16" s="93">
        <f t="shared" si="1"/>
        <v>0</v>
      </c>
    </row>
    <row r="17" spans="3:13">
      <c r="C17" s="138" t="s">
        <v>319</v>
      </c>
      <c r="D17" s="93">
        <v>14</v>
      </c>
      <c r="E17" s="93"/>
      <c r="F17" s="93"/>
      <c r="G17" s="93"/>
      <c r="H17" s="93">
        <f t="shared" si="0"/>
        <v>14</v>
      </c>
      <c r="J17" t="s">
        <v>320</v>
      </c>
      <c r="K17" s="93">
        <f>+H15+H28</f>
        <v>1641.67</v>
      </c>
      <c r="L17" s="93">
        <v>1641.67</v>
      </c>
      <c r="M17" s="93">
        <f t="shared" si="1"/>
        <v>0</v>
      </c>
    </row>
    <row r="18" spans="3:13">
      <c r="C18" s="138" t="s">
        <v>321</v>
      </c>
      <c r="D18" s="93"/>
      <c r="E18" s="93"/>
      <c r="F18" s="93"/>
      <c r="G18" s="93"/>
      <c r="H18" s="93">
        <f t="shared" si="0"/>
        <v>0</v>
      </c>
      <c r="J18" t="s">
        <v>322</v>
      </c>
      <c r="K18" s="93">
        <f>+H27</f>
        <v>0</v>
      </c>
      <c r="L18" s="93"/>
      <c r="M18" s="93">
        <f t="shared" si="1"/>
        <v>0</v>
      </c>
    </row>
    <row r="19" spans="3:13">
      <c r="C19" t="s">
        <v>323</v>
      </c>
      <c r="D19" s="93"/>
      <c r="E19" s="93"/>
      <c r="F19" s="93"/>
      <c r="G19" s="93"/>
      <c r="H19" s="93">
        <f t="shared" si="0"/>
        <v>0</v>
      </c>
      <c r="J19" t="s">
        <v>324</v>
      </c>
      <c r="K19" s="93">
        <f>+H20</f>
        <v>879.04000000000008</v>
      </c>
      <c r="L19" s="93">
        <v>879.04</v>
      </c>
      <c r="M19" s="93">
        <f t="shared" si="1"/>
        <v>0</v>
      </c>
    </row>
    <row r="20" spans="3:13">
      <c r="C20" s="138" t="s">
        <v>319</v>
      </c>
      <c r="D20" s="93">
        <v>97.96</v>
      </c>
      <c r="E20" s="93"/>
      <c r="F20" s="93">
        <v>781.08</v>
      </c>
      <c r="G20" s="93"/>
      <c r="H20" s="93">
        <f t="shared" si="0"/>
        <v>879.04000000000008</v>
      </c>
      <c r="J20" t="s">
        <v>325</v>
      </c>
      <c r="K20" s="93">
        <f>+H29</f>
        <v>1154.27</v>
      </c>
      <c r="L20" s="93">
        <v>1154.27</v>
      </c>
      <c r="M20" s="93">
        <f t="shared" si="1"/>
        <v>0</v>
      </c>
    </row>
    <row r="21" spans="3:13">
      <c r="C21" s="138" t="s">
        <v>321</v>
      </c>
      <c r="D21" s="93"/>
      <c r="E21" s="93"/>
      <c r="F21" s="93"/>
      <c r="G21" s="93"/>
      <c r="H21" s="93">
        <f t="shared" si="0"/>
        <v>0</v>
      </c>
      <c r="J21" t="s">
        <v>326</v>
      </c>
      <c r="K21" s="93">
        <f>+H17+H18</f>
        <v>14</v>
      </c>
      <c r="L21" s="93">
        <v>14</v>
      </c>
      <c r="M21" s="93">
        <f t="shared" si="1"/>
        <v>0</v>
      </c>
    </row>
    <row r="22" spans="3:13">
      <c r="C22" t="s">
        <v>327</v>
      </c>
      <c r="D22" s="93">
        <v>153.78</v>
      </c>
      <c r="E22" s="93"/>
      <c r="F22" s="93">
        <v>5.92</v>
      </c>
      <c r="G22" s="93"/>
      <c r="H22" s="93">
        <f t="shared" si="0"/>
        <v>159.69999999999999</v>
      </c>
      <c r="J22" t="s">
        <v>328</v>
      </c>
      <c r="K22" s="93">
        <f>+H22-H35+H25</f>
        <v>610.47</v>
      </c>
      <c r="L22" s="93">
        <v>610.47</v>
      </c>
      <c r="M22" s="93">
        <f t="shared" si="1"/>
        <v>0</v>
      </c>
    </row>
    <row r="23" spans="3:13">
      <c r="C23" t="s">
        <v>329</v>
      </c>
      <c r="D23" s="93"/>
      <c r="E23" s="93"/>
      <c r="F23" s="93"/>
      <c r="G23" s="93"/>
      <c r="H23" s="93">
        <f t="shared" si="0"/>
        <v>0</v>
      </c>
      <c r="J23" t="s">
        <v>330</v>
      </c>
      <c r="K23" s="93">
        <f>+H35+H36</f>
        <v>5.13</v>
      </c>
      <c r="L23" s="93">
        <v>5.13</v>
      </c>
      <c r="M23" s="93">
        <f t="shared" si="1"/>
        <v>0</v>
      </c>
    </row>
    <row r="24" spans="3:13">
      <c r="C24" s="138" t="s">
        <v>331</v>
      </c>
      <c r="D24" s="93"/>
      <c r="E24" s="93"/>
      <c r="F24" s="93">
        <v>355.43</v>
      </c>
      <c r="G24" s="93"/>
      <c r="H24" s="93">
        <f t="shared" si="0"/>
        <v>355.43</v>
      </c>
      <c r="J24" t="s">
        <v>332</v>
      </c>
      <c r="K24" s="93">
        <v>0</v>
      </c>
      <c r="L24" s="93"/>
      <c r="M24" s="93">
        <f t="shared" si="1"/>
        <v>0</v>
      </c>
    </row>
    <row r="25" spans="3:13">
      <c r="C25" s="138" t="s">
        <v>333</v>
      </c>
      <c r="D25" s="93">
        <v>455.9</v>
      </c>
      <c r="E25" s="93"/>
      <c r="F25" s="93"/>
      <c r="G25" s="93"/>
      <c r="H25" s="93">
        <f t="shared" si="0"/>
        <v>455.9</v>
      </c>
      <c r="J25" t="s">
        <v>334</v>
      </c>
      <c r="K25" s="93">
        <v>0</v>
      </c>
      <c r="L25" s="93"/>
      <c r="M25" s="93">
        <f t="shared" si="1"/>
        <v>0</v>
      </c>
    </row>
    <row r="26" spans="3:13">
      <c r="C26" s="138" t="s">
        <v>335</v>
      </c>
      <c r="D26" s="93"/>
      <c r="E26" s="321"/>
      <c r="F26" s="93"/>
      <c r="G26" s="93"/>
      <c r="H26" s="93">
        <f t="shared" si="0"/>
        <v>0</v>
      </c>
      <c r="J26" t="s">
        <v>336</v>
      </c>
      <c r="K26" s="93">
        <f>H31-H38</f>
        <v>2363.5699999999997</v>
      </c>
      <c r="L26" s="93">
        <v>2363.5700000000002</v>
      </c>
      <c r="M26" s="93">
        <f t="shared" si="1"/>
        <v>0</v>
      </c>
    </row>
    <row r="27" spans="3:13">
      <c r="C27" s="138" t="s">
        <v>337</v>
      </c>
      <c r="D27" s="93"/>
      <c r="E27" s="93"/>
      <c r="F27" s="93"/>
      <c r="G27" s="93"/>
      <c r="H27" s="93">
        <f t="shared" si="0"/>
        <v>0</v>
      </c>
      <c r="J27" t="s">
        <v>68</v>
      </c>
      <c r="K27" s="93">
        <f>+H33</f>
        <v>0</v>
      </c>
      <c r="L27" s="93"/>
      <c r="M27" s="93">
        <f t="shared" si="1"/>
        <v>0</v>
      </c>
    </row>
    <row r="28" spans="3:13">
      <c r="C28" t="s">
        <v>338</v>
      </c>
      <c r="D28" s="93">
        <v>119.51</v>
      </c>
      <c r="E28" s="93">
        <v>1378.58</v>
      </c>
      <c r="F28" s="93">
        <v>99.43</v>
      </c>
      <c r="G28" s="93"/>
      <c r="H28" s="93">
        <f t="shared" ref="H28:H33" si="2">SUM(D28:G28)</f>
        <v>1597.52</v>
      </c>
    </row>
    <row r="29" spans="3:13">
      <c r="C29" t="s">
        <v>325</v>
      </c>
      <c r="D29" s="93">
        <v>373.19</v>
      </c>
      <c r="E29" s="93"/>
      <c r="F29" s="93">
        <v>781.08</v>
      </c>
      <c r="G29" s="93"/>
      <c r="H29" s="93">
        <f t="shared" si="2"/>
        <v>1154.27</v>
      </c>
      <c r="J29" t="s">
        <v>339</v>
      </c>
      <c r="K29" s="79">
        <f>+K15+K16+K17+K19+K20+K21+K22+K26-K14+K27</f>
        <v>0</v>
      </c>
      <c r="L29" s="93">
        <f>+L15+L16+L17+L19+L20+L21+L22+L26-L14+L27</f>
        <v>9.0949470177292824E-13</v>
      </c>
      <c r="M29" s="93">
        <f>+K29-L29</f>
        <v>-9.0949470177292824E-13</v>
      </c>
    </row>
    <row r="30" spans="3:13">
      <c r="C30" t="s">
        <v>334</v>
      </c>
      <c r="D30" s="93"/>
      <c r="E30" s="93"/>
      <c r="F30" s="93"/>
      <c r="G30" s="93"/>
      <c r="H30" s="93">
        <f t="shared" si="2"/>
        <v>0</v>
      </c>
    </row>
    <row r="31" spans="3:13">
      <c r="C31" t="s">
        <v>340</v>
      </c>
      <c r="D31" s="93">
        <v>1480.56</v>
      </c>
      <c r="E31" s="93">
        <v>1544.23</v>
      </c>
      <c r="F31" s="93"/>
      <c r="G31" s="93"/>
      <c r="H31" s="93">
        <f t="shared" si="2"/>
        <v>3024.79</v>
      </c>
    </row>
    <row r="32" spans="3:13">
      <c r="C32" t="s">
        <v>332</v>
      </c>
      <c r="D32" s="93">
        <f>0+D38</f>
        <v>0</v>
      </c>
      <c r="E32" s="93"/>
      <c r="F32" s="93"/>
      <c r="G32" s="93"/>
      <c r="H32" s="93">
        <f t="shared" si="2"/>
        <v>0</v>
      </c>
      <c r="J32" s="139"/>
    </row>
    <row r="33" spans="3:10">
      <c r="C33" t="s">
        <v>68</v>
      </c>
      <c r="D33" s="93"/>
      <c r="E33" s="93">
        <f>-E26</f>
        <v>0</v>
      </c>
      <c r="F33" s="93"/>
      <c r="G33" s="93"/>
      <c r="H33" s="93">
        <f t="shared" si="2"/>
        <v>0</v>
      </c>
    </row>
    <row r="34" spans="3:10">
      <c r="D34" s="93"/>
      <c r="E34" s="93"/>
      <c r="F34" s="93"/>
      <c r="G34" s="93"/>
      <c r="H34" s="93"/>
    </row>
    <row r="35" spans="3:10">
      <c r="C35" t="s">
        <v>330</v>
      </c>
      <c r="D35" s="93">
        <v>3.65</v>
      </c>
      <c r="E35" s="321"/>
      <c r="F35" s="93">
        <v>1.48</v>
      </c>
      <c r="G35" s="93"/>
      <c r="H35" s="93">
        <f>SUM(D35:G35)</f>
        <v>5.13</v>
      </c>
      <c r="J35" s="139"/>
    </row>
    <row r="36" spans="3:10">
      <c r="C36" t="s">
        <v>341</v>
      </c>
      <c r="D36" s="93"/>
      <c r="E36" s="93">
        <f>-E35</f>
        <v>0</v>
      </c>
      <c r="F36" s="93"/>
      <c r="G36" s="93"/>
      <c r="H36" s="93">
        <f>SUM(D36:G36)</f>
        <v>0</v>
      </c>
    </row>
    <row r="37" spans="3:10">
      <c r="C37" t="s">
        <v>342</v>
      </c>
      <c r="D37" s="93"/>
      <c r="E37" s="93"/>
      <c r="F37" s="93"/>
      <c r="G37" s="93"/>
      <c r="H37" s="93">
        <f>SUM(D37:G37)</f>
        <v>0</v>
      </c>
    </row>
    <row r="38" spans="3:10">
      <c r="C38" t="s">
        <v>343</v>
      </c>
      <c r="D38" s="93"/>
      <c r="E38" s="93"/>
      <c r="F38" s="93">
        <v>661.22</v>
      </c>
      <c r="G38" s="93"/>
      <c r="H38" s="93">
        <f>SUM(D38:G38)</f>
        <v>661.22</v>
      </c>
    </row>
    <row r="39" spans="3:10">
      <c r="D39" s="93"/>
      <c r="E39" s="93"/>
      <c r="F39" s="93"/>
      <c r="G39" s="93"/>
      <c r="H39" s="93"/>
    </row>
    <row r="40" spans="3:10">
      <c r="C40" s="77" t="s">
        <v>344</v>
      </c>
      <c r="D40" s="79">
        <f>+D14-D37</f>
        <v>2735.4</v>
      </c>
      <c r="E40" s="79">
        <f>+E14-E37</f>
        <v>2922.81</v>
      </c>
      <c r="F40" s="79">
        <f>+F14-F37</f>
        <v>1360.24</v>
      </c>
      <c r="G40" s="79">
        <f>+G14-G37</f>
        <v>0</v>
      </c>
      <c r="H40" s="93">
        <f>SUM(D40:G40)</f>
        <v>7018.45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345</v>
      </c>
      <c r="D43" s="79">
        <f>SUM(D15:D33)-D27-D35-D37-D38-D36</f>
        <v>2735.4</v>
      </c>
      <c r="E43" s="79">
        <f>SUM(E15:E33)-E27-E35-E37-E38-E36</f>
        <v>2922.81</v>
      </c>
      <c r="F43" s="79">
        <f>SUM(F15:F32)-F27-F35-F37-F38</f>
        <v>1360.24</v>
      </c>
      <c r="G43" s="79">
        <f>SUM(G15:G32)-G27-G35-G37-G38</f>
        <v>0</v>
      </c>
      <c r="H43" s="58"/>
    </row>
    <row r="44" spans="3:10">
      <c r="C44" s="42" t="s">
        <v>215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31"/>
  <sheetViews>
    <sheetView topLeftCell="A7" workbookViewId="0">
      <selection activeCell="B22" sqref="B22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2" t="s">
        <v>0</v>
      </c>
      <c r="B1" s="53"/>
      <c r="C1" s="366" t="str">
        <f>Index!$C$1</f>
        <v>Craig Ross Superannuation Fund</v>
      </c>
      <c r="D1" s="366"/>
      <c r="E1" s="366"/>
      <c r="F1" s="54"/>
      <c r="H1" s="56" t="s">
        <v>2</v>
      </c>
      <c r="I1" s="56" t="s">
        <v>3</v>
      </c>
    </row>
    <row r="2" spans="1:9" ht="18">
      <c r="A2" s="122" t="s">
        <v>4</v>
      </c>
      <c r="B2" s="53"/>
      <c r="C2" s="366" t="str">
        <f>Index!$C$2</f>
        <v>P9CRAI</v>
      </c>
      <c r="D2" s="366"/>
      <c r="E2" s="366"/>
      <c r="F2" s="55"/>
      <c r="G2" s="59" t="s">
        <v>6</v>
      </c>
      <c r="H2" s="60" t="str">
        <f>Index!$H$2</f>
        <v>MM</v>
      </c>
      <c r="I2" s="61">
        <f>Index!$I$2</f>
        <v>45090</v>
      </c>
    </row>
    <row r="3" spans="1:9" ht="18">
      <c r="A3" s="122" t="s">
        <v>8</v>
      </c>
      <c r="B3" s="53"/>
      <c r="C3" s="367">
        <f>Index!$C$3</f>
        <v>43646</v>
      </c>
      <c r="D3" s="366"/>
      <c r="E3" s="366"/>
      <c r="F3" s="55"/>
      <c r="G3" s="59" t="s">
        <v>9</v>
      </c>
      <c r="H3" s="60" t="str">
        <f>Index!$H$3</f>
        <v>DB</v>
      </c>
      <c r="I3" s="61">
        <f>Index!$I$3</f>
        <v>45099</v>
      </c>
    </row>
    <row r="4" spans="1:9" ht="18">
      <c r="D4" s="53"/>
      <c r="E4" s="53"/>
      <c r="F4" s="64"/>
      <c r="G4" s="65"/>
      <c r="I4" s="66"/>
    </row>
    <row r="5" spans="1:9" ht="18">
      <c r="A5" s="124" t="s">
        <v>346</v>
      </c>
      <c r="D5" s="273"/>
      <c r="E5" s="273"/>
      <c r="F5" s="274"/>
      <c r="G5" s="275"/>
      <c r="I5" s="66"/>
    </row>
    <row r="6" spans="1:9" ht="18.75">
      <c r="D6" s="276"/>
      <c r="E6" s="276"/>
      <c r="F6" s="277"/>
      <c r="G6" s="278"/>
      <c r="I6" s="66"/>
    </row>
    <row r="7" spans="1:9">
      <c r="G7" s="93"/>
    </row>
    <row r="8" spans="1:9" s="69" customFormat="1" ht="25.5">
      <c r="A8" s="129" t="s">
        <v>143</v>
      </c>
      <c r="B8" s="409" t="s">
        <v>144</v>
      </c>
      <c r="C8" s="410"/>
      <c r="D8" s="279" t="s">
        <v>145</v>
      </c>
      <c r="E8" s="279" t="s">
        <v>145</v>
      </c>
      <c r="F8" s="279" t="s">
        <v>145</v>
      </c>
      <c r="G8" s="409" t="s">
        <v>192</v>
      </c>
      <c r="H8" s="380"/>
      <c r="I8" s="381"/>
    </row>
    <row r="10" spans="1:9">
      <c r="D10" s="280" t="s">
        <v>316</v>
      </c>
      <c r="E10" s="280" t="s">
        <v>347</v>
      </c>
      <c r="F10" s="280" t="s">
        <v>318</v>
      </c>
      <c r="G10" s="280" t="s">
        <v>348</v>
      </c>
      <c r="H10" s="280" t="s">
        <v>349</v>
      </c>
    </row>
    <row r="11" spans="1:9">
      <c r="B11" t="s">
        <v>350</v>
      </c>
      <c r="D11" s="93">
        <v>32051</v>
      </c>
      <c r="E11" s="93">
        <v>13736.15</v>
      </c>
      <c r="F11" s="93">
        <v>12318.69</v>
      </c>
      <c r="G11" s="93"/>
      <c r="H11" s="93"/>
    </row>
    <row r="12" spans="1:9">
      <c r="B12" t="s">
        <v>351</v>
      </c>
      <c r="D12" s="93">
        <v>32056.43</v>
      </c>
      <c r="E12" s="93">
        <v>13736.15</v>
      </c>
      <c r="F12" s="93">
        <v>3866.63</v>
      </c>
      <c r="G12" s="93"/>
      <c r="H12" s="93"/>
    </row>
    <row r="13" spans="1:9" s="42" customFormat="1">
      <c r="B13" s="42" t="s">
        <v>215</v>
      </c>
      <c r="D13" s="322">
        <f>D11-D12</f>
        <v>-5.430000000000291</v>
      </c>
      <c r="E13" s="281">
        <f>E11-E12</f>
        <v>0</v>
      </c>
      <c r="F13" s="281">
        <f>F11-F12</f>
        <v>8452.0600000000013</v>
      </c>
      <c r="G13" s="281">
        <f>G11-G12</f>
        <v>0</v>
      </c>
      <c r="H13" s="281">
        <f>H11-H12</f>
        <v>0</v>
      </c>
    </row>
    <row r="15" spans="1:9">
      <c r="A15" s="42" t="s">
        <v>352</v>
      </c>
    </row>
    <row r="17" spans="1:8">
      <c r="A17" s="323" t="s">
        <v>353</v>
      </c>
      <c r="B17" s="223"/>
      <c r="C17" s="223"/>
      <c r="D17" s="324">
        <f>D12+500</f>
        <v>32556.43</v>
      </c>
    </row>
    <row r="19" spans="1:8">
      <c r="A19" t="s">
        <v>279</v>
      </c>
      <c r="B19">
        <v>2735.4</v>
      </c>
      <c r="G19" s="93"/>
      <c r="H19" s="93"/>
    </row>
    <row r="20" spans="1:8">
      <c r="A20" t="s">
        <v>281</v>
      </c>
      <c r="B20">
        <v>2922.81</v>
      </c>
    </row>
    <row r="21" spans="1:8">
      <c r="A21" t="s">
        <v>283</v>
      </c>
      <c r="B21">
        <v>1360.24</v>
      </c>
    </row>
    <row r="22" spans="1:8">
      <c r="B22">
        <f>SUM(B19:B21)</f>
        <v>7018.45</v>
      </c>
    </row>
    <row r="25" spans="1:8">
      <c r="A25" t="s">
        <v>354</v>
      </c>
    </row>
    <row r="26" spans="1:8">
      <c r="A26" t="s">
        <v>355</v>
      </c>
      <c r="B26">
        <v>290.72000000000003</v>
      </c>
      <c r="C26" t="s">
        <v>356</v>
      </c>
    </row>
    <row r="27" spans="1:8">
      <c r="A27" t="s">
        <v>357</v>
      </c>
      <c r="B27">
        <v>285.27999999999997</v>
      </c>
    </row>
    <row r="28" spans="1:8">
      <c r="A28" t="s">
        <v>124</v>
      </c>
      <c r="B28" s="223">
        <f>B26-B27</f>
        <v>5.4400000000000546</v>
      </c>
    </row>
    <row r="30" spans="1:8">
      <c r="A30" s="421"/>
      <c r="B30" s="421"/>
      <c r="C30" s="421"/>
      <c r="D30" s="105"/>
      <c r="E30" s="105"/>
    </row>
    <row r="31" spans="1:8">
      <c r="A31" s="421"/>
      <c r="B31" s="421"/>
      <c r="C31" s="421"/>
      <c r="D31" s="105"/>
      <c r="E31" s="105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F19" sqref="F19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2" t="s">
        <v>0</v>
      </c>
      <c r="B1" s="53"/>
      <c r="C1" s="366" t="str">
        <f>Index!$C$1</f>
        <v>Craig Ross Superannuation Fund</v>
      </c>
      <c r="D1" s="366"/>
      <c r="E1" s="366"/>
      <c r="F1" s="54"/>
      <c r="G1"/>
      <c r="H1" s="56" t="s">
        <v>2</v>
      </c>
      <c r="I1" s="56" t="s">
        <v>3</v>
      </c>
    </row>
    <row r="2" spans="1:10" ht="18">
      <c r="A2" s="122" t="s">
        <v>4</v>
      </c>
      <c r="B2" s="53"/>
      <c r="C2" s="366" t="str">
        <f>Index!$C$2</f>
        <v>P9CRAI</v>
      </c>
      <c r="D2" s="366"/>
      <c r="E2" s="366"/>
      <c r="F2" s="55"/>
      <c r="G2" s="59" t="s">
        <v>6</v>
      </c>
      <c r="H2" s="60" t="str">
        <f>Index!$H$2</f>
        <v>MM</v>
      </c>
      <c r="I2" s="61">
        <f>Index!$I$2</f>
        <v>45090</v>
      </c>
    </row>
    <row r="3" spans="1:10" ht="18">
      <c r="A3" s="122" t="s">
        <v>8</v>
      </c>
      <c r="B3" s="53"/>
      <c r="C3" s="367">
        <f>Index!$C$3</f>
        <v>43646</v>
      </c>
      <c r="D3" s="366"/>
      <c r="E3" s="366"/>
      <c r="F3" s="55"/>
      <c r="G3" s="59" t="s">
        <v>9</v>
      </c>
      <c r="H3" s="60" t="str">
        <f>Index!$H$3</f>
        <v>DB</v>
      </c>
      <c r="I3" s="61">
        <f>Index!$I$3</f>
        <v>45099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358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6" t="s">
        <v>143</v>
      </c>
      <c r="B8" s="371" t="s">
        <v>144</v>
      </c>
      <c r="C8" s="372"/>
      <c r="D8" s="372"/>
      <c r="E8" s="373"/>
      <c r="F8" s="137" t="s">
        <v>145</v>
      </c>
      <c r="G8" s="141"/>
      <c r="H8" s="371" t="s">
        <v>192</v>
      </c>
      <c r="I8" s="380"/>
      <c r="J8" s="381"/>
    </row>
    <row r="10" spans="1:10">
      <c r="A10" s="77" t="s">
        <v>359</v>
      </c>
      <c r="C10" s="47" t="s">
        <v>360</v>
      </c>
      <c r="D10" s="411" t="s">
        <v>361</v>
      </c>
      <c r="E10" s="411"/>
      <c r="F10" s="411"/>
      <c r="G10" s="101" t="s">
        <v>362</v>
      </c>
      <c r="H10" s="412" t="s">
        <v>363</v>
      </c>
      <c r="I10" s="412"/>
      <c r="J10" s="412"/>
    </row>
    <row r="11" spans="1:10">
      <c r="A11" s="71"/>
      <c r="B11" s="71"/>
      <c r="D11" s="47" t="s">
        <v>364</v>
      </c>
      <c r="E11" s="85" t="s">
        <v>365</v>
      </c>
      <c r="F11" s="72" t="s">
        <v>366</v>
      </c>
      <c r="G11" s="72"/>
      <c r="H11" s="47" t="s">
        <v>364</v>
      </c>
      <c r="I11" s="102" t="s">
        <v>365</v>
      </c>
      <c r="J11" s="103" t="s">
        <v>366</v>
      </c>
    </row>
    <row r="12" spans="1:10">
      <c r="A12" s="71"/>
      <c r="B12" s="71"/>
      <c r="D12" s="47"/>
      <c r="E12" s="85"/>
      <c r="F12" s="72"/>
      <c r="G12" s="72"/>
      <c r="H12" s="47"/>
      <c r="I12" s="102"/>
      <c r="J12" s="103"/>
    </row>
    <row r="13" spans="1:10">
      <c r="A13" s="71"/>
      <c r="C13" s="140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40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40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40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40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40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zoomScale="70" zoomScaleNormal="70" workbookViewId="0">
      <selection activeCell="K30" sqref="K30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22" t="s">
        <v>0</v>
      </c>
      <c r="B1" s="53"/>
      <c r="C1" s="366" t="str">
        <f>Index!$C$1</f>
        <v>Craig Ross Superannuation Fund</v>
      </c>
      <c r="D1" s="366"/>
      <c r="E1" s="366"/>
      <c r="F1" s="54"/>
      <c r="H1" s="56" t="s">
        <v>2</v>
      </c>
      <c r="I1" s="56" t="s">
        <v>3</v>
      </c>
    </row>
    <row r="2" spans="1:16" ht="18">
      <c r="A2" s="122" t="s">
        <v>4</v>
      </c>
      <c r="B2" s="53"/>
      <c r="C2" s="366" t="str">
        <f>Index!$C$2</f>
        <v>P9CRAI</v>
      </c>
      <c r="D2" s="366"/>
      <c r="E2" s="366"/>
      <c r="F2" s="55"/>
      <c r="G2" s="59" t="s">
        <v>6</v>
      </c>
      <c r="H2" s="60" t="str">
        <f>Index!$H$2</f>
        <v>MM</v>
      </c>
      <c r="I2" s="61">
        <f>Index!$I$2</f>
        <v>45090</v>
      </c>
    </row>
    <row r="3" spans="1:16" ht="18">
      <c r="A3" s="122" t="s">
        <v>8</v>
      </c>
      <c r="B3" s="53"/>
      <c r="C3" s="367">
        <f>Index!$C$3</f>
        <v>43646</v>
      </c>
      <c r="D3" s="366"/>
      <c r="E3" s="366"/>
      <c r="F3" s="55"/>
      <c r="G3" s="59" t="s">
        <v>9</v>
      </c>
      <c r="H3" s="60" t="str">
        <f>Index!$H$3</f>
        <v>DB</v>
      </c>
      <c r="I3" s="61">
        <f>Index!$I$3</f>
        <v>45099</v>
      </c>
    </row>
    <row r="4" spans="1:16" ht="18">
      <c r="D4" s="53"/>
      <c r="E4" s="53"/>
      <c r="F4" s="64"/>
      <c r="G4" s="65"/>
      <c r="I4" s="66"/>
    </row>
    <row r="5" spans="1:16" ht="18">
      <c r="A5" s="124" t="s">
        <v>367</v>
      </c>
      <c r="D5" s="53"/>
      <c r="E5" s="53"/>
      <c r="F5" s="64"/>
      <c r="G5" s="65"/>
      <c r="I5" s="66"/>
    </row>
    <row r="6" spans="1:16" ht="20.100000000000001" customHeight="1"/>
    <row r="7" spans="1:16" ht="20.100000000000001" customHeight="1" thickBot="1">
      <c r="A7" s="124" t="s">
        <v>368</v>
      </c>
    </row>
    <row r="8" spans="1:16" ht="30.75" thickBot="1">
      <c r="A8" s="182" t="s">
        <v>143</v>
      </c>
      <c r="B8" s="386" t="s">
        <v>144</v>
      </c>
      <c r="C8" s="388"/>
      <c r="D8" s="183" t="s">
        <v>369</v>
      </c>
      <c r="E8" s="184" t="s">
        <v>147</v>
      </c>
      <c r="F8" s="184" t="s">
        <v>172</v>
      </c>
      <c r="G8" s="386" t="s">
        <v>192</v>
      </c>
      <c r="H8" s="413"/>
      <c r="I8" s="414"/>
    </row>
    <row r="9" spans="1:16">
      <c r="A9" s="224"/>
      <c r="B9" s="423"/>
      <c r="C9" s="424"/>
      <c r="D9" s="225"/>
      <c r="E9" s="226"/>
      <c r="F9" s="226"/>
      <c r="G9" s="423"/>
      <c r="H9" s="425"/>
      <c r="I9" s="424"/>
    </row>
    <row r="10" spans="1:16">
      <c r="A10" s="188"/>
      <c r="B10" s="426" t="s">
        <v>370</v>
      </c>
      <c r="C10" s="427"/>
      <c r="D10" s="427"/>
      <c r="E10" s="427"/>
      <c r="F10" s="427"/>
      <c r="G10" s="427"/>
      <c r="H10" s="427"/>
      <c r="I10" s="428"/>
    </row>
    <row r="11" spans="1:16">
      <c r="A11" s="188"/>
      <c r="B11" s="429"/>
      <c r="C11" s="430"/>
      <c r="D11" s="228"/>
      <c r="E11" s="229"/>
      <c r="F11" s="229"/>
      <c r="G11" s="429"/>
      <c r="H11" s="431"/>
      <c r="I11" s="432"/>
    </row>
    <row r="12" spans="1:16">
      <c r="A12" s="188"/>
      <c r="B12" s="433" t="s">
        <v>371</v>
      </c>
      <c r="C12" s="434"/>
      <c r="D12" s="228"/>
      <c r="E12" s="229"/>
      <c r="F12" s="229"/>
      <c r="G12" s="429"/>
      <c r="H12" s="431"/>
      <c r="I12" s="432"/>
      <c r="N12" t="s">
        <v>372</v>
      </c>
      <c r="O12" t="s">
        <v>373</v>
      </c>
      <c r="P12" t="s">
        <v>374</v>
      </c>
    </row>
    <row r="13" spans="1:16">
      <c r="A13" s="188"/>
      <c r="B13" s="429" t="s">
        <v>375</v>
      </c>
      <c r="C13" s="430"/>
      <c r="D13" s="228">
        <f>+SUM(E13:F13)</f>
        <v>0</v>
      </c>
      <c r="E13" s="229">
        <f>+F13*0.1</f>
        <v>0</v>
      </c>
      <c r="F13" s="229"/>
      <c r="G13" s="429" t="s">
        <v>376</v>
      </c>
      <c r="H13" s="431"/>
      <c r="I13" s="432"/>
      <c r="K13" t="s">
        <v>377</v>
      </c>
      <c r="N13" s="58"/>
      <c r="O13" s="58">
        <f>+N13/12</f>
        <v>0</v>
      </c>
    </row>
    <row r="14" spans="1:16">
      <c r="A14" s="188"/>
      <c r="B14" s="435" t="s">
        <v>378</v>
      </c>
      <c r="C14" s="430"/>
      <c r="D14" s="228">
        <f>+SUM(E14:F14)</f>
        <v>0</v>
      </c>
      <c r="E14" s="229">
        <f>+F14*0.1</f>
        <v>0</v>
      </c>
      <c r="F14" s="229"/>
      <c r="G14" s="429" t="s">
        <v>376</v>
      </c>
      <c r="H14" s="431"/>
      <c r="I14" s="432"/>
      <c r="K14" t="s">
        <v>379</v>
      </c>
      <c r="N14" s="58"/>
      <c r="O14" s="58">
        <f>+N14/12</f>
        <v>0</v>
      </c>
    </row>
    <row r="15" spans="1:16">
      <c r="A15" s="188"/>
      <c r="B15" s="429"/>
      <c r="C15" s="430"/>
      <c r="D15" s="228"/>
      <c r="E15" s="229"/>
      <c r="F15" s="228"/>
      <c r="G15" s="429"/>
      <c r="H15" s="431"/>
      <c r="I15" s="432"/>
      <c r="K15" t="s">
        <v>380</v>
      </c>
      <c r="N15" s="58"/>
      <c r="O15" s="58">
        <f>+N15/12</f>
        <v>0</v>
      </c>
    </row>
    <row r="16" spans="1:16">
      <c r="A16" s="188"/>
      <c r="B16" s="429"/>
      <c r="C16" s="430"/>
      <c r="D16" s="228"/>
      <c r="E16" s="229"/>
      <c r="F16" s="228"/>
      <c r="G16" s="429"/>
      <c r="H16" s="431"/>
      <c r="I16" s="432"/>
      <c r="K16" s="223" t="s">
        <v>381</v>
      </c>
      <c r="L16" s="223"/>
      <c r="M16" s="223"/>
      <c r="N16" s="222"/>
      <c r="O16" s="222"/>
      <c r="P16" s="222">
        <f>+O16*1.1</f>
        <v>0</v>
      </c>
    </row>
    <row r="17" spans="1:13">
      <c r="A17" s="188"/>
      <c r="B17" s="433" t="s">
        <v>91</v>
      </c>
      <c r="C17" s="434"/>
      <c r="D17" s="231">
        <f>SUM(D13:D16)</f>
        <v>0</v>
      </c>
      <c r="E17" s="231">
        <f>SUM(E13:E16)</f>
        <v>0</v>
      </c>
      <c r="F17" s="231">
        <f>SUM(F13:F16)</f>
        <v>0</v>
      </c>
      <c r="G17" s="429"/>
      <c r="H17" s="431"/>
      <c r="I17" s="432"/>
    </row>
    <row r="18" spans="1:13">
      <c r="A18" s="188"/>
      <c r="B18" s="429"/>
      <c r="C18" s="430"/>
      <c r="D18" s="228"/>
      <c r="E18" s="229"/>
      <c r="F18" s="228"/>
      <c r="G18" s="429"/>
      <c r="H18" s="431"/>
      <c r="I18" s="432"/>
    </row>
    <row r="19" spans="1:13">
      <c r="A19" s="188"/>
      <c r="B19" s="433" t="s">
        <v>382</v>
      </c>
      <c r="C19" s="434"/>
      <c r="D19" s="228"/>
      <c r="E19" s="229"/>
      <c r="F19" s="228"/>
      <c r="G19" s="429"/>
      <c r="H19" s="431"/>
      <c r="I19" s="432"/>
    </row>
    <row r="20" spans="1:13">
      <c r="A20" s="188"/>
      <c r="B20" s="429" t="s">
        <v>383</v>
      </c>
      <c r="C20" s="430"/>
      <c r="D20" s="232">
        <f>+F20+E20</f>
        <v>0</v>
      </c>
      <c r="E20" s="233">
        <f>+F20*0.1</f>
        <v>0</v>
      </c>
      <c r="F20" s="228"/>
      <c r="G20" s="429"/>
      <c r="H20" s="431"/>
      <c r="I20" s="432"/>
    </row>
    <row r="21" spans="1:13">
      <c r="A21" s="188"/>
      <c r="B21" s="429" t="s">
        <v>383</v>
      </c>
      <c r="C21" s="430"/>
      <c r="D21" s="232">
        <f>+F21+E21</f>
        <v>0</v>
      </c>
      <c r="E21" s="233">
        <f>+F21*0.1</f>
        <v>0</v>
      </c>
      <c r="F21" s="232"/>
      <c r="G21" s="429"/>
      <c r="H21" s="431"/>
      <c r="I21" s="432"/>
    </row>
    <row r="22" spans="1:13">
      <c r="A22" s="188"/>
      <c r="B22" s="230" t="s">
        <v>384</v>
      </c>
      <c r="C22" s="227"/>
      <c r="D22" s="234">
        <f>SUM(D20:D21)</f>
        <v>0</v>
      </c>
      <c r="E22" s="234">
        <f>SUM(E20:E21)</f>
        <v>0</v>
      </c>
      <c r="F22" s="234">
        <f>SUM(F20:F21)</f>
        <v>0</v>
      </c>
      <c r="G22" s="429"/>
      <c r="H22" s="431"/>
      <c r="I22" s="432"/>
    </row>
    <row r="23" spans="1:13">
      <c r="A23" s="188"/>
      <c r="B23" s="429" t="s">
        <v>385</v>
      </c>
      <c r="C23" s="430"/>
      <c r="D23" s="232">
        <f>+F23+E23</f>
        <v>0</v>
      </c>
      <c r="E23" s="233">
        <f>+F23*0.1</f>
        <v>0</v>
      </c>
      <c r="F23" s="228"/>
      <c r="G23" s="429"/>
      <c r="H23" s="436"/>
      <c r="I23" s="430"/>
    </row>
    <row r="24" spans="1:13">
      <c r="A24" s="188"/>
      <c r="B24" s="429" t="s">
        <v>385</v>
      </c>
      <c r="C24" s="430"/>
      <c r="D24" s="232">
        <f>+F24+E24</f>
        <v>0</v>
      </c>
      <c r="E24" s="233">
        <f>+F24*0.1</f>
        <v>0</v>
      </c>
      <c r="F24" s="228"/>
      <c r="G24" s="429"/>
      <c r="H24" s="436"/>
      <c r="I24" s="430"/>
      <c r="L24" s="91"/>
      <c r="M24" s="91"/>
    </row>
    <row r="25" spans="1:13">
      <c r="A25" s="188"/>
      <c r="B25" s="429" t="s">
        <v>385</v>
      </c>
      <c r="C25" s="430"/>
      <c r="D25" s="232">
        <f>+F25+E25</f>
        <v>0</v>
      </c>
      <c r="E25" s="233">
        <f>+F25*0.1</f>
        <v>0</v>
      </c>
      <c r="F25" s="228"/>
      <c r="G25" s="429"/>
      <c r="H25" s="436"/>
      <c r="I25" s="430"/>
    </row>
    <row r="26" spans="1:13">
      <c r="A26" s="188"/>
      <c r="B26" s="230" t="s">
        <v>386</v>
      </c>
      <c r="C26" s="227"/>
      <c r="D26" s="234">
        <f>SUM(D23:D25)</f>
        <v>0</v>
      </c>
      <c r="E26" s="234">
        <f>SUM(E23:E25)</f>
        <v>0</v>
      </c>
      <c r="F26" s="234">
        <f>SUM(F23:F25)</f>
        <v>0</v>
      </c>
      <c r="G26" s="429"/>
      <c r="H26" s="431"/>
      <c r="I26" s="432"/>
    </row>
    <row r="27" spans="1:13">
      <c r="A27" s="188"/>
      <c r="B27" s="429" t="s">
        <v>387</v>
      </c>
      <c r="C27" s="430"/>
      <c r="D27" s="232">
        <f>+F27+E27</f>
        <v>0</v>
      </c>
      <c r="E27" s="233">
        <f>+F27*0.1</f>
        <v>0</v>
      </c>
      <c r="F27" s="228"/>
      <c r="G27" s="429"/>
      <c r="H27" s="431"/>
      <c r="I27" s="432"/>
    </row>
    <row r="28" spans="1:13">
      <c r="A28" s="188"/>
      <c r="B28" s="429" t="s">
        <v>387</v>
      </c>
      <c r="C28" s="430"/>
      <c r="D28" s="232">
        <f>+F28+E28</f>
        <v>0</v>
      </c>
      <c r="E28" s="233">
        <f>+F28*0.1</f>
        <v>0</v>
      </c>
      <c r="F28" s="232"/>
      <c r="G28" s="429"/>
      <c r="H28" s="431"/>
      <c r="I28" s="432"/>
    </row>
    <row r="29" spans="1:13">
      <c r="A29" s="188"/>
      <c r="B29" s="429" t="s">
        <v>387</v>
      </c>
      <c r="C29" s="430"/>
      <c r="D29" s="232">
        <f>+F29+E29</f>
        <v>0</v>
      </c>
      <c r="E29" s="233">
        <f>+F29*0.1</f>
        <v>0</v>
      </c>
      <c r="F29" s="228"/>
      <c r="G29" s="429"/>
      <c r="H29" s="436"/>
      <c r="I29" s="430"/>
    </row>
    <row r="30" spans="1:13">
      <c r="A30" s="188"/>
      <c r="B30" s="429" t="s">
        <v>387</v>
      </c>
      <c r="C30" s="430"/>
      <c r="D30" s="232">
        <f>+F30+E30</f>
        <v>0</v>
      </c>
      <c r="E30" s="233">
        <f>+F30*0.1</f>
        <v>0</v>
      </c>
      <c r="F30" s="232"/>
      <c r="G30" s="429"/>
      <c r="H30" s="436"/>
      <c r="I30" s="430"/>
    </row>
    <row r="31" spans="1:13">
      <c r="A31" s="188"/>
      <c r="B31" s="433" t="s">
        <v>388</v>
      </c>
      <c r="C31" s="434"/>
      <c r="D31" s="234">
        <f>SUM(D27:D30)</f>
        <v>0</v>
      </c>
      <c r="E31" s="234">
        <f>SUM(E27:E30)</f>
        <v>0</v>
      </c>
      <c r="F31" s="234">
        <f>SUM(F27:F30)</f>
        <v>0</v>
      </c>
      <c r="G31" s="429"/>
      <c r="H31" s="436"/>
      <c r="I31" s="430"/>
    </row>
    <row r="32" spans="1:13">
      <c r="A32" s="188"/>
      <c r="B32" s="433" t="s">
        <v>389</v>
      </c>
      <c r="C32" s="434"/>
      <c r="D32" s="234">
        <f>+D22+D26+D31</f>
        <v>0</v>
      </c>
      <c r="E32" s="234">
        <f>+E22+E26+E31</f>
        <v>0</v>
      </c>
      <c r="F32" s="234">
        <f>+F22+F26+F31</f>
        <v>0</v>
      </c>
      <c r="G32" s="429"/>
      <c r="H32" s="436"/>
      <c r="I32" s="430"/>
    </row>
    <row r="33" spans="1:18">
      <c r="A33" s="188"/>
      <c r="B33" s="429"/>
      <c r="C33" s="430"/>
      <c r="D33" s="232"/>
      <c r="E33" s="233"/>
      <c r="F33" s="227"/>
      <c r="G33" s="429"/>
      <c r="H33" s="436"/>
      <c r="I33" s="430"/>
    </row>
    <row r="34" spans="1:18">
      <c r="A34" s="188"/>
      <c r="B34" s="200" t="s">
        <v>390</v>
      </c>
      <c r="C34" s="201"/>
      <c r="D34" s="235"/>
      <c r="E34" s="236"/>
      <c r="F34" s="237">
        <f>+F32-F21-F28</f>
        <v>0</v>
      </c>
      <c r="G34" s="429"/>
      <c r="H34" s="436"/>
      <c r="I34" s="430"/>
    </row>
    <row r="35" spans="1:18">
      <c r="A35" s="188"/>
      <c r="B35" s="433"/>
      <c r="C35" s="434"/>
      <c r="D35" s="234"/>
      <c r="E35" s="234"/>
      <c r="F35" s="234"/>
      <c r="G35" s="429"/>
      <c r="H35" s="436"/>
      <c r="I35" s="430"/>
    </row>
    <row r="36" spans="1:18">
      <c r="A36" s="238" t="s">
        <v>391</v>
      </c>
      <c r="B36" s="394"/>
      <c r="C36" s="395"/>
      <c r="D36" s="395"/>
      <c r="E36" s="395"/>
      <c r="F36" s="395"/>
      <c r="G36" s="395"/>
      <c r="H36" s="395"/>
      <c r="I36" s="396"/>
    </row>
    <row r="37" spans="1:18">
      <c r="A37" s="238"/>
      <c r="B37" s="394"/>
      <c r="C37" s="395"/>
      <c r="D37" s="395"/>
      <c r="E37" s="395"/>
      <c r="F37" s="395"/>
      <c r="G37" s="395"/>
      <c r="H37" s="395"/>
      <c r="I37" s="396"/>
    </row>
    <row r="38" spans="1:18">
      <c r="A38" s="238"/>
      <c r="B38" s="394"/>
      <c r="C38" s="395"/>
      <c r="D38" s="395"/>
      <c r="E38" s="395"/>
      <c r="F38" s="395"/>
      <c r="G38" s="395"/>
      <c r="H38" s="395"/>
      <c r="I38" s="396"/>
    </row>
    <row r="39" spans="1:18" ht="15.75" thickBot="1">
      <c r="A39" s="209"/>
      <c r="B39" s="437"/>
      <c r="C39" s="438"/>
      <c r="D39" s="239"/>
      <c r="E39" s="239"/>
      <c r="F39" s="239"/>
      <c r="G39" s="437"/>
      <c r="H39" s="439"/>
      <c r="I39" s="438"/>
    </row>
    <row r="40" spans="1:18">
      <c r="E40" s="115"/>
      <c r="F40" s="115"/>
    </row>
    <row r="41" spans="1:18">
      <c r="E41" s="115"/>
      <c r="F41" s="115"/>
    </row>
    <row r="42" spans="1:18">
      <c r="E42" s="115"/>
      <c r="F42" s="115"/>
    </row>
    <row r="43" spans="1:18">
      <c r="D43" s="91"/>
      <c r="E43" s="115"/>
      <c r="F43" s="115"/>
    </row>
    <row r="44" spans="1:18" ht="18">
      <c r="A44" s="124" t="s">
        <v>392</v>
      </c>
      <c r="E44" s="115"/>
      <c r="F44" s="115"/>
    </row>
    <row r="45" spans="1:18">
      <c r="A45" s="240"/>
      <c r="C45" s="240"/>
      <c r="D45" s="240"/>
      <c r="E45" s="240"/>
      <c r="F45" s="240"/>
      <c r="G45" s="240"/>
      <c r="H45" s="240"/>
      <c r="I45" s="240"/>
      <c r="J45" s="240"/>
      <c r="K45" s="240"/>
      <c r="L45" s="240"/>
      <c r="M45" s="240"/>
      <c r="N45" s="240"/>
      <c r="O45" s="240"/>
      <c r="P45" s="240"/>
      <c r="Q45" s="240"/>
      <c r="R45" s="240"/>
    </row>
    <row r="46" spans="1:18">
      <c r="A46" s="240" t="s">
        <v>393</v>
      </c>
      <c r="B46" s="240"/>
      <c r="C46" s="240"/>
      <c r="D46" s="240"/>
      <c r="E46" s="240"/>
      <c r="F46" s="240"/>
      <c r="G46" s="240"/>
      <c r="H46" s="240"/>
      <c r="I46" s="240"/>
      <c r="J46" s="240"/>
      <c r="K46" s="240"/>
      <c r="L46" s="240"/>
      <c r="M46" s="240"/>
      <c r="N46" s="240"/>
      <c r="O46" s="240"/>
      <c r="P46" s="240"/>
      <c r="Q46" s="240"/>
      <c r="R46" s="240"/>
    </row>
    <row r="47" spans="1:18" ht="45">
      <c r="A47" s="240"/>
      <c r="B47" s="241"/>
      <c r="C47" s="241" t="s">
        <v>394</v>
      </c>
      <c r="D47" s="247" t="s">
        <v>395</v>
      </c>
      <c r="E47" s="247" t="s">
        <v>396</v>
      </c>
      <c r="F47" s="247" t="s">
        <v>397</v>
      </c>
      <c r="G47" s="247" t="s">
        <v>398</v>
      </c>
      <c r="H47" s="247" t="s">
        <v>399</v>
      </c>
      <c r="I47" s="247" t="s">
        <v>400</v>
      </c>
      <c r="J47" s="247" t="s">
        <v>401</v>
      </c>
      <c r="K47" s="247" t="s">
        <v>402</v>
      </c>
      <c r="L47" s="247" t="s">
        <v>403</v>
      </c>
      <c r="M47" s="247" t="s">
        <v>404</v>
      </c>
      <c r="N47" s="247" t="s">
        <v>405</v>
      </c>
      <c r="O47" s="247" t="s">
        <v>406</v>
      </c>
      <c r="P47" s="247" t="s">
        <v>407</v>
      </c>
      <c r="Q47" s="240"/>
      <c r="R47" s="240"/>
    </row>
    <row r="48" spans="1:18">
      <c r="A48" s="240" t="s">
        <v>408</v>
      </c>
      <c r="B48" s="240"/>
      <c r="C48" s="243" t="s">
        <v>409</v>
      </c>
      <c r="D48" s="244"/>
      <c r="E48" s="244"/>
      <c r="F48" s="244"/>
      <c r="G48" s="244"/>
      <c r="H48" s="244"/>
      <c r="I48" s="240"/>
      <c r="J48" s="244"/>
      <c r="K48" s="244"/>
      <c r="L48" s="244"/>
      <c r="M48" s="244"/>
      <c r="N48" s="244"/>
      <c r="O48" s="240"/>
      <c r="P48" s="244"/>
      <c r="Q48" s="240"/>
      <c r="R48" s="240"/>
    </row>
    <row r="49" spans="1:18">
      <c r="A49" s="240" t="s">
        <v>410</v>
      </c>
      <c r="B49" s="240"/>
      <c r="C49" s="243" t="s">
        <v>409</v>
      </c>
      <c r="D49" s="240"/>
      <c r="E49" s="240"/>
      <c r="F49" s="240"/>
      <c r="G49" s="240"/>
      <c r="H49" s="240"/>
      <c r="I49" s="240"/>
      <c r="J49" s="240"/>
      <c r="K49" s="240"/>
      <c r="L49" s="244"/>
      <c r="M49" s="240"/>
      <c r="N49" s="244"/>
      <c r="O49" s="240"/>
      <c r="P49" s="240"/>
      <c r="Q49" s="240"/>
      <c r="R49" s="240"/>
    </row>
    <row r="50" spans="1:18" ht="15.75" thickBot="1">
      <c r="A50" s="240"/>
      <c r="B50" s="240"/>
      <c r="C50" s="240"/>
      <c r="D50" s="245"/>
      <c r="E50" s="245"/>
      <c r="F50" s="245"/>
      <c r="G50" s="245"/>
      <c r="H50" s="245"/>
      <c r="I50" s="246"/>
      <c r="J50" s="245"/>
      <c r="K50" s="245"/>
      <c r="L50" s="245"/>
      <c r="M50" s="245"/>
      <c r="N50" s="245"/>
      <c r="O50" s="246"/>
      <c r="P50" s="245"/>
      <c r="Q50" s="240"/>
      <c r="R50" s="240"/>
    </row>
    <row r="51" spans="1:18" ht="15.75" thickTop="1">
      <c r="A51" s="240"/>
      <c r="B51" s="240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0"/>
      <c r="O51" s="240"/>
      <c r="P51" s="240"/>
      <c r="Q51" s="240"/>
      <c r="R51" s="240"/>
    </row>
    <row r="52" spans="1:18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0"/>
      <c r="O52" s="240"/>
      <c r="P52" s="240"/>
      <c r="Q52" s="240"/>
      <c r="R52" s="240"/>
    </row>
    <row r="53" spans="1:18">
      <c r="A53" s="240"/>
      <c r="B53" s="240"/>
      <c r="C53" s="240"/>
      <c r="D53" s="415" t="s">
        <v>64</v>
      </c>
      <c r="E53" s="415"/>
      <c r="F53" s="415"/>
      <c r="G53" s="415" t="s">
        <v>382</v>
      </c>
      <c r="H53" s="415"/>
      <c r="I53" s="415"/>
      <c r="J53" s="415"/>
      <c r="K53" s="415"/>
      <c r="L53" s="415"/>
      <c r="M53" s="415"/>
      <c r="N53" s="415"/>
      <c r="O53" s="240"/>
      <c r="P53" s="240"/>
      <c r="Q53" s="240"/>
      <c r="R53" s="240"/>
    </row>
    <row r="54" spans="1:18" ht="54">
      <c r="A54" s="240" t="s">
        <v>80</v>
      </c>
      <c r="B54" s="251" t="s">
        <v>411</v>
      </c>
      <c r="C54" s="241" t="s">
        <v>394</v>
      </c>
      <c r="D54" s="247" t="s">
        <v>412</v>
      </c>
      <c r="E54" s="247" t="s">
        <v>413</v>
      </c>
      <c r="F54" s="247" t="s">
        <v>414</v>
      </c>
      <c r="G54" s="247" t="s">
        <v>415</v>
      </c>
      <c r="H54" s="247" t="s">
        <v>416</v>
      </c>
      <c r="I54" s="247" t="s">
        <v>400</v>
      </c>
      <c r="J54" s="247" t="s">
        <v>401</v>
      </c>
      <c r="K54" s="247" t="s">
        <v>417</v>
      </c>
      <c r="L54" s="247" t="s">
        <v>403</v>
      </c>
      <c r="M54" s="247" t="s">
        <v>404</v>
      </c>
      <c r="N54" s="247" t="s">
        <v>405</v>
      </c>
      <c r="O54" s="242" t="s">
        <v>406</v>
      </c>
      <c r="P54" s="242" t="s">
        <v>407</v>
      </c>
      <c r="Q54" s="240"/>
      <c r="R54" s="240"/>
    </row>
    <row r="55" spans="1:18">
      <c r="A55" s="240"/>
      <c r="B55" s="240">
        <v>1</v>
      </c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  <c r="N55" s="240"/>
      <c r="O55" s="240"/>
      <c r="P55" s="240"/>
      <c r="Q55" s="240"/>
      <c r="R55" s="240"/>
    </row>
    <row r="56" spans="1:18">
      <c r="A56" s="240"/>
      <c r="B56" s="240">
        <v>2</v>
      </c>
      <c r="C56" s="240"/>
      <c r="D56" s="244"/>
      <c r="E56" s="240"/>
      <c r="F56" s="244"/>
      <c r="G56" s="244"/>
      <c r="H56" s="244"/>
      <c r="I56" s="240"/>
      <c r="J56" s="240"/>
      <c r="K56" s="244"/>
      <c r="L56" s="244"/>
      <c r="M56" s="240"/>
      <c r="N56" s="240"/>
      <c r="O56" s="240"/>
      <c r="P56" s="244"/>
      <c r="Q56" s="240"/>
      <c r="R56" s="240"/>
    </row>
    <row r="57" spans="1:18">
      <c r="A57" s="240"/>
      <c r="B57" s="240">
        <v>3</v>
      </c>
      <c r="C57" s="240"/>
      <c r="D57" s="244"/>
      <c r="E57" s="240"/>
      <c r="F57" s="240"/>
      <c r="G57" s="244"/>
      <c r="H57" s="244"/>
      <c r="I57" s="240"/>
      <c r="J57" s="240"/>
      <c r="K57" s="240"/>
      <c r="L57" s="240"/>
      <c r="M57" s="240"/>
      <c r="N57" s="240"/>
      <c r="O57" s="240"/>
      <c r="P57" s="244"/>
      <c r="Q57" s="240"/>
      <c r="R57" s="240"/>
    </row>
    <row r="58" spans="1:18">
      <c r="A58" s="240"/>
      <c r="B58" s="240">
        <v>4</v>
      </c>
      <c r="C58" s="240"/>
      <c r="D58" s="244"/>
      <c r="E58" s="244"/>
      <c r="F58" s="240"/>
      <c r="G58" s="240"/>
      <c r="H58" s="244"/>
      <c r="I58" s="240"/>
      <c r="J58" s="244"/>
      <c r="K58" s="240"/>
      <c r="L58" s="244"/>
      <c r="M58" s="240"/>
      <c r="N58" s="240"/>
      <c r="O58" s="240"/>
      <c r="P58" s="244"/>
      <c r="Q58" s="240"/>
      <c r="R58" s="240"/>
    </row>
    <row r="59" spans="1:18">
      <c r="A59" s="42"/>
      <c r="B59" s="240">
        <v>5</v>
      </c>
      <c r="C59" s="240"/>
      <c r="D59" s="244"/>
      <c r="E59" s="240"/>
      <c r="F59" s="240"/>
      <c r="G59" s="244"/>
      <c r="H59" s="244"/>
      <c r="I59" s="240"/>
      <c r="J59" s="240"/>
      <c r="K59" s="240"/>
      <c r="L59" s="240"/>
      <c r="M59" s="244"/>
      <c r="N59" s="240"/>
      <c r="O59" s="240"/>
      <c r="P59" s="244"/>
      <c r="Q59" s="240"/>
      <c r="R59" s="240"/>
    </row>
    <row r="60" spans="1:18">
      <c r="A60" s="42"/>
      <c r="B60" s="240">
        <v>6</v>
      </c>
      <c r="C60" s="240"/>
      <c r="D60" s="244"/>
      <c r="E60" s="240"/>
      <c r="F60" s="240"/>
      <c r="G60" s="244"/>
      <c r="H60" s="244"/>
      <c r="I60" s="240"/>
      <c r="J60" s="244"/>
      <c r="K60" s="240"/>
      <c r="L60" s="240"/>
      <c r="M60" s="240"/>
      <c r="N60" s="240"/>
      <c r="O60" s="240"/>
      <c r="P60" s="244"/>
      <c r="Q60" s="240"/>
      <c r="R60" s="240"/>
    </row>
    <row r="61" spans="1:18">
      <c r="A61" s="42"/>
      <c r="B61" s="240">
        <v>7</v>
      </c>
      <c r="C61" s="240"/>
      <c r="D61" s="240"/>
      <c r="E61" s="244"/>
      <c r="F61" s="240"/>
      <c r="G61" s="244"/>
      <c r="H61" s="244"/>
      <c r="I61" s="240"/>
      <c r="J61" s="240"/>
      <c r="K61" s="240"/>
      <c r="L61" s="244"/>
      <c r="M61" s="240"/>
      <c r="N61" s="244"/>
      <c r="O61" s="244"/>
      <c r="P61" s="240"/>
      <c r="Q61" s="240"/>
      <c r="R61" s="240"/>
    </row>
    <row r="62" spans="1:18">
      <c r="A62" s="42"/>
      <c r="B62" s="240">
        <v>8</v>
      </c>
      <c r="C62" s="240"/>
      <c r="D62" s="244"/>
      <c r="E62" s="240"/>
      <c r="F62" s="240"/>
      <c r="G62" s="244"/>
      <c r="H62" s="244"/>
      <c r="I62" s="240"/>
      <c r="J62" s="244"/>
      <c r="K62" s="240"/>
      <c r="L62" s="244"/>
      <c r="M62" s="244"/>
      <c r="N62" s="240"/>
      <c r="O62" s="244"/>
      <c r="P62" s="244"/>
      <c r="Q62" s="240"/>
      <c r="R62" s="240"/>
    </row>
    <row r="63" spans="1:18">
      <c r="A63" s="42"/>
      <c r="B63" s="240">
        <v>9</v>
      </c>
      <c r="C63" s="240"/>
      <c r="D63" s="240"/>
      <c r="E63" s="240"/>
      <c r="F63" s="240"/>
      <c r="G63" s="240"/>
      <c r="H63" s="240"/>
      <c r="I63" s="240"/>
      <c r="J63" s="240"/>
      <c r="K63" s="240"/>
      <c r="L63" s="240"/>
      <c r="M63" s="240"/>
      <c r="N63" s="240"/>
      <c r="O63" s="240"/>
      <c r="P63" s="240"/>
      <c r="Q63" s="240"/>
      <c r="R63" s="240"/>
    </row>
    <row r="64" spans="1:18">
      <c r="A64" s="42"/>
      <c r="B64" s="240">
        <v>10</v>
      </c>
      <c r="C64" s="240"/>
      <c r="D64" s="244"/>
      <c r="E64" s="244"/>
      <c r="F64" s="240"/>
      <c r="G64" s="244"/>
      <c r="H64" s="244"/>
      <c r="I64" s="240"/>
      <c r="J64" s="240"/>
      <c r="K64" s="240"/>
      <c r="L64" s="244"/>
      <c r="M64" s="244"/>
      <c r="N64" s="244"/>
      <c r="O64" s="244"/>
      <c r="P64" s="244"/>
      <c r="Q64" s="240"/>
      <c r="R64" s="240"/>
    </row>
    <row r="65" spans="1:18">
      <c r="A65" s="42"/>
      <c r="B65" s="240">
        <v>11</v>
      </c>
      <c r="C65" s="240"/>
      <c r="D65" s="244"/>
      <c r="E65" s="240"/>
      <c r="F65" s="240"/>
      <c r="G65" s="240"/>
      <c r="H65" s="244"/>
      <c r="I65" s="240"/>
      <c r="J65" s="244"/>
      <c r="K65" s="240"/>
      <c r="L65" s="240"/>
      <c r="M65" s="244"/>
      <c r="N65" s="244"/>
      <c r="O65" s="244"/>
      <c r="P65" s="244"/>
      <c r="Q65" s="240"/>
      <c r="R65" s="240"/>
    </row>
    <row r="66" spans="1:18">
      <c r="A66" s="42"/>
      <c r="B66" s="240"/>
      <c r="C66" s="240"/>
      <c r="D66" s="240"/>
      <c r="E66" s="240"/>
      <c r="F66" s="240"/>
      <c r="G66" s="240"/>
      <c r="H66" s="240"/>
      <c r="I66" s="240"/>
      <c r="J66" s="240"/>
      <c r="K66" s="240"/>
      <c r="L66" s="240"/>
      <c r="M66" s="240"/>
      <c r="N66" s="240"/>
      <c r="O66" s="240"/>
      <c r="P66" s="240"/>
      <c r="Q66" s="240"/>
      <c r="R66" s="240"/>
    </row>
    <row r="67" spans="1:18">
      <c r="A67" s="42"/>
      <c r="B67" s="240"/>
      <c r="C67" s="240"/>
      <c r="D67" s="248"/>
      <c r="E67" s="248"/>
      <c r="F67" s="248"/>
      <c r="G67" s="248"/>
      <c r="H67" s="248"/>
      <c r="I67" s="248"/>
      <c r="J67" s="248"/>
      <c r="K67" s="248"/>
      <c r="L67" s="248"/>
      <c r="M67" s="248"/>
      <c r="N67" s="248"/>
      <c r="O67" s="248"/>
      <c r="P67" s="240"/>
      <c r="Q67" s="240"/>
      <c r="R67" s="240"/>
    </row>
    <row r="68" spans="1:18" ht="15.75" thickBot="1">
      <c r="A68" s="240"/>
      <c r="B68" s="240"/>
      <c r="C68" s="240"/>
      <c r="D68" s="249"/>
      <c r="E68" s="249"/>
      <c r="F68" s="249"/>
      <c r="G68" s="249"/>
      <c r="H68" s="249"/>
      <c r="I68" s="250"/>
      <c r="J68" s="249"/>
      <c r="K68" s="249"/>
      <c r="L68" s="249"/>
      <c r="M68" s="249"/>
      <c r="N68" s="249"/>
      <c r="O68" s="250"/>
      <c r="P68" s="249"/>
      <c r="Q68" s="240"/>
      <c r="R68" s="240"/>
    </row>
    <row r="69" spans="1:18" ht="15.75" thickTop="1">
      <c r="A69" s="240"/>
      <c r="B69" s="240"/>
      <c r="C69" s="240"/>
      <c r="D69" s="240"/>
      <c r="E69" s="240"/>
      <c r="F69" s="240"/>
      <c r="G69" s="240"/>
      <c r="H69" s="240"/>
      <c r="I69" s="240"/>
      <c r="J69" s="240"/>
      <c r="K69" s="240"/>
      <c r="L69" s="240"/>
      <c r="M69" s="240"/>
      <c r="N69" s="240"/>
      <c r="O69" s="240"/>
      <c r="P69" s="240"/>
      <c r="Q69" s="240"/>
      <c r="R69" s="240"/>
    </row>
    <row r="70" spans="1:18">
      <c r="A70" s="240"/>
      <c r="B70" s="240" t="s">
        <v>215</v>
      </c>
      <c r="C70" s="240"/>
      <c r="D70" s="240" t="s">
        <v>418</v>
      </c>
      <c r="E70" s="240" t="s">
        <v>419</v>
      </c>
      <c r="F70" s="240" t="s">
        <v>419</v>
      </c>
      <c r="G70" s="240" t="s">
        <v>419</v>
      </c>
      <c r="H70" s="240" t="s">
        <v>419</v>
      </c>
      <c r="I70" s="240" t="s">
        <v>419</v>
      </c>
      <c r="J70" s="240" t="s">
        <v>419</v>
      </c>
      <c r="K70" s="240" t="s">
        <v>419</v>
      </c>
      <c r="L70" s="240" t="s">
        <v>419</v>
      </c>
      <c r="M70" s="240" t="s">
        <v>419</v>
      </c>
      <c r="N70" s="240" t="s">
        <v>419</v>
      </c>
      <c r="O70" s="240" t="s">
        <v>419</v>
      </c>
      <c r="P70" s="240" t="s">
        <v>419</v>
      </c>
      <c r="Q70" s="240"/>
      <c r="R70" s="240"/>
    </row>
    <row r="71" spans="1:18">
      <c r="A71" s="240"/>
      <c r="B71" s="240"/>
      <c r="C71" s="240"/>
      <c r="D71" s="240"/>
      <c r="E71" s="240"/>
      <c r="F71" s="240"/>
      <c r="G71" s="240"/>
      <c r="H71" s="240"/>
      <c r="I71" s="240"/>
      <c r="J71" s="240"/>
      <c r="K71" s="240"/>
      <c r="L71" s="240"/>
      <c r="M71" s="240"/>
      <c r="N71" s="240"/>
      <c r="O71" s="240"/>
      <c r="P71" s="240"/>
      <c r="Q71" s="240"/>
      <c r="R71" s="240"/>
    </row>
    <row r="72" spans="1:18">
      <c r="A72" s="42"/>
      <c r="B72" s="42" t="s">
        <v>80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240"/>
      <c r="O72" s="240"/>
      <c r="P72" s="240"/>
      <c r="Q72" s="240"/>
      <c r="R72" s="240"/>
    </row>
    <row r="73" spans="1:18">
      <c r="E73" s="115"/>
      <c r="F73" s="115"/>
    </row>
    <row r="74" spans="1:18">
      <c r="E74" s="115"/>
      <c r="F74" s="115"/>
    </row>
    <row r="75" spans="1:18">
      <c r="E75" s="115"/>
      <c r="F75" s="115"/>
    </row>
    <row r="76" spans="1:18">
      <c r="E76" s="115"/>
      <c r="F76" s="115"/>
    </row>
    <row r="77" spans="1:18" ht="18">
      <c r="A77" s="124" t="s">
        <v>420</v>
      </c>
      <c r="E77" s="115"/>
      <c r="F77" s="115"/>
    </row>
    <row r="78" spans="1:18">
      <c r="C78" s="282"/>
      <c r="D78" s="304" t="s">
        <v>421</v>
      </c>
      <c r="E78" s="304"/>
      <c r="F78" s="305"/>
      <c r="G78" s="305"/>
      <c r="H78" s="305"/>
      <c r="I78" s="305"/>
      <c r="J78" s="305"/>
      <c r="K78" s="283"/>
      <c r="L78" s="283"/>
    </row>
    <row r="79" spans="1:18" s="306" customFormat="1" ht="30">
      <c r="C79" s="284"/>
      <c r="D79" s="285" t="s">
        <v>422</v>
      </c>
      <c r="E79" s="284" t="s">
        <v>395</v>
      </c>
      <c r="F79" s="285" t="s">
        <v>423</v>
      </c>
      <c r="G79" s="285" t="s">
        <v>424</v>
      </c>
      <c r="H79" s="285" t="s">
        <v>425</v>
      </c>
      <c r="I79" s="285" t="s">
        <v>405</v>
      </c>
      <c r="J79" s="285" t="s">
        <v>426</v>
      </c>
      <c r="K79" s="285" t="s">
        <v>427</v>
      </c>
      <c r="L79" s="285" t="s">
        <v>407</v>
      </c>
    </row>
    <row r="80" spans="1:18">
      <c r="C80" s="294" t="s">
        <v>428</v>
      </c>
      <c r="D80" s="307"/>
      <c r="E80" s="286">
        <f t="shared" ref="E80:E91" si="0">SUM(D80:D80)</f>
        <v>0</v>
      </c>
      <c r="F80" s="308"/>
      <c r="G80" s="308"/>
      <c r="H80" s="308"/>
      <c r="I80" s="308"/>
      <c r="J80" s="308"/>
      <c r="K80" s="287">
        <f t="shared" ref="K80:K91" si="1">SUM(F80:J80)</f>
        <v>0</v>
      </c>
      <c r="L80" s="288">
        <f t="shared" ref="L80:L91" si="2">E80-K80</f>
        <v>0</v>
      </c>
    </row>
    <row r="81" spans="3:12">
      <c r="C81" s="292" t="s">
        <v>429</v>
      </c>
      <c r="D81" s="307"/>
      <c r="E81" s="286">
        <f t="shared" si="0"/>
        <v>0</v>
      </c>
      <c r="F81" s="308"/>
      <c r="G81" s="308"/>
      <c r="H81" s="308"/>
      <c r="I81" s="308"/>
      <c r="J81" s="308"/>
      <c r="K81" s="287">
        <f t="shared" si="1"/>
        <v>0</v>
      </c>
      <c r="L81" s="288">
        <f t="shared" si="2"/>
        <v>0</v>
      </c>
    </row>
    <row r="82" spans="3:12">
      <c r="C82" s="292" t="s">
        <v>430</v>
      </c>
      <c r="D82" s="309"/>
      <c r="E82" s="289">
        <f t="shared" si="0"/>
        <v>0</v>
      </c>
      <c r="F82" s="310"/>
      <c r="G82" s="310"/>
      <c r="H82" s="310"/>
      <c r="I82" s="310"/>
      <c r="J82" s="310"/>
      <c r="K82" s="290">
        <f t="shared" si="1"/>
        <v>0</v>
      </c>
      <c r="L82" s="291">
        <f t="shared" si="2"/>
        <v>0</v>
      </c>
    </row>
    <row r="83" spans="3:12">
      <c r="C83" s="292" t="s">
        <v>431</v>
      </c>
      <c r="D83" s="309"/>
      <c r="E83" s="289">
        <f t="shared" si="0"/>
        <v>0</v>
      </c>
      <c r="F83" s="310"/>
      <c r="G83" s="310"/>
      <c r="H83" s="310"/>
      <c r="I83" s="310"/>
      <c r="J83" s="310"/>
      <c r="K83" s="290">
        <f t="shared" si="1"/>
        <v>0</v>
      </c>
      <c r="L83" s="291">
        <f t="shared" si="2"/>
        <v>0</v>
      </c>
    </row>
    <row r="84" spans="3:12">
      <c r="C84" s="292" t="s">
        <v>432</v>
      </c>
      <c r="D84" s="309"/>
      <c r="E84" s="289">
        <f t="shared" si="0"/>
        <v>0</v>
      </c>
      <c r="F84" s="310"/>
      <c r="G84" s="310"/>
      <c r="H84" s="310"/>
      <c r="I84" s="310"/>
      <c r="J84" s="310"/>
      <c r="K84" s="290">
        <f t="shared" si="1"/>
        <v>0</v>
      </c>
      <c r="L84" s="291">
        <f t="shared" si="2"/>
        <v>0</v>
      </c>
    </row>
    <row r="85" spans="3:12">
      <c r="C85" s="292" t="s">
        <v>433</v>
      </c>
      <c r="D85" s="309"/>
      <c r="E85" s="289">
        <f t="shared" si="0"/>
        <v>0</v>
      </c>
      <c r="F85" s="310"/>
      <c r="G85" s="310"/>
      <c r="H85" s="310"/>
      <c r="I85" s="310"/>
      <c r="J85" s="310"/>
      <c r="K85" s="290">
        <f t="shared" si="1"/>
        <v>0</v>
      </c>
      <c r="L85" s="291">
        <f t="shared" si="2"/>
        <v>0</v>
      </c>
    </row>
    <row r="86" spans="3:12" ht="15" customHeight="1">
      <c r="C86" s="292" t="s">
        <v>434</v>
      </c>
      <c r="D86" s="309"/>
      <c r="E86" s="289">
        <f t="shared" si="0"/>
        <v>0</v>
      </c>
      <c r="F86" s="310"/>
      <c r="G86" s="310"/>
      <c r="H86" s="310"/>
      <c r="I86" s="310"/>
      <c r="J86" s="310"/>
      <c r="K86" s="290">
        <f t="shared" si="1"/>
        <v>0</v>
      </c>
      <c r="L86" s="291">
        <f t="shared" si="2"/>
        <v>0</v>
      </c>
    </row>
    <row r="87" spans="3:12" ht="15" customHeight="1">
      <c r="C87" s="292" t="s">
        <v>435</v>
      </c>
      <c r="D87" s="309"/>
      <c r="E87" s="289">
        <f t="shared" si="0"/>
        <v>0</v>
      </c>
      <c r="F87" s="310"/>
      <c r="G87" s="310"/>
      <c r="H87" s="310"/>
      <c r="I87" s="310"/>
      <c r="J87" s="310"/>
      <c r="K87" s="290">
        <f t="shared" si="1"/>
        <v>0</v>
      </c>
      <c r="L87" s="291">
        <f t="shared" si="2"/>
        <v>0</v>
      </c>
    </row>
    <row r="88" spans="3:12" ht="15" customHeight="1">
      <c r="C88" s="293" t="s">
        <v>436</v>
      </c>
      <c r="D88" s="309"/>
      <c r="E88" s="289">
        <f t="shared" si="0"/>
        <v>0</v>
      </c>
      <c r="F88" s="310"/>
      <c r="G88" s="310"/>
      <c r="H88" s="310"/>
      <c r="I88" s="310"/>
      <c r="J88" s="310"/>
      <c r="K88" s="290">
        <f t="shared" si="1"/>
        <v>0</v>
      </c>
      <c r="L88" s="291">
        <f t="shared" si="2"/>
        <v>0</v>
      </c>
    </row>
    <row r="89" spans="3:12" ht="15" customHeight="1">
      <c r="C89" s="294" t="s">
        <v>437</v>
      </c>
      <c r="D89" s="309"/>
      <c r="E89" s="289">
        <f t="shared" si="0"/>
        <v>0</v>
      </c>
      <c r="F89" s="310"/>
      <c r="G89" s="310"/>
      <c r="H89" s="310"/>
      <c r="I89" s="310"/>
      <c r="J89" s="310"/>
      <c r="K89" s="290">
        <f t="shared" si="1"/>
        <v>0</v>
      </c>
      <c r="L89" s="291">
        <f t="shared" si="2"/>
        <v>0</v>
      </c>
    </row>
    <row r="90" spans="3:12" ht="15" customHeight="1">
      <c r="C90" s="293" t="s">
        <v>438</v>
      </c>
      <c r="D90" s="309"/>
      <c r="E90" s="289">
        <f t="shared" si="0"/>
        <v>0</v>
      </c>
      <c r="F90" s="310"/>
      <c r="G90" s="310"/>
      <c r="H90" s="310"/>
      <c r="I90" s="310"/>
      <c r="J90" s="310"/>
      <c r="K90" s="290">
        <f t="shared" si="1"/>
        <v>0</v>
      </c>
      <c r="L90" s="291">
        <f t="shared" si="2"/>
        <v>0</v>
      </c>
    </row>
    <row r="91" spans="3:12" ht="15" customHeight="1">
      <c r="C91" s="295" t="s">
        <v>439</v>
      </c>
      <c r="D91" s="311"/>
      <c r="E91" s="296">
        <f t="shared" si="0"/>
        <v>0</v>
      </c>
      <c r="F91" s="105"/>
      <c r="G91" s="105"/>
      <c r="H91" s="105"/>
      <c r="I91" s="105"/>
      <c r="J91" s="105"/>
      <c r="K91" s="297">
        <f t="shared" si="1"/>
        <v>0</v>
      </c>
      <c r="L91" s="298">
        <f t="shared" si="2"/>
        <v>0</v>
      </c>
    </row>
    <row r="92" spans="3:12">
      <c r="C92" s="312"/>
      <c r="D92" s="313"/>
      <c r="E92" s="299"/>
      <c r="F92" s="314"/>
      <c r="G92" s="314"/>
      <c r="H92" s="314"/>
      <c r="I92" s="314"/>
      <c r="J92" s="314"/>
      <c r="K92" s="300"/>
      <c r="L92" s="301"/>
    </row>
    <row r="93" spans="3:12" ht="15.75" thickBot="1">
      <c r="D93" s="315">
        <f>SUM(D80:D92)</f>
        <v>0</v>
      </c>
      <c r="E93" s="302">
        <f t="shared" ref="E93:L93" si="3">SUM(E80:E92)</f>
        <v>0</v>
      </c>
      <c r="F93" s="315">
        <f t="shared" si="3"/>
        <v>0</v>
      </c>
      <c r="G93" s="315">
        <f t="shared" si="3"/>
        <v>0</v>
      </c>
      <c r="H93" s="315">
        <f t="shared" si="3"/>
        <v>0</v>
      </c>
      <c r="I93" s="315">
        <f t="shared" si="3"/>
        <v>0</v>
      </c>
      <c r="J93" s="315">
        <f t="shared" si="3"/>
        <v>0</v>
      </c>
      <c r="K93" s="302">
        <f>SUM(K80:K92)</f>
        <v>0</v>
      </c>
      <c r="L93" s="303">
        <f t="shared" si="3"/>
        <v>0</v>
      </c>
    </row>
    <row r="94" spans="3:12">
      <c r="F94" s="115"/>
    </row>
    <row r="95" spans="3:12">
      <c r="C95" t="s">
        <v>194</v>
      </c>
      <c r="D95" s="105"/>
      <c r="E95" s="105"/>
      <c r="F95" s="316"/>
      <c r="G95" s="105"/>
      <c r="H95" s="105"/>
      <c r="I95" s="105"/>
      <c r="J95" s="105"/>
      <c r="K95" s="105"/>
      <c r="L95" s="105"/>
    </row>
    <row r="96" spans="3:12">
      <c r="C96" s="138" t="s">
        <v>440</v>
      </c>
      <c r="D96" s="264">
        <v>28000</v>
      </c>
      <c r="E96" s="264"/>
      <c r="F96" s="192">
        <v>42110</v>
      </c>
      <c r="G96" s="264">
        <v>41960</v>
      </c>
      <c r="H96" s="264">
        <v>41930</v>
      </c>
      <c r="I96" s="264">
        <v>42060</v>
      </c>
      <c r="J96" s="264">
        <v>42150</v>
      </c>
      <c r="K96" s="264"/>
      <c r="L96" s="264"/>
    </row>
    <row r="97" spans="3:10" s="42" customFormat="1">
      <c r="C97" s="42" t="s">
        <v>312</v>
      </c>
      <c r="D97" s="94">
        <f>D93-D95</f>
        <v>0</v>
      </c>
      <c r="E97" s="94">
        <f t="shared" ref="E97:J97" si="4">E93-E95</f>
        <v>0</v>
      </c>
      <c r="F97" s="94">
        <f t="shared" si="4"/>
        <v>0</v>
      </c>
      <c r="G97" s="94">
        <f t="shared" si="4"/>
        <v>0</v>
      </c>
      <c r="H97" s="94">
        <f t="shared" si="4"/>
        <v>0</v>
      </c>
      <c r="I97" s="94">
        <f t="shared" si="4"/>
        <v>0</v>
      </c>
      <c r="J97" s="94">
        <f t="shared" si="4"/>
        <v>0</v>
      </c>
    </row>
    <row r="98" spans="3:10">
      <c r="D98" s="115"/>
    </row>
    <row r="99" spans="3:10">
      <c r="D99" s="115"/>
    </row>
    <row r="100" spans="3:10">
      <c r="E100" s="115"/>
      <c r="F100" s="115"/>
    </row>
    <row r="101" spans="3:10">
      <c r="E101" s="115"/>
      <c r="F101" s="115"/>
    </row>
    <row r="102" spans="3:10">
      <c r="E102" s="115"/>
      <c r="F102" s="115"/>
    </row>
    <row r="103" spans="3:10">
      <c r="E103" s="115"/>
      <c r="F103" s="115"/>
    </row>
    <row r="104" spans="3:10">
      <c r="E104" s="115"/>
      <c r="F104" s="115"/>
    </row>
    <row r="105" spans="3:10">
      <c r="E105" s="115"/>
      <c r="F105" s="115"/>
    </row>
    <row r="106" spans="3:10">
      <c r="E106" s="115"/>
      <c r="F106" s="115"/>
    </row>
    <row r="107" spans="3:10">
      <c r="E107" s="115"/>
      <c r="F107" s="115"/>
    </row>
    <row r="108" spans="3:10">
      <c r="E108" s="115"/>
      <c r="F108" s="115"/>
    </row>
    <row r="109" spans="3:10">
      <c r="E109" s="115"/>
      <c r="F109" s="115"/>
    </row>
    <row r="110" spans="3:10">
      <c r="E110" s="115"/>
      <c r="F110" s="115"/>
    </row>
    <row r="111" spans="3:10">
      <c r="E111" s="115"/>
      <c r="F111" s="115"/>
    </row>
    <row r="112" spans="3:10">
      <c r="E112" s="115"/>
      <c r="F112" s="115"/>
    </row>
    <row r="113" spans="5:6">
      <c r="E113" s="115"/>
      <c r="F113" s="115"/>
    </row>
    <row r="114" spans="5:6">
      <c r="E114" s="115"/>
      <c r="F114" s="115"/>
    </row>
    <row r="115" spans="5:6">
      <c r="E115" s="115"/>
      <c r="F115" s="115"/>
    </row>
    <row r="116" spans="5:6">
      <c r="E116" s="115"/>
      <c r="F116" s="115"/>
    </row>
    <row r="117" spans="5:6">
      <c r="E117" s="115"/>
      <c r="F117" s="115"/>
    </row>
    <row r="118" spans="5:6">
      <c r="E118" s="115"/>
      <c r="F118" s="115"/>
    </row>
    <row r="119" spans="5:6">
      <c r="E119" s="115"/>
      <c r="F119" s="115"/>
    </row>
    <row r="120" spans="5:6">
      <c r="E120" s="115"/>
      <c r="F120" s="115"/>
    </row>
    <row r="121" spans="5:6">
      <c r="E121" s="115"/>
      <c r="F121" s="115"/>
    </row>
    <row r="122" spans="5:6">
      <c r="E122" s="115"/>
      <c r="F122" s="115"/>
    </row>
    <row r="123" spans="5:6">
      <c r="E123" s="115"/>
      <c r="F123" s="115"/>
    </row>
    <row r="124" spans="5:6">
      <c r="E124" s="115"/>
      <c r="F124" s="115"/>
    </row>
    <row r="125" spans="5:6">
      <c r="E125" s="115"/>
      <c r="F125" s="115"/>
    </row>
    <row r="126" spans="5:6">
      <c r="E126" s="115"/>
      <c r="F126" s="115"/>
    </row>
    <row r="127" spans="5:6">
      <c r="E127" s="115"/>
      <c r="F127" s="115"/>
    </row>
    <row r="128" spans="5:6">
      <c r="E128" s="115"/>
      <c r="F128" s="115"/>
    </row>
    <row r="129" spans="5:6">
      <c r="E129" s="115"/>
      <c r="F129" s="115"/>
    </row>
    <row r="130" spans="5:6">
      <c r="E130" s="115"/>
      <c r="F130" s="115"/>
    </row>
    <row r="131" spans="5:6">
      <c r="E131" s="115"/>
      <c r="F131" s="115"/>
    </row>
    <row r="132" spans="5:6">
      <c r="E132" s="115"/>
      <c r="F132" s="115"/>
    </row>
    <row r="133" spans="5:6">
      <c r="E133" s="115"/>
      <c r="F133" s="115"/>
    </row>
    <row r="134" spans="5:6">
      <c r="E134" s="115"/>
      <c r="F134" s="115"/>
    </row>
    <row r="135" spans="5:6">
      <c r="E135" s="115"/>
      <c r="F135" s="115"/>
    </row>
    <row r="136" spans="5:6">
      <c r="E136" s="115"/>
      <c r="F136" s="115"/>
    </row>
    <row r="137" spans="5:6">
      <c r="E137" s="115"/>
      <c r="F137" s="115"/>
    </row>
    <row r="138" spans="5:6">
      <c r="E138" s="115"/>
      <c r="F138" s="115"/>
    </row>
    <row r="139" spans="5:6">
      <c r="E139" s="115"/>
      <c r="F139" s="115"/>
    </row>
    <row r="140" spans="5:6">
      <c r="E140" s="115"/>
      <c r="F140" s="115"/>
    </row>
    <row r="141" spans="5:6">
      <c r="E141" s="115"/>
      <c r="F141" s="115"/>
    </row>
    <row r="142" spans="5:6">
      <c r="E142" s="115"/>
      <c r="F142" s="115"/>
    </row>
    <row r="143" spans="5:6">
      <c r="E143" s="115"/>
      <c r="F143" s="115"/>
    </row>
    <row r="144" spans="5:6">
      <c r="E144" s="115"/>
      <c r="F144" s="115"/>
    </row>
    <row r="145" spans="5:6">
      <c r="E145" s="115"/>
      <c r="F145" s="115"/>
    </row>
    <row r="146" spans="5:6">
      <c r="E146" s="115"/>
      <c r="F146" s="115"/>
    </row>
    <row r="147" spans="5:6">
      <c r="E147" s="115"/>
      <c r="F147" s="115"/>
    </row>
    <row r="148" spans="5:6">
      <c r="E148" s="115"/>
      <c r="F148" s="115"/>
    </row>
    <row r="149" spans="5:6">
      <c r="E149" s="115"/>
      <c r="F149" s="115"/>
    </row>
    <row r="150" spans="5:6">
      <c r="E150" s="115"/>
      <c r="F150" s="115"/>
    </row>
    <row r="151" spans="5:6">
      <c r="E151" s="115"/>
      <c r="F151" s="115"/>
    </row>
    <row r="152" spans="5:6">
      <c r="E152" s="115"/>
      <c r="F152" s="115"/>
    </row>
    <row r="153" spans="5:6">
      <c r="E153" s="115"/>
      <c r="F153" s="115"/>
    </row>
    <row r="154" spans="5:6">
      <c r="E154" s="115"/>
      <c r="F154" s="115"/>
    </row>
    <row r="155" spans="5:6">
      <c r="E155" s="115"/>
      <c r="F155" s="115"/>
    </row>
    <row r="156" spans="5:6">
      <c r="E156" s="115"/>
      <c r="F156" s="115"/>
    </row>
    <row r="157" spans="5:6">
      <c r="E157" s="115"/>
      <c r="F157" s="115"/>
    </row>
    <row r="158" spans="5:6">
      <c r="E158" s="115"/>
      <c r="F158" s="115"/>
    </row>
    <row r="159" spans="5:6">
      <c r="E159" s="115"/>
      <c r="F159" s="115"/>
    </row>
    <row r="160" spans="5:6">
      <c r="E160" s="115"/>
      <c r="F160" s="115"/>
    </row>
    <row r="161" spans="5:6">
      <c r="E161" s="115"/>
      <c r="F161" s="115"/>
    </row>
    <row r="162" spans="5:6">
      <c r="E162" s="115"/>
      <c r="F162" s="115"/>
    </row>
    <row r="163" spans="5:6">
      <c r="E163" s="115"/>
      <c r="F163" s="115"/>
    </row>
    <row r="164" spans="5:6">
      <c r="E164" s="115"/>
      <c r="F164" s="115"/>
    </row>
    <row r="165" spans="5:6">
      <c r="E165" s="115"/>
      <c r="F165" s="115"/>
    </row>
    <row r="166" spans="5:6">
      <c r="E166" s="115"/>
      <c r="F166" s="115"/>
    </row>
    <row r="167" spans="5:6">
      <c r="E167" s="115"/>
      <c r="F167" s="115"/>
    </row>
    <row r="168" spans="5:6">
      <c r="E168" s="115"/>
      <c r="F168" s="115"/>
    </row>
    <row r="169" spans="5:6">
      <c r="E169" s="115"/>
      <c r="F169" s="115"/>
    </row>
    <row r="170" spans="5:6">
      <c r="E170" s="115"/>
      <c r="F170" s="115"/>
    </row>
    <row r="171" spans="5:6">
      <c r="E171" s="115"/>
      <c r="F171" s="115"/>
    </row>
    <row r="172" spans="5:6">
      <c r="E172" s="115"/>
      <c r="F172" s="115"/>
    </row>
    <row r="173" spans="5:6">
      <c r="E173" s="115"/>
      <c r="F173" s="115"/>
    </row>
    <row r="174" spans="5:6">
      <c r="E174" s="115"/>
      <c r="F174" s="115"/>
    </row>
    <row r="175" spans="5:6">
      <c r="E175" s="115"/>
      <c r="F175" s="115"/>
    </row>
    <row r="176" spans="5:6">
      <c r="E176" s="115"/>
      <c r="F176" s="115"/>
    </row>
    <row r="177" spans="5:6">
      <c r="E177" s="115"/>
      <c r="F177" s="115"/>
    </row>
    <row r="178" spans="5:6">
      <c r="E178" s="115"/>
      <c r="F178" s="115"/>
    </row>
    <row r="179" spans="5:6">
      <c r="E179" s="115"/>
      <c r="F179" s="115"/>
    </row>
  </sheetData>
  <mergeCells count="62"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B15:C15"/>
    <mergeCell ref="G15:I15"/>
    <mergeCell ref="B16:C16"/>
    <mergeCell ref="G16:I16"/>
    <mergeCell ref="B17:C17"/>
    <mergeCell ref="G17:I17"/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F19" sqref="F1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2" t="s">
        <v>0</v>
      </c>
      <c r="B1" s="53"/>
      <c r="C1" s="366" t="str">
        <f>Index!$C$1</f>
        <v>Craig Ross Superannuation Fund</v>
      </c>
      <c r="D1" s="366"/>
      <c r="E1" s="366"/>
      <c r="F1" s="54"/>
      <c r="H1" s="56" t="s">
        <v>2</v>
      </c>
      <c r="I1" s="56" t="s">
        <v>3</v>
      </c>
    </row>
    <row r="2" spans="1:14" ht="18">
      <c r="A2" s="122" t="s">
        <v>4</v>
      </c>
      <c r="B2" s="53"/>
      <c r="C2" s="366" t="str">
        <f>Index!$C$2</f>
        <v>P9CRAI</v>
      </c>
      <c r="D2" s="366"/>
      <c r="E2" s="366"/>
      <c r="F2" s="55"/>
      <c r="G2" s="59" t="s">
        <v>6</v>
      </c>
      <c r="H2" s="60" t="str">
        <f>Index!$H$2</f>
        <v>MM</v>
      </c>
      <c r="I2" s="61">
        <f>Index!$I$2</f>
        <v>45090</v>
      </c>
    </row>
    <row r="3" spans="1:14" ht="18">
      <c r="A3" s="122" t="s">
        <v>8</v>
      </c>
      <c r="B3" s="53"/>
      <c r="C3" s="367">
        <f>Index!$C$3</f>
        <v>43646</v>
      </c>
      <c r="D3" s="366"/>
      <c r="E3" s="366"/>
      <c r="F3" s="55"/>
      <c r="G3" s="59" t="s">
        <v>9</v>
      </c>
      <c r="H3" s="60" t="str">
        <f>Index!$H$3</f>
        <v>DB</v>
      </c>
      <c r="I3" s="61">
        <f>Index!$I$3</f>
        <v>45099</v>
      </c>
    </row>
    <row r="4" spans="1:14" ht="18">
      <c r="D4" s="53"/>
      <c r="E4" s="53"/>
      <c r="F4" s="64"/>
      <c r="G4" s="65"/>
      <c r="I4" s="66"/>
    </row>
    <row r="5" spans="1:14" ht="18">
      <c r="A5" s="124" t="s">
        <v>441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143</v>
      </c>
      <c r="B8" s="416" t="s">
        <v>144</v>
      </c>
      <c r="C8" s="417"/>
      <c r="D8" s="417"/>
      <c r="E8" s="418"/>
      <c r="F8" s="68" t="s">
        <v>145</v>
      </c>
      <c r="G8" s="416" t="s">
        <v>192</v>
      </c>
      <c r="H8" s="380"/>
      <c r="I8" s="381"/>
    </row>
    <row r="10" spans="1:14">
      <c r="F10" s="70"/>
    </row>
    <row r="11" spans="1:14">
      <c r="A11" s="65"/>
      <c r="B11" s="65"/>
      <c r="C11" s="65" t="s">
        <v>442</v>
      </c>
      <c r="G11" s="85" t="s">
        <v>91</v>
      </c>
      <c r="I11" s="47" t="s">
        <v>443</v>
      </c>
    </row>
    <row r="12" spans="1:14">
      <c r="A12" s="65"/>
      <c r="B12" s="65"/>
      <c r="C12" t="s">
        <v>444</v>
      </c>
      <c r="G12" s="86"/>
      <c r="I12" s="58">
        <v>0</v>
      </c>
    </row>
    <row r="13" spans="1:14">
      <c r="A13" s="65"/>
      <c r="B13" s="65"/>
      <c r="C13" t="s">
        <v>445</v>
      </c>
      <c r="G13" s="86"/>
      <c r="I13" s="58">
        <f>+G13/11*0.75</f>
        <v>0</v>
      </c>
    </row>
    <row r="14" spans="1:14">
      <c r="C14" t="s">
        <v>446</v>
      </c>
      <c r="G14" s="86"/>
      <c r="I14" s="58">
        <v>0</v>
      </c>
    </row>
    <row r="15" spans="1:14">
      <c r="C15" t="s">
        <v>447</v>
      </c>
      <c r="G15" s="87"/>
      <c r="I15" s="88">
        <f>+G15/11*0.75</f>
        <v>0</v>
      </c>
      <c r="K15" t="s">
        <v>448</v>
      </c>
      <c r="N15" s="89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449</v>
      </c>
      <c r="N16" s="90"/>
    </row>
    <row r="17" spans="1:14">
      <c r="A17" s="65"/>
      <c r="B17" s="65"/>
      <c r="C17" s="65"/>
      <c r="F17" s="70"/>
      <c r="K17" t="s">
        <v>450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451</v>
      </c>
      <c r="N18" t="e">
        <f>ROUNDDOWN(N16*N15,0)</f>
        <v>#DIV/0!</v>
      </c>
    </row>
    <row r="19" spans="1:14">
      <c r="C19" s="77" t="s">
        <v>452</v>
      </c>
      <c r="E19" s="47" t="s">
        <v>450</v>
      </c>
      <c r="F19" s="85" t="s">
        <v>451</v>
      </c>
      <c r="G19" s="47" t="s">
        <v>91</v>
      </c>
      <c r="I19" s="47" t="s">
        <v>453</v>
      </c>
    </row>
    <row r="20" spans="1:14">
      <c r="C20" s="73">
        <v>44105</v>
      </c>
      <c r="E20" s="86"/>
      <c r="F20" s="86"/>
      <c r="G20" s="91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>
      <c r="C22" s="73">
        <v>44287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>
      <c r="C23" s="73">
        <v>44378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>
      <c r="F25" s="70"/>
    </row>
    <row r="26" spans="1:14">
      <c r="C26" s="77" t="s">
        <v>454</v>
      </c>
      <c r="F26" s="80"/>
    </row>
    <row r="27" spans="1:14">
      <c r="C27" t="s">
        <v>455</v>
      </c>
      <c r="G27" s="91">
        <f>+G12</f>
        <v>0</v>
      </c>
    </row>
    <row r="28" spans="1:14">
      <c r="C28" t="s">
        <v>456</v>
      </c>
      <c r="F28" s="80"/>
      <c r="G28" s="91">
        <f>+G13</f>
        <v>0</v>
      </c>
      <c r="I28" s="58">
        <f>+G28/11*0.75</f>
        <v>0</v>
      </c>
    </row>
    <row r="29" spans="1:14">
      <c r="C29" t="s">
        <v>450</v>
      </c>
      <c r="F29" s="79"/>
      <c r="G29" s="91">
        <f>+G14-E24</f>
        <v>0</v>
      </c>
    </row>
    <row r="30" spans="1:14">
      <c r="C30" t="s">
        <v>451</v>
      </c>
      <c r="F30" s="70"/>
      <c r="G30" s="92">
        <f>+G15-F24</f>
        <v>0</v>
      </c>
      <c r="I30" s="88">
        <f>+G30/11*0.75</f>
        <v>0</v>
      </c>
    </row>
    <row r="31" spans="1:14">
      <c r="G31" s="91">
        <f>SUM(G27:G30)</f>
        <v>0</v>
      </c>
      <c r="I31" s="58">
        <f>SUM(I27:I30)</f>
        <v>0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89576-143C-427B-B5BC-42BE319488A9}">
  <sheetPr>
    <tabColor rgb="FFFFFF66"/>
  </sheetPr>
  <dimension ref="A1:N37"/>
  <sheetViews>
    <sheetView workbookViewId="0">
      <selection activeCell="I24" sqref="I24"/>
    </sheetView>
  </sheetViews>
  <sheetFormatPr defaultRowHeight="15"/>
  <cols>
    <col min="1" max="1" width="11.5703125" bestFit="1" customWidth="1"/>
    <col min="2" max="2" width="25.140625" customWidth="1"/>
    <col min="3" max="3" width="49.5703125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2" t="s">
        <v>0</v>
      </c>
      <c r="B1" s="53"/>
      <c r="C1" s="366" t="str">
        <f>Index!$C$1</f>
        <v>Craig Ross Superannuation Fund</v>
      </c>
      <c r="D1" s="366"/>
      <c r="E1" s="366"/>
      <c r="F1" s="54"/>
      <c r="H1" s="56" t="s">
        <v>2</v>
      </c>
      <c r="I1" s="56" t="s">
        <v>3</v>
      </c>
    </row>
    <row r="2" spans="1:14" ht="18">
      <c r="A2" s="122" t="s">
        <v>4</v>
      </c>
      <c r="B2" s="53"/>
      <c r="C2" s="366" t="str">
        <f>Index!$C$2</f>
        <v>P9CRAI</v>
      </c>
      <c r="D2" s="366"/>
      <c r="E2" s="366"/>
      <c r="F2" s="55"/>
      <c r="G2" s="59" t="s">
        <v>6</v>
      </c>
      <c r="H2" s="60" t="str">
        <f>Index!$H$2</f>
        <v>MM</v>
      </c>
      <c r="I2" s="61">
        <f>Index!$I$2</f>
        <v>45090</v>
      </c>
    </row>
    <row r="3" spans="1:14" ht="18">
      <c r="A3" s="122" t="s">
        <v>8</v>
      </c>
      <c r="B3" s="53"/>
      <c r="C3" s="367">
        <f>Index!$C$3</f>
        <v>43646</v>
      </c>
      <c r="D3" s="366"/>
      <c r="E3" s="366"/>
      <c r="F3" s="55"/>
      <c r="G3" s="59" t="s">
        <v>9</v>
      </c>
      <c r="H3" s="60" t="str">
        <f>Index!$H$3</f>
        <v>DB</v>
      </c>
      <c r="I3" s="61">
        <f>Index!$I$3</f>
        <v>45099</v>
      </c>
    </row>
    <row r="4" spans="1:14" ht="18">
      <c r="D4" s="53"/>
      <c r="E4" s="53"/>
      <c r="F4" s="64"/>
      <c r="G4" s="65"/>
      <c r="I4" s="66"/>
    </row>
    <row r="5" spans="1:14" ht="18">
      <c r="A5" s="124"/>
      <c r="D5" s="53"/>
      <c r="E5" s="53"/>
      <c r="F5" s="64"/>
      <c r="G5" s="65"/>
      <c r="I5" s="66"/>
    </row>
    <row r="6" spans="1:14" ht="18.75">
      <c r="A6" s="335" t="s">
        <v>78</v>
      </c>
      <c r="B6" s="336" t="s">
        <v>79</v>
      </c>
      <c r="C6" s="336" t="s">
        <v>80</v>
      </c>
      <c r="D6" s="336"/>
      <c r="E6" s="1"/>
      <c r="F6" s="125"/>
    </row>
    <row r="7" spans="1:14" ht="60">
      <c r="A7" s="338">
        <v>1</v>
      </c>
      <c r="B7" s="341" t="s">
        <v>81</v>
      </c>
      <c r="C7" s="341" t="s">
        <v>82</v>
      </c>
    </row>
    <row r="8" spans="1:14" ht="45">
      <c r="A8" s="338">
        <v>2</v>
      </c>
      <c r="B8" s="341" t="s">
        <v>83</v>
      </c>
      <c r="C8" s="341" t="s">
        <v>84</v>
      </c>
      <c r="H8" s="47"/>
    </row>
    <row r="9" spans="1:14">
      <c r="A9" s="338">
        <v>3</v>
      </c>
      <c r="B9" s="341"/>
      <c r="C9" s="341"/>
      <c r="D9" s="368"/>
      <c r="E9" s="368"/>
      <c r="F9" s="368"/>
      <c r="G9" s="368"/>
      <c r="I9" s="368"/>
      <c r="J9" s="368"/>
      <c r="K9" s="368"/>
      <c r="L9" s="368"/>
      <c r="N9" s="365"/>
    </row>
    <row r="10" spans="1:14">
      <c r="A10" s="338"/>
      <c r="B10" s="341"/>
      <c r="C10" s="341"/>
      <c r="D10" s="127"/>
      <c r="E10" s="127"/>
      <c r="F10" s="127"/>
      <c r="G10" s="47"/>
      <c r="I10" s="127"/>
      <c r="J10" s="127"/>
      <c r="K10" s="127"/>
      <c r="L10" s="47"/>
      <c r="N10" s="365"/>
    </row>
    <row r="11" spans="1:14">
      <c r="A11" s="338"/>
      <c r="B11" s="341"/>
      <c r="C11" s="341"/>
      <c r="D11" s="128"/>
      <c r="E11" s="128"/>
      <c r="F11" s="128"/>
      <c r="G11" s="128"/>
      <c r="I11" s="128"/>
      <c r="J11" s="128"/>
      <c r="K11" s="128"/>
      <c r="N11" s="365"/>
    </row>
    <row r="12" spans="1:14">
      <c r="A12" s="338"/>
      <c r="B12" s="341"/>
      <c r="C12" s="341"/>
    </row>
    <row r="13" spans="1:14">
      <c r="A13" s="338"/>
      <c r="B13" s="341"/>
      <c r="C13" s="341"/>
    </row>
    <row r="14" spans="1:14">
      <c r="A14" s="338"/>
      <c r="B14" s="341"/>
      <c r="C14" s="341"/>
      <c r="D14" s="127"/>
      <c r="E14" s="127"/>
      <c r="F14" s="127"/>
      <c r="G14" s="127"/>
      <c r="I14" s="127"/>
      <c r="J14" s="127"/>
      <c r="K14" s="127"/>
    </row>
    <row r="15" spans="1:14">
      <c r="A15" s="338"/>
      <c r="B15" s="341"/>
      <c r="C15" s="341"/>
    </row>
    <row r="16" spans="1:14">
      <c r="A16" s="338"/>
      <c r="B16" s="341"/>
      <c r="C16" s="341"/>
      <c r="D16" s="331"/>
      <c r="E16" s="331"/>
      <c r="F16" s="331"/>
      <c r="I16" s="331"/>
      <c r="J16" s="331"/>
      <c r="K16" s="331"/>
    </row>
    <row r="17" spans="1:14">
      <c r="A17" s="338"/>
      <c r="B17" s="341"/>
      <c r="C17" s="341"/>
      <c r="D17" s="331"/>
      <c r="E17" s="331"/>
      <c r="F17" s="331"/>
      <c r="I17" s="331"/>
      <c r="J17" s="331"/>
      <c r="K17" s="331"/>
    </row>
    <row r="18" spans="1:14">
      <c r="A18" s="338"/>
      <c r="B18" s="341"/>
      <c r="C18" s="341"/>
      <c r="D18" s="331"/>
      <c r="E18" s="331"/>
      <c r="F18" s="331"/>
      <c r="G18" s="331"/>
      <c r="I18" s="331"/>
      <c r="J18" s="331"/>
      <c r="K18" s="331"/>
    </row>
    <row r="19" spans="1:14">
      <c r="A19" s="338"/>
      <c r="B19" s="341"/>
      <c r="C19" s="341"/>
    </row>
    <row r="20" spans="1:14">
      <c r="A20" s="338"/>
      <c r="B20" s="341"/>
      <c r="C20" s="341"/>
      <c r="D20" s="332"/>
      <c r="E20" s="332"/>
      <c r="F20" s="332"/>
      <c r="G20" s="332"/>
      <c r="I20" s="332"/>
      <c r="J20" s="332"/>
      <c r="K20" s="332"/>
    </row>
    <row r="21" spans="1:14">
      <c r="A21" s="338"/>
      <c r="B21" s="341"/>
      <c r="C21" s="341"/>
    </row>
    <row r="22" spans="1:14">
      <c r="A22" s="338"/>
      <c r="B22" s="341"/>
      <c r="C22" s="341"/>
      <c r="D22" s="91"/>
      <c r="E22" s="91"/>
      <c r="F22" s="91"/>
      <c r="G22" s="91"/>
      <c r="I22" s="91"/>
      <c r="J22" s="91"/>
      <c r="K22" s="91"/>
    </row>
    <row r="23" spans="1:14" s="42" customFormat="1">
      <c r="A23" s="339"/>
      <c r="B23" s="342"/>
      <c r="C23" s="342"/>
      <c r="D23" s="43"/>
      <c r="E23" s="43"/>
      <c r="F23" s="43"/>
      <c r="G23" s="43"/>
      <c r="I23" s="43"/>
      <c r="J23" s="43"/>
      <c r="K23" s="43"/>
    </row>
    <row r="24" spans="1:14" s="44" customFormat="1">
      <c r="A24" s="340"/>
      <c r="B24" s="343"/>
      <c r="C24" s="343"/>
      <c r="D24" s="51"/>
      <c r="E24" s="51"/>
      <c r="F24" s="51"/>
      <c r="G24" s="334"/>
      <c r="I24" s="51"/>
      <c r="J24" s="51"/>
      <c r="K24" s="51"/>
      <c r="L24" s="334"/>
      <c r="N24" s="334"/>
    </row>
    <row r="25" spans="1:14">
      <c r="A25" s="338"/>
      <c r="B25" s="341"/>
      <c r="C25" s="341"/>
    </row>
    <row r="26" spans="1:14">
      <c r="A26" s="338"/>
      <c r="B26" s="341"/>
      <c r="C26" s="341"/>
      <c r="D26" s="91"/>
      <c r="E26" s="91"/>
      <c r="F26" s="91"/>
      <c r="G26" s="91"/>
      <c r="I26" s="91"/>
      <c r="J26" s="91"/>
      <c r="K26" s="91"/>
    </row>
    <row r="27" spans="1:14">
      <c r="A27" s="338"/>
      <c r="B27" s="341"/>
      <c r="C27" s="341"/>
    </row>
    <row r="28" spans="1:14">
      <c r="A28" s="338"/>
      <c r="B28" s="341"/>
      <c r="C28" s="341"/>
    </row>
    <row r="29" spans="1:14">
      <c r="A29" s="338"/>
      <c r="B29" s="341"/>
      <c r="C29" s="341"/>
    </row>
    <row r="30" spans="1:14">
      <c r="A30" s="337"/>
      <c r="B30" s="344"/>
      <c r="C30" s="344"/>
      <c r="D30" s="47"/>
    </row>
    <row r="31" spans="1:14">
      <c r="A31" s="338"/>
      <c r="B31" s="341"/>
      <c r="C31" s="345"/>
      <c r="D31" s="333"/>
    </row>
    <row r="32" spans="1:14">
      <c r="A32" s="338"/>
      <c r="B32" s="341"/>
      <c r="C32" s="345"/>
      <c r="D32" s="333"/>
    </row>
    <row r="33" spans="1:4">
      <c r="A33" s="338"/>
      <c r="B33" s="341"/>
      <c r="C33" s="345"/>
      <c r="D33" s="333"/>
    </row>
    <row r="34" spans="1:4">
      <c r="C34" s="333"/>
      <c r="D34" s="333"/>
    </row>
    <row r="35" spans="1:4">
      <c r="C35" s="333"/>
      <c r="D35" s="333"/>
    </row>
    <row r="36" spans="1:4">
      <c r="C36" s="333"/>
      <c r="D36" s="333"/>
    </row>
    <row r="37" spans="1:4">
      <c r="C37" s="333"/>
      <c r="D37" s="333"/>
    </row>
  </sheetData>
  <mergeCells count="6">
    <mergeCell ref="N9:N11"/>
    <mergeCell ref="C1:E1"/>
    <mergeCell ref="C2:E2"/>
    <mergeCell ref="C3:E3"/>
    <mergeCell ref="D9:G9"/>
    <mergeCell ref="I9:L9"/>
  </mergeCells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F19" sqref="F1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2" t="s">
        <v>0</v>
      </c>
      <c r="B1" s="53"/>
      <c r="C1" s="366" t="str">
        <f>Index!$C$1</f>
        <v>Craig Ross Superannuation Fund</v>
      </c>
      <c r="D1" s="366"/>
      <c r="E1" s="366"/>
      <c r="F1" s="54"/>
      <c r="H1" s="56" t="s">
        <v>2</v>
      </c>
      <c r="I1" s="56" t="s">
        <v>3</v>
      </c>
      <c r="J1" s="272"/>
    </row>
    <row r="2" spans="1:13" ht="18">
      <c r="A2" s="122" t="s">
        <v>4</v>
      </c>
      <c r="B2" s="53"/>
      <c r="C2" s="366" t="str">
        <f>Index!$C$2</f>
        <v>P9CRAI</v>
      </c>
      <c r="D2" s="366"/>
      <c r="E2" s="366"/>
      <c r="F2" s="55"/>
      <c r="G2" s="59" t="s">
        <v>6</v>
      </c>
      <c r="H2" s="60" t="str">
        <f>Index!$H$2</f>
        <v>MM</v>
      </c>
      <c r="I2" s="61">
        <f>Index!$I$2</f>
        <v>45090</v>
      </c>
      <c r="J2" s="66"/>
    </row>
    <row r="3" spans="1:13" ht="18">
      <c r="A3" s="122" t="s">
        <v>8</v>
      </c>
      <c r="B3" s="53"/>
      <c r="C3" s="367">
        <f>Index!$C$3</f>
        <v>43646</v>
      </c>
      <c r="D3" s="366"/>
      <c r="E3" s="366"/>
      <c r="F3" s="55"/>
      <c r="G3" s="59" t="s">
        <v>9</v>
      </c>
      <c r="H3" s="60" t="str">
        <f>Index!$H$3</f>
        <v>DB</v>
      </c>
      <c r="I3" s="61">
        <f>Index!$I$3</f>
        <v>45099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4" t="s">
        <v>457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5"/>
      <c r="G6" s="4"/>
      <c r="I6" s="66"/>
      <c r="J6" s="66"/>
    </row>
    <row r="8" spans="1:13" s="69" customFormat="1" ht="25.5">
      <c r="A8" s="129" t="s">
        <v>143</v>
      </c>
      <c r="B8" s="409" t="s">
        <v>144</v>
      </c>
      <c r="C8" s="410"/>
      <c r="D8" s="410"/>
      <c r="E8" s="419"/>
      <c r="F8" s="130" t="s">
        <v>145</v>
      </c>
      <c r="G8" s="409" t="s">
        <v>192</v>
      </c>
      <c r="H8" s="380"/>
      <c r="I8" s="381"/>
    </row>
    <row r="10" spans="1:13">
      <c r="F10" s="70"/>
    </row>
    <row r="11" spans="1:13">
      <c r="A11" s="77">
        <v>30900</v>
      </c>
      <c r="B11" s="77"/>
      <c r="C11" s="77" t="s">
        <v>458</v>
      </c>
      <c r="F11" s="70"/>
    </row>
    <row r="12" spans="1:13">
      <c r="C12" t="s">
        <v>459</v>
      </c>
      <c r="G12" s="261">
        <f>L13</f>
        <v>0</v>
      </c>
      <c r="K12" s="47" t="s">
        <v>460</v>
      </c>
      <c r="L12" s="47" t="s">
        <v>145</v>
      </c>
    </row>
    <row r="13" spans="1:13">
      <c r="C13" t="s">
        <v>461</v>
      </c>
      <c r="G13" s="70">
        <f>+G12/11*0.75</f>
        <v>0</v>
      </c>
      <c r="H13" t="s">
        <v>462</v>
      </c>
      <c r="K13" t="s">
        <v>463</v>
      </c>
    </row>
    <row r="14" spans="1:13">
      <c r="C14" t="s">
        <v>464</v>
      </c>
      <c r="G14" s="84">
        <f>+G12-G13</f>
        <v>0</v>
      </c>
      <c r="K14" t="s">
        <v>465</v>
      </c>
    </row>
    <row r="15" spans="1:13">
      <c r="G15" s="70"/>
      <c r="K15" t="s">
        <v>466</v>
      </c>
    </row>
    <row r="16" spans="1:13" ht="15.75" thickBot="1">
      <c r="G16" s="58"/>
      <c r="L16" s="260">
        <f>SUM(L13:L15)</f>
        <v>0</v>
      </c>
      <c r="M16" t="s">
        <v>467</v>
      </c>
    </row>
    <row r="17" spans="1:8" ht="15.75" thickTop="1">
      <c r="A17" s="77">
        <v>37500</v>
      </c>
      <c r="B17" s="77"/>
      <c r="C17" s="77" t="s">
        <v>468</v>
      </c>
      <c r="G17" s="58"/>
    </row>
    <row r="18" spans="1:8">
      <c r="C18" t="s">
        <v>469</v>
      </c>
      <c r="G18" s="258">
        <f>L14</f>
        <v>0</v>
      </c>
    </row>
    <row r="19" spans="1:8">
      <c r="C19" t="s">
        <v>470</v>
      </c>
      <c r="G19" s="262">
        <f>L15</f>
        <v>0</v>
      </c>
    </row>
    <row r="20" spans="1:8">
      <c r="G20" s="58">
        <f>SUM(G18:G19)</f>
        <v>0</v>
      </c>
    </row>
    <row r="21" spans="1:8">
      <c r="C21" t="s">
        <v>461</v>
      </c>
      <c r="G21" s="70">
        <f>+G20/11*0.75</f>
        <v>0</v>
      </c>
      <c r="H21" t="s">
        <v>462</v>
      </c>
    </row>
    <row r="22" spans="1:8">
      <c r="C22" t="s">
        <v>471</v>
      </c>
      <c r="G22" s="84">
        <f>+G20-G21</f>
        <v>0</v>
      </c>
    </row>
    <row r="27" spans="1:8">
      <c r="G27" s="257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workbookViewId="0">
      <selection activeCell="D10" sqref="D10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2" t="s">
        <v>0</v>
      </c>
      <c r="B1" s="53"/>
      <c r="C1" s="366" t="str">
        <f>Index!$C$1</f>
        <v>Craig Ross Superannuation Fund</v>
      </c>
      <c r="D1" s="366"/>
      <c r="E1" s="366"/>
      <c r="F1" s="54"/>
      <c r="H1" s="56" t="s">
        <v>2</v>
      </c>
      <c r="I1" s="56" t="s">
        <v>3</v>
      </c>
    </row>
    <row r="2" spans="1:14" ht="18">
      <c r="A2" s="122" t="s">
        <v>4</v>
      </c>
      <c r="B2" s="53"/>
      <c r="C2" s="366" t="str">
        <f>Index!$C$2</f>
        <v>P9CRAI</v>
      </c>
      <c r="D2" s="366"/>
      <c r="E2" s="366"/>
      <c r="F2" s="55"/>
      <c r="G2" s="59" t="s">
        <v>6</v>
      </c>
      <c r="H2" s="60" t="str">
        <f>Index!$H$2</f>
        <v>MM</v>
      </c>
      <c r="I2" s="61">
        <f>Index!$I$2</f>
        <v>45090</v>
      </c>
    </row>
    <row r="3" spans="1:14" ht="18">
      <c r="A3" s="122" t="s">
        <v>8</v>
      </c>
      <c r="B3" s="53"/>
      <c r="C3" s="367">
        <f>Index!$C$3</f>
        <v>43646</v>
      </c>
      <c r="D3" s="366"/>
      <c r="E3" s="366"/>
      <c r="F3" s="55"/>
      <c r="G3" s="59" t="s">
        <v>9</v>
      </c>
      <c r="H3" s="60" t="str">
        <f>Index!$H$3</f>
        <v>DB</v>
      </c>
      <c r="I3" s="61">
        <f>Index!$I$3</f>
        <v>45099</v>
      </c>
    </row>
    <row r="4" spans="1:14" ht="18">
      <c r="D4" s="53"/>
      <c r="E4" s="53"/>
      <c r="F4" s="64"/>
      <c r="G4" s="65"/>
      <c r="I4" s="66"/>
    </row>
    <row r="5" spans="1:14" ht="18">
      <c r="A5" s="124" t="s">
        <v>85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5"/>
    </row>
    <row r="8" spans="1:14">
      <c r="H8" s="47"/>
    </row>
    <row r="9" spans="1:14">
      <c r="B9" t="s">
        <v>86</v>
      </c>
      <c r="D9" s="369" t="s">
        <v>87</v>
      </c>
      <c r="E9" s="369"/>
      <c r="F9" s="369"/>
      <c r="G9" s="369"/>
      <c r="I9" s="369" t="s">
        <v>88</v>
      </c>
      <c r="J9" s="369"/>
      <c r="K9" s="369"/>
      <c r="L9" s="369"/>
      <c r="N9" s="365" t="s">
        <v>89</v>
      </c>
    </row>
    <row r="10" spans="1:14">
      <c r="B10" t="s">
        <v>90</v>
      </c>
      <c r="D10" s="126"/>
      <c r="E10" s="127">
        <f>+D10</f>
        <v>0</v>
      </c>
      <c r="F10" s="127">
        <f>+D10</f>
        <v>0</v>
      </c>
      <c r="G10" s="47" t="s">
        <v>91</v>
      </c>
      <c r="I10" s="126"/>
      <c r="J10" s="127">
        <f>+I10</f>
        <v>0</v>
      </c>
      <c r="K10" s="127">
        <f>+I10</f>
        <v>0</v>
      </c>
      <c r="L10" s="47" t="s">
        <v>91</v>
      </c>
      <c r="N10" s="365"/>
    </row>
    <row r="11" spans="1:14">
      <c r="B11" t="s">
        <v>92</v>
      </c>
      <c r="D11" s="128">
        <f>(D14-D10)/365.25</f>
        <v>122.4996577686516</v>
      </c>
      <c r="E11" s="128">
        <f>(E14-E10)/365.25</f>
        <v>122.4996577686516</v>
      </c>
      <c r="F11" s="128">
        <f>(F14-F10)/365.25</f>
        <v>122.4996577686516</v>
      </c>
      <c r="G11" s="128"/>
      <c r="I11" s="128">
        <f>(I14-I10)/365.25</f>
        <v>122.4996577686516</v>
      </c>
      <c r="J11" s="128">
        <f>(J14-J10)/365.25</f>
        <v>122.4996577686516</v>
      </c>
      <c r="K11" s="128">
        <f>(K14-K10)/365.25</f>
        <v>122.4996577686516</v>
      </c>
      <c r="N11" s="365"/>
    </row>
    <row r="14" spans="1:14">
      <c r="B14" t="s">
        <v>93</v>
      </c>
      <c r="D14" s="127">
        <v>44743</v>
      </c>
      <c r="E14" s="127">
        <v>44743</v>
      </c>
      <c r="F14" s="127">
        <v>44743</v>
      </c>
      <c r="G14" s="127"/>
      <c r="I14" s="127">
        <v>44743</v>
      </c>
      <c r="J14" s="127">
        <v>44743</v>
      </c>
      <c r="K14" s="127">
        <v>44743</v>
      </c>
    </row>
    <row r="16" spans="1:14">
      <c r="B16" t="s">
        <v>94</v>
      </c>
      <c r="D16" s="258"/>
      <c r="E16" s="258"/>
      <c r="F16" s="258"/>
      <c r="I16" s="258"/>
      <c r="J16" s="258"/>
      <c r="K16" s="258"/>
    </row>
    <row r="17" spans="1:14">
      <c r="B17" t="s">
        <v>95</v>
      </c>
      <c r="D17" s="258" t="s">
        <v>96</v>
      </c>
      <c r="E17" s="258" t="s">
        <v>96</v>
      </c>
      <c r="F17" s="258" t="s">
        <v>96</v>
      </c>
      <c r="I17" s="258" t="s">
        <v>97</v>
      </c>
      <c r="J17" s="258" t="s">
        <v>96</v>
      </c>
      <c r="K17" s="258" t="s">
        <v>96</v>
      </c>
    </row>
    <row r="18" spans="1:14">
      <c r="B18" t="s">
        <v>98</v>
      </c>
      <c r="D18" s="258"/>
      <c r="E18" s="258"/>
      <c r="F18" s="258"/>
      <c r="G18" s="259"/>
      <c r="I18" s="258"/>
      <c r="J18" s="258"/>
      <c r="K18" s="258"/>
    </row>
    <row r="20" spans="1:14">
      <c r="B20" t="s">
        <v>99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100</v>
      </c>
      <c r="D22" s="91">
        <f>D18*D20</f>
        <v>0</v>
      </c>
      <c r="E22" s="91">
        <f>E18*E20</f>
        <v>0</v>
      </c>
      <c r="F22" s="91">
        <f>F18*F20</f>
        <v>0</v>
      </c>
      <c r="G22" s="91"/>
      <c r="I22" s="91">
        <f>I18*I20</f>
        <v>0</v>
      </c>
      <c r="J22" s="91">
        <f>J18*J20</f>
        <v>0</v>
      </c>
      <c r="K22" s="91">
        <f>K18*K20</f>
        <v>0</v>
      </c>
    </row>
    <row r="23" spans="1:14" s="42" customFormat="1">
      <c r="B23" s="42" t="s">
        <v>101</v>
      </c>
      <c r="D23" s="43">
        <f>D18*(D20/2)</f>
        <v>0</v>
      </c>
      <c r="E23" s="43">
        <f>E18*(E20/2)</f>
        <v>0</v>
      </c>
      <c r="F23" s="43">
        <f>F18*(F20/2)</f>
        <v>0</v>
      </c>
      <c r="G23" s="43"/>
      <c r="I23" s="43">
        <f>I18*(I20/2)</f>
        <v>0</v>
      </c>
      <c r="J23" s="43">
        <f>J18*(J20/2)</f>
        <v>0</v>
      </c>
      <c r="K23" s="43">
        <f>K18*(K20/2)</f>
        <v>0</v>
      </c>
    </row>
    <row r="24" spans="1:14" s="44" customFormat="1" ht="15.75" thickBot="1">
      <c r="B24" s="44" t="s">
        <v>102</v>
      </c>
      <c r="D24" s="51">
        <f>ROUND(D23,-1)</f>
        <v>0</v>
      </c>
      <c r="E24" s="51">
        <f>ROUND(E23,-1)</f>
        <v>0</v>
      </c>
      <c r="F24" s="51">
        <f>ROUND(F23,-1)</f>
        <v>0</v>
      </c>
      <c r="G24" s="46">
        <f>SUM(D24:F24)</f>
        <v>0</v>
      </c>
      <c r="I24" s="51">
        <f>ROUND(I23,-1)</f>
        <v>0</v>
      </c>
      <c r="J24" s="51">
        <f>ROUND(J23,-1)</f>
        <v>0</v>
      </c>
      <c r="K24" s="51">
        <f>ROUND(K23,-1)</f>
        <v>0</v>
      </c>
      <c r="L24" s="46">
        <f>SUM(I24:K24)</f>
        <v>0</v>
      </c>
      <c r="N24" s="52">
        <f>G24+L24</f>
        <v>0</v>
      </c>
    </row>
    <row r="25" spans="1:14" ht="15.75" thickTop="1"/>
    <row r="26" spans="1:14">
      <c r="B26" t="s">
        <v>103</v>
      </c>
      <c r="D26" s="91">
        <f>IF(D17="ABP",D18,D18*0.1)</f>
        <v>0</v>
      </c>
      <c r="E26" s="91">
        <f t="shared" ref="E26:F26" si="0">IF(E17="ABP",E18,E18*0.1)</f>
        <v>0</v>
      </c>
      <c r="F26" s="91">
        <f t="shared" si="0"/>
        <v>0</v>
      </c>
      <c r="G26" s="91"/>
      <c r="I26" s="91">
        <f t="shared" ref="I26:K26" si="1">IF(I17="ABP",I18,I18*0.1)</f>
        <v>0</v>
      </c>
      <c r="J26" s="91">
        <f t="shared" si="1"/>
        <v>0</v>
      </c>
      <c r="K26" s="91">
        <f t="shared" si="1"/>
        <v>0</v>
      </c>
    </row>
    <row r="30" spans="1:14">
      <c r="A30" s="49" t="s">
        <v>104</v>
      </c>
      <c r="B30" s="49" t="s">
        <v>105</v>
      </c>
      <c r="C30" s="49" t="s">
        <v>106</v>
      </c>
      <c r="D30" s="49" t="s">
        <v>107</v>
      </c>
    </row>
    <row r="31" spans="1:14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B28B3-A057-4981-9A3C-804F77D036CD}">
  <dimension ref="A3:D52"/>
  <sheetViews>
    <sheetView workbookViewId="0">
      <selection activeCell="E21" sqref="E21"/>
    </sheetView>
  </sheetViews>
  <sheetFormatPr defaultRowHeight="15"/>
  <cols>
    <col min="1" max="1" width="31.7109375" customWidth="1"/>
  </cols>
  <sheetData>
    <row r="3" spans="1:2">
      <c r="A3" t="s">
        <v>108</v>
      </c>
      <c r="B3" t="s">
        <v>109</v>
      </c>
    </row>
    <row r="4" spans="1:2">
      <c r="A4" t="s">
        <v>110</v>
      </c>
      <c r="B4" t="s">
        <v>111</v>
      </c>
    </row>
    <row r="5" spans="1:2">
      <c r="A5" t="s">
        <v>112</v>
      </c>
      <c r="B5" t="s">
        <v>113</v>
      </c>
    </row>
    <row r="6" spans="1:2">
      <c r="A6" t="s">
        <v>65</v>
      </c>
      <c r="B6" t="s">
        <v>114</v>
      </c>
    </row>
    <row r="7" spans="1:2">
      <c r="A7" t="s">
        <v>115</v>
      </c>
      <c r="B7" t="s">
        <v>116</v>
      </c>
    </row>
    <row r="8" spans="1:2">
      <c r="A8" t="s">
        <v>117</v>
      </c>
      <c r="B8" t="s">
        <v>118</v>
      </c>
    </row>
    <row r="9" spans="1:2">
      <c r="A9" t="s">
        <v>119</v>
      </c>
      <c r="B9" t="s">
        <v>120</v>
      </c>
    </row>
    <row r="45" spans="1:3">
      <c r="A45" s="77" t="s">
        <v>121</v>
      </c>
    </row>
    <row r="46" spans="1:3">
      <c r="A46" t="s">
        <v>122</v>
      </c>
      <c r="C46" s="223">
        <v>7018.45</v>
      </c>
    </row>
    <row r="47" spans="1:3">
      <c r="A47" t="s">
        <v>123</v>
      </c>
      <c r="C47" s="330">
        <f>5589.83+553.36</f>
        <v>6143.19</v>
      </c>
    </row>
    <row r="48" spans="1:3">
      <c r="A48" t="s">
        <v>124</v>
      </c>
      <c r="C48">
        <f>C46-C47</f>
        <v>875.26000000000022</v>
      </c>
    </row>
    <row r="50" spans="1:4">
      <c r="A50" t="s">
        <v>125</v>
      </c>
      <c r="C50">
        <f>1299.32+54.77</f>
        <v>1354.09</v>
      </c>
    </row>
    <row r="51" spans="1:4">
      <c r="A51" t="s">
        <v>126</v>
      </c>
      <c r="C51" s="330">
        <f>861.65+1367.7</f>
        <v>2229.35</v>
      </c>
      <c r="D51">
        <f>C51-C50</f>
        <v>875.26</v>
      </c>
    </row>
    <row r="52" spans="1:4">
      <c r="C52" s="223">
        <f>C47+C51-C50</f>
        <v>7018.4499999999989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31281-1A42-4A01-9812-410B412DB1EC}">
  <dimension ref="A5:O37"/>
  <sheetViews>
    <sheetView topLeftCell="A10" workbookViewId="0">
      <selection activeCell="B37" sqref="B37"/>
    </sheetView>
  </sheetViews>
  <sheetFormatPr defaultRowHeight="15"/>
  <cols>
    <col min="1" max="1" width="32.42578125" customWidth="1"/>
    <col min="2" max="2" width="13.42578125" customWidth="1"/>
    <col min="3" max="3" width="13.5703125" customWidth="1"/>
    <col min="4" max="4" width="13.85546875" customWidth="1"/>
  </cols>
  <sheetData>
    <row r="5" spans="1:6">
      <c r="C5" s="329" t="s">
        <v>127</v>
      </c>
      <c r="D5" s="329" t="s">
        <v>128</v>
      </c>
    </row>
    <row r="6" spans="1:6">
      <c r="A6" s="326"/>
      <c r="B6" s="326"/>
      <c r="C6" s="325" t="s">
        <v>127</v>
      </c>
      <c r="D6" s="325" t="s">
        <v>128</v>
      </c>
      <c r="E6" s="326"/>
      <c r="F6" s="326"/>
    </row>
    <row r="7" spans="1:6">
      <c r="A7" s="326" t="s">
        <v>129</v>
      </c>
      <c r="B7" s="326"/>
      <c r="C7" s="326">
        <v>500</v>
      </c>
      <c r="D7" s="326"/>
      <c r="E7" s="326"/>
      <c r="F7" s="326"/>
    </row>
    <row r="8" spans="1:6">
      <c r="A8" s="326" t="s">
        <v>130</v>
      </c>
      <c r="B8" s="326"/>
      <c r="C8" s="326"/>
      <c r="D8" s="326">
        <v>500</v>
      </c>
      <c r="E8" s="326"/>
      <c r="F8" s="326"/>
    </row>
    <row r="9" spans="1:6">
      <c r="A9" s="326"/>
      <c r="B9" s="326" t="s">
        <v>131</v>
      </c>
      <c r="C9" s="326"/>
      <c r="D9" s="326"/>
      <c r="E9" s="326"/>
      <c r="F9" s="326"/>
    </row>
    <row r="10" spans="1:6">
      <c r="A10" s="326"/>
      <c r="B10" s="326"/>
      <c r="C10" s="326"/>
      <c r="D10" s="326"/>
      <c r="E10" s="326"/>
      <c r="F10" s="326"/>
    </row>
    <row r="11" spans="1:6">
      <c r="C11" s="329" t="s">
        <v>127</v>
      </c>
      <c r="D11" s="329" t="s">
        <v>128</v>
      </c>
    </row>
    <row r="12" spans="1:6">
      <c r="A12" s="326" t="s">
        <v>132</v>
      </c>
      <c r="B12" s="327"/>
      <c r="C12">
        <v>553.36</v>
      </c>
    </row>
    <row r="13" spans="1:6">
      <c r="A13" s="326" t="s">
        <v>133</v>
      </c>
      <c r="B13" s="327"/>
      <c r="D13">
        <v>553.36</v>
      </c>
    </row>
    <row r="14" spans="1:6">
      <c r="B14" s="370" t="s">
        <v>134</v>
      </c>
      <c r="C14" s="370"/>
      <c r="D14" s="370"/>
    </row>
    <row r="15" spans="1:6">
      <c r="B15" s="328"/>
      <c r="C15" s="328"/>
      <c r="D15" s="328"/>
    </row>
    <row r="16" spans="1:6">
      <c r="C16" s="329" t="s">
        <v>127</v>
      </c>
      <c r="D16" s="329" t="s">
        <v>128</v>
      </c>
    </row>
    <row r="17" spans="1:15">
      <c r="A17" s="326" t="s">
        <v>133</v>
      </c>
      <c r="B17" s="327"/>
      <c r="D17">
        <v>1367.7</v>
      </c>
    </row>
    <row r="18" spans="1:15">
      <c r="A18" s="326" t="s">
        <v>135</v>
      </c>
      <c r="B18" s="327"/>
      <c r="C18">
        <v>1367.7</v>
      </c>
    </row>
    <row r="19" spans="1:15">
      <c r="B19" s="328" t="s">
        <v>136</v>
      </c>
      <c r="C19" s="328"/>
      <c r="D19" s="328"/>
      <c r="E19" s="328"/>
    </row>
    <row r="20" spans="1:15">
      <c r="B20" s="328"/>
      <c r="C20" s="328"/>
      <c r="D20" s="328"/>
    </row>
    <row r="21" spans="1:15">
      <c r="C21" s="329" t="s">
        <v>127</v>
      </c>
      <c r="D21" s="329" t="s">
        <v>128</v>
      </c>
    </row>
    <row r="22" spans="1:15">
      <c r="A22" s="326" t="s">
        <v>133</v>
      </c>
      <c r="B22" s="327"/>
      <c r="D22">
        <v>861.65</v>
      </c>
      <c r="N22">
        <v>7018.45</v>
      </c>
    </row>
    <row r="23" spans="1:15">
      <c r="A23" s="326" t="s">
        <v>135</v>
      </c>
      <c r="B23" s="327"/>
      <c r="C23">
        <v>861.65</v>
      </c>
      <c r="N23">
        <f>5589.83+553.36</f>
        <v>6143.19</v>
      </c>
    </row>
    <row r="24" spans="1:15">
      <c r="B24" s="328" t="s">
        <v>137</v>
      </c>
      <c r="C24" s="328"/>
      <c r="D24" s="328"/>
      <c r="N24">
        <f>N22-N23</f>
        <v>875.26000000000022</v>
      </c>
    </row>
    <row r="25" spans="1:15">
      <c r="B25" s="328"/>
      <c r="C25" s="328"/>
      <c r="D25" s="328"/>
    </row>
    <row r="26" spans="1:15">
      <c r="C26" s="329" t="s">
        <v>127</v>
      </c>
      <c r="D26" s="329" t="s">
        <v>128</v>
      </c>
      <c r="N26">
        <f>1299.32+54.77</f>
        <v>1354.09</v>
      </c>
    </row>
    <row r="27" spans="1:15">
      <c r="A27" s="326" t="s">
        <v>133</v>
      </c>
      <c r="B27" s="327"/>
      <c r="C27">
        <v>54.77</v>
      </c>
      <c r="N27">
        <f>861.65+1367.7</f>
        <v>2229.35</v>
      </c>
      <c r="O27">
        <f>N27-N26</f>
        <v>875.26</v>
      </c>
    </row>
    <row r="28" spans="1:15">
      <c r="A28" t="s">
        <v>135</v>
      </c>
      <c r="D28">
        <v>54.77</v>
      </c>
    </row>
    <row r="29" spans="1:15">
      <c r="B29" s="328" t="s">
        <v>138</v>
      </c>
      <c r="C29" s="328"/>
      <c r="D29" s="328"/>
    </row>
    <row r="30" spans="1:15">
      <c r="C30" s="329" t="s">
        <v>127</v>
      </c>
      <c r="D30" s="329" t="s">
        <v>128</v>
      </c>
    </row>
    <row r="31" spans="1:15">
      <c r="A31" s="326" t="s">
        <v>133</v>
      </c>
      <c r="B31" s="327"/>
      <c r="C31">
        <v>1299.32</v>
      </c>
    </row>
    <row r="32" spans="1:15">
      <c r="A32" t="s">
        <v>135</v>
      </c>
      <c r="D32">
        <v>1299.32</v>
      </c>
    </row>
    <row r="33" spans="1:6">
      <c r="B33" s="328" t="s">
        <v>138</v>
      </c>
      <c r="C33" s="328"/>
      <c r="D33" s="328"/>
      <c r="E33" s="328"/>
      <c r="F33" s="328"/>
    </row>
    <row r="35" spans="1:6">
      <c r="A35" t="s">
        <v>139</v>
      </c>
      <c r="C35">
        <v>115.47</v>
      </c>
    </row>
    <row r="36" spans="1:6">
      <c r="A36" t="s">
        <v>140</v>
      </c>
      <c r="D36">
        <v>115.47</v>
      </c>
    </row>
    <row r="37" spans="1:6">
      <c r="B37" t="s">
        <v>141</v>
      </c>
    </row>
  </sheetData>
  <mergeCells count="1">
    <mergeCell ref="B14:D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D14" sqref="D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2" t="s">
        <v>0</v>
      </c>
      <c r="B1" s="53"/>
      <c r="C1" s="366" t="str">
        <f>Index!$C$1</f>
        <v>Craig Ross Superannuation Fund</v>
      </c>
      <c r="D1" s="366"/>
      <c r="E1" s="366"/>
      <c r="F1" s="54"/>
      <c r="H1" s="56" t="s">
        <v>2</v>
      </c>
      <c r="I1" s="56" t="s">
        <v>3</v>
      </c>
    </row>
    <row r="2" spans="1:9" ht="18">
      <c r="A2" s="122" t="s">
        <v>4</v>
      </c>
      <c r="B2" s="53"/>
      <c r="C2" s="366" t="str">
        <f>Index!$C$2</f>
        <v>P9CRAI</v>
      </c>
      <c r="D2" s="366"/>
      <c r="E2" s="366"/>
      <c r="F2" s="55"/>
      <c r="G2" s="59" t="s">
        <v>6</v>
      </c>
      <c r="H2" s="60" t="str">
        <f>Index!$H$2</f>
        <v>MM</v>
      </c>
      <c r="I2" s="61">
        <f>Index!$I$2</f>
        <v>45090</v>
      </c>
    </row>
    <row r="3" spans="1:9" ht="18">
      <c r="A3" s="122" t="s">
        <v>8</v>
      </c>
      <c r="B3" s="53"/>
      <c r="C3" s="367">
        <f>Index!$C$3</f>
        <v>43646</v>
      </c>
      <c r="D3" s="366"/>
      <c r="E3" s="366"/>
      <c r="F3" s="55"/>
      <c r="G3" s="59" t="s">
        <v>9</v>
      </c>
      <c r="H3" s="60" t="str">
        <f>Index!$H$3</f>
        <v>DB</v>
      </c>
      <c r="I3" s="61">
        <f>Index!$I$3</f>
        <v>45099</v>
      </c>
    </row>
    <row r="4" spans="1:9" ht="18">
      <c r="D4" s="53"/>
      <c r="E4" s="53"/>
      <c r="F4" s="64"/>
      <c r="G4" s="65"/>
      <c r="I4" s="66"/>
    </row>
    <row r="5" spans="1:9" ht="18">
      <c r="A5" s="124" t="s">
        <v>142</v>
      </c>
      <c r="D5" s="53"/>
      <c r="E5" s="53"/>
      <c r="F5" s="64"/>
      <c r="G5" s="65"/>
      <c r="I5" s="66"/>
    </row>
    <row r="6" spans="1:9" ht="18">
      <c r="A6" s="124"/>
      <c r="D6" s="53"/>
      <c r="E6" s="53"/>
      <c r="F6" s="64"/>
      <c r="G6" s="65"/>
      <c r="I6" s="66"/>
    </row>
    <row r="8" spans="1:9" s="69" customFormat="1" ht="30">
      <c r="A8" s="136" t="s">
        <v>143</v>
      </c>
      <c r="B8" s="371" t="s">
        <v>144</v>
      </c>
      <c r="C8" s="372"/>
      <c r="D8" s="372"/>
      <c r="E8" s="373"/>
      <c r="F8" s="137" t="s">
        <v>145</v>
      </c>
      <c r="G8" s="137" t="s">
        <v>145</v>
      </c>
      <c r="H8" s="137" t="s">
        <v>145</v>
      </c>
      <c r="I8" s="83"/>
    </row>
    <row r="10" spans="1:9">
      <c r="F10" s="70"/>
    </row>
    <row r="11" spans="1:9">
      <c r="A11" s="71"/>
      <c r="B11" s="71"/>
      <c r="C11" s="71" t="s">
        <v>146</v>
      </c>
      <c r="F11" s="72" t="s">
        <v>147</v>
      </c>
      <c r="G11" s="47" t="s">
        <v>148</v>
      </c>
      <c r="H11" s="47" t="s">
        <v>91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1">
        <v>0</v>
      </c>
      <c r="H13" s="132">
        <f>SUM(F13:G13)</f>
        <v>0</v>
      </c>
      <c r="I13" t="s">
        <v>149</v>
      </c>
    </row>
    <row r="14" spans="1:9">
      <c r="C14" s="73">
        <v>44896</v>
      </c>
      <c r="F14" s="74">
        <v>0</v>
      </c>
      <c r="G14" s="131">
        <v>0</v>
      </c>
      <c r="H14" s="132">
        <f>SUM(F14:G14)</f>
        <v>0</v>
      </c>
      <c r="I14" t="s">
        <v>150</v>
      </c>
    </row>
    <row r="15" spans="1:9">
      <c r="C15" s="73">
        <v>44986</v>
      </c>
      <c r="F15" s="74"/>
      <c r="G15" s="131"/>
      <c r="H15" s="132">
        <f>SUM(F15:G15)</f>
        <v>0</v>
      </c>
      <c r="I15" t="s">
        <v>151</v>
      </c>
    </row>
    <row r="16" spans="1:9">
      <c r="F16" s="75"/>
      <c r="G16" s="132"/>
      <c r="H16" s="132"/>
      <c r="I16" t="s">
        <v>152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153</v>
      </c>
      <c r="F19">
        <f>COUNT(F13:F15)</f>
        <v>2</v>
      </c>
      <c r="G19">
        <f>COUNT(G13:G15)</f>
        <v>2</v>
      </c>
    </row>
    <row r="21" spans="3:9">
      <c r="C21" t="s">
        <v>154</v>
      </c>
      <c r="F21" s="74"/>
      <c r="I21" t="s">
        <v>155</v>
      </c>
    </row>
    <row r="23" spans="3:9">
      <c r="C23" t="s">
        <v>156</v>
      </c>
      <c r="F23" s="78"/>
      <c r="G23" s="133"/>
      <c r="H23" s="79"/>
      <c r="I23" t="s">
        <v>157</v>
      </c>
    </row>
    <row r="24" spans="3:9">
      <c r="C24" t="s">
        <v>158</v>
      </c>
      <c r="F24" s="80"/>
      <c r="G24" s="133"/>
      <c r="H24" s="79"/>
    </row>
    <row r="25" spans="3:9">
      <c r="C25" t="s">
        <v>159</v>
      </c>
      <c r="F25" s="79"/>
      <c r="G25" s="134"/>
      <c r="H25" s="79"/>
    </row>
    <row r="26" spans="3:9">
      <c r="C26" t="s">
        <v>160</v>
      </c>
      <c r="F26" s="81"/>
      <c r="G26" s="79">
        <f>G23-SUM(G24:G25)</f>
        <v>0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161</v>
      </c>
      <c r="F29" s="75">
        <f>ROUND(F21/4,0)</f>
        <v>0</v>
      </c>
      <c r="G29" s="132">
        <f>ROUND(G26/4,0)</f>
        <v>0</v>
      </c>
      <c r="H29" s="79"/>
    </row>
    <row r="30" spans="3:9">
      <c r="C30" t="s">
        <v>162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163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f>IF(G19&gt;0,G13,0)</f>
        <v>0</v>
      </c>
      <c r="H33" s="132">
        <f t="shared" ref="H33:H36" si="0">SUM(F33:G33)</f>
        <v>0</v>
      </c>
      <c r="L33" s="132"/>
    </row>
    <row r="34" spans="3:12">
      <c r="C34" s="73">
        <v>44896</v>
      </c>
      <c r="F34" s="82">
        <f>IF(F19=1,F29+F30,F14)</f>
        <v>0</v>
      </c>
      <c r="G34" s="82">
        <f>IF(G19=1,G29+G30,G14)</f>
        <v>0</v>
      </c>
      <c r="H34" s="132">
        <f t="shared" si="0"/>
        <v>0</v>
      </c>
      <c r="L34" s="132"/>
    </row>
    <row r="35" spans="3:12">
      <c r="C35" s="73">
        <v>44986</v>
      </c>
      <c r="F35" s="82">
        <f>IF(F19=1,F29,IF(F19=2,F29+F30,F14))</f>
        <v>0</v>
      </c>
      <c r="G35" s="82">
        <f>IF(G19=1,G29,IF(G19=2,G29+G30,G14))</f>
        <v>0</v>
      </c>
      <c r="H35" s="132">
        <f t="shared" si="0"/>
        <v>0</v>
      </c>
    </row>
    <row r="36" spans="3:12">
      <c r="C36" s="73">
        <v>45078</v>
      </c>
      <c r="F36" s="82">
        <f>F21-SUM(F33:F35)</f>
        <v>0</v>
      </c>
      <c r="G36" s="82">
        <f>ROUND(G26,0)-SUM(G33:G35)</f>
        <v>0</v>
      </c>
      <c r="H36" s="132">
        <f t="shared" si="0"/>
        <v>0</v>
      </c>
    </row>
    <row r="38" spans="3:12" ht="15.75" thickBot="1">
      <c r="F38" s="76">
        <f>SUM(F33:F37)</f>
        <v>0</v>
      </c>
      <c r="G38" s="76">
        <f>SUM(G33:G37)</f>
        <v>0</v>
      </c>
      <c r="H38" s="76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8" workbookViewId="0">
      <selection activeCell="D8" sqref="D8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2" t="s">
        <v>0</v>
      </c>
      <c r="B1" s="366" t="str">
        <f>Index!$C$1</f>
        <v>Craig Ross Superannuation Fund</v>
      </c>
      <c r="C1" s="366"/>
      <c r="D1" s="366"/>
      <c r="F1" s="54"/>
      <c r="H1" s="56" t="s">
        <v>2</v>
      </c>
      <c r="I1" s="56" t="s">
        <v>3</v>
      </c>
    </row>
    <row r="2" spans="1:10" customFormat="1" ht="18">
      <c r="A2" s="122" t="s">
        <v>4</v>
      </c>
      <c r="B2" s="366" t="str">
        <f>Index!$C$2</f>
        <v>P9CRAI</v>
      </c>
      <c r="C2" s="366"/>
      <c r="D2" s="366"/>
      <c r="F2" s="55"/>
      <c r="G2" s="59" t="s">
        <v>6</v>
      </c>
      <c r="H2" s="60" t="str">
        <f>Index!$H$2</f>
        <v>MM</v>
      </c>
      <c r="I2" s="61">
        <f>Index!$I$2</f>
        <v>45090</v>
      </c>
    </row>
    <row r="3" spans="1:10" customFormat="1" ht="18">
      <c r="A3" s="122" t="s">
        <v>8</v>
      </c>
      <c r="B3" s="367">
        <f>Index!$C$3</f>
        <v>43646</v>
      </c>
      <c r="C3" s="367"/>
      <c r="D3" s="367"/>
      <c r="F3" s="55"/>
      <c r="G3" s="59" t="s">
        <v>9</v>
      </c>
      <c r="H3" s="60" t="str">
        <f>Index!$H$3</f>
        <v>DB</v>
      </c>
      <c r="I3" s="61">
        <f>Index!$I$3</f>
        <v>45099</v>
      </c>
    </row>
    <row r="4" spans="1:10" customFormat="1" ht="18">
      <c r="A4" s="122"/>
      <c r="B4" s="53"/>
      <c r="D4" s="53"/>
      <c r="E4" s="53"/>
      <c r="F4" s="55"/>
      <c r="G4" s="123"/>
      <c r="H4" s="65"/>
      <c r="I4" s="66"/>
    </row>
    <row r="5" spans="1:10" customFormat="1" ht="18">
      <c r="A5" s="53" t="s">
        <v>164</v>
      </c>
      <c r="C5" s="57"/>
      <c r="F5" s="58"/>
      <c r="G5" s="58"/>
      <c r="H5" s="65"/>
      <c r="J5" s="66"/>
    </row>
    <row r="6" spans="1:10" ht="18">
      <c r="A6" s="62"/>
      <c r="B6" s="63"/>
      <c r="C6" s="108"/>
      <c r="D6" s="53"/>
      <c r="E6" s="53"/>
      <c r="F6" s="65"/>
      <c r="G6" s="65"/>
      <c r="H6" s="65"/>
      <c r="I6" s="109"/>
    </row>
    <row r="7" spans="1:10" s="144" customFormat="1" ht="15.75" thickBot="1">
      <c r="A7" s="146"/>
      <c r="C7" s="163"/>
      <c r="D7" s="163"/>
      <c r="E7" s="163"/>
      <c r="F7" s="115"/>
      <c r="G7" s="163"/>
      <c r="H7" s="163"/>
      <c r="I7" s="163"/>
    </row>
    <row r="8" spans="1:10" s="144" customFormat="1" ht="30.75" thickBot="1">
      <c r="A8" s="376" t="s">
        <v>165</v>
      </c>
      <c r="B8" s="377"/>
      <c r="C8" s="164" t="s">
        <v>166</v>
      </c>
      <c r="D8" s="164" t="s">
        <v>167</v>
      </c>
      <c r="E8" s="164" t="s">
        <v>168</v>
      </c>
      <c r="F8" s="164" t="s">
        <v>169</v>
      </c>
      <c r="G8" s="164" t="s">
        <v>170</v>
      </c>
      <c r="H8" s="164" t="s">
        <v>171</v>
      </c>
      <c r="I8" s="165" t="s">
        <v>172</v>
      </c>
    </row>
    <row r="9" spans="1:10" s="144" customFormat="1" ht="15">
      <c r="A9" s="166" t="s">
        <v>173</v>
      </c>
      <c r="B9" s="167"/>
      <c r="C9" s="168">
        <v>0</v>
      </c>
      <c r="D9" s="168">
        <v>0</v>
      </c>
      <c r="E9" s="168"/>
      <c r="F9" s="169">
        <v>0</v>
      </c>
      <c r="G9" s="168"/>
      <c r="H9" s="168"/>
      <c r="I9" s="168">
        <f>C9-D9+E9+F9+G9+H9</f>
        <v>0</v>
      </c>
    </row>
    <row r="10" spans="1:10" s="144" customFormat="1" ht="15">
      <c r="A10" s="170" t="s">
        <v>174</v>
      </c>
      <c r="B10" s="171"/>
      <c r="C10" s="168">
        <v>0</v>
      </c>
      <c r="D10" s="172">
        <v>0</v>
      </c>
      <c r="E10" s="172"/>
      <c r="F10" s="173">
        <v>0</v>
      </c>
      <c r="G10" s="172"/>
      <c r="H10" s="172"/>
      <c r="I10" s="168">
        <f>C10-D10+E10+F10+G10+H10</f>
        <v>0</v>
      </c>
    </row>
    <row r="11" spans="1:10" s="144" customFormat="1" ht="15">
      <c r="A11" s="170" t="s">
        <v>175</v>
      </c>
      <c r="B11" s="171"/>
      <c r="C11" s="168">
        <v>0</v>
      </c>
      <c r="D11" s="172">
        <v>0</v>
      </c>
      <c r="E11" s="172"/>
      <c r="F11" s="173">
        <v>0</v>
      </c>
      <c r="G11" s="172"/>
      <c r="H11" s="172"/>
      <c r="I11" s="168">
        <f>C11-D11+E11+F11+G11+H11</f>
        <v>0</v>
      </c>
    </row>
    <row r="12" spans="1:10" s="144" customFormat="1" ht="15">
      <c r="A12" s="170" t="s">
        <v>176</v>
      </c>
      <c r="B12" s="171"/>
      <c r="C12" s="168">
        <v>0</v>
      </c>
      <c r="D12" s="172">
        <v>0</v>
      </c>
      <c r="E12" s="172"/>
      <c r="F12" s="173">
        <v>0</v>
      </c>
      <c r="G12" s="172"/>
      <c r="H12" s="172"/>
      <c r="I12" s="168">
        <f>C12-D12+E12+F12+G12+H12</f>
        <v>0</v>
      </c>
    </row>
    <row r="13" spans="1:10" s="144" customFormat="1" ht="15">
      <c r="A13" s="174"/>
      <c r="B13" s="163" t="s">
        <v>177</v>
      </c>
      <c r="C13" s="175">
        <f t="shared" ref="C13:I13" si="0">SUM(C9:C12)</f>
        <v>0</v>
      </c>
      <c r="D13" s="175">
        <f t="shared" si="0"/>
        <v>0</v>
      </c>
      <c r="E13" s="175">
        <f t="shared" si="0"/>
        <v>0</v>
      </c>
      <c r="F13" s="175">
        <f t="shared" si="0"/>
        <v>0</v>
      </c>
      <c r="G13" s="175">
        <f t="shared" si="0"/>
        <v>0</v>
      </c>
      <c r="H13" s="175">
        <f t="shared" si="0"/>
        <v>0</v>
      </c>
      <c r="I13" s="175">
        <f t="shared" si="0"/>
        <v>0</v>
      </c>
    </row>
    <row r="14" spans="1:10" s="144" customFormat="1" ht="15.75" thickBot="1">
      <c r="A14" s="174"/>
      <c r="B14" s="174"/>
      <c r="C14" s="163"/>
      <c r="D14" s="163"/>
      <c r="E14" s="163"/>
      <c r="F14" s="115"/>
      <c r="G14" s="163"/>
      <c r="H14" s="163"/>
      <c r="I14" s="163"/>
    </row>
    <row r="15" spans="1:10" s="144" customFormat="1" ht="30.75" thickBot="1">
      <c r="A15" s="376" t="s">
        <v>178</v>
      </c>
      <c r="B15" s="422"/>
      <c r="C15" s="164" t="s">
        <v>166</v>
      </c>
      <c r="D15" s="164" t="s">
        <v>167</v>
      </c>
      <c r="E15" s="164" t="s">
        <v>168</v>
      </c>
      <c r="F15" s="164" t="s">
        <v>169</v>
      </c>
      <c r="G15" s="164" t="s">
        <v>170</v>
      </c>
      <c r="H15" s="164" t="s">
        <v>171</v>
      </c>
      <c r="I15" s="165" t="s">
        <v>172</v>
      </c>
    </row>
    <row r="16" spans="1:10" s="144" customFormat="1" ht="15">
      <c r="A16" s="176" t="s">
        <v>173</v>
      </c>
      <c r="B16" s="167"/>
      <c r="C16" s="168"/>
      <c r="D16" s="168"/>
      <c r="E16" s="168"/>
      <c r="F16" s="169"/>
      <c r="G16" s="168"/>
      <c r="H16" s="168"/>
      <c r="I16" s="168">
        <f>C16-D16+E16+F16+G16+H16</f>
        <v>0</v>
      </c>
    </row>
    <row r="17" spans="1:9" s="144" customFormat="1" ht="15">
      <c r="A17" s="177" t="s">
        <v>174</v>
      </c>
      <c r="B17" s="171"/>
      <c r="C17" s="168"/>
      <c r="D17" s="172"/>
      <c r="E17" s="172"/>
      <c r="F17" s="173"/>
      <c r="G17" s="172"/>
      <c r="H17" s="172"/>
      <c r="I17" s="168">
        <f>C17-D17+E17+F17+G17+H17</f>
        <v>0</v>
      </c>
    </row>
    <row r="18" spans="1:9" s="144" customFormat="1" ht="15">
      <c r="A18" s="177" t="s">
        <v>175</v>
      </c>
      <c r="B18" s="171"/>
      <c r="C18" s="168"/>
      <c r="D18" s="172"/>
      <c r="E18" s="172"/>
      <c r="F18" s="173"/>
      <c r="G18" s="172"/>
      <c r="H18" s="172"/>
      <c r="I18" s="168">
        <f>C18-D18+E18+F18+G18+H18</f>
        <v>0</v>
      </c>
    </row>
    <row r="19" spans="1:9" s="144" customFormat="1" ht="15">
      <c r="A19" s="177" t="s">
        <v>179</v>
      </c>
      <c r="B19" s="171"/>
      <c r="C19" s="168"/>
      <c r="D19" s="172"/>
      <c r="E19" s="172"/>
      <c r="F19" s="173"/>
      <c r="G19" s="172"/>
      <c r="H19" s="172"/>
      <c r="I19" s="168">
        <f>C19-D19+E19+F19+G19+H19</f>
        <v>0</v>
      </c>
    </row>
    <row r="20" spans="1:9" s="144" customFormat="1" ht="15">
      <c r="A20" s="174"/>
      <c r="B20" s="163" t="s">
        <v>177</v>
      </c>
      <c r="C20" s="178">
        <f t="shared" ref="C20:I20" si="1">SUM(C16:C19)</f>
        <v>0</v>
      </c>
      <c r="D20" s="178">
        <f t="shared" si="1"/>
        <v>0</v>
      </c>
      <c r="E20" s="178">
        <f t="shared" si="1"/>
        <v>0</v>
      </c>
      <c r="F20" s="178">
        <f t="shared" si="1"/>
        <v>0</v>
      </c>
      <c r="G20" s="178">
        <f t="shared" si="1"/>
        <v>0</v>
      </c>
      <c r="H20" s="178">
        <f t="shared" si="1"/>
        <v>0</v>
      </c>
      <c r="I20" s="178">
        <f t="shared" si="1"/>
        <v>0</v>
      </c>
    </row>
    <row r="21" spans="1:9" s="144" customFormat="1" ht="15">
      <c r="A21" s="146"/>
    </row>
    <row r="22" spans="1:9" s="144" customFormat="1" ht="15">
      <c r="A22" s="378" t="s">
        <v>180</v>
      </c>
      <c r="B22" s="379"/>
      <c r="C22" s="179">
        <f t="shared" ref="C22:I22" si="2">+C13-C20</f>
        <v>0</v>
      </c>
      <c r="D22" s="179">
        <f>+D13-D20</f>
        <v>0</v>
      </c>
      <c r="E22" s="179">
        <f t="shared" si="2"/>
        <v>0</v>
      </c>
      <c r="F22" s="179">
        <f t="shared" si="2"/>
        <v>0</v>
      </c>
      <c r="G22" s="179">
        <f t="shared" si="2"/>
        <v>0</v>
      </c>
      <c r="H22" s="179">
        <f t="shared" si="2"/>
        <v>0</v>
      </c>
      <c r="I22" s="179">
        <f t="shared" si="2"/>
        <v>0</v>
      </c>
    </row>
    <row r="23" spans="1:9" s="144" customFormat="1" ht="15">
      <c r="A23" s="146"/>
    </row>
    <row r="24" spans="1:9" s="144" customFormat="1" ht="15">
      <c r="A24" s="144" t="s">
        <v>181</v>
      </c>
      <c r="B24" s="145"/>
      <c r="G24" s="145"/>
    </row>
    <row r="25" spans="1:9" s="144" customFormat="1" ht="15">
      <c r="B25" s="145"/>
      <c r="C25" s="374" t="s">
        <v>182</v>
      </c>
      <c r="D25" s="374"/>
      <c r="E25" s="374" t="s">
        <v>183</v>
      </c>
      <c r="F25" s="374"/>
      <c r="G25" s="375" t="s">
        <v>124</v>
      </c>
      <c r="H25" s="375"/>
    </row>
    <row r="26" spans="1:9" s="144" customFormat="1" ht="15">
      <c r="A26" s="146" t="s">
        <v>3</v>
      </c>
      <c r="B26" s="144" t="s">
        <v>184</v>
      </c>
      <c r="C26" s="144" t="s">
        <v>166</v>
      </c>
      <c r="D26" s="144" t="s">
        <v>167</v>
      </c>
      <c r="E26" s="144" t="s">
        <v>166</v>
      </c>
      <c r="F26" s="144" t="s">
        <v>167</v>
      </c>
      <c r="G26" s="144" t="s">
        <v>166</v>
      </c>
      <c r="H26" s="144" t="s">
        <v>167</v>
      </c>
    </row>
    <row r="27" spans="1:9" s="144" customFormat="1" ht="15">
      <c r="A27" s="147"/>
      <c r="C27" s="148"/>
      <c r="D27" s="148"/>
      <c r="E27" s="148"/>
      <c r="F27" s="148"/>
      <c r="G27" s="148"/>
      <c r="H27" s="148">
        <f>D27-F27</f>
        <v>0</v>
      </c>
    </row>
    <row r="28" spans="1:9" s="144" customFormat="1" ht="15">
      <c r="A28" s="149"/>
      <c r="C28" s="148"/>
      <c r="D28" s="148"/>
      <c r="E28" s="148"/>
      <c r="F28" s="148"/>
      <c r="G28" s="148"/>
      <c r="H28" s="148">
        <f t="shared" ref="H28:H40" si="3">D28-F28</f>
        <v>0</v>
      </c>
    </row>
    <row r="29" spans="1:9" s="144" customFormat="1" ht="15">
      <c r="A29" s="147"/>
      <c r="B29" s="150"/>
      <c r="C29" s="148"/>
      <c r="D29" s="148"/>
      <c r="E29" s="148"/>
      <c r="F29" s="148"/>
      <c r="G29" s="148"/>
      <c r="H29" s="148">
        <f t="shared" si="3"/>
        <v>0</v>
      </c>
    </row>
    <row r="30" spans="1:9" s="144" customFormat="1" ht="15">
      <c r="A30" s="149"/>
      <c r="C30" s="148"/>
      <c r="D30" s="148"/>
      <c r="E30" s="148"/>
      <c r="F30" s="148"/>
      <c r="G30" s="148"/>
      <c r="H30" s="148">
        <f t="shared" si="3"/>
        <v>0</v>
      </c>
    </row>
    <row r="31" spans="1:9" s="144" customFormat="1" ht="15">
      <c r="A31" s="147"/>
      <c r="B31" s="150"/>
      <c r="C31" s="148"/>
      <c r="D31" s="148"/>
      <c r="E31" s="148"/>
      <c r="F31" s="148"/>
      <c r="G31" s="148"/>
      <c r="H31" s="148">
        <f t="shared" si="3"/>
        <v>0</v>
      </c>
    </row>
    <row r="32" spans="1:9" s="144" customFormat="1" ht="15">
      <c r="A32" s="149"/>
      <c r="B32" s="150"/>
      <c r="C32" s="148"/>
      <c r="D32" s="148"/>
      <c r="E32" s="148"/>
      <c r="F32" s="148"/>
      <c r="G32" s="148"/>
      <c r="H32" s="148">
        <f t="shared" si="3"/>
        <v>0</v>
      </c>
    </row>
    <row r="33" spans="1:8" s="144" customFormat="1" ht="15">
      <c r="A33" s="147"/>
      <c r="B33" s="150"/>
      <c r="C33" s="148"/>
      <c r="D33" s="148"/>
      <c r="E33" s="148"/>
      <c r="F33" s="148"/>
      <c r="G33" s="148"/>
      <c r="H33" s="148">
        <f t="shared" si="3"/>
        <v>0</v>
      </c>
    </row>
    <row r="34" spans="1:8" s="144" customFormat="1" ht="15">
      <c r="A34" s="146"/>
      <c r="B34" s="150"/>
      <c r="C34" s="148"/>
      <c r="D34" s="148"/>
      <c r="E34" s="148"/>
      <c r="F34" s="148"/>
      <c r="G34" s="148"/>
      <c r="H34" s="148">
        <f t="shared" si="3"/>
        <v>0</v>
      </c>
    </row>
    <row r="35" spans="1:8" s="144" customFormat="1" ht="15">
      <c r="A35" s="147"/>
      <c r="C35" s="148"/>
      <c r="D35" s="148"/>
      <c r="E35" s="148"/>
      <c r="F35" s="148"/>
      <c r="G35" s="148"/>
      <c r="H35" s="148">
        <f t="shared" si="3"/>
        <v>0</v>
      </c>
    </row>
    <row r="36" spans="1:8" s="144" customFormat="1" ht="15">
      <c r="A36" s="146"/>
      <c r="C36" s="148"/>
      <c r="D36" s="148"/>
      <c r="E36" s="148"/>
      <c r="F36" s="148"/>
      <c r="G36" s="148"/>
      <c r="H36" s="148">
        <f t="shared" si="3"/>
        <v>0</v>
      </c>
    </row>
    <row r="37" spans="1:8" s="144" customFormat="1" ht="15">
      <c r="A37" s="146"/>
      <c r="B37" s="150"/>
      <c r="C37" s="148"/>
      <c r="D37" s="148"/>
      <c r="E37" s="148"/>
      <c r="F37" s="148"/>
      <c r="G37" s="148"/>
      <c r="H37" s="148">
        <f>E37-C37</f>
        <v>0</v>
      </c>
    </row>
    <row r="38" spans="1:8" s="144" customFormat="1" ht="15">
      <c r="A38" s="146"/>
      <c r="C38" s="148"/>
      <c r="D38" s="148"/>
      <c r="E38" s="148"/>
      <c r="F38" s="148"/>
      <c r="G38" s="148"/>
      <c r="H38" s="148">
        <f t="shared" si="3"/>
        <v>0</v>
      </c>
    </row>
    <row r="39" spans="1:8" s="144" customFormat="1" ht="15">
      <c r="A39" s="146"/>
      <c r="B39" s="151" t="s">
        <v>91</v>
      </c>
      <c r="H39" s="152">
        <f>SUM(H27:H38)</f>
        <v>0</v>
      </c>
    </row>
    <row r="40" spans="1:8" s="144" customFormat="1" ht="15">
      <c r="A40" s="146"/>
      <c r="H40" s="144">
        <f t="shared" si="3"/>
        <v>0</v>
      </c>
    </row>
    <row r="41" spans="1:8" s="144" customFormat="1" ht="15.75" thickBot="1">
      <c r="A41" s="146"/>
      <c r="G41" s="144" t="s">
        <v>185</v>
      </c>
      <c r="H41" s="153">
        <f>I22+H39</f>
        <v>0</v>
      </c>
    </row>
    <row r="42" spans="1:8" s="144" customFormat="1" ht="15">
      <c r="A42" s="146"/>
      <c r="B42" s="154" t="s">
        <v>186</v>
      </c>
      <c r="C42" s="155">
        <f>I13</f>
        <v>0</v>
      </c>
      <c r="D42" s="156"/>
    </row>
    <row r="43" spans="1:8" s="144" customFormat="1" ht="15">
      <c r="A43" s="146"/>
      <c r="B43" s="157" t="s">
        <v>187</v>
      </c>
      <c r="C43" s="152">
        <f>I20</f>
        <v>0</v>
      </c>
      <c r="D43" s="158"/>
    </row>
    <row r="44" spans="1:8" s="144" customFormat="1" ht="15">
      <c r="A44" s="146"/>
      <c r="B44" s="159" t="s">
        <v>124</v>
      </c>
      <c r="C44" s="153">
        <f>C42-C43</f>
        <v>0</v>
      </c>
      <c r="D44" s="158"/>
    </row>
    <row r="45" spans="1:8" s="144" customFormat="1" ht="15">
      <c r="A45" s="146"/>
      <c r="B45" s="157"/>
      <c r="D45" s="158"/>
    </row>
    <row r="46" spans="1:8" s="144" customFormat="1" ht="15">
      <c r="A46" s="146"/>
      <c r="B46" s="157" t="s">
        <v>188</v>
      </c>
      <c r="C46" s="153">
        <v>0</v>
      </c>
      <c r="D46" s="158"/>
    </row>
    <row r="47" spans="1:8" s="144" customFormat="1" ht="15.75" thickBot="1">
      <c r="A47" s="146"/>
      <c r="B47" s="160" t="s">
        <v>189</v>
      </c>
      <c r="C47" s="161">
        <f>C46-C44</f>
        <v>0</v>
      </c>
      <c r="D47" s="162" t="s">
        <v>190</v>
      </c>
    </row>
    <row r="48" spans="1:8" s="144" customFormat="1" ht="15">
      <c r="A48" s="146"/>
    </row>
    <row r="49" spans="1:1" s="144" customFormat="1" ht="15">
      <c r="A49" s="146"/>
    </row>
    <row r="50" spans="1:1" s="144" customFormat="1" ht="15">
      <c r="A50" s="146"/>
    </row>
    <row r="51" spans="1:1" s="144" customFormat="1" ht="15">
      <c r="A51" s="146"/>
    </row>
    <row r="52" spans="1:1" s="144" customFormat="1" ht="15">
      <c r="A52" s="146"/>
    </row>
    <row r="53" spans="1:1" s="144" customFormat="1" ht="15">
      <c r="A53" s="146"/>
    </row>
    <row r="54" spans="1:1" s="144" customFormat="1" ht="15">
      <c r="A54" s="146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E8D1FF"/>
  </sheetPr>
  <dimension ref="A1:J18"/>
  <sheetViews>
    <sheetView workbookViewId="0">
      <selection activeCell="C19" sqref="C19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66" t="str">
        <f>Index!$C$1</f>
        <v>Craig Ross Superannuation Fund</v>
      </c>
      <c r="D1" s="366"/>
      <c r="E1" s="366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66" t="str">
        <f>Index!$C$2</f>
        <v>P9CRAI</v>
      </c>
      <c r="D2" s="366"/>
      <c r="E2" s="366"/>
      <c r="F2" s="55"/>
      <c r="G2" s="59" t="s">
        <v>6</v>
      </c>
      <c r="H2" s="60" t="str">
        <f>Index!$H$2</f>
        <v>MM</v>
      </c>
      <c r="I2" s="61">
        <f>Index!$I$2</f>
        <v>45090</v>
      </c>
    </row>
    <row r="3" spans="1:10" ht="18">
      <c r="A3" s="122" t="s">
        <v>8</v>
      </c>
      <c r="B3" s="53"/>
      <c r="C3" s="367">
        <f>Index!$C$3</f>
        <v>43646</v>
      </c>
      <c r="D3" s="366"/>
      <c r="E3" s="366"/>
      <c r="F3" s="55"/>
      <c r="G3" s="59" t="s">
        <v>9</v>
      </c>
      <c r="H3" s="60" t="str">
        <f>Index!$H$3</f>
        <v>DB</v>
      </c>
      <c r="I3" s="61">
        <f>Index!$I$3</f>
        <v>45099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191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 s="69" customFormat="1" ht="30">
      <c r="A8" s="136" t="s">
        <v>143</v>
      </c>
      <c r="B8" s="371" t="s">
        <v>144</v>
      </c>
      <c r="C8" s="372"/>
      <c r="D8" s="373"/>
      <c r="E8" s="137" t="s">
        <v>145</v>
      </c>
      <c r="F8" s="137" t="s">
        <v>145</v>
      </c>
      <c r="G8" s="137" t="s">
        <v>145</v>
      </c>
      <c r="H8" s="371" t="s">
        <v>192</v>
      </c>
      <c r="I8" s="373"/>
    </row>
    <row r="11" spans="1:10">
      <c r="A11" s="77">
        <v>60400</v>
      </c>
      <c r="B11" s="77"/>
      <c r="C11" s="77" t="s">
        <v>193</v>
      </c>
      <c r="E11" s="47" t="s">
        <v>194</v>
      </c>
      <c r="F11" s="85" t="s">
        <v>195</v>
      </c>
      <c r="G11" s="85" t="s">
        <v>196</v>
      </c>
    </row>
    <row r="12" spans="1:10">
      <c r="A12" t="s">
        <v>197</v>
      </c>
      <c r="C12" t="s">
        <v>198</v>
      </c>
      <c r="E12" s="93"/>
      <c r="F12" s="93">
        <v>129910.01</v>
      </c>
      <c r="G12" s="93">
        <f>+E12-F12</f>
        <v>-129910.01</v>
      </c>
      <c r="H12" s="93"/>
    </row>
    <row r="13" spans="1:10">
      <c r="E13" s="93"/>
      <c r="F13" s="93"/>
      <c r="G13" s="93">
        <f>+E13-F13</f>
        <v>0</v>
      </c>
      <c r="H13" s="93"/>
    </row>
    <row r="14" spans="1:10">
      <c r="E14" s="93"/>
      <c r="F14" s="93"/>
      <c r="G14" s="93"/>
      <c r="H14" s="93"/>
    </row>
    <row r="16" spans="1:10">
      <c r="A16" s="42"/>
    </row>
    <row r="17" spans="1:1">
      <c r="A17" s="42"/>
    </row>
    <row r="18" spans="1:1">
      <c r="A18" s="42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8" workbookViewId="0">
      <selection activeCell="J23" sqref="J2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66" t="str">
        <f>Index!$C$1</f>
        <v>Craig Ross Superannuation Fund</v>
      </c>
      <c r="D1" s="366"/>
      <c r="E1" s="366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66" t="str">
        <f>Index!$C$2</f>
        <v>P9CRAI</v>
      </c>
      <c r="D2" s="366"/>
      <c r="E2" s="366"/>
      <c r="F2" s="55"/>
      <c r="G2" s="59" t="s">
        <v>6</v>
      </c>
      <c r="H2" s="60" t="str">
        <f>Index!$H$2</f>
        <v>MM</v>
      </c>
      <c r="I2" s="61">
        <f>Index!$I$2</f>
        <v>45090</v>
      </c>
    </row>
    <row r="3" spans="1:10" ht="18">
      <c r="A3" s="122" t="s">
        <v>8</v>
      </c>
      <c r="B3" s="53"/>
      <c r="C3" s="367">
        <f>Index!$C$3</f>
        <v>43646</v>
      </c>
      <c r="D3" s="366"/>
      <c r="E3" s="366"/>
      <c r="F3" s="55"/>
      <c r="G3" s="59" t="s">
        <v>9</v>
      </c>
      <c r="H3" s="60" t="str">
        <f>Index!$H$3</f>
        <v>DB</v>
      </c>
      <c r="I3" s="61">
        <f>Index!$I$3</f>
        <v>45099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199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 s="69" customFormat="1" ht="30">
      <c r="A8" s="136" t="s">
        <v>143</v>
      </c>
      <c r="B8" s="371" t="s">
        <v>144</v>
      </c>
      <c r="C8" s="372"/>
      <c r="D8" s="372"/>
      <c r="E8" s="373"/>
      <c r="F8" s="137" t="s">
        <v>145</v>
      </c>
      <c r="G8" s="371" t="s">
        <v>192</v>
      </c>
      <c r="H8" s="380"/>
      <c r="I8" s="381"/>
    </row>
    <row r="10" spans="1:10">
      <c r="F10" s="80"/>
    </row>
    <row r="11" spans="1:10">
      <c r="C11" t="s">
        <v>200</v>
      </c>
      <c r="F11" s="93"/>
      <c r="G11" s="42" t="s">
        <v>201</v>
      </c>
    </row>
    <row r="12" spans="1:10">
      <c r="C12" t="s">
        <v>202</v>
      </c>
      <c r="F12" s="116"/>
    </row>
    <row r="13" spans="1:10">
      <c r="C13" t="s">
        <v>203</v>
      </c>
      <c r="F13" s="93">
        <f>+F11-F12</f>
        <v>0</v>
      </c>
      <c r="H13" t="s">
        <v>204</v>
      </c>
      <c r="I13" s="96" t="e">
        <f>+F13/F12</f>
        <v>#DIV/0!</v>
      </c>
    </row>
    <row r="14" spans="1:10">
      <c r="C14" s="317" t="s">
        <v>205</v>
      </c>
      <c r="F14" s="319">
        <f>G45</f>
        <v>0</v>
      </c>
    </row>
    <row r="15" spans="1:10">
      <c r="C15" s="42" t="s">
        <v>206</v>
      </c>
      <c r="F15" s="318"/>
      <c r="H15" s="42" t="s">
        <v>207</v>
      </c>
      <c r="I15" s="42" t="e">
        <f>+F15/F12</f>
        <v>#DIV/0!</v>
      </c>
      <c r="J15" s="42" t="s">
        <v>208</v>
      </c>
    </row>
    <row r="16" spans="1:10">
      <c r="F16" s="95"/>
      <c r="H16" s="42"/>
      <c r="I16" s="97"/>
    </row>
    <row r="17" spans="3:7">
      <c r="C17" t="s">
        <v>209</v>
      </c>
      <c r="F17"/>
    </row>
    <row r="18" spans="3:7">
      <c r="C18" t="s">
        <v>210</v>
      </c>
    </row>
    <row r="19" spans="3:7">
      <c r="C19" t="s">
        <v>211</v>
      </c>
    </row>
    <row r="22" spans="3:7">
      <c r="C22" s="98" t="s">
        <v>212</v>
      </c>
      <c r="E22" s="47" t="s">
        <v>213</v>
      </c>
      <c r="F22" s="47" t="s">
        <v>214</v>
      </c>
      <c r="G22" s="99" t="s">
        <v>215</v>
      </c>
    </row>
    <row r="23" spans="3:7">
      <c r="C23" t="s">
        <v>216</v>
      </c>
      <c r="E23" s="93"/>
      <c r="F23" s="93"/>
      <c r="G23" s="93">
        <f t="shared" ref="G23:G44" si="0">+E23-F23</f>
        <v>0</v>
      </c>
    </row>
    <row r="24" spans="3:7">
      <c r="C24" t="s">
        <v>217</v>
      </c>
      <c r="E24" s="93"/>
      <c r="F24" s="93"/>
      <c r="G24" s="93">
        <f t="shared" si="0"/>
        <v>0</v>
      </c>
    </row>
    <row r="25" spans="3:7">
      <c r="C25" t="s">
        <v>218</v>
      </c>
      <c r="E25" s="93"/>
      <c r="F25" s="93"/>
      <c r="G25" s="93">
        <f t="shared" si="0"/>
        <v>0</v>
      </c>
    </row>
    <row r="26" spans="3:7">
      <c r="C26" t="s">
        <v>219</v>
      </c>
      <c r="E26" s="93"/>
      <c r="F26" s="93"/>
      <c r="G26" s="93">
        <f t="shared" si="0"/>
        <v>0</v>
      </c>
    </row>
    <row r="27" spans="3:7">
      <c r="C27" t="s">
        <v>220</v>
      </c>
      <c r="E27" s="93"/>
      <c r="F27" s="93"/>
      <c r="G27" s="93">
        <f t="shared" si="0"/>
        <v>0</v>
      </c>
    </row>
    <row r="28" spans="3:7">
      <c r="C28" t="s">
        <v>221</v>
      </c>
      <c r="E28" s="93"/>
      <c r="F28" s="93"/>
      <c r="G28" s="93">
        <f t="shared" si="0"/>
        <v>0</v>
      </c>
    </row>
    <row r="29" spans="3:7">
      <c r="C29" t="s">
        <v>222</v>
      </c>
      <c r="E29" s="93"/>
      <c r="F29" s="93"/>
      <c r="G29" s="93">
        <f t="shared" si="0"/>
        <v>0</v>
      </c>
    </row>
    <row r="30" spans="3:7">
      <c r="C30" t="s">
        <v>223</v>
      </c>
      <c r="E30" s="93"/>
      <c r="F30" s="93"/>
      <c r="G30" s="93">
        <f t="shared" si="0"/>
        <v>0</v>
      </c>
    </row>
    <row r="31" spans="3:7">
      <c r="C31" t="s">
        <v>224</v>
      </c>
      <c r="E31" s="93"/>
      <c r="F31" s="93"/>
      <c r="G31" s="93">
        <f t="shared" si="0"/>
        <v>0</v>
      </c>
    </row>
    <row r="32" spans="3:7">
      <c r="C32" t="s">
        <v>225</v>
      </c>
      <c r="E32" s="93"/>
      <c r="F32" s="93"/>
      <c r="G32" s="93">
        <f t="shared" si="0"/>
        <v>0</v>
      </c>
    </row>
    <row r="33" spans="3:7">
      <c r="C33" t="s">
        <v>226</v>
      </c>
      <c r="E33" s="93"/>
      <c r="F33" s="93"/>
      <c r="G33" s="93">
        <f t="shared" si="0"/>
        <v>0</v>
      </c>
    </row>
    <row r="34" spans="3:7">
      <c r="C34" t="s">
        <v>227</v>
      </c>
      <c r="E34" s="93"/>
      <c r="F34" s="93"/>
      <c r="G34" s="93">
        <f t="shared" si="0"/>
        <v>0</v>
      </c>
    </row>
    <row r="35" spans="3:7">
      <c r="C35" t="s">
        <v>228</v>
      </c>
      <c r="E35" s="93"/>
      <c r="F35" s="93"/>
      <c r="G35" s="93">
        <f t="shared" si="0"/>
        <v>0</v>
      </c>
    </row>
    <row r="36" spans="3:7">
      <c r="C36" t="s">
        <v>229</v>
      </c>
      <c r="E36" s="93"/>
      <c r="F36" s="93"/>
      <c r="G36" s="93">
        <f t="shared" si="0"/>
        <v>0</v>
      </c>
    </row>
    <row r="37" spans="3:7">
      <c r="C37" t="s">
        <v>230</v>
      </c>
      <c r="E37" s="93"/>
      <c r="F37" s="93"/>
      <c r="G37" s="93">
        <f t="shared" si="0"/>
        <v>0</v>
      </c>
    </row>
    <row r="38" spans="3:7">
      <c r="C38" t="s">
        <v>231</v>
      </c>
      <c r="E38" s="93"/>
      <c r="F38" s="93"/>
      <c r="G38" s="93">
        <f t="shared" si="0"/>
        <v>0</v>
      </c>
    </row>
    <row r="39" spans="3:7">
      <c r="C39" t="s">
        <v>232</v>
      </c>
      <c r="E39" s="93"/>
      <c r="F39" s="93"/>
      <c r="G39" s="93">
        <f t="shared" si="0"/>
        <v>0</v>
      </c>
    </row>
    <row r="40" spans="3:7">
      <c r="C40" t="s">
        <v>233</v>
      </c>
      <c r="E40" s="93"/>
      <c r="F40" s="93"/>
      <c r="G40" s="93">
        <f t="shared" si="0"/>
        <v>0</v>
      </c>
    </row>
    <row r="41" spans="3:7">
      <c r="C41" t="s">
        <v>234</v>
      </c>
      <c r="E41" s="93"/>
      <c r="F41" s="93"/>
      <c r="G41" s="93">
        <f t="shared" si="0"/>
        <v>0</v>
      </c>
    </row>
    <row r="42" spans="3:7">
      <c r="C42" t="s">
        <v>235</v>
      </c>
      <c r="E42" s="93"/>
      <c r="F42" s="93"/>
      <c r="G42" s="93">
        <f t="shared" si="0"/>
        <v>0</v>
      </c>
    </row>
    <row r="43" spans="3:7">
      <c r="C43" t="s">
        <v>236</v>
      </c>
      <c r="E43" s="93"/>
      <c r="F43" s="93"/>
      <c r="G43" s="93">
        <f t="shared" si="0"/>
        <v>0</v>
      </c>
    </row>
    <row r="44" spans="3:7">
      <c r="C44" t="s">
        <v>237</v>
      </c>
      <c r="E44" s="263"/>
      <c r="F44" s="263"/>
      <c r="G44" s="93">
        <f t="shared" si="0"/>
        <v>0</v>
      </c>
    </row>
    <row r="45" spans="3:7" ht="15.75" thickBot="1">
      <c r="E45" s="260">
        <f>SUM(E23:E44)</f>
        <v>0</v>
      </c>
      <c r="F45" s="260">
        <f>SUM(F23:F44)</f>
        <v>0</v>
      </c>
      <c r="G45" s="260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367CB7-C7EE-4550-AA50-649AAE9EC8B3}"/>
</file>

<file path=customXml/itemProps2.xml><?xml version="1.0" encoding="utf-8"?>
<ds:datastoreItem xmlns:ds="http://schemas.openxmlformats.org/officeDocument/2006/customXml" ds:itemID="{72656D15-951E-4BC8-8C1B-CC55757A87A9}"/>
</file>

<file path=customXml/itemProps3.xml><?xml version="1.0" encoding="utf-8"?>
<ds:datastoreItem xmlns:ds="http://schemas.openxmlformats.org/officeDocument/2006/customXml" ds:itemID="{FBC9D2DC-4118-4448-8C98-C6BBEEB275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2023-06-22T04:03:28Z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