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https://d.docs.live.net/414dcb311e5377ff/PRECISION GOLF/"/>
    </mc:Choice>
  </mc:AlternateContent>
  <xr:revisionPtr revIDLastSave="34" documentId="8_{B43F8C6B-CB74-4FDA-943B-4526CCA04E84}" xr6:coauthVersionLast="43" xr6:coauthVersionMax="43" xr10:uidLastSave="{6FAA53ED-34F3-4A32-A650-ECB49999D7CC}"/>
  <bookViews>
    <workbookView xWindow="-110" yWindow="-110" windowWidth="30220" windowHeight="19620" tabRatio="870" xr2:uid="{00000000-000D-0000-FFFF-FFFF00000000}"/>
  </bookViews>
  <sheets>
    <sheet name="Income Statement" sheetId="1" r:id="rId1"/>
    <sheet name="Lessons" sheetId="25" r:id="rId2"/>
    <sheet name="Fits" sheetId="24" r:id="rId3"/>
    <sheet name="Clinics" sheetId="23" r:id="rId4"/>
    <sheet name="Clubs" sheetId="22" r:id="rId5"/>
    <sheet name="Driving Range" sheetId="26" r:id="rId6"/>
    <sheet name="Virtual Golf" sheetId="27" r:id="rId7"/>
    <sheet name="Memberships" sheetId="30" r:id="rId8"/>
    <sheet name="Advertising" sheetId="29" r:id="rId9"/>
    <sheet name="Corporate Events" sheetId="11" r:id="rId10"/>
    <sheet name="E1" sheetId="4" r:id="rId11"/>
    <sheet name="E2" sheetId="5" r:id="rId12"/>
    <sheet name="E3" sheetId="6" r:id="rId13"/>
    <sheet name="E4" sheetId="7" r:id="rId14"/>
    <sheet name="E5" sheetId="8" r:id="rId15"/>
    <sheet name="E6" sheetId="12" r:id="rId16"/>
    <sheet name="E7" sheetId="13" r:id="rId17"/>
    <sheet name="E8" sheetId="14" r:id="rId18"/>
    <sheet name="E9" sheetId="15" r:id="rId19"/>
    <sheet name="E10" sheetId="16" r:id="rId20"/>
    <sheet name="E11" sheetId="17" r:id="rId21"/>
    <sheet name="E12" sheetId="18" r:id="rId22"/>
    <sheet name="E13" sheetId="10" r:id="rId23"/>
    <sheet name="E14" sheetId="9" r:id="rId24"/>
    <sheet name="E18" sheetId="19" r:id="rId25"/>
    <sheet name="E19" sheetId="20" r:id="rId26"/>
    <sheet name="E20" sheetId="3" r:id="rId27"/>
    <sheet name="E21" sheetId="21" r:id="rId28"/>
    <sheet name="E22" sheetId="2" r:id="rId29"/>
    <sheet name="Sheet4" sheetId="28" r:id="rId30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" l="1"/>
  <c r="E36" i="1"/>
  <c r="E32" i="1"/>
  <c r="E31" i="1"/>
  <c r="E30" i="1"/>
  <c r="E29" i="1"/>
  <c r="E27" i="1"/>
  <c r="E26" i="1"/>
  <c r="E25" i="1"/>
  <c r="E22" i="1"/>
  <c r="E21" i="1"/>
  <c r="E20" i="1"/>
  <c r="E19" i="1"/>
  <c r="D12" i="23" l="1"/>
  <c r="C5" i="1"/>
  <c r="E5" i="1" s="1"/>
  <c r="D10" i="23"/>
  <c r="B5" i="4" l="1"/>
  <c r="C6" i="2"/>
  <c r="B6" i="2"/>
  <c r="C17" i="29"/>
  <c r="D16" i="29"/>
  <c r="D17" i="29"/>
  <c r="B17" i="29"/>
  <c r="D14" i="29"/>
  <c r="B4" i="27" l="1"/>
  <c r="D3" i="27"/>
  <c r="E3" i="27" s="1"/>
  <c r="B5" i="30"/>
  <c r="D3" i="30"/>
  <c r="E3" i="30" s="1"/>
  <c r="D4" i="30"/>
  <c r="E4" i="30" s="1"/>
  <c r="D2" i="30"/>
  <c r="D5" i="30" s="1"/>
  <c r="F3" i="27" l="1"/>
  <c r="E2" i="30"/>
  <c r="E5" i="30" s="1"/>
  <c r="C10" i="1" s="1"/>
  <c r="E10" i="1" s="1"/>
  <c r="D3" i="29"/>
  <c r="D4" i="29"/>
  <c r="D5" i="29"/>
  <c r="D6" i="29"/>
  <c r="D7" i="29"/>
  <c r="D8" i="29"/>
  <c r="D9" i="29"/>
  <c r="D10" i="29"/>
  <c r="D11" i="29"/>
  <c r="D12" i="29"/>
  <c r="D13" i="29"/>
  <c r="D15" i="29"/>
  <c r="D2" i="29"/>
  <c r="E38" i="1"/>
  <c r="C3" i="2"/>
  <c r="C4" i="2"/>
  <c r="C2" i="2"/>
  <c r="F2" i="27"/>
  <c r="F4" i="27" s="1"/>
  <c r="C8" i="1" s="1"/>
  <c r="E8" i="1" s="1"/>
  <c r="D2" i="27"/>
  <c r="D4" i="27" s="1"/>
  <c r="K9" i="26"/>
  <c r="K10" i="26"/>
  <c r="K11" i="26"/>
  <c r="K12" i="26"/>
  <c r="K13" i="26"/>
  <c r="K14" i="26"/>
  <c r="K8" i="26"/>
  <c r="K6" i="26"/>
  <c r="K7" i="26"/>
  <c r="K5" i="26"/>
  <c r="K3" i="26"/>
  <c r="K4" i="26"/>
  <c r="K2" i="26"/>
  <c r="C15" i="26"/>
  <c r="D15" i="26"/>
  <c r="E15" i="26"/>
  <c r="F15" i="26"/>
  <c r="G15" i="26"/>
  <c r="H15" i="26"/>
  <c r="I15" i="26"/>
  <c r="J15" i="26"/>
  <c r="B15" i="26"/>
  <c r="C6" i="1"/>
  <c r="E6" i="1" s="1"/>
  <c r="E8" i="24"/>
  <c r="E3" i="24"/>
  <c r="E4" i="24"/>
  <c r="E5" i="24"/>
  <c r="E6" i="24"/>
  <c r="E2" i="24"/>
  <c r="C4" i="1"/>
  <c r="E4" i="1" s="1"/>
  <c r="C3" i="1"/>
  <c r="E3" i="1" s="1"/>
  <c r="E7" i="22"/>
  <c r="E3" i="22"/>
  <c r="E4" i="22"/>
  <c r="E5" i="22"/>
  <c r="E6" i="22"/>
  <c r="E2" i="22"/>
  <c r="C8" i="24"/>
  <c r="F4" i="25"/>
  <c r="F5" i="25"/>
  <c r="F6" i="25"/>
  <c r="F7" i="25"/>
  <c r="E5" i="25"/>
  <c r="E6" i="25"/>
  <c r="E7" i="25"/>
  <c r="E4" i="25"/>
  <c r="E3" i="25"/>
  <c r="F3" i="25" s="1"/>
  <c r="E2" i="25"/>
  <c r="F2" i="25" s="1"/>
  <c r="B17" i="26" l="1"/>
  <c r="K15" i="26"/>
  <c r="B20" i="26" s="1"/>
  <c r="C7" i="1" s="1"/>
  <c r="E7" i="1" s="1"/>
  <c r="C37" i="1"/>
  <c r="E37" i="1" s="1"/>
  <c r="E2" i="27"/>
  <c r="E4" i="27" s="1"/>
  <c r="C11" i="1"/>
  <c r="E11" i="1" s="1"/>
  <c r="F8" i="25"/>
  <c r="B19" i="26" l="1"/>
  <c r="C12" i="1"/>
  <c r="E12" i="1" s="1"/>
  <c r="D3" i="24"/>
  <c r="D4" i="24"/>
  <c r="D5" i="24"/>
  <c r="D6" i="24"/>
  <c r="D2" i="24"/>
  <c r="D8" i="24" s="1"/>
  <c r="D3" i="23"/>
  <c r="D4" i="23"/>
  <c r="D5" i="23"/>
  <c r="D6" i="23"/>
  <c r="D7" i="23"/>
  <c r="D2" i="23"/>
  <c r="D3" i="22"/>
  <c r="D4" i="22"/>
  <c r="D5" i="22"/>
  <c r="D6" i="22"/>
  <c r="D2" i="22"/>
  <c r="D7" i="22" s="1"/>
  <c r="B3" i="20"/>
  <c r="C34" i="1" s="1"/>
  <c r="E34" i="1" s="1"/>
  <c r="B3" i="4"/>
  <c r="B7" i="4" s="1"/>
  <c r="C18" i="1" s="1"/>
  <c r="E18" i="1" s="1"/>
  <c r="B2" i="4"/>
  <c r="C28" i="1"/>
  <c r="E28" i="1" s="1"/>
  <c r="B2" i="3"/>
  <c r="C2" i="3" s="1"/>
  <c r="C5" i="3" s="1"/>
  <c r="C35" i="1" s="1"/>
  <c r="E35" i="1" s="1"/>
  <c r="B3" i="3"/>
  <c r="C3" i="3" s="1"/>
  <c r="C23" i="1"/>
  <c r="C3" i="12"/>
  <c r="C33" i="1"/>
  <c r="E33" i="1" s="1"/>
  <c r="C1" i="19"/>
  <c r="B1" i="16"/>
  <c r="C24" i="1"/>
  <c r="E24" i="1" s="1"/>
  <c r="E23" i="1" l="1"/>
  <c r="E39" i="1" s="1"/>
  <c r="C39" i="1"/>
  <c r="D9" i="23"/>
  <c r="C9" i="1"/>
  <c r="E9" i="1" s="1"/>
  <c r="B5" i="3"/>
  <c r="E13" i="1" l="1"/>
  <c r="E2" i="1"/>
  <c r="E40" i="1"/>
  <c r="E41" i="1" s="1"/>
  <c r="C13" i="1"/>
  <c r="C14" i="1" s="1"/>
  <c r="C15" i="1" s="1"/>
  <c r="C2" i="1"/>
  <c r="C40" i="1"/>
  <c r="E14" i="1" l="1"/>
  <c r="E15" i="1"/>
  <c r="E43" i="1" s="1"/>
  <c r="C41" i="1"/>
  <c r="C43" i="1" s="1"/>
  <c r="G43" i="1" l="1"/>
  <c r="I43" i="1" s="1"/>
  <c r="I46" i="1" s="1"/>
</calcChain>
</file>

<file path=xl/sharedStrings.xml><?xml version="1.0" encoding="utf-8"?>
<sst xmlns="http://schemas.openxmlformats.org/spreadsheetml/2006/main" count="257" uniqueCount="206">
  <si>
    <t>Monthly</t>
  </si>
  <si>
    <t>Less Operating Expenses</t>
  </si>
  <si>
    <t>Advertising/Marketing</t>
  </si>
  <si>
    <t>Bank Fees</t>
  </si>
  <si>
    <t>C/Card Merchant Fees</t>
  </si>
  <si>
    <t>Computer Equipment Expenses</t>
  </si>
  <si>
    <t>Consulting</t>
  </si>
  <si>
    <t>Equipment Rental</t>
  </si>
  <si>
    <t>General Expenses</t>
  </si>
  <si>
    <t>Insurance</t>
  </si>
  <si>
    <t>Interest Expense</t>
  </si>
  <si>
    <t>Light, Power, Heating</t>
  </si>
  <si>
    <t>Motor Vehicle Expenses</t>
  </si>
  <si>
    <t>Office Expenses</t>
  </si>
  <si>
    <t>Postage</t>
  </si>
  <si>
    <t>Rent</t>
  </si>
  <si>
    <t>Staff Amenities</t>
  </si>
  <si>
    <t>Subscriptions</t>
  </si>
  <si>
    <t>Superannuation</t>
  </si>
  <si>
    <t>Wages and Salaries</t>
  </si>
  <si>
    <t>Net Profit</t>
  </si>
  <si>
    <t>E1</t>
  </si>
  <si>
    <t>E2</t>
  </si>
  <si>
    <t>E3</t>
  </si>
  <si>
    <t>E4</t>
  </si>
  <si>
    <t>E5</t>
  </si>
  <si>
    <t>E6</t>
  </si>
  <si>
    <t>E7</t>
  </si>
  <si>
    <t>E9</t>
  </si>
  <si>
    <t>E10</t>
  </si>
  <si>
    <t>E11</t>
  </si>
  <si>
    <t>E12</t>
  </si>
  <si>
    <t>E13</t>
  </si>
  <si>
    <t>E14</t>
  </si>
  <si>
    <t>E15</t>
  </si>
  <si>
    <t>E16</t>
  </si>
  <si>
    <t>E18</t>
  </si>
  <si>
    <t>E19</t>
  </si>
  <si>
    <t>E20</t>
  </si>
  <si>
    <t>E21</t>
  </si>
  <si>
    <t>E22</t>
  </si>
  <si>
    <t>Raymond Hawkins</t>
  </si>
  <si>
    <t>Brad McIntosh</t>
  </si>
  <si>
    <t>Empolyees</t>
  </si>
  <si>
    <t>Gross Pay</t>
  </si>
  <si>
    <t>Super Pay</t>
  </si>
  <si>
    <t xml:space="preserve">Advertising </t>
  </si>
  <si>
    <t>Per Month</t>
  </si>
  <si>
    <t>Facebook</t>
  </si>
  <si>
    <t>Hoyts</t>
  </si>
  <si>
    <t xml:space="preserve">Websites </t>
  </si>
  <si>
    <t>Other Campagins</t>
  </si>
  <si>
    <t xml:space="preserve">Skye </t>
  </si>
  <si>
    <t>Other</t>
  </si>
  <si>
    <t>Coach</t>
  </si>
  <si>
    <t>$60 per Lesson</t>
  </si>
  <si>
    <t>Lessons</t>
  </si>
  <si>
    <t>Clubs</t>
  </si>
  <si>
    <t>Driving Range</t>
  </si>
  <si>
    <t>Virtual Golf</t>
  </si>
  <si>
    <t>Corporate Events</t>
  </si>
  <si>
    <t>Proshop Sales</t>
  </si>
  <si>
    <t>Clinics</t>
  </si>
  <si>
    <t>Less GST</t>
  </si>
  <si>
    <t xml:space="preserve">Paper </t>
  </si>
  <si>
    <t>Ink</t>
  </si>
  <si>
    <t>Motor Vehicle</t>
  </si>
  <si>
    <t xml:space="preserve">Ray </t>
  </si>
  <si>
    <t>Budget a week</t>
  </si>
  <si>
    <t>Income Statement'!A1</t>
  </si>
  <si>
    <t>Lunch and general food</t>
  </si>
  <si>
    <t>Matts and ball machine Loan</t>
  </si>
  <si>
    <t>Simulator loan</t>
  </si>
  <si>
    <t xml:space="preserve">Monthly </t>
  </si>
  <si>
    <t>Payout</t>
  </si>
  <si>
    <t xml:space="preserve">Electricity </t>
  </si>
  <si>
    <t>Subs</t>
  </si>
  <si>
    <t>Foxtel</t>
  </si>
  <si>
    <t>Total Weekly Super</t>
  </si>
  <si>
    <t>Total Income</t>
  </si>
  <si>
    <t xml:space="preserve">Telephone and Internet </t>
  </si>
  <si>
    <t>Telstra</t>
  </si>
  <si>
    <t>Materials and Supplies</t>
  </si>
  <si>
    <t>Repairs</t>
  </si>
  <si>
    <t>Total Marketing Budget</t>
  </si>
  <si>
    <t>Xero</t>
  </si>
  <si>
    <t>Driver</t>
  </si>
  <si>
    <t>Irons</t>
  </si>
  <si>
    <t xml:space="preserve">Wedges </t>
  </si>
  <si>
    <t>Putter</t>
  </si>
  <si>
    <t>woods/utility</t>
  </si>
  <si>
    <t>Average Profit</t>
  </si>
  <si>
    <t>Sold</t>
  </si>
  <si>
    <t>Tuesday Good Players</t>
  </si>
  <si>
    <t>Wednesday Morning</t>
  </si>
  <si>
    <t>Wednesday afternoon</t>
  </si>
  <si>
    <t>Thurday Night</t>
  </si>
  <si>
    <t>Saturday Morning</t>
  </si>
  <si>
    <t>Sunday Morning</t>
  </si>
  <si>
    <t>Attendance</t>
  </si>
  <si>
    <t>Cost Per</t>
  </si>
  <si>
    <t>Profit</t>
  </si>
  <si>
    <t xml:space="preserve">Total </t>
  </si>
  <si>
    <t>Fits</t>
  </si>
  <si>
    <t>Type</t>
  </si>
  <si>
    <t>cost</t>
  </si>
  <si>
    <t>Quanity</t>
  </si>
  <si>
    <t>Woods</t>
  </si>
  <si>
    <t>Total Profit</t>
  </si>
  <si>
    <t>Raymond</t>
  </si>
  <si>
    <t>Edward</t>
  </si>
  <si>
    <t>Lorien</t>
  </si>
  <si>
    <t>Depak</t>
  </si>
  <si>
    <t>Weekly Hours</t>
  </si>
  <si>
    <t>Ave Price</t>
  </si>
  <si>
    <t>Cost</t>
  </si>
  <si>
    <t>Full Fit</t>
  </si>
  <si>
    <t>Total</t>
  </si>
  <si>
    <t>monthly Profit</t>
  </si>
  <si>
    <t>Unknown</t>
  </si>
  <si>
    <t>Bay 1</t>
  </si>
  <si>
    <t>Bay 2</t>
  </si>
  <si>
    <t>Bay 3</t>
  </si>
  <si>
    <t>Bay 4</t>
  </si>
  <si>
    <t>Bay 5</t>
  </si>
  <si>
    <t>Bay 6</t>
  </si>
  <si>
    <t>Bay 7</t>
  </si>
  <si>
    <t>Bay 8</t>
  </si>
  <si>
    <t>Bay 9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</si>
  <si>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</si>
  <si>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</si>
  <si>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</si>
  <si>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</si>
  <si>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</si>
  <si>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</si>
  <si>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</si>
  <si>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</si>
  <si>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</si>
  <si>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</si>
  <si>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</si>
  <si>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</si>
  <si>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</si>
  <si>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Weekly</t>
  </si>
  <si>
    <t>No of 30 mins sessions</t>
  </si>
  <si>
    <t>$ per session</t>
  </si>
  <si>
    <t xml:space="preserve">Daily </t>
  </si>
  <si>
    <t>monthly</t>
  </si>
  <si>
    <t>Memberships</t>
  </si>
  <si>
    <t>Flightscopes</t>
  </si>
  <si>
    <t>Edward Salt</t>
  </si>
  <si>
    <t>Monthly Repyament</t>
  </si>
  <si>
    <t>Advertising</t>
  </si>
  <si>
    <t>Space</t>
  </si>
  <si>
    <t>Monthly Income</t>
  </si>
  <si>
    <t>Costs</t>
  </si>
  <si>
    <t>BAY 1</t>
  </si>
  <si>
    <t>BAY 2</t>
  </si>
  <si>
    <t>BAY 3</t>
  </si>
  <si>
    <t>BAY 4</t>
  </si>
  <si>
    <t>BAY 5</t>
  </si>
  <si>
    <t>BAY 6</t>
  </si>
  <si>
    <t>BAY 7</t>
  </si>
  <si>
    <t>BAY 8</t>
  </si>
  <si>
    <t>BAY 9</t>
  </si>
  <si>
    <t>Dedicated Golfer</t>
  </si>
  <si>
    <t xml:space="preserve">Family </t>
  </si>
  <si>
    <t>Hit &amp; Run</t>
  </si>
  <si>
    <t>Memeberships</t>
  </si>
  <si>
    <t>Total members</t>
  </si>
  <si>
    <t>$ per member</t>
  </si>
  <si>
    <t>Weekly Profit</t>
  </si>
  <si>
    <t>Monthly Profit</t>
  </si>
  <si>
    <t>Simulator 1</t>
  </si>
  <si>
    <t>Simulator 2</t>
  </si>
  <si>
    <t>Banks Fees</t>
  </si>
  <si>
    <t>Back Bay</t>
  </si>
  <si>
    <t>Wall</t>
  </si>
  <si>
    <t>Total Expenses</t>
  </si>
  <si>
    <t>TOTAL MONTHLY PROFIT</t>
  </si>
  <si>
    <t>Casuals 26hrs @ $20</t>
  </si>
  <si>
    <t>$120 a Month</t>
  </si>
  <si>
    <t>Revenue</t>
  </si>
  <si>
    <t>Duane</t>
  </si>
  <si>
    <t>Brad</t>
  </si>
  <si>
    <t>paying  $20.00</t>
  </si>
  <si>
    <t>Daily People</t>
  </si>
  <si>
    <t>per player</t>
  </si>
  <si>
    <t>Simulators paid off ADD</t>
  </si>
  <si>
    <t>Beverage</t>
  </si>
  <si>
    <t>Corporate</t>
  </si>
  <si>
    <t>Food</t>
  </si>
  <si>
    <t>Hire</t>
  </si>
  <si>
    <t>P.O.A</t>
  </si>
  <si>
    <t>Net Expenses</t>
  </si>
  <si>
    <t>Telephone &amp; Internet Foxtel</t>
  </si>
  <si>
    <t>Materials &amp; supplies repairs</t>
  </si>
  <si>
    <t>Flightscopes paid off</t>
  </si>
  <si>
    <t>Annual</t>
  </si>
  <si>
    <t>Multiple</t>
  </si>
  <si>
    <t>Investment</t>
  </si>
  <si>
    <t>Value</t>
  </si>
  <si>
    <t>Required ROI</t>
  </si>
  <si>
    <t>Growth Factor</t>
  </si>
  <si>
    <t>Revised Profit</t>
  </si>
  <si>
    <t>Assumed</t>
  </si>
  <si>
    <t>Equity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</si>
</sst>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[$$-809]#,##0.00;\-[$$-809]#,##0.00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5">
    <xf numFmtId="0" fontId="0" fillId="0" borderId="0" xfId="0"/>
    <xf numFmtId="165" fontId="0" fillId="0" borderId="0" xfId="0" applyNumberFormat="1"/>
    <xf numFmtId="6" fontId="0" fillId="0" borderId="0" xfId="0" applyNumberFormat="1"/>
    <xf numFmtId="0" fontId="6" fillId="0" borderId="0" xfId="3"/>
    <xf numFmtId="0" fontId="0" fillId="0" borderId="2" xfId="0" applyBorder="1"/>
    <xf numFmtId="0" fontId="0" fillId="0" borderId="3" xfId="0" applyBorder="1"/>
    <xf numFmtId="0" fontId="6" fillId="0" borderId="0" xfId="3" quotePrefix="1"/>
    <xf numFmtId="164" fontId="3" fillId="0" borderId="2" xfId="1" applyNumberFormat="1" applyFont="1" applyFill="1" applyBorder="1" applyAlignment="1" applyProtection="1">
      <alignment vertical="center"/>
    </xf>
    <xf numFmtId="44" fontId="0" fillId="0" borderId="0" xfId="2" applyFont="1"/>
    <xf numFmtId="2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44" fontId="0" fillId="0" borderId="0" xfId="2" applyFont="1" applyAlignment="1">
      <alignment horizontal="center"/>
    </xf>
    <xf numFmtId="0" fontId="7" fillId="0" borderId="0" xfId="0" applyFont="1"/>
    <xf numFmtId="0" fontId="0" fillId="0" borderId="0" xfId="0" applyAlignment="1"/>
    <xf numFmtId="44" fontId="0" fillId="0" borderId="0" xfId="2" applyFont="1" applyAlignment="1"/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164" fontId="1" fillId="2" borderId="0" xfId="1" applyNumberFormat="1" applyFont="1" applyFill="1" applyBorder="1" applyAlignment="1" applyProtection="1">
      <alignment vertical="center"/>
    </xf>
    <xf numFmtId="0" fontId="0" fillId="2" borderId="0" xfId="0" applyFill="1"/>
    <xf numFmtId="164" fontId="4" fillId="2" borderId="0" xfId="1" applyNumberFormat="1" applyFont="1" applyFill="1" applyBorder="1" applyAlignment="1" applyProtection="1">
      <alignment vertical="center"/>
    </xf>
    <xf numFmtId="164" fontId="3" fillId="2" borderId="0" xfId="1" applyNumberFormat="1" applyFont="1" applyFill="1" applyBorder="1" applyAlignment="1" applyProtection="1">
      <alignment vertical="center"/>
    </xf>
    <xf numFmtId="0" fontId="4" fillId="2" borderId="1" xfId="1" applyNumberFormat="1" applyFont="1" applyFill="1" applyBorder="1" applyAlignment="1" applyProtection="1">
      <alignment vertic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2" applyFont="1" applyBorder="1" applyAlignment="1">
      <alignment horizontal="center"/>
    </xf>
    <xf numFmtId="44" fontId="7" fillId="0" borderId="4" xfId="2" applyFont="1" applyBorder="1" applyAlignment="1">
      <alignment horizontal="center"/>
    </xf>
    <xf numFmtId="8" fontId="0" fillId="0" borderId="0" xfId="0" applyNumberFormat="1"/>
    <xf numFmtId="165" fontId="0" fillId="3" borderId="0" xfId="0" applyNumberFormat="1" applyFill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4" fillId="2" borderId="0" xfId="1" applyNumberFormat="1" applyFont="1" applyFill="1" applyBorder="1" applyAlignment="1" applyProtection="1">
      <alignment vertical="center"/>
    </xf>
    <xf numFmtId="165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4" xfId="0" applyBorder="1"/>
    <xf numFmtId="44" fontId="0" fillId="0" borderId="4" xfId="2" applyFont="1" applyBorder="1"/>
    <xf numFmtId="44" fontId="0" fillId="0" borderId="0" xfId="2" applyFont="1" applyAlignment="1">
      <alignment horizontal="right"/>
    </xf>
    <xf numFmtId="44" fontId="0" fillId="0" borderId="0" xfId="2" applyFont="1" applyAlignment="1">
      <alignment horizontal="left"/>
    </xf>
    <xf numFmtId="44" fontId="7" fillId="0" borderId="0" xfId="2" applyFont="1"/>
    <xf numFmtId="44" fontId="7" fillId="2" borderId="0" xfId="2" applyFont="1" applyFill="1" applyAlignment="1">
      <alignment horizontal="left"/>
    </xf>
    <xf numFmtId="44" fontId="7" fillId="2" borderId="0" xfId="2" applyFont="1" applyFill="1" applyAlignment="1">
      <alignment horizontal="center"/>
    </xf>
    <xf numFmtId="9" fontId="7" fillId="2" borderId="0" xfId="2" applyNumberFormat="1" applyFont="1" applyFill="1" applyAlignment="1">
      <alignment horizontal="center"/>
    </xf>
    <xf numFmtId="44" fontId="7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2" fontId="7" fillId="2" borderId="0" xfId="0" applyNumberFormat="1" applyFont="1" applyFill="1" applyAlignment="1">
      <alignment horizontal="center"/>
    </xf>
    <xf numFmtId="44" fontId="7" fillId="2" borderId="0" xfId="2" applyFont="1" applyFill="1"/>
    <xf numFmtId="166" fontId="7" fillId="2" borderId="0" xfId="0" applyNumberFormat="1" applyFont="1" applyFill="1" applyAlignment="1">
      <alignment horizontal="center"/>
    </xf>
    <xf numFmtId="9" fontId="7" fillId="2" borderId="0" xfId="4" applyFont="1" applyFill="1" applyAlignment="1">
      <alignment horizontal="center"/>
    </xf>
    <xf numFmtId="0" fontId="0" fillId="0" borderId="0" xfId="0" applyAlignment="1">
      <alignment horizontal="center"/>
    </xf>
  </cellXfs>
  <cellStyles count="5">
    <cellStyle name="Currency" xfId="2" builtinId="4"/>
    <cellStyle name="Hyperlink" xfId="3" builtinId="8"/>
    <cellStyle name="Normal" xfId="0" builtinId="0"/>
    <cellStyle name="Normal 2" xfId="1" xr:uid="{00000000-0005-0000-0000-000001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L41" sqref="L41"/>
    </sheetView>
  </sheetViews>
  <sheetFormatPr defaultRowHeight="14.5" x14ac:dyDescent="0.35"/>
  <cols>
    <col min="1" max="1" width="34.54296875" customWidth="1"/>
    <col min="2" max="2" width="14.453125" customWidth="1"/>
    <col min="3" max="3" width="25.81640625" style="1" customWidth="1"/>
    <col min="4" max="4" width="7" customWidth="1"/>
    <col min="5" max="7" width="18.81640625" style="8" customWidth="1"/>
    <col min="8" max="8" width="11.453125" customWidth="1"/>
    <col min="9" max="9" width="15" customWidth="1"/>
    <col min="10" max="10" width="12.1796875" customWidth="1"/>
  </cols>
  <sheetData>
    <row r="1" spans="1:7" x14ac:dyDescent="0.35">
      <c r="C1" s="16" t="s">
        <v>0</v>
      </c>
      <c r="E1" s="12" t="s">
        <v>197</v>
      </c>
    </row>
    <row r="2" spans="1:7" x14ac:dyDescent="0.35">
      <c r="A2" s="18" t="s">
        <v>79</v>
      </c>
      <c r="B2" s="19"/>
      <c r="C2" s="23">
        <f>SUM(C3:C12)</f>
        <v>74102.142857142855</v>
      </c>
      <c r="E2" s="45">
        <f>SUM(E3:E12)</f>
        <v>889225.71428571432</v>
      </c>
      <c r="F2" s="45"/>
      <c r="G2" s="45"/>
    </row>
    <row r="3" spans="1:7" x14ac:dyDescent="0.35">
      <c r="A3" s="21" t="s">
        <v>56</v>
      </c>
      <c r="C3" s="16">
        <f>Lessons!F8</f>
        <v>16928.571428571424</v>
      </c>
      <c r="E3" s="8">
        <f t="shared" ref="E3:E12" si="0">+C3*12</f>
        <v>203142.8571428571</v>
      </c>
    </row>
    <row r="4" spans="1:7" x14ac:dyDescent="0.35">
      <c r="A4" s="21" t="s">
        <v>103</v>
      </c>
      <c r="C4" s="16">
        <f>Fits!E8</f>
        <v>6492.8571428571431</v>
      </c>
      <c r="E4" s="8">
        <f t="shared" si="0"/>
        <v>77914.28571428571</v>
      </c>
    </row>
    <row r="5" spans="1:7" x14ac:dyDescent="0.35">
      <c r="A5" s="21" t="s">
        <v>62</v>
      </c>
      <c r="C5" s="16">
        <f>Clinics!D10</f>
        <v>900</v>
      </c>
      <c r="E5" s="8">
        <f t="shared" si="0"/>
        <v>10800</v>
      </c>
    </row>
    <row r="6" spans="1:7" x14ac:dyDescent="0.35">
      <c r="A6" s="21" t="s">
        <v>57</v>
      </c>
      <c r="C6" s="16">
        <f>Clubs!E7</f>
        <v>10242.857142857143</v>
      </c>
      <c r="E6" s="8">
        <f t="shared" si="0"/>
        <v>122914.28571428571</v>
      </c>
    </row>
    <row r="7" spans="1:7" x14ac:dyDescent="0.35">
      <c r="A7" s="21" t="s">
        <v>58</v>
      </c>
      <c r="C7" s="16">
        <f>'Driving Range'!B20</f>
        <v>19800</v>
      </c>
      <c r="E7" s="8">
        <f t="shared" si="0"/>
        <v>237600</v>
      </c>
    </row>
    <row r="8" spans="1:7" x14ac:dyDescent="0.35">
      <c r="A8" s="21" t="s">
        <v>59</v>
      </c>
      <c r="C8" s="16">
        <f>'Virtual Golf'!F4</f>
        <v>3000</v>
      </c>
      <c r="E8" s="8">
        <f t="shared" si="0"/>
        <v>36000</v>
      </c>
    </row>
    <row r="9" spans="1:7" x14ac:dyDescent="0.35">
      <c r="A9" s="21" t="s">
        <v>60</v>
      </c>
      <c r="C9" s="16">
        <f>'Corporate Events'!B4</f>
        <v>2500</v>
      </c>
      <c r="E9" s="8">
        <f t="shared" si="0"/>
        <v>30000</v>
      </c>
    </row>
    <row r="10" spans="1:7" x14ac:dyDescent="0.35">
      <c r="A10" s="21" t="s">
        <v>147</v>
      </c>
      <c r="C10" s="16">
        <f>Memberships!E5</f>
        <v>10167.857142857145</v>
      </c>
      <c r="E10" s="8">
        <f t="shared" si="0"/>
        <v>122014.28571428574</v>
      </c>
    </row>
    <row r="11" spans="1:7" x14ac:dyDescent="0.35">
      <c r="A11" s="21" t="s">
        <v>151</v>
      </c>
      <c r="C11" s="16">
        <f>Advertising!D17</f>
        <v>2070</v>
      </c>
      <c r="E11" s="8">
        <f t="shared" si="0"/>
        <v>24840</v>
      </c>
    </row>
    <row r="12" spans="1:7" x14ac:dyDescent="0.35">
      <c r="A12" s="21" t="s">
        <v>61</v>
      </c>
      <c r="C12" s="16">
        <f>500*4</f>
        <v>2000</v>
      </c>
      <c r="E12" s="8">
        <f t="shared" si="0"/>
        <v>24000</v>
      </c>
    </row>
    <row r="13" spans="1:7" x14ac:dyDescent="0.35">
      <c r="A13" s="18" t="s">
        <v>108</v>
      </c>
      <c r="C13" s="17">
        <f>SUM(C3:C12)</f>
        <v>74102.142857142855</v>
      </c>
      <c r="E13" s="44">
        <f>SUM(E3:E12)</f>
        <v>889225.71428571432</v>
      </c>
      <c r="F13" s="44"/>
      <c r="G13" s="44"/>
    </row>
    <row r="14" spans="1:7" x14ac:dyDescent="0.35">
      <c r="A14" s="18" t="s">
        <v>63</v>
      </c>
      <c r="C14" s="16">
        <f>C13*0.09</f>
        <v>6669.1928571428571</v>
      </c>
      <c r="E14" s="42">
        <f>E13*0.09</f>
        <v>80030.314285714281</v>
      </c>
      <c r="F14" s="42"/>
      <c r="G14" s="42"/>
    </row>
    <row r="15" spans="1:7" x14ac:dyDescent="0.35">
      <c r="A15" s="18" t="s">
        <v>20</v>
      </c>
      <c r="C15" s="17">
        <f>C13-C14</f>
        <v>67432.95</v>
      </c>
      <c r="E15" s="44">
        <f>+E13-E14</f>
        <v>809195.4</v>
      </c>
      <c r="F15" s="44"/>
      <c r="G15" s="44"/>
    </row>
    <row r="16" spans="1:7" x14ac:dyDescent="0.35">
      <c r="A16" s="19"/>
      <c r="C16" s="16"/>
    </row>
    <row r="17" spans="1:5" x14ac:dyDescent="0.35">
      <c r="A17" s="20" t="s">
        <v>1</v>
      </c>
      <c r="C17" s="16"/>
    </row>
    <row r="18" spans="1:5" x14ac:dyDescent="0.35">
      <c r="A18" s="21" t="s">
        <v>2</v>
      </c>
      <c r="C18" s="16">
        <f>'E1'!B7</f>
        <v>3032.6</v>
      </c>
      <c r="D18" s="3" t="s">
        <v>21</v>
      </c>
      <c r="E18" s="8">
        <f t="shared" ref="E18:E38" si="1">+C18*12</f>
        <v>36391.199999999997</v>
      </c>
    </row>
    <row r="19" spans="1:5" x14ac:dyDescent="0.35">
      <c r="A19" s="21" t="s">
        <v>3</v>
      </c>
      <c r="C19" s="16">
        <v>400</v>
      </c>
      <c r="D19" t="s">
        <v>22</v>
      </c>
      <c r="E19" s="8">
        <f t="shared" si="1"/>
        <v>4800</v>
      </c>
    </row>
    <row r="20" spans="1:5" x14ac:dyDescent="0.35">
      <c r="A20" s="21" t="s">
        <v>4</v>
      </c>
      <c r="C20" s="16">
        <v>600</v>
      </c>
      <c r="D20" t="s">
        <v>23</v>
      </c>
      <c r="E20" s="8">
        <f t="shared" si="1"/>
        <v>7200</v>
      </c>
    </row>
    <row r="21" spans="1:5" x14ac:dyDescent="0.35">
      <c r="A21" s="21" t="s">
        <v>5</v>
      </c>
      <c r="C21" s="16">
        <v>100</v>
      </c>
      <c r="D21" t="s">
        <v>24</v>
      </c>
      <c r="E21" s="8">
        <f t="shared" si="1"/>
        <v>1200</v>
      </c>
    </row>
    <row r="22" spans="1:5" x14ac:dyDescent="0.35">
      <c r="A22" s="21" t="s">
        <v>6</v>
      </c>
      <c r="C22" s="16">
        <v>3000</v>
      </c>
      <c r="D22" t="s">
        <v>25</v>
      </c>
      <c r="E22" s="8">
        <f t="shared" si="1"/>
        <v>36000</v>
      </c>
    </row>
    <row r="23" spans="1:5" x14ac:dyDescent="0.35">
      <c r="A23" s="21" t="s">
        <v>7</v>
      </c>
      <c r="C23" s="33">
        <f>'E6'!B3+'E6'!B2</f>
        <v>827.07</v>
      </c>
      <c r="D23" s="3" t="s">
        <v>26</v>
      </c>
      <c r="E23" s="8">
        <f t="shared" si="1"/>
        <v>9924.84</v>
      </c>
    </row>
    <row r="24" spans="1:5" x14ac:dyDescent="0.35">
      <c r="A24" s="21" t="s">
        <v>8</v>
      </c>
      <c r="C24" s="16">
        <f>'E7'!B1</f>
        <v>300</v>
      </c>
      <c r="D24" s="3" t="s">
        <v>27</v>
      </c>
      <c r="E24" s="8">
        <f t="shared" si="1"/>
        <v>3600</v>
      </c>
    </row>
    <row r="25" spans="1:5" x14ac:dyDescent="0.35">
      <c r="A25" s="21" t="s">
        <v>9</v>
      </c>
      <c r="C25" s="16">
        <v>1010.91</v>
      </c>
      <c r="D25" t="s">
        <v>28</v>
      </c>
      <c r="E25" s="8">
        <f t="shared" si="1"/>
        <v>12130.92</v>
      </c>
    </row>
    <row r="26" spans="1:5" x14ac:dyDescent="0.35">
      <c r="A26" s="21" t="s">
        <v>10</v>
      </c>
      <c r="C26" s="16">
        <v>150</v>
      </c>
      <c r="D26" s="3" t="s">
        <v>29</v>
      </c>
      <c r="E26" s="8">
        <f t="shared" si="1"/>
        <v>1800</v>
      </c>
    </row>
    <row r="27" spans="1:5" x14ac:dyDescent="0.35">
      <c r="A27" s="21" t="s">
        <v>11</v>
      </c>
      <c r="C27" s="16">
        <v>2000</v>
      </c>
      <c r="D27" t="s">
        <v>30</v>
      </c>
      <c r="E27" s="8">
        <f t="shared" si="1"/>
        <v>24000</v>
      </c>
    </row>
    <row r="28" spans="1:5" x14ac:dyDescent="0.35">
      <c r="A28" s="21" t="s">
        <v>195</v>
      </c>
      <c r="C28" s="16">
        <f>'E12'!B7</f>
        <v>1000</v>
      </c>
      <c r="D28" t="s">
        <v>31</v>
      </c>
      <c r="E28" s="8">
        <f t="shared" si="1"/>
        <v>12000</v>
      </c>
    </row>
    <row r="29" spans="1:5" x14ac:dyDescent="0.35">
      <c r="A29" s="21" t="s">
        <v>12</v>
      </c>
      <c r="C29" s="16">
        <v>120</v>
      </c>
      <c r="D29" t="s">
        <v>32</v>
      </c>
      <c r="E29" s="8">
        <f t="shared" si="1"/>
        <v>1440</v>
      </c>
    </row>
    <row r="30" spans="1:5" x14ac:dyDescent="0.35">
      <c r="A30" s="21" t="s">
        <v>13</v>
      </c>
      <c r="C30" s="16">
        <v>600</v>
      </c>
      <c r="D30" t="s">
        <v>33</v>
      </c>
      <c r="E30" s="8">
        <f t="shared" si="1"/>
        <v>7200</v>
      </c>
    </row>
    <row r="31" spans="1:5" x14ac:dyDescent="0.35">
      <c r="A31" s="21" t="s">
        <v>14</v>
      </c>
      <c r="C31" s="16">
        <v>200</v>
      </c>
      <c r="D31" t="s">
        <v>34</v>
      </c>
      <c r="E31" s="8">
        <f t="shared" si="1"/>
        <v>2400</v>
      </c>
    </row>
    <row r="32" spans="1:5" x14ac:dyDescent="0.35">
      <c r="A32" s="21" t="s">
        <v>15</v>
      </c>
      <c r="C32" s="16">
        <v>24500</v>
      </c>
      <c r="D32" t="s">
        <v>35</v>
      </c>
      <c r="E32" s="8">
        <f t="shared" si="1"/>
        <v>294000</v>
      </c>
    </row>
    <row r="33" spans="1:10" x14ac:dyDescent="0.35">
      <c r="A33" s="21" t="s">
        <v>16</v>
      </c>
      <c r="C33" s="16">
        <f>'E18'!C1</f>
        <v>320</v>
      </c>
      <c r="D33" s="3" t="s">
        <v>36</v>
      </c>
      <c r="E33" s="8">
        <f t="shared" si="1"/>
        <v>3840</v>
      </c>
    </row>
    <row r="34" spans="1:10" x14ac:dyDescent="0.35">
      <c r="A34" s="21" t="s">
        <v>17</v>
      </c>
      <c r="C34" s="16">
        <f>'E19'!B3+'E19'!B2</f>
        <v>200</v>
      </c>
      <c r="D34" t="s">
        <v>37</v>
      </c>
      <c r="E34" s="8">
        <f t="shared" si="1"/>
        <v>2400</v>
      </c>
    </row>
    <row r="35" spans="1:10" x14ac:dyDescent="0.35">
      <c r="A35" s="21" t="s">
        <v>18</v>
      </c>
      <c r="C35" s="16">
        <f>'E20'!C5</f>
        <v>1232.4214285714286</v>
      </c>
      <c r="D35" s="3" t="s">
        <v>38</v>
      </c>
      <c r="E35" s="8">
        <f t="shared" si="1"/>
        <v>14789.057142857142</v>
      </c>
    </row>
    <row r="36" spans="1:10" x14ac:dyDescent="0.35">
      <c r="A36" s="21" t="s">
        <v>194</v>
      </c>
      <c r="C36" s="16">
        <v>450</v>
      </c>
      <c r="D36" t="s">
        <v>39</v>
      </c>
      <c r="E36" s="8">
        <f t="shared" si="1"/>
        <v>5400</v>
      </c>
    </row>
    <row r="37" spans="1:10" x14ac:dyDescent="0.35">
      <c r="A37" s="21" t="s">
        <v>19</v>
      </c>
      <c r="C37" s="16">
        <f>'E22'!C6</f>
        <v>15201.428571428572</v>
      </c>
      <c r="D37" s="3" t="s">
        <v>40</v>
      </c>
      <c r="E37" s="8">
        <f t="shared" si="1"/>
        <v>182417.14285714287</v>
      </c>
    </row>
    <row r="38" spans="1:10" x14ac:dyDescent="0.35">
      <c r="A38" s="21" t="s">
        <v>148</v>
      </c>
      <c r="C38" s="33">
        <v>0</v>
      </c>
      <c r="D38" s="3"/>
      <c r="E38" s="8">
        <f t="shared" si="1"/>
        <v>0</v>
      </c>
    </row>
    <row r="39" spans="1:10" ht="15" thickBot="1" x14ac:dyDescent="0.4">
      <c r="A39" s="22" t="s">
        <v>177</v>
      </c>
      <c r="C39" s="17">
        <f>SUM(C18:C38)</f>
        <v>55244.43</v>
      </c>
      <c r="E39" s="44">
        <f>SUM(E18:E38)</f>
        <v>662933.15999999992</v>
      </c>
      <c r="F39" s="44"/>
      <c r="G39" s="44"/>
    </row>
    <row r="40" spans="1:10" ht="15" thickTop="1" x14ac:dyDescent="0.35">
      <c r="A40" s="36" t="s">
        <v>63</v>
      </c>
      <c r="C40" s="37">
        <f>(C39-C37)*0.09</f>
        <v>3603.8701285714283</v>
      </c>
      <c r="E40" s="43">
        <f>(E39-E37)*0.09</f>
        <v>43246.441542857137</v>
      </c>
      <c r="F40" s="48" t="s">
        <v>204</v>
      </c>
      <c r="G40" s="44"/>
    </row>
    <row r="41" spans="1:10" x14ac:dyDescent="0.35">
      <c r="A41" s="24" t="s">
        <v>193</v>
      </c>
      <c r="B41" s="13"/>
      <c r="C41" s="17">
        <f>C39-C40</f>
        <v>51640.559871428573</v>
      </c>
      <c r="E41" s="44">
        <f>+E39-E40</f>
        <v>619686.71845714282</v>
      </c>
      <c r="F41" s="48" t="s">
        <v>202</v>
      </c>
      <c r="G41" s="48" t="s">
        <v>203</v>
      </c>
      <c r="H41" s="25" t="s">
        <v>198</v>
      </c>
      <c r="I41" s="25" t="s">
        <v>200</v>
      </c>
      <c r="J41" s="25" t="s">
        <v>201</v>
      </c>
    </row>
    <row r="42" spans="1:10" x14ac:dyDescent="0.35">
      <c r="A42" s="24"/>
      <c r="B42" s="13"/>
      <c r="C42" s="17"/>
    </row>
    <row r="43" spans="1:10" x14ac:dyDescent="0.35">
      <c r="A43" s="20" t="s">
        <v>178</v>
      </c>
      <c r="B43" s="24"/>
      <c r="C43" s="23">
        <f>C15-C41</f>
        <v>15792.390128571424</v>
      </c>
      <c r="D43" s="23"/>
      <c r="E43" s="46">
        <f>E15-E41</f>
        <v>189508.6815428572</v>
      </c>
      <c r="F43" s="47">
        <v>0.5</v>
      </c>
      <c r="G43" s="46">
        <f>+E43+(E43*F43)</f>
        <v>284263.0223142858</v>
      </c>
      <c r="H43" s="50">
        <f>100%/J43</f>
        <v>5.8823529411764701</v>
      </c>
      <c r="I43" s="51">
        <f>+G43*H43</f>
        <v>1672135.4253781517</v>
      </c>
      <c r="J43" s="52">
        <v>0.17</v>
      </c>
    </row>
    <row r="45" spans="1:10" x14ac:dyDescent="0.35">
      <c r="A45" s="38" t="s">
        <v>187</v>
      </c>
      <c r="B45" s="13" t="s">
        <v>204</v>
      </c>
      <c r="C45" s="34">
        <v>2532</v>
      </c>
      <c r="H45" s="49" t="s">
        <v>199</v>
      </c>
      <c r="I45" s="51">
        <v>500000</v>
      </c>
    </row>
    <row r="46" spans="1:10" x14ac:dyDescent="0.35">
      <c r="A46" s="39" t="s">
        <v>196</v>
      </c>
      <c r="B46" s="13" t="s">
        <v>204</v>
      </c>
      <c r="C46" s="34">
        <v>1478.13</v>
      </c>
      <c r="H46" s="49" t="s">
        <v>205</v>
      </c>
      <c r="I46" s="53">
        <f>+I45/I43</f>
        <v>0.29901884285893021</v>
      </c>
    </row>
  </sheetData>
  <hyperlinks>
    <hyperlink ref="D24" location="'E7'!A1" display="E7" xr:uid="{604396B3-497C-4FBB-A219-00F99834E4FA}"/>
    <hyperlink ref="D26" location="'E10'!A1" display="E10" xr:uid="{509A9FB7-45EC-45D4-A056-7257F723372A}"/>
    <hyperlink ref="D33" location="'E18'!A1" display="E18" xr:uid="{6FB8DBF4-B56C-4D12-BF5D-D75DA05F4564}"/>
    <hyperlink ref="D37" location="'E22'!A1" display="E22" xr:uid="{0E7CF133-1623-4C40-9792-5EC38807C9A4}"/>
    <hyperlink ref="D18" location="'E1'!A1" display="E1" xr:uid="{214462A4-E66F-4F05-83A0-9B7CE98E924A}"/>
    <hyperlink ref="D23" location="'E6'!A1" display="E6" xr:uid="{1154DCEA-A6C6-4E9A-8038-A34352D997E5}"/>
    <hyperlink ref="D35" location="'E20'!A1" display="E20" xr:uid="{764D6542-BDC3-429C-A0A4-CF3AEC46CFA6}"/>
  </hyperlink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371D-8113-4D72-8D04-9871231741D4}">
  <dimension ref="A1:F8"/>
  <sheetViews>
    <sheetView workbookViewId="0">
      <selection activeCell="D15" sqref="D15"/>
    </sheetView>
  </sheetViews>
  <sheetFormatPr defaultRowHeight="14.5" x14ac:dyDescent="0.35"/>
  <cols>
    <col min="1" max="1" width="17.54296875" customWidth="1"/>
    <col min="2" max="3" width="14.453125" customWidth="1"/>
    <col min="4" max="5" width="11.54296875" customWidth="1"/>
    <col min="6" max="6" width="11.453125" bestFit="1" customWidth="1"/>
  </cols>
  <sheetData>
    <row r="1" spans="1:6" x14ac:dyDescent="0.35">
      <c r="A1" s="40"/>
      <c r="B1" s="40" t="s">
        <v>113</v>
      </c>
      <c r="C1" s="40" t="s">
        <v>114</v>
      </c>
      <c r="D1" s="40" t="s">
        <v>115</v>
      </c>
      <c r="E1" s="40" t="s">
        <v>101</v>
      </c>
      <c r="F1" s="40" t="s">
        <v>0</v>
      </c>
    </row>
    <row r="2" spans="1:6" x14ac:dyDescent="0.35">
      <c r="A2" s="40" t="s">
        <v>109</v>
      </c>
      <c r="B2" s="40">
        <v>20</v>
      </c>
      <c r="C2" s="40">
        <v>115</v>
      </c>
      <c r="D2" s="40">
        <v>0</v>
      </c>
      <c r="E2" s="40">
        <f>C2*B2</f>
        <v>2300</v>
      </c>
      <c r="F2" s="41">
        <f>(E2/7)*30</f>
        <v>9857.1428571428569</v>
      </c>
    </row>
    <row r="3" spans="1:6" x14ac:dyDescent="0.35">
      <c r="A3" s="40" t="s">
        <v>110</v>
      </c>
      <c r="B3" s="40">
        <v>6</v>
      </c>
      <c r="C3" s="40">
        <v>115</v>
      </c>
      <c r="D3" s="40">
        <v>0</v>
      </c>
      <c r="E3" s="40">
        <f>C3*B3</f>
        <v>690</v>
      </c>
      <c r="F3" s="41">
        <f t="shared" ref="F3:F7" si="0">(E3/7)*30</f>
        <v>2957.1428571428569</v>
      </c>
    </row>
    <row r="4" spans="1:6" x14ac:dyDescent="0.35">
      <c r="A4" s="40" t="s">
        <v>111</v>
      </c>
      <c r="B4" s="40">
        <v>4</v>
      </c>
      <c r="C4" s="40">
        <v>115</v>
      </c>
      <c r="D4" s="40">
        <v>55</v>
      </c>
      <c r="E4" s="40">
        <f>(C4*B4)-(D4*B4)</f>
        <v>240</v>
      </c>
      <c r="F4" s="41">
        <f t="shared" si="0"/>
        <v>1028.5714285714284</v>
      </c>
    </row>
    <row r="5" spans="1:6" x14ac:dyDescent="0.35">
      <c r="A5" s="40" t="s">
        <v>112</v>
      </c>
      <c r="B5" s="40">
        <v>4</v>
      </c>
      <c r="C5" s="40">
        <v>115</v>
      </c>
      <c r="D5" s="40">
        <v>55</v>
      </c>
      <c r="E5" s="40">
        <f t="shared" ref="E5:E7" si="1">(C5*B5)-(D5*B5)</f>
        <v>240</v>
      </c>
      <c r="F5" s="41">
        <f t="shared" si="0"/>
        <v>1028.5714285714284</v>
      </c>
    </row>
    <row r="6" spans="1:6" x14ac:dyDescent="0.35">
      <c r="A6" s="40" t="s">
        <v>183</v>
      </c>
      <c r="B6" s="40">
        <v>4</v>
      </c>
      <c r="C6" s="40">
        <v>115</v>
      </c>
      <c r="D6" s="40">
        <v>55</v>
      </c>
      <c r="E6" s="40">
        <f t="shared" si="1"/>
        <v>240</v>
      </c>
      <c r="F6" s="41">
        <f t="shared" si="0"/>
        <v>1028.5714285714284</v>
      </c>
    </row>
    <row r="7" spans="1:6" x14ac:dyDescent="0.35">
      <c r="A7" s="40" t="s">
        <v>182</v>
      </c>
      <c r="B7" s="40">
        <v>4</v>
      </c>
      <c r="C7" s="40">
        <v>115</v>
      </c>
      <c r="D7" s="40">
        <v>55</v>
      </c>
      <c r="E7" s="40">
        <f t="shared" si="1"/>
        <v>240</v>
      </c>
      <c r="F7" s="41">
        <f t="shared" si="0"/>
        <v>1028.5714285714284</v>
      </c>
    </row>
    <row r="8" spans="1:6" x14ac:dyDescent="0.35">
      <c r="A8" s="40"/>
      <c r="B8" s="40"/>
      <c r="C8" s="40"/>
      <c r="D8" s="40"/>
      <c r="E8" s="40"/>
      <c r="F8" s="41">
        <f>SUM(F2:F7)</f>
        <v>16928.571428571424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C3B9-DECF-46A4-A56D-4A2D338C08A4}">
  <dimension ref="A1:E8"/>
  <sheetViews>
    <sheetView workbookViewId="0">
      <selection sqref="A1:E8"/>
    </sheetView>
  </sheetViews>
  <sheetFormatPr defaultRowHeight="14.5" x14ac:dyDescent="0.35"/>
  <cols>
    <col min="1" max="1" width="24.1796875" customWidth="1"/>
    <col min="2" max="2" width="10.81640625" customWidth="1"/>
    <col min="3" max="3" width="14.54296875" customWidth="1"/>
    <col min="4" max="5" width="10.453125" bestFit="1" customWidth="1"/>
  </cols>
  <sheetData>
    <row r="1" spans="1:5" x14ac:dyDescent="0.35">
      <c r="A1" s="28" t="s">
        <v>104</v>
      </c>
      <c r="B1" s="28" t="s">
        <v>105</v>
      </c>
      <c r="C1" s="28" t="s">
        <v>106</v>
      </c>
      <c r="D1" s="28" t="s">
        <v>101</v>
      </c>
      <c r="E1" s="29"/>
    </row>
    <row r="2" spans="1:5" x14ac:dyDescent="0.35">
      <c r="A2" s="29" t="s">
        <v>116</v>
      </c>
      <c r="B2" s="29">
        <v>250</v>
      </c>
      <c r="C2" s="29">
        <v>2</v>
      </c>
      <c r="D2" s="30">
        <f>C2*B2</f>
        <v>500</v>
      </c>
      <c r="E2" s="30">
        <f>(D2/7)*30</f>
        <v>2142.8571428571431</v>
      </c>
    </row>
    <row r="3" spans="1:5" x14ac:dyDescent="0.35">
      <c r="A3" s="29" t="s">
        <v>87</v>
      </c>
      <c r="B3" s="29">
        <v>120</v>
      </c>
      <c r="C3" s="29">
        <v>2</v>
      </c>
      <c r="D3" s="30">
        <f t="shared" ref="D3:D6" si="0">C3*B3</f>
        <v>240</v>
      </c>
      <c r="E3" s="30">
        <f t="shared" ref="E3:E6" si="1">(D3/7)*30</f>
        <v>1028.5714285714284</v>
      </c>
    </row>
    <row r="4" spans="1:5" x14ac:dyDescent="0.35">
      <c r="A4" s="29" t="s">
        <v>86</v>
      </c>
      <c r="B4" s="29">
        <v>120</v>
      </c>
      <c r="C4" s="29">
        <v>3</v>
      </c>
      <c r="D4" s="30">
        <f t="shared" si="0"/>
        <v>360</v>
      </c>
      <c r="E4" s="30">
        <f t="shared" si="1"/>
        <v>1542.8571428571429</v>
      </c>
    </row>
    <row r="5" spans="1:5" x14ac:dyDescent="0.35">
      <c r="A5" s="29" t="s">
        <v>89</v>
      </c>
      <c r="B5" s="29">
        <v>120</v>
      </c>
      <c r="C5" s="29">
        <v>2</v>
      </c>
      <c r="D5" s="30">
        <f t="shared" si="0"/>
        <v>240</v>
      </c>
      <c r="E5" s="30">
        <f t="shared" si="1"/>
        <v>1028.5714285714284</v>
      </c>
    </row>
    <row r="6" spans="1:5" x14ac:dyDescent="0.35">
      <c r="A6" s="29" t="s">
        <v>107</v>
      </c>
      <c r="B6" s="29">
        <v>175</v>
      </c>
      <c r="C6" s="29">
        <v>1</v>
      </c>
      <c r="D6" s="30">
        <f t="shared" si="0"/>
        <v>175</v>
      </c>
      <c r="E6" s="30">
        <f t="shared" si="1"/>
        <v>750</v>
      </c>
    </row>
    <row r="7" spans="1:5" x14ac:dyDescent="0.35">
      <c r="A7" s="29"/>
      <c r="B7" s="29"/>
      <c r="C7" s="29"/>
      <c r="D7" s="30"/>
      <c r="E7" s="30"/>
    </row>
    <row r="8" spans="1:5" x14ac:dyDescent="0.35">
      <c r="A8" s="28" t="s">
        <v>117</v>
      </c>
      <c r="B8" s="28"/>
      <c r="C8" s="28">
        <f>SUM(C2:C6)</f>
        <v>10</v>
      </c>
      <c r="D8" s="31">
        <f>SUM(D2:D6)</f>
        <v>1515</v>
      </c>
      <c r="E8" s="31">
        <f>SUM(E2:E6)</f>
        <v>6492.8571428571431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BC33-7D65-47BA-8A51-74904271A084}">
  <dimension ref="A1:D12"/>
  <sheetViews>
    <sheetView workbookViewId="0">
      <selection sqref="A1:D12"/>
    </sheetView>
  </sheetViews>
  <sheetFormatPr defaultRowHeight="14.5" x14ac:dyDescent="0.35"/>
  <cols>
    <col min="1" max="1" width="21.54296875" customWidth="1"/>
    <col min="2" max="2" width="15.453125" customWidth="1"/>
    <col min="3" max="3" width="11.453125" customWidth="1"/>
    <col min="4" max="4" width="10" bestFit="1" customWidth="1"/>
  </cols>
  <sheetData>
    <row r="1" spans="1:4" x14ac:dyDescent="0.35">
      <c r="A1" s="25" t="s">
        <v>62</v>
      </c>
      <c r="B1" s="25" t="s">
        <v>99</v>
      </c>
      <c r="C1" s="25" t="s">
        <v>100</v>
      </c>
      <c r="D1" s="25" t="s">
        <v>101</v>
      </c>
    </row>
    <row r="2" spans="1:4" x14ac:dyDescent="0.35">
      <c r="A2" s="26" t="s">
        <v>93</v>
      </c>
      <c r="B2" s="26">
        <v>6</v>
      </c>
      <c r="C2" s="26">
        <v>1</v>
      </c>
      <c r="D2" s="26">
        <f>C2*B2</f>
        <v>6</v>
      </c>
    </row>
    <row r="3" spans="1:4" x14ac:dyDescent="0.35">
      <c r="A3" s="26" t="s">
        <v>94</v>
      </c>
      <c r="B3" s="26">
        <v>6</v>
      </c>
      <c r="C3" s="26">
        <v>1</v>
      </c>
      <c r="D3" s="26">
        <f t="shared" ref="D3:D7" si="0">C3*B3</f>
        <v>6</v>
      </c>
    </row>
    <row r="4" spans="1:4" x14ac:dyDescent="0.35">
      <c r="A4" s="26" t="s">
        <v>95</v>
      </c>
      <c r="B4" s="26">
        <v>6</v>
      </c>
      <c r="C4" s="26">
        <v>1</v>
      </c>
      <c r="D4" s="26">
        <f t="shared" si="0"/>
        <v>6</v>
      </c>
    </row>
    <row r="5" spans="1:4" x14ac:dyDescent="0.35">
      <c r="A5" s="26" t="s">
        <v>96</v>
      </c>
      <c r="B5" s="26">
        <v>6</v>
      </c>
      <c r="C5" s="26">
        <v>1</v>
      </c>
      <c r="D5" s="26">
        <f t="shared" si="0"/>
        <v>6</v>
      </c>
    </row>
    <row r="6" spans="1:4" x14ac:dyDescent="0.35">
      <c r="A6" s="26" t="s">
        <v>97</v>
      </c>
      <c r="B6" s="26">
        <v>6</v>
      </c>
      <c r="C6" s="26">
        <v>1</v>
      </c>
      <c r="D6" s="26">
        <f t="shared" si="0"/>
        <v>6</v>
      </c>
    </row>
    <row r="7" spans="1:4" x14ac:dyDescent="0.35">
      <c r="A7" s="26" t="s">
        <v>98</v>
      </c>
      <c r="B7" s="26">
        <v>6</v>
      </c>
      <c r="C7" s="26">
        <v>1</v>
      </c>
      <c r="D7" s="26">
        <f t="shared" si="0"/>
        <v>6</v>
      </c>
    </row>
    <row r="8" spans="1:4" x14ac:dyDescent="0.35">
      <c r="A8" s="26"/>
      <c r="B8" s="26"/>
      <c r="C8" s="26"/>
      <c r="D8" s="26"/>
    </row>
    <row r="9" spans="1:4" x14ac:dyDescent="0.35">
      <c r="A9" s="26"/>
      <c r="B9" s="26"/>
      <c r="C9" s="26" t="s">
        <v>102</v>
      </c>
      <c r="D9" s="26">
        <f>SUM(D2:D8)</f>
        <v>36</v>
      </c>
    </row>
    <row r="10" spans="1:4" x14ac:dyDescent="0.35">
      <c r="A10" s="26" t="s">
        <v>186</v>
      </c>
      <c r="B10" s="32">
        <v>25</v>
      </c>
      <c r="D10" s="32">
        <f>D9*B10</f>
        <v>900</v>
      </c>
    </row>
    <row r="12" spans="1:4" x14ac:dyDescent="0.35">
      <c r="A12">
        <v>12</v>
      </c>
      <c r="D12" s="32">
        <f>D10*A12</f>
        <v>10800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71DC-3693-4F29-94AF-A162A290D8B4}">
  <dimension ref="A1:E7"/>
  <sheetViews>
    <sheetView workbookViewId="0">
      <selection sqref="A1:E7"/>
    </sheetView>
  </sheetViews>
  <sheetFormatPr defaultRowHeight="14.5" x14ac:dyDescent="0.35"/>
  <cols>
    <col min="1" max="1" width="19.453125" customWidth="1"/>
    <col min="2" max="2" width="15.453125" customWidth="1"/>
    <col min="3" max="3" width="15.81640625" customWidth="1"/>
    <col min="4" max="4" width="12" customWidth="1"/>
    <col min="5" max="5" width="16.81640625" customWidth="1"/>
  </cols>
  <sheetData>
    <row r="1" spans="1:5" x14ac:dyDescent="0.35">
      <c r="A1" s="13" t="s">
        <v>57</v>
      </c>
      <c r="B1" s="25" t="s">
        <v>91</v>
      </c>
      <c r="C1" s="25" t="s">
        <v>92</v>
      </c>
      <c r="D1" s="25" t="s">
        <v>108</v>
      </c>
      <c r="E1" s="25" t="s">
        <v>118</v>
      </c>
    </row>
    <row r="2" spans="1:5" x14ac:dyDescent="0.35">
      <c r="A2" t="s">
        <v>86</v>
      </c>
      <c r="B2" s="11">
        <v>220</v>
      </c>
      <c r="C2" s="11">
        <v>2</v>
      </c>
      <c r="D2" s="11">
        <f>C2*B2</f>
        <v>440</v>
      </c>
      <c r="E2" s="12">
        <f>(D2/7)*30</f>
        <v>1885.7142857142856</v>
      </c>
    </row>
    <row r="3" spans="1:5" x14ac:dyDescent="0.35">
      <c r="A3" t="s">
        <v>90</v>
      </c>
      <c r="B3" s="11">
        <v>160</v>
      </c>
      <c r="C3" s="11">
        <v>4</v>
      </c>
      <c r="D3" s="11">
        <f t="shared" ref="D3:D6" si="0">C3*B3</f>
        <v>640</v>
      </c>
      <c r="E3" s="12">
        <f t="shared" ref="E3:E6" si="1">(D3/7)*30</f>
        <v>2742.8571428571431</v>
      </c>
    </row>
    <row r="4" spans="1:5" x14ac:dyDescent="0.35">
      <c r="A4" t="s">
        <v>87</v>
      </c>
      <c r="B4" s="11">
        <v>55</v>
      </c>
      <c r="C4" s="11">
        <v>14</v>
      </c>
      <c r="D4" s="11">
        <f t="shared" si="0"/>
        <v>770</v>
      </c>
      <c r="E4" s="12">
        <f t="shared" si="1"/>
        <v>3300</v>
      </c>
    </row>
    <row r="5" spans="1:5" x14ac:dyDescent="0.35">
      <c r="A5" t="s">
        <v>88</v>
      </c>
      <c r="B5" s="11">
        <v>60</v>
      </c>
      <c r="C5" s="11">
        <v>4</v>
      </c>
      <c r="D5" s="11">
        <f t="shared" si="0"/>
        <v>240</v>
      </c>
      <c r="E5" s="12">
        <f t="shared" si="1"/>
        <v>1028.5714285714284</v>
      </c>
    </row>
    <row r="6" spans="1:5" x14ac:dyDescent="0.35">
      <c r="A6" t="s">
        <v>89</v>
      </c>
      <c r="B6" s="11">
        <v>150</v>
      </c>
      <c r="C6" s="11">
        <v>2</v>
      </c>
      <c r="D6" s="11">
        <f t="shared" si="0"/>
        <v>300</v>
      </c>
      <c r="E6" s="12">
        <f t="shared" si="1"/>
        <v>1285.7142857142856</v>
      </c>
    </row>
    <row r="7" spans="1:5" x14ac:dyDescent="0.35">
      <c r="B7" s="11"/>
      <c r="C7" s="11"/>
      <c r="D7" s="11">
        <f>SUM(D2:D6)</f>
        <v>2390</v>
      </c>
      <c r="E7" s="12">
        <f>SUM(E2:E6)</f>
        <v>10242.857142857143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FEE9-B8BA-4949-9616-16DF6A623367}">
  <dimension ref="A1:K20"/>
  <sheetViews>
    <sheetView workbookViewId="0">
      <selection activeCell="B25" sqref="B25"/>
    </sheetView>
  </sheetViews>
  <sheetFormatPr defaultRowHeight="14.5" x14ac:dyDescent="0.35"/>
  <cols>
    <col min="1" max="1" width="13.81640625" customWidth="1"/>
    <col min="2" max="2" width="11.453125" bestFit="1" customWidth="1"/>
  </cols>
  <sheetData>
    <row r="1" spans="1:11" x14ac:dyDescent="0.35">
      <c r="B1" t="s">
        <v>120</v>
      </c>
      <c r="C1" t="s">
        <v>121</v>
      </c>
      <c r="D1" t="s">
        <v>122</v>
      </c>
      <c r="E1" t="s">
        <v>123</v>
      </c>
      <c r="F1" t="s">
        <v>124</v>
      </c>
      <c r="G1" t="s">
        <v>125</v>
      </c>
      <c r="H1" t="s">
        <v>126</v>
      </c>
      <c r="I1" t="s">
        <v>127</v>
      </c>
      <c r="J1" t="s">
        <v>128</v>
      </c>
      <c r="K1" t="s">
        <v>117</v>
      </c>
    </row>
    <row r="2" spans="1:11" x14ac:dyDescent="0.35">
      <c r="A2" t="s">
        <v>129</v>
      </c>
      <c r="B2">
        <v>1</v>
      </c>
      <c r="K2">
        <f>SUM(B2:J2)*20</f>
        <v>20</v>
      </c>
    </row>
    <row r="3" spans="1:11" x14ac:dyDescent="0.35">
      <c r="A3" t="s">
        <v>130</v>
      </c>
      <c r="B3">
        <v>1</v>
      </c>
      <c r="C3">
        <v>1</v>
      </c>
      <c r="K3">
        <f t="shared" ref="K3:K4" si="0">SUM(B3:J3)*20</f>
        <v>40</v>
      </c>
    </row>
    <row r="4" spans="1:11" x14ac:dyDescent="0.35">
      <c r="A4" t="s">
        <v>131</v>
      </c>
      <c r="B4">
        <v>1</v>
      </c>
      <c r="C4">
        <v>1</v>
      </c>
      <c r="K4">
        <f t="shared" si="0"/>
        <v>40</v>
      </c>
    </row>
    <row r="5" spans="1:11" x14ac:dyDescent="0.35">
      <c r="A5" t="s">
        <v>132</v>
      </c>
      <c r="B5">
        <v>1</v>
      </c>
      <c r="C5">
        <v>1</v>
      </c>
      <c r="K5">
        <f>SUM(B5:J5)*15</f>
        <v>30</v>
      </c>
    </row>
    <row r="6" spans="1:11" x14ac:dyDescent="0.35">
      <c r="A6" t="s">
        <v>133</v>
      </c>
      <c r="B6">
        <v>1</v>
      </c>
      <c r="C6">
        <v>1</v>
      </c>
      <c r="D6">
        <v>1</v>
      </c>
      <c r="K6">
        <f t="shared" ref="K6:K7" si="1">SUM(B6:J6)*15</f>
        <v>45</v>
      </c>
    </row>
    <row r="7" spans="1:11" x14ac:dyDescent="0.35">
      <c r="A7" t="s">
        <v>134</v>
      </c>
      <c r="B7">
        <v>1</v>
      </c>
      <c r="C7">
        <v>1</v>
      </c>
      <c r="D7">
        <v>1</v>
      </c>
      <c r="K7">
        <f t="shared" si="1"/>
        <v>45</v>
      </c>
    </row>
    <row r="8" spans="1:11" x14ac:dyDescent="0.35">
      <c r="A8" t="s">
        <v>135</v>
      </c>
      <c r="B8">
        <v>1</v>
      </c>
      <c r="C8">
        <v>1</v>
      </c>
      <c r="D8">
        <v>1</v>
      </c>
      <c r="K8">
        <f t="shared" ref="K8:K14" si="2">SUM(B8:J8)*20</f>
        <v>60</v>
      </c>
    </row>
    <row r="9" spans="1:11" x14ac:dyDescent="0.35">
      <c r="A9" t="s">
        <v>136</v>
      </c>
      <c r="B9">
        <v>1</v>
      </c>
      <c r="C9">
        <v>1</v>
      </c>
      <c r="K9">
        <f t="shared" si="2"/>
        <v>40</v>
      </c>
    </row>
    <row r="10" spans="1:11" x14ac:dyDescent="0.35">
      <c r="A10" t="s">
        <v>137</v>
      </c>
      <c r="B10">
        <v>1</v>
      </c>
      <c r="C10">
        <v>1</v>
      </c>
      <c r="D10">
        <v>1</v>
      </c>
      <c r="K10">
        <f t="shared" si="2"/>
        <v>60</v>
      </c>
    </row>
    <row r="11" spans="1:11" x14ac:dyDescent="0.35">
      <c r="A11" t="s">
        <v>138</v>
      </c>
      <c r="B11">
        <v>1</v>
      </c>
      <c r="C11">
        <v>1</v>
      </c>
      <c r="D11">
        <v>1</v>
      </c>
      <c r="K11">
        <f t="shared" si="2"/>
        <v>60</v>
      </c>
    </row>
    <row r="12" spans="1:11" x14ac:dyDescent="0.35">
      <c r="A12" t="s">
        <v>139</v>
      </c>
      <c r="B12">
        <v>1</v>
      </c>
      <c r="C12">
        <v>1</v>
      </c>
      <c r="D12">
        <v>1</v>
      </c>
      <c r="K12">
        <f t="shared" si="2"/>
        <v>60</v>
      </c>
    </row>
    <row r="13" spans="1:11" x14ac:dyDescent="0.35">
      <c r="A13" t="s">
        <v>140</v>
      </c>
      <c r="B13">
        <v>1</v>
      </c>
      <c r="C13">
        <v>1</v>
      </c>
      <c r="D13">
        <v>1</v>
      </c>
      <c r="K13">
        <f t="shared" si="2"/>
        <v>60</v>
      </c>
    </row>
    <row r="14" spans="1:11" x14ac:dyDescent="0.35">
      <c r="A14" t="s">
        <v>141</v>
      </c>
      <c r="B14">
        <v>1</v>
      </c>
      <c r="C14">
        <v>1</v>
      </c>
      <c r="D14">
        <v>1</v>
      </c>
      <c r="K14">
        <f t="shared" si="2"/>
        <v>60</v>
      </c>
    </row>
    <row r="15" spans="1:11" x14ac:dyDescent="0.35">
      <c r="A15" t="s">
        <v>117</v>
      </c>
      <c r="B15">
        <f>SUM(B2:B14)</f>
        <v>13</v>
      </c>
      <c r="C15">
        <f t="shared" ref="C15:J15" si="3">SUM(C2:C14)</f>
        <v>12</v>
      </c>
      <c r="D15">
        <f t="shared" si="3"/>
        <v>8</v>
      </c>
      <c r="E15">
        <f t="shared" si="3"/>
        <v>0</v>
      </c>
      <c r="F15">
        <f t="shared" si="3"/>
        <v>0</v>
      </c>
      <c r="G15">
        <f t="shared" si="3"/>
        <v>0</v>
      </c>
      <c r="H15">
        <f t="shared" si="3"/>
        <v>0</v>
      </c>
      <c r="I15">
        <f t="shared" si="3"/>
        <v>0</v>
      </c>
      <c r="J15">
        <f t="shared" si="3"/>
        <v>0</v>
      </c>
      <c r="K15">
        <f>SUM(K2:K14)</f>
        <v>620</v>
      </c>
    </row>
    <row r="17" spans="1:4" x14ac:dyDescent="0.35">
      <c r="A17" t="s">
        <v>185</v>
      </c>
      <c r="B17" s="27">
        <f>SUM(B15:J15)</f>
        <v>33</v>
      </c>
      <c r="D17" t="s">
        <v>184</v>
      </c>
    </row>
    <row r="18" spans="1:4" x14ac:dyDescent="0.35">
      <c r="A18" t="s">
        <v>108</v>
      </c>
      <c r="B18" s="8">
        <v>660</v>
      </c>
    </row>
    <row r="19" spans="1:4" x14ac:dyDescent="0.35">
      <c r="A19" t="s">
        <v>142</v>
      </c>
      <c r="B19" s="8">
        <f>B18*7</f>
        <v>4620</v>
      </c>
    </row>
    <row r="20" spans="1:4" x14ac:dyDescent="0.35">
      <c r="A20" t="s">
        <v>0</v>
      </c>
      <c r="B20" s="8">
        <f>B18*30</f>
        <v>19800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08A0-14FB-4A9D-9D3B-DF0759AD435C}">
  <dimension ref="A1:F4"/>
  <sheetViews>
    <sheetView workbookViewId="0">
      <selection activeCell="A6" sqref="A6"/>
    </sheetView>
  </sheetViews>
  <sheetFormatPr defaultRowHeight="14.5" x14ac:dyDescent="0.35"/>
  <cols>
    <col min="1" max="1" width="17" customWidth="1"/>
    <col min="2" max="2" width="21.453125" customWidth="1"/>
    <col min="3" max="3" width="13.1796875" customWidth="1"/>
    <col min="4" max="5" width="11.453125" customWidth="1"/>
    <col min="6" max="6" width="10.453125" bestFit="1" customWidth="1"/>
  </cols>
  <sheetData>
    <row r="1" spans="1:6" x14ac:dyDescent="0.35">
      <c r="A1" t="s">
        <v>59</v>
      </c>
      <c r="B1" t="s">
        <v>143</v>
      </c>
      <c r="C1" t="s">
        <v>144</v>
      </c>
      <c r="D1" t="s">
        <v>145</v>
      </c>
      <c r="E1" t="s">
        <v>142</v>
      </c>
      <c r="F1" t="s">
        <v>146</v>
      </c>
    </row>
    <row r="2" spans="1:6" x14ac:dyDescent="0.35">
      <c r="A2" t="s">
        <v>172</v>
      </c>
      <c r="B2">
        <v>2</v>
      </c>
      <c r="C2">
        <v>25</v>
      </c>
      <c r="D2">
        <f>C2*B2</f>
        <v>50</v>
      </c>
      <c r="E2">
        <f>D2*7</f>
        <v>350</v>
      </c>
      <c r="F2" s="8">
        <f>D2*30</f>
        <v>1500</v>
      </c>
    </row>
    <row r="3" spans="1:6" x14ac:dyDescent="0.35">
      <c r="A3" t="s">
        <v>173</v>
      </c>
      <c r="B3">
        <v>2</v>
      </c>
      <c r="C3">
        <v>25</v>
      </c>
      <c r="D3">
        <f>C3*B3</f>
        <v>50</v>
      </c>
      <c r="E3">
        <f>D3*7</f>
        <v>350</v>
      </c>
      <c r="F3" s="8">
        <f>D3*30</f>
        <v>1500</v>
      </c>
    </row>
    <row r="4" spans="1:6" x14ac:dyDescent="0.35">
      <c r="A4" t="s">
        <v>117</v>
      </c>
      <c r="B4">
        <f>SUM(B2:B3)</f>
        <v>4</v>
      </c>
      <c r="D4">
        <f>SUM(D2:D3)</f>
        <v>100</v>
      </c>
      <c r="E4">
        <f t="shared" ref="E4:F4" si="0">SUM(E2:E3)</f>
        <v>700</v>
      </c>
      <c r="F4" s="8">
        <f t="shared" si="0"/>
        <v>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741D-7E53-428E-BF65-FA579DDD70AE}">
  <dimension ref="A1:E5"/>
  <sheetViews>
    <sheetView workbookViewId="0">
      <selection activeCell="D12" sqref="D12"/>
    </sheetView>
  </sheetViews>
  <sheetFormatPr defaultRowHeight="14.5" x14ac:dyDescent="0.35"/>
  <cols>
    <col min="1" max="1" width="16.1796875" customWidth="1"/>
    <col min="2" max="2" width="16.54296875" customWidth="1"/>
    <col min="3" max="3" width="14" customWidth="1"/>
    <col min="4" max="4" width="15.81640625" customWidth="1"/>
    <col min="5" max="5" width="13.81640625" customWidth="1"/>
  </cols>
  <sheetData>
    <row r="1" spans="1:5" x14ac:dyDescent="0.35">
      <c r="A1" t="s">
        <v>167</v>
      </c>
      <c r="B1" t="s">
        <v>168</v>
      </c>
      <c r="C1" t="s">
        <v>169</v>
      </c>
      <c r="D1" t="s">
        <v>170</v>
      </c>
      <c r="E1" t="s">
        <v>171</v>
      </c>
    </row>
    <row r="2" spans="1:5" x14ac:dyDescent="0.35">
      <c r="A2" t="s">
        <v>166</v>
      </c>
      <c r="B2" s="27">
        <v>50</v>
      </c>
      <c r="C2" s="27">
        <v>12.5</v>
      </c>
      <c r="D2" s="12">
        <f>B2*C2</f>
        <v>625</v>
      </c>
      <c r="E2" s="12">
        <f>(D2/7)*30</f>
        <v>2678.5714285714289</v>
      </c>
    </row>
    <row r="3" spans="1:5" x14ac:dyDescent="0.35">
      <c r="A3" t="s">
        <v>164</v>
      </c>
      <c r="B3" s="27">
        <v>30</v>
      </c>
      <c r="C3" s="27">
        <v>24.95</v>
      </c>
      <c r="D3" s="12">
        <f t="shared" ref="D3:D4" si="0">B3*C3</f>
        <v>748.5</v>
      </c>
      <c r="E3" s="12">
        <f t="shared" ref="E3:E4" si="1">(D3/7)*30</f>
        <v>3207.8571428571431</v>
      </c>
    </row>
    <row r="4" spans="1:5" x14ac:dyDescent="0.35">
      <c r="A4" t="s">
        <v>165</v>
      </c>
      <c r="B4" s="27">
        <v>20</v>
      </c>
      <c r="C4" s="27">
        <v>49.95</v>
      </c>
      <c r="D4" s="12">
        <f t="shared" si="0"/>
        <v>999</v>
      </c>
      <c r="E4" s="12">
        <f t="shared" si="1"/>
        <v>4281.4285714285716</v>
      </c>
    </row>
    <row r="5" spans="1:5" x14ac:dyDescent="0.35">
      <c r="A5" t="s">
        <v>117</v>
      </c>
      <c r="B5" s="27">
        <f>SUM(B2:B4)</f>
        <v>100</v>
      </c>
      <c r="C5" s="27"/>
      <c r="D5" s="12">
        <f>SUM(D2:D4)</f>
        <v>2372.5</v>
      </c>
      <c r="E5" s="12">
        <f>SUM(E2:E4)</f>
        <v>10167.857142857145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D8BB8-5767-4FD7-9BE7-79E5EC28052B}">
  <dimension ref="A1:D17"/>
  <sheetViews>
    <sheetView workbookViewId="0">
      <selection sqref="A1:D17"/>
    </sheetView>
  </sheetViews>
  <sheetFormatPr defaultRowHeight="14.5" x14ac:dyDescent="0.35"/>
  <cols>
    <col min="1" max="1" width="13.54296875" customWidth="1"/>
    <col min="2" max="2" width="19.453125" customWidth="1"/>
    <col min="3" max="3" width="10.54296875" customWidth="1"/>
    <col min="4" max="4" width="13" customWidth="1"/>
  </cols>
  <sheetData>
    <row r="1" spans="1:4" x14ac:dyDescent="0.35">
      <c r="A1" t="s">
        <v>152</v>
      </c>
      <c r="B1" t="s">
        <v>153</v>
      </c>
      <c r="C1" t="s">
        <v>154</v>
      </c>
      <c r="D1" t="s">
        <v>101</v>
      </c>
    </row>
    <row r="2" spans="1:4" x14ac:dyDescent="0.35">
      <c r="A2" t="s">
        <v>155</v>
      </c>
      <c r="B2">
        <v>100</v>
      </c>
      <c r="C2">
        <v>20</v>
      </c>
      <c r="D2">
        <f>B2-C2</f>
        <v>80</v>
      </c>
    </row>
    <row r="3" spans="1:4" x14ac:dyDescent="0.35">
      <c r="A3" t="s">
        <v>156</v>
      </c>
      <c r="B3">
        <v>100</v>
      </c>
      <c r="C3">
        <v>20</v>
      </c>
      <c r="D3">
        <f t="shared" ref="D3:D16" si="0">B3-C3</f>
        <v>80</v>
      </c>
    </row>
    <row r="4" spans="1:4" x14ac:dyDescent="0.35">
      <c r="A4" t="s">
        <v>157</v>
      </c>
      <c r="B4">
        <v>100</v>
      </c>
      <c r="C4">
        <v>20</v>
      </c>
      <c r="D4">
        <f t="shared" si="0"/>
        <v>80</v>
      </c>
    </row>
    <row r="5" spans="1:4" x14ac:dyDescent="0.35">
      <c r="A5" t="s">
        <v>158</v>
      </c>
      <c r="B5">
        <v>100</v>
      </c>
      <c r="C5">
        <v>20</v>
      </c>
      <c r="D5">
        <f t="shared" si="0"/>
        <v>80</v>
      </c>
    </row>
    <row r="6" spans="1:4" x14ac:dyDescent="0.35">
      <c r="A6" t="s">
        <v>159</v>
      </c>
      <c r="B6">
        <v>100</v>
      </c>
      <c r="C6">
        <v>20</v>
      </c>
      <c r="D6">
        <f t="shared" si="0"/>
        <v>80</v>
      </c>
    </row>
    <row r="7" spans="1:4" x14ac:dyDescent="0.35">
      <c r="A7" t="s">
        <v>160</v>
      </c>
      <c r="B7">
        <v>100</v>
      </c>
      <c r="C7">
        <v>20</v>
      </c>
      <c r="D7">
        <f t="shared" si="0"/>
        <v>80</v>
      </c>
    </row>
    <row r="8" spans="1:4" x14ac:dyDescent="0.35">
      <c r="A8" t="s">
        <v>161</v>
      </c>
      <c r="B8">
        <v>100</v>
      </c>
      <c r="C8">
        <v>20</v>
      </c>
      <c r="D8">
        <f t="shared" si="0"/>
        <v>80</v>
      </c>
    </row>
    <row r="9" spans="1:4" x14ac:dyDescent="0.35">
      <c r="A9" t="s">
        <v>162</v>
      </c>
      <c r="B9">
        <v>100</v>
      </c>
      <c r="C9">
        <v>20</v>
      </c>
      <c r="D9">
        <f t="shared" si="0"/>
        <v>80</v>
      </c>
    </row>
    <row r="10" spans="1:4" x14ac:dyDescent="0.35">
      <c r="A10" t="s">
        <v>163</v>
      </c>
      <c r="B10">
        <v>100</v>
      </c>
      <c r="C10">
        <v>20</v>
      </c>
      <c r="D10">
        <f t="shared" si="0"/>
        <v>80</v>
      </c>
    </row>
    <row r="11" spans="1:4" x14ac:dyDescent="0.35">
      <c r="A11" t="s">
        <v>175</v>
      </c>
      <c r="B11">
        <v>200</v>
      </c>
      <c r="C11">
        <v>20</v>
      </c>
      <c r="D11">
        <f t="shared" si="0"/>
        <v>180</v>
      </c>
    </row>
    <row r="12" spans="1:4" x14ac:dyDescent="0.35">
      <c r="A12" t="s">
        <v>175</v>
      </c>
      <c r="B12">
        <v>200</v>
      </c>
      <c r="C12">
        <v>20</v>
      </c>
      <c r="D12">
        <f t="shared" si="0"/>
        <v>180</v>
      </c>
    </row>
    <row r="13" spans="1:4" x14ac:dyDescent="0.35">
      <c r="A13" t="s">
        <v>175</v>
      </c>
      <c r="B13">
        <v>200</v>
      </c>
      <c r="C13">
        <v>20</v>
      </c>
      <c r="D13">
        <f t="shared" si="0"/>
        <v>180</v>
      </c>
    </row>
    <row r="14" spans="1:4" x14ac:dyDescent="0.35">
      <c r="A14" t="s">
        <v>175</v>
      </c>
      <c r="B14">
        <v>200</v>
      </c>
      <c r="C14">
        <v>20</v>
      </c>
      <c r="D14">
        <f t="shared" si="0"/>
        <v>180</v>
      </c>
    </row>
    <row r="15" spans="1:4" x14ac:dyDescent="0.35">
      <c r="A15" t="s">
        <v>175</v>
      </c>
      <c r="B15">
        <v>200</v>
      </c>
      <c r="C15">
        <v>20</v>
      </c>
      <c r="D15">
        <f t="shared" si="0"/>
        <v>180</v>
      </c>
    </row>
    <row r="16" spans="1:4" x14ac:dyDescent="0.35">
      <c r="A16" t="s">
        <v>176</v>
      </c>
      <c r="B16">
        <v>500</v>
      </c>
      <c r="C16">
        <v>50</v>
      </c>
      <c r="D16">
        <f t="shared" si="0"/>
        <v>450</v>
      </c>
    </row>
    <row r="17" spans="1:4" x14ac:dyDescent="0.35">
      <c r="A17" t="s">
        <v>117</v>
      </c>
      <c r="B17">
        <f>SUM(B2:B16)</f>
        <v>2400</v>
      </c>
      <c r="C17">
        <f>SUM(C2:C16)</f>
        <v>330</v>
      </c>
      <c r="D17" s="13">
        <f>SUM(D2:D16)</f>
        <v>2070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B3" sqref="B3"/>
    </sheetView>
  </sheetViews>
  <sheetFormatPr defaultRowHeight="14.5" x14ac:dyDescent="0.35"/>
  <cols>
    <col min="1" max="1" width="14.54296875" customWidth="1"/>
    <col min="2" max="2" width="17.54296875" customWidth="1"/>
    <col min="3" max="3" width="12.54296875" customWidth="1"/>
  </cols>
  <sheetData>
    <row r="1" spans="1:6" x14ac:dyDescent="0.35">
      <c r="A1" s="13" t="s">
        <v>189</v>
      </c>
    </row>
    <row r="2" spans="1:6" x14ac:dyDescent="0.35">
      <c r="F2" s="32"/>
    </row>
    <row r="3" spans="1:6" x14ac:dyDescent="0.35">
      <c r="A3" s="35" t="s">
        <v>190</v>
      </c>
      <c r="B3" t="s">
        <v>192</v>
      </c>
    </row>
    <row r="4" spans="1:6" x14ac:dyDescent="0.35">
      <c r="A4" s="35" t="s">
        <v>188</v>
      </c>
      <c r="B4">
        <v>2500</v>
      </c>
    </row>
    <row r="5" spans="1:6" x14ac:dyDescent="0.35">
      <c r="A5" s="35" t="s">
        <v>191</v>
      </c>
      <c r="B5" t="s">
        <v>192</v>
      </c>
    </row>
    <row r="6" spans="1:6" x14ac:dyDescent="0.35">
      <c r="A6" s="35" t="s">
        <v>56</v>
      </c>
      <c r="B6" t="s">
        <v>192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/>
  </sheetViews>
  <sheetFormatPr defaultRowHeight="14.5" x14ac:dyDescent="0.35"/>
  <cols>
    <col min="1" max="1" width="22.453125" customWidth="1"/>
    <col min="2" max="2" width="18.81640625" customWidth="1"/>
  </cols>
  <sheetData>
    <row r="1" spans="1:2" x14ac:dyDescent="0.35">
      <c r="A1" s="15" t="s">
        <v>46</v>
      </c>
      <c r="B1" s="15" t="s">
        <v>47</v>
      </c>
    </row>
    <row r="2" spans="1:2" x14ac:dyDescent="0.35">
      <c r="A2" s="14" t="s">
        <v>48</v>
      </c>
      <c r="B2" s="15">
        <f>200*4</f>
        <v>800</v>
      </c>
    </row>
    <row r="3" spans="1:2" x14ac:dyDescent="0.35">
      <c r="A3" s="14" t="s">
        <v>49</v>
      </c>
      <c r="B3" s="15">
        <f>666*1.1</f>
        <v>732.6</v>
      </c>
    </row>
    <row r="4" spans="1:2" x14ac:dyDescent="0.35">
      <c r="A4" s="14" t="s">
        <v>50</v>
      </c>
      <c r="B4" s="15">
        <v>500</v>
      </c>
    </row>
    <row r="5" spans="1:2" x14ac:dyDescent="0.35">
      <c r="A5" s="14" t="s">
        <v>51</v>
      </c>
      <c r="B5" s="15">
        <f>1000</f>
        <v>1000</v>
      </c>
    </row>
    <row r="6" spans="1:2" x14ac:dyDescent="0.35">
      <c r="B6" s="8"/>
    </row>
    <row r="7" spans="1:2" x14ac:dyDescent="0.35">
      <c r="A7" t="s">
        <v>84</v>
      </c>
      <c r="B7" s="8">
        <f>SUM(B2:B5)</f>
        <v>3032.6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A2" sqref="A2"/>
    </sheetView>
  </sheetViews>
  <sheetFormatPr defaultRowHeight="14.5" x14ac:dyDescent="0.35"/>
  <cols>
    <col min="1" max="1" width="11.54296875" customWidth="1"/>
  </cols>
  <sheetData>
    <row r="1" spans="1:1" x14ac:dyDescent="0.35">
      <c r="A1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G36" sqref="G36"/>
    </sheetView>
  </sheetViews>
  <sheetFormatPr defaultRowHeight="14.5" x14ac:dyDescent="0.3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1" sqref="C1"/>
    </sheetView>
  </sheetViews>
  <sheetFormatPr defaultRowHeight="14.5" x14ac:dyDescent="0.35"/>
  <cols>
    <col min="1" max="1" width="18.453125" customWidth="1"/>
    <col min="2" max="2" width="14" customWidth="1"/>
    <col min="3" max="3" width="11.54296875" customWidth="1"/>
  </cols>
  <sheetData>
    <row r="1" spans="1:3" x14ac:dyDescent="0.35">
      <c r="A1" t="s">
        <v>54</v>
      </c>
      <c r="B1" t="s">
        <v>55</v>
      </c>
      <c r="C1" t="s">
        <v>181</v>
      </c>
    </row>
    <row r="2" spans="1:3" x14ac:dyDescent="0.35">
      <c r="A2" t="s">
        <v>42</v>
      </c>
    </row>
    <row r="3" spans="1:3" x14ac:dyDescent="0.35">
      <c r="A3" t="s">
        <v>52</v>
      </c>
    </row>
    <row r="4" spans="1:3" x14ac:dyDescent="0.35">
      <c r="A4" t="s">
        <v>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FB048-FEAB-4249-B3EA-4B789572D8FF}">
  <dimension ref="A1:E4"/>
  <sheetViews>
    <sheetView workbookViewId="0">
      <selection activeCell="B3" sqref="B3"/>
    </sheetView>
  </sheetViews>
  <sheetFormatPr defaultRowHeight="14.5" x14ac:dyDescent="0.35"/>
  <cols>
    <col min="1" max="1" width="29.54296875" customWidth="1"/>
    <col min="2" max="2" width="10.54296875" bestFit="1" customWidth="1"/>
    <col min="3" max="3" width="11.54296875" bestFit="1" customWidth="1"/>
  </cols>
  <sheetData>
    <row r="1" spans="1:5" x14ac:dyDescent="0.35">
      <c r="B1" t="s">
        <v>73</v>
      </c>
      <c r="C1" t="s">
        <v>74</v>
      </c>
    </row>
    <row r="2" spans="1:5" x14ac:dyDescent="0.35">
      <c r="A2" t="s">
        <v>72</v>
      </c>
      <c r="B2" s="8">
        <v>0</v>
      </c>
      <c r="C2" s="8" t="s">
        <v>119</v>
      </c>
      <c r="E2" s="6" t="s">
        <v>69</v>
      </c>
    </row>
    <row r="3" spans="1:5" x14ac:dyDescent="0.35">
      <c r="A3" t="s">
        <v>71</v>
      </c>
      <c r="B3" s="12">
        <v>827.07</v>
      </c>
      <c r="C3" s="12">
        <f>B3*60</f>
        <v>49624.200000000004</v>
      </c>
    </row>
    <row r="4" spans="1:5" x14ac:dyDescent="0.35">
      <c r="B4" s="12"/>
      <c r="C4" s="12"/>
    </row>
  </sheetData>
  <hyperlinks>
    <hyperlink ref="E2" location="'Income Statement'!A1" display="'Income Statement'!A1" xr:uid="{5F08A4E0-45F6-411F-BF7B-6F9A8D59ED0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4EDE-6C62-4600-A996-E6EF117E042F}">
  <dimension ref="A1:H1"/>
  <sheetViews>
    <sheetView workbookViewId="0">
      <selection activeCell="H1" sqref="H1"/>
    </sheetView>
  </sheetViews>
  <sheetFormatPr defaultRowHeight="14.5" x14ac:dyDescent="0.35"/>
  <cols>
    <col min="1" max="1" width="19.453125" customWidth="1"/>
  </cols>
  <sheetData>
    <row r="1" spans="1:8" ht="15" thickBot="1" x14ac:dyDescent="0.4">
      <c r="A1" s="4" t="s">
        <v>8</v>
      </c>
      <c r="B1" s="5">
        <v>300</v>
      </c>
      <c r="H1" s="6" t="s">
        <v>69</v>
      </c>
    </row>
  </sheetData>
  <hyperlinks>
    <hyperlink ref="H1" location="'Income Statement'!A1" display="'Income Statement'!A1" xr:uid="{606C54F2-C16F-4537-BE7B-D4EDDF98CB6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F167-FD5F-4AF8-B87D-136256E6CDEA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9040-5A12-48BE-A2B1-E89FD0C3070F}">
  <dimension ref="A1"/>
  <sheetViews>
    <sheetView workbookViewId="0">
      <selection activeCell="K18" sqref="K18"/>
    </sheetView>
  </sheetViews>
  <sheetFormatPr defaultRowHeight="14.5" x14ac:dyDescent="0.3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1C24-85F3-425D-9BDD-0E9906E3F09F}">
  <dimension ref="A1:H1"/>
  <sheetViews>
    <sheetView workbookViewId="0">
      <selection activeCell="H1" sqref="H1"/>
    </sheetView>
  </sheetViews>
  <sheetFormatPr defaultRowHeight="14.5" x14ac:dyDescent="0.35"/>
  <cols>
    <col min="1" max="1" width="16.54296875" customWidth="1"/>
  </cols>
  <sheetData>
    <row r="1" spans="1:8" ht="15" thickBot="1" x14ac:dyDescent="0.4">
      <c r="A1" s="7" t="s">
        <v>10</v>
      </c>
      <c r="B1" s="5">
        <f>'Income Statement'!C26</f>
        <v>150</v>
      </c>
      <c r="H1" s="6" t="s">
        <v>69</v>
      </c>
    </row>
  </sheetData>
  <hyperlinks>
    <hyperlink ref="H1" location="'Income Statement'!A1" display="'Income Statement'!A1" xr:uid="{C402B934-B982-44C4-99F1-0888828B6CAF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7BC3-0554-4732-A444-F5BE5AEA2AEE}">
  <dimension ref="A1:H1"/>
  <sheetViews>
    <sheetView workbookViewId="0">
      <selection activeCell="D6" sqref="D6"/>
    </sheetView>
  </sheetViews>
  <sheetFormatPr defaultRowHeight="14.5" x14ac:dyDescent="0.35"/>
  <cols>
    <col min="1" max="1" width="22" customWidth="1"/>
  </cols>
  <sheetData>
    <row r="1" spans="1:8" x14ac:dyDescent="0.35">
      <c r="A1" t="s">
        <v>75</v>
      </c>
      <c r="B1">
        <v>800</v>
      </c>
      <c r="H1" s="6" t="s">
        <v>69</v>
      </c>
    </row>
  </sheetData>
  <hyperlinks>
    <hyperlink ref="H1" location="'Income Statement'!A1" display="'Income Statement'!A1" xr:uid="{068E3D7B-64E9-4415-B546-7AF992A0DBE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1733-F133-463F-96AD-486C96DBD2B4}">
  <dimension ref="A6:B7"/>
  <sheetViews>
    <sheetView topLeftCell="A6" workbookViewId="0">
      <selection activeCell="E13" sqref="E13"/>
    </sheetView>
  </sheetViews>
  <sheetFormatPr defaultRowHeight="14.5" x14ac:dyDescent="0.35"/>
  <cols>
    <col min="1" max="1" width="22.453125" customWidth="1"/>
  </cols>
  <sheetData>
    <row r="6" spans="1:2" x14ac:dyDescent="0.35">
      <c r="A6" t="s">
        <v>82</v>
      </c>
    </row>
    <row r="7" spans="1:2" x14ac:dyDescent="0.35">
      <c r="A7" t="s">
        <v>83</v>
      </c>
      <c r="B7">
        <v>1000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B12" sqref="B12"/>
    </sheetView>
  </sheetViews>
  <sheetFormatPr defaultRowHeight="14.5" x14ac:dyDescent="0.35"/>
  <cols>
    <col min="1" max="1" width="20.1796875" customWidth="1"/>
    <col min="2" max="2" width="16.81640625" customWidth="1"/>
  </cols>
  <sheetData>
    <row r="1" spans="1:2" x14ac:dyDescent="0.35">
      <c r="A1" t="s">
        <v>66</v>
      </c>
      <c r="B1" t="s">
        <v>68</v>
      </c>
    </row>
    <row r="2" spans="1:2" x14ac:dyDescent="0.35">
      <c r="A2" t="s">
        <v>67</v>
      </c>
      <c r="B2" s="2">
        <v>30</v>
      </c>
    </row>
    <row r="3" spans="1:2" x14ac:dyDescent="0.35">
      <c r="B3" s="2"/>
    </row>
    <row r="4" spans="1:2" x14ac:dyDescent="0.35">
      <c r="B4" t="s">
        <v>180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E20" sqref="E20"/>
    </sheetView>
  </sheetViews>
  <sheetFormatPr defaultRowHeight="14.5" x14ac:dyDescent="0.35"/>
  <cols>
    <col min="1" max="1" width="18.54296875" customWidth="1"/>
    <col min="2" max="2" width="17.54296875" customWidth="1"/>
  </cols>
  <sheetData>
    <row r="1" spans="1:2" x14ac:dyDescent="0.35">
      <c r="A1" t="s">
        <v>13</v>
      </c>
      <c r="B1" t="s">
        <v>0</v>
      </c>
    </row>
    <row r="2" spans="1:2" x14ac:dyDescent="0.35">
      <c r="A2" t="s">
        <v>64</v>
      </c>
      <c r="B2" s="8">
        <v>150</v>
      </c>
    </row>
    <row r="3" spans="1:2" x14ac:dyDescent="0.35">
      <c r="A3" t="s">
        <v>65</v>
      </c>
      <c r="B3" s="8">
        <v>350</v>
      </c>
    </row>
    <row r="4" spans="1:2" x14ac:dyDescent="0.35">
      <c r="A4" t="s">
        <v>53</v>
      </c>
      <c r="B4" s="8">
        <v>100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E81E8-E99F-45C8-AEEB-6DE8D020BD69}">
  <dimension ref="A1:H1"/>
  <sheetViews>
    <sheetView workbookViewId="0"/>
  </sheetViews>
  <sheetFormatPr defaultRowHeight="14.5" x14ac:dyDescent="0.35"/>
  <cols>
    <col min="1" max="1" width="18.1796875" customWidth="1"/>
    <col min="2" max="2" width="25.54296875" customWidth="1"/>
  </cols>
  <sheetData>
    <row r="1" spans="1:8" x14ac:dyDescent="0.35">
      <c r="A1" t="s">
        <v>16</v>
      </c>
      <c r="B1" t="s">
        <v>70</v>
      </c>
      <c r="C1">
        <f>80*4</f>
        <v>320</v>
      </c>
      <c r="H1" s="6" t="s">
        <v>69</v>
      </c>
    </row>
  </sheetData>
  <hyperlinks>
    <hyperlink ref="H1" location="'Income Statement'!A1" display="'Income Statement'!A1" xr:uid="{08EE6408-8D18-4745-8328-1DC7EED55FFD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4799-DB8E-4F9B-8AA9-6E7A75D43DCC}">
  <dimension ref="A1:B3"/>
  <sheetViews>
    <sheetView workbookViewId="0">
      <selection activeCell="B4" sqref="B4"/>
    </sheetView>
  </sheetViews>
  <sheetFormatPr defaultRowHeight="14.5" x14ac:dyDescent="0.35"/>
  <cols>
    <col min="1" max="1" width="8.81640625" customWidth="1"/>
    <col min="2" max="2" width="14.54296875" customWidth="1"/>
  </cols>
  <sheetData>
    <row r="1" spans="1:2" x14ac:dyDescent="0.35">
      <c r="A1" t="s">
        <v>76</v>
      </c>
      <c r="B1" t="s">
        <v>47</v>
      </c>
    </row>
    <row r="2" spans="1:2" x14ac:dyDescent="0.35">
      <c r="A2" t="s">
        <v>77</v>
      </c>
      <c r="B2">
        <v>150</v>
      </c>
    </row>
    <row r="3" spans="1:2" x14ac:dyDescent="0.35">
      <c r="A3" t="s">
        <v>85</v>
      </c>
      <c r="B3">
        <f>50</f>
        <v>50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7"/>
  <sheetViews>
    <sheetView workbookViewId="0">
      <selection activeCell="E21" sqref="E21"/>
    </sheetView>
  </sheetViews>
  <sheetFormatPr defaultRowHeight="14.5" x14ac:dyDescent="0.35"/>
  <cols>
    <col min="1" max="1" width="24.453125" customWidth="1"/>
    <col min="2" max="2" width="15.453125" customWidth="1"/>
    <col min="3" max="3" width="10.453125" bestFit="1" customWidth="1"/>
  </cols>
  <sheetData>
    <row r="1" spans="1:3" x14ac:dyDescent="0.35">
      <c r="A1" t="s">
        <v>43</v>
      </c>
      <c r="B1" t="s">
        <v>45</v>
      </c>
      <c r="C1" t="s">
        <v>0</v>
      </c>
    </row>
    <row r="2" spans="1:3" x14ac:dyDescent="0.35">
      <c r="A2" t="s">
        <v>41</v>
      </c>
      <c r="B2" s="8">
        <f>'E22'!B2*0.095</f>
        <v>173.28</v>
      </c>
      <c r="C2" s="8">
        <f>(B2/7)*30</f>
        <v>742.62857142857138</v>
      </c>
    </row>
    <row r="3" spans="1:3" x14ac:dyDescent="0.35">
      <c r="A3" t="s">
        <v>149</v>
      </c>
      <c r="B3" s="8">
        <f>'E22'!B3*0.095</f>
        <v>114.285</v>
      </c>
      <c r="C3" s="8">
        <f>(B3/7)*30</f>
        <v>489.79285714285714</v>
      </c>
    </row>
    <row r="4" spans="1:3" x14ac:dyDescent="0.35">
      <c r="B4" s="8"/>
      <c r="C4" s="8"/>
    </row>
    <row r="5" spans="1:3" x14ac:dyDescent="0.35">
      <c r="A5" t="s">
        <v>78</v>
      </c>
      <c r="B5" s="8">
        <f>SUM(B2:B3)</f>
        <v>287.565</v>
      </c>
      <c r="C5" s="8">
        <f>SUM(C2:C3)</f>
        <v>1232.4214285714286</v>
      </c>
    </row>
    <row r="7" spans="1:3" x14ac:dyDescent="0.35">
      <c r="C7" s="6" t="s">
        <v>69</v>
      </c>
    </row>
  </sheetData>
  <hyperlinks>
    <hyperlink ref="C7" location="'Income Statement'!A1" display="'Income Statement'!A1" xr:uid="{1BD689E9-B5E5-44FF-AF5D-11E2BAA82675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17EF-35EC-4DA6-AFA7-412B7BF98922}">
  <dimension ref="A1:C2"/>
  <sheetViews>
    <sheetView workbookViewId="0">
      <selection activeCell="C2" sqref="C2"/>
    </sheetView>
  </sheetViews>
  <sheetFormatPr defaultRowHeight="14.5" x14ac:dyDescent="0.35"/>
  <cols>
    <col min="2" max="2" width="17" customWidth="1"/>
  </cols>
  <sheetData>
    <row r="1" spans="1:3" x14ac:dyDescent="0.35">
      <c r="A1" t="s">
        <v>80</v>
      </c>
    </row>
    <row r="2" spans="1:3" x14ac:dyDescent="0.35">
      <c r="A2" s="54" t="s">
        <v>81</v>
      </c>
      <c r="B2" s="54"/>
      <c r="C2">
        <v>250</v>
      </c>
    </row>
  </sheetData>
  <mergeCells count="1">
    <mergeCell ref="A2:B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8"/>
  <sheetViews>
    <sheetView workbookViewId="0">
      <selection activeCell="A6" sqref="A6"/>
    </sheetView>
  </sheetViews>
  <sheetFormatPr defaultRowHeight="14.5" x14ac:dyDescent="0.35"/>
  <cols>
    <col min="1" max="1" width="29.81640625" customWidth="1"/>
    <col min="2" max="2" width="21.54296875" customWidth="1"/>
    <col min="3" max="3" width="18.453125" customWidth="1"/>
  </cols>
  <sheetData>
    <row r="1" spans="1:3" x14ac:dyDescent="0.35">
      <c r="A1" t="s">
        <v>43</v>
      </c>
      <c r="B1" t="s">
        <v>44</v>
      </c>
      <c r="C1" t="s">
        <v>0</v>
      </c>
    </row>
    <row r="2" spans="1:3" x14ac:dyDescent="0.35">
      <c r="A2" t="s">
        <v>41</v>
      </c>
      <c r="B2">
        <v>1824</v>
      </c>
      <c r="C2" s="9">
        <f>(B2/7)*30</f>
        <v>7817.1428571428569</v>
      </c>
    </row>
    <row r="3" spans="1:3" x14ac:dyDescent="0.35">
      <c r="A3" t="s">
        <v>149</v>
      </c>
      <c r="B3">
        <v>1203</v>
      </c>
      <c r="C3" s="9">
        <f t="shared" ref="C3:C4" si="0">(B3/7)*30</f>
        <v>5155.7142857142862</v>
      </c>
    </row>
    <row r="4" spans="1:3" x14ac:dyDescent="0.35">
      <c r="A4" t="s">
        <v>179</v>
      </c>
      <c r="B4">
        <v>520</v>
      </c>
      <c r="C4" s="9">
        <f t="shared" si="0"/>
        <v>2228.5714285714289</v>
      </c>
    </row>
    <row r="5" spans="1:3" x14ac:dyDescent="0.35">
      <c r="C5" s="9"/>
    </row>
    <row r="6" spans="1:3" x14ac:dyDescent="0.35">
      <c r="B6" s="9">
        <f>SUM(B2:B5)</f>
        <v>3547</v>
      </c>
      <c r="C6" s="9">
        <f>SUM(C2:C5)</f>
        <v>15201.428571428572</v>
      </c>
    </row>
    <row r="8" spans="1:3" x14ac:dyDescent="0.35">
      <c r="C8" s="6" t="s">
        <v>69</v>
      </c>
    </row>
  </sheetData>
  <hyperlinks>
    <hyperlink ref="C8" location="'Income Statement'!A1" display="'Income Statement'!A1" xr:uid="{4FE87F6C-3E46-4ABB-9131-3EFF3D1F597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6756-3770-4BAC-8029-89DE5B0BD6FB}">
  <dimension ref="A1:C3"/>
  <sheetViews>
    <sheetView workbookViewId="0">
      <selection activeCell="B3" sqref="B3"/>
    </sheetView>
  </sheetViews>
  <sheetFormatPr defaultRowHeight="14.5" x14ac:dyDescent="0.35"/>
  <cols>
    <col min="1" max="1" width="15.453125" customWidth="1"/>
    <col min="2" max="2" width="24.453125" customWidth="1"/>
    <col min="3" max="3" width="10.54296875" customWidth="1"/>
  </cols>
  <sheetData>
    <row r="1" spans="1:3" x14ac:dyDescent="0.35">
      <c r="A1" t="s">
        <v>148</v>
      </c>
      <c r="B1" t="s">
        <v>150</v>
      </c>
      <c r="C1" t="s">
        <v>74</v>
      </c>
    </row>
    <row r="2" spans="1:3" x14ac:dyDescent="0.35">
      <c r="A2" s="10">
        <v>43610</v>
      </c>
      <c r="B2">
        <v>1478.13</v>
      </c>
      <c r="C2" t="s">
        <v>119</v>
      </c>
    </row>
    <row r="3" spans="1:3" x14ac:dyDescent="0.35">
      <c r="B3" s="6" t="s">
        <v>69</v>
      </c>
    </row>
  </sheetData>
  <hyperlinks>
    <hyperlink ref="B3" location="'Income Statement'!A1" display="'Income Statement'!A1" xr:uid="{58D63B27-1221-4CC9-9D2C-4A06671603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Income Statement</vt:lpstr>
      <vt:lpstr>Lessons</vt:lpstr>
      <vt:lpstr>Fits</vt:lpstr>
      <vt:lpstr>Clinics</vt:lpstr>
      <vt:lpstr>Clubs</vt:lpstr>
      <vt:lpstr>Driving Range</vt:lpstr>
      <vt:lpstr>Virtual Golf</vt:lpstr>
      <vt:lpstr>Memberships</vt:lpstr>
      <vt:lpstr>Advertising</vt:lpstr>
      <vt:lpstr>Corporate Events</vt:lpstr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E18</vt:lpstr>
      <vt:lpstr>E19</vt:lpstr>
      <vt:lpstr>E20</vt:lpstr>
      <vt:lpstr>E21</vt:lpstr>
      <vt:lpstr>E22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Precision1</dc:creator>
  <cp:lastModifiedBy>Mark Finn</cp:lastModifiedBy>
  <cp:lastPrinted>2019-07-12T03:05:53Z</cp:lastPrinted>
  <dcterms:created xsi:type="dcterms:W3CDTF">2018-09-09T05:29:22Z</dcterms:created>
  <dcterms:modified xsi:type="dcterms:W3CDTF">2019-08-17T22:28:26Z</dcterms:modified>
</cp:coreProperties>
</file>