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Soft\Doc\DocBase\Clients\VALE0003\2022\Year End\"/>
    </mc:Choice>
  </mc:AlternateContent>
  <xr:revisionPtr revIDLastSave="0" documentId="13_ncr:1_{B3BDA9EB-958B-48B3-AB59-C9913FCADC7B}" xr6:coauthVersionLast="47" xr6:coauthVersionMax="47" xr10:uidLastSave="{00000000-0000-0000-0000-000000000000}"/>
  <bookViews>
    <workbookView xWindow="-120" yWindow="-120" windowWidth="29040" windowHeight="15840" xr2:uid="{8A685A51-CDB3-47AC-A96A-878E2DC03571}"/>
  </bookViews>
  <sheets>
    <sheet name="MARI0001 - Balance Sheet" sheetId="1" r:id="rId1"/>
    <sheet name="Investments Held - Bell Potter" sheetId="2" r:id="rId2"/>
  </sheets>
  <externalReferences>
    <externalReference r:id="rId3"/>
    <externalReference r:id="rId4"/>
  </externalReferences>
  <definedNames>
    <definedName name="area" localSheetId="1">#REF!</definedName>
    <definedName name="area">#REF!</definedName>
    <definedName name="BCACR" localSheetId="1">#REF!</definedName>
    <definedName name="BCACR">#REF!</definedName>
    <definedName name="BCACRC" localSheetId="1">#REF!</definedName>
    <definedName name="BCACRC">#REF!</definedName>
    <definedName name="BCADR" localSheetId="1">#REF!</definedName>
    <definedName name="BCADR">#REF!</definedName>
    <definedName name="BCADRC" localSheetId="1">#REF!</definedName>
    <definedName name="BCADRC">#REF!</definedName>
    <definedName name="BeefNumbers" localSheetId="1">#REF!,#REF!,#REF!</definedName>
    <definedName name="BeefNumbers">#REF!,#REF!,#REF!</definedName>
    <definedName name="ChangeInNumbersCurrent" localSheetId="1">#REF!,#REF!,#REF!,#REF!,#REF!,#REF!,#REF!,#REF!,#REF!,#REF!</definedName>
    <definedName name="ChangeInNumbersCurrent">#REF!,#REF!,#REF!,#REF!,#REF!,#REF!,#REF!,#REF!,#REF!,#REF!</definedName>
    <definedName name="ChangeInNumbersLastYear" localSheetId="1">#REF!,#REF!,#REF!,#REF!,#REF!,#REF!,#REF!,#REF!,#REF!,#REF!</definedName>
    <definedName name="ChangeInNumbersLastYear">#REF!,#REF!,#REF!,#REF!,#REF!,#REF!,#REF!,#REF!,#REF!,#REF!</definedName>
    <definedName name="d" localSheetId="1">#REF!</definedName>
    <definedName name="d">#REF!</definedName>
    <definedName name="Date" localSheetId="1">#REF!</definedName>
    <definedName name="Date">#REF!</definedName>
    <definedName name="DeerNumbers" localSheetId="1">#REF!,#REF!,#REF!</definedName>
    <definedName name="DeerNumbers">#REF!,#REF!,#REF!</definedName>
    <definedName name="edp" localSheetId="1">[1]AMORT!#REF!</definedName>
    <definedName name="edp">[1]AMORT!#REF!</definedName>
    <definedName name="FresianNumbers" localSheetId="1">#REF!,#REF!,#REF!,#REF!</definedName>
    <definedName name="FresianNumbers">#REF!,#REF!,#REF!,#REF!</definedName>
    <definedName name="GoatNumbers" localSheetId="1">#REF!,#REF!,#REF!,#REF!</definedName>
    <definedName name="GoatNumbers">#REF!,#REF!,#REF!,#REF!</definedName>
    <definedName name="HerdTotalCurrent" localSheetId="1">#REF!,#REF!,#REF!,#REF!,#REF!,#REF!,#REF!,#REF!,#REF!,#REF!</definedName>
    <definedName name="HerdTotalCurrent">#REF!,#REF!,#REF!,#REF!,#REF!,#REF!,#REF!,#REF!,#REF!,#REF!</definedName>
    <definedName name="HerdTotalLastYear" localSheetId="1">#REF!,#REF!,#REF!,#REF!,#REF!,#REF!,#REF!,#REF!,#REF!,#REF!</definedName>
    <definedName name="HerdTotalLastYear">#REF!,#REF!,#REF!,#REF!,#REF!,#REF!,#REF!,#REF!,#REF!,#REF!</definedName>
    <definedName name="HPBeefNumbers" localSheetId="1">#REF!,#REF!,#REF!,#REF!</definedName>
    <definedName name="HPBeefNumbers">#REF!,#REF!,#REF!,#REF!</definedName>
    <definedName name="HPDeerNumbers" localSheetId="1">#REF!,#REF!,#REF!,#REF!</definedName>
    <definedName name="HPDeerNumbers">#REF!,#REF!,#REF!,#REF!</definedName>
    <definedName name="HPSheepNumbers" localSheetId="1">#REF!,#REF!,#REF!</definedName>
    <definedName name="HPSheepNumbers">#REF!,#REF!,#REF!</definedName>
    <definedName name="JerseyNumbers" localSheetId="1">#REF!,#REF!,#REF!,#REF!</definedName>
    <definedName name="JerseyNumbers">#REF!,#REF!,#REF!,#REF!</definedName>
    <definedName name="ly" localSheetId="1">[1]DATA!#REF!</definedName>
    <definedName name="ly">[1]DATA!#REF!</definedName>
    <definedName name="NSCTotalCurrentYear" localSheetId="1">#REF!,#REF!,#REF!,#REF!,#REF!,#REF!,#REF!,#REF!,#REF!,#REF!</definedName>
    <definedName name="NSCTotalCurrentYear">#REF!,#REF!,#REF!,#REF!,#REF!,#REF!,#REF!,#REF!,#REF!,#REF!</definedName>
    <definedName name="NSCTotalLastYear" localSheetId="1">#REF!,#REF!,#REF!,#REF!,#REF!,#REF!,#REF!,#REF!,#REF!,#REF!</definedName>
    <definedName name="NSCTotalLastYear">#REF!,#REF!,#REF!,#REF!,#REF!,#REF!,#REF!,#REF!,#REF!,#REF!</definedName>
    <definedName name="_xlnm.Print_Area" localSheetId="1">'Investments Held - Bell Potter'!$A$1:$S$511</definedName>
    <definedName name="Print_Area_MI" localSheetId="1">#REF!</definedName>
    <definedName name="Print_Area_MI">#REF!</definedName>
    <definedName name="_xlnm.Print_Titles" localSheetId="1">'Investments Held - Bell Potter'!$3:$4</definedName>
    <definedName name="ProfitLoss" localSheetId="1">#REF!</definedName>
    <definedName name="ProfitLoss">#REF!</definedName>
    <definedName name="Ref" localSheetId="1">#REF!</definedName>
    <definedName name="Ref">#REF!</definedName>
    <definedName name="Review">'[2]Information Sheet'!$H$24</definedName>
    <definedName name="sdp" localSheetId="1">[1]AMORT!#REF!</definedName>
    <definedName name="sdp">[1]AMORT!#REF!</definedName>
    <definedName name="SheepNumbers" localSheetId="1">#REF!,#REF!,#REF!</definedName>
    <definedName name="SheepNumbers">#REF!,#REF!,#REF!</definedName>
    <definedName name="TotalHPNumbers" localSheetId="1">#REF!,#REF!,#REF!,#REF!,#REF!,#REF!,#REF!,#REF!,#REF!,#REF!,#REF!,#REF!</definedName>
    <definedName name="TotalHPNumbers">#REF!,#REF!,#REF!,#REF!,#REF!,#REF!,#REF!,#REF!,#REF!,#REF!,#REF!,#REF!</definedName>
    <definedName name="TotalNormalNumbers" localSheetId="1">#REF!,#REF!,#REF!,#REF!,#REF!,#REF!,#REF!,#REF!,#REF!,#REF!,#REF!,#REF!,#REF!,#REF!,#REF!,#REF!,#REF!,#REF!,#REF!,#REF!,#REF!</definedName>
    <definedName name="TotalNormalNumbers">#REF!,#REF!,#REF!,#REF!,#REF!,#REF!,#REF!,#REF!,#REF!,#REF!,#REF!,#REF!,#REF!,#REF!,#REF!,#REF!,#REF!,#REF!,#REF!,#REF!,#REF!</definedName>
    <definedName name="WapitiNumbers" localSheetId="1">#REF!,#REF!,#REF!</definedName>
    <definedName name="WapitiNumbers">#REF!,#REF!,#REF!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3" i="1" l="1"/>
  <c r="D32" i="1"/>
  <c r="B80" i="1"/>
  <c r="D44" i="1"/>
  <c r="D39" i="1"/>
  <c r="D36" i="1"/>
  <c r="D25" i="1"/>
  <c r="D37" i="1"/>
  <c r="D43" i="1"/>
  <c r="D22" i="1"/>
  <c r="O634" i="2"/>
  <c r="N634" i="2"/>
  <c r="M634" i="2"/>
  <c r="L634" i="2"/>
  <c r="E634" i="2"/>
  <c r="C634" i="2"/>
  <c r="H634" i="2" s="1"/>
  <c r="P633" i="2"/>
  <c r="F633" i="2"/>
  <c r="Q632" i="2"/>
  <c r="P632" i="2"/>
  <c r="F632" i="2"/>
  <c r="D632" i="2"/>
  <c r="D634" i="2" s="1"/>
  <c r="S631" i="2"/>
  <c r="R631" i="2"/>
  <c r="P631" i="2"/>
  <c r="Q631" i="2" s="1"/>
  <c r="F631" i="2"/>
  <c r="O629" i="2"/>
  <c r="N629" i="2"/>
  <c r="M629" i="2"/>
  <c r="L629" i="2"/>
  <c r="E629" i="2"/>
  <c r="D629" i="2"/>
  <c r="C629" i="2"/>
  <c r="H629" i="2" s="1"/>
  <c r="S628" i="2"/>
  <c r="R628" i="2"/>
  <c r="P628" i="2"/>
  <c r="Q628" i="2" s="1"/>
  <c r="F628" i="2"/>
  <c r="D627" i="2"/>
  <c r="F627" i="2" s="1"/>
  <c r="F629" i="2" s="1"/>
  <c r="Q626" i="2"/>
  <c r="P626" i="2"/>
  <c r="F626" i="2"/>
  <c r="O624" i="2"/>
  <c r="N624" i="2"/>
  <c r="M624" i="2"/>
  <c r="L624" i="2"/>
  <c r="E624" i="2"/>
  <c r="C624" i="2"/>
  <c r="H624" i="2" s="1"/>
  <c r="Q623" i="2"/>
  <c r="Q624" i="2" s="1"/>
  <c r="P623" i="2"/>
  <c r="F623" i="2"/>
  <c r="S622" i="2"/>
  <c r="R622" i="2"/>
  <c r="F622" i="2"/>
  <c r="D622" i="2"/>
  <c r="D624" i="2" s="1"/>
  <c r="S621" i="2"/>
  <c r="R621" i="2"/>
  <c r="F621" i="2"/>
  <c r="O619" i="2"/>
  <c r="N619" i="2"/>
  <c r="M619" i="2"/>
  <c r="L619" i="2"/>
  <c r="H619" i="2"/>
  <c r="E619" i="2"/>
  <c r="D619" i="2"/>
  <c r="C619" i="2"/>
  <c r="P618" i="2"/>
  <c r="S618" i="2" s="1"/>
  <c r="F618" i="2"/>
  <c r="P617" i="2"/>
  <c r="S617" i="2" s="1"/>
  <c r="D617" i="2"/>
  <c r="F617" i="2" s="1"/>
  <c r="F619" i="2" s="1"/>
  <c r="Q616" i="2"/>
  <c r="P616" i="2"/>
  <c r="F616" i="2"/>
  <c r="O614" i="2"/>
  <c r="N614" i="2"/>
  <c r="M614" i="2"/>
  <c r="L614" i="2"/>
  <c r="E614" i="2"/>
  <c r="C614" i="2"/>
  <c r="H614" i="2" s="1"/>
  <c r="P613" i="2"/>
  <c r="F613" i="2"/>
  <c r="S612" i="2"/>
  <c r="R612" i="2"/>
  <c r="D612" i="2"/>
  <c r="D614" i="2" s="1"/>
  <c r="S611" i="2"/>
  <c r="R611" i="2"/>
  <c r="Q611" i="2"/>
  <c r="P611" i="2"/>
  <c r="F611" i="2"/>
  <c r="N609" i="2"/>
  <c r="M609" i="2"/>
  <c r="L609" i="2"/>
  <c r="H609" i="2"/>
  <c r="E609" i="2"/>
  <c r="D609" i="2"/>
  <c r="C609" i="2"/>
  <c r="S608" i="2"/>
  <c r="R608" i="2"/>
  <c r="Q608" i="2"/>
  <c r="P608" i="2"/>
  <c r="F608" i="2"/>
  <c r="L607" i="2"/>
  <c r="J607" i="2"/>
  <c r="D607" i="2"/>
  <c r="O607" i="2" s="1"/>
  <c r="P605" i="2"/>
  <c r="F605" i="2"/>
  <c r="N603" i="2"/>
  <c r="M603" i="2"/>
  <c r="E603" i="2"/>
  <c r="D603" i="2"/>
  <c r="C603" i="2"/>
  <c r="H603" i="2" s="1"/>
  <c r="P602" i="2"/>
  <c r="F602" i="2"/>
  <c r="L601" i="2"/>
  <c r="L603" i="2" s="1"/>
  <c r="J601" i="2"/>
  <c r="F601" i="2"/>
  <c r="D601" i="2"/>
  <c r="O601" i="2" s="1"/>
  <c r="R600" i="2"/>
  <c r="P600" i="2"/>
  <c r="F600" i="2"/>
  <c r="O598" i="2"/>
  <c r="N598" i="2"/>
  <c r="M598" i="2"/>
  <c r="L598" i="2"/>
  <c r="E598" i="2"/>
  <c r="C598" i="2"/>
  <c r="H598" i="2" s="1"/>
  <c r="R597" i="2"/>
  <c r="Q597" i="2"/>
  <c r="P597" i="2"/>
  <c r="S597" i="2" s="1"/>
  <c r="F597" i="2"/>
  <c r="Q596" i="2"/>
  <c r="P596" i="2"/>
  <c r="S596" i="2" s="1"/>
  <c r="D596" i="2"/>
  <c r="F596" i="2" s="1"/>
  <c r="P595" i="2"/>
  <c r="S595" i="2" s="1"/>
  <c r="F595" i="2"/>
  <c r="D595" i="2"/>
  <c r="P594" i="2"/>
  <c r="F594" i="2"/>
  <c r="P593" i="2"/>
  <c r="D593" i="2"/>
  <c r="D598" i="2" s="1"/>
  <c r="S592" i="2"/>
  <c r="R592" i="2"/>
  <c r="P592" i="2"/>
  <c r="Q592" i="2" s="1"/>
  <c r="F592" i="2"/>
  <c r="N590" i="2"/>
  <c r="M590" i="2"/>
  <c r="F590" i="2"/>
  <c r="E590" i="2"/>
  <c r="D590" i="2"/>
  <c r="C590" i="2"/>
  <c r="H590" i="2" s="1"/>
  <c r="S589" i="2"/>
  <c r="R589" i="2"/>
  <c r="P589" i="2"/>
  <c r="Q589" i="2" s="1"/>
  <c r="F589" i="2"/>
  <c r="O588" i="2"/>
  <c r="L588" i="2"/>
  <c r="L590" i="2" s="1"/>
  <c r="J588" i="2"/>
  <c r="D588" i="2"/>
  <c r="F588" i="2" s="1"/>
  <c r="P587" i="2"/>
  <c r="F587" i="2"/>
  <c r="O585" i="2"/>
  <c r="N585" i="2"/>
  <c r="M585" i="2"/>
  <c r="L585" i="2"/>
  <c r="H585" i="2"/>
  <c r="F585" i="2"/>
  <c r="E585" i="2"/>
  <c r="D585" i="2"/>
  <c r="C585" i="2"/>
  <c r="S584" i="2"/>
  <c r="R584" i="2"/>
  <c r="Q584" i="2"/>
  <c r="P584" i="2"/>
  <c r="F584" i="2"/>
  <c r="P583" i="2"/>
  <c r="S583" i="2" s="1"/>
  <c r="F583" i="2"/>
  <c r="P582" i="2"/>
  <c r="F582" i="2"/>
  <c r="O580" i="2"/>
  <c r="N580" i="2"/>
  <c r="M580" i="2"/>
  <c r="L580" i="2"/>
  <c r="E580" i="2"/>
  <c r="D580" i="2"/>
  <c r="C580" i="2"/>
  <c r="H580" i="2" s="1"/>
  <c r="P579" i="2"/>
  <c r="F579" i="2"/>
  <c r="S578" i="2"/>
  <c r="P578" i="2"/>
  <c r="O578" i="2"/>
  <c r="L578" i="2"/>
  <c r="J578" i="2"/>
  <c r="F578" i="2"/>
  <c r="D578" i="2"/>
  <c r="Q577" i="2"/>
  <c r="P577" i="2"/>
  <c r="S577" i="2" s="1"/>
  <c r="F577" i="2"/>
  <c r="F580" i="2" s="1"/>
  <c r="N575" i="2"/>
  <c r="M575" i="2"/>
  <c r="L575" i="2"/>
  <c r="H575" i="2"/>
  <c r="E575" i="2"/>
  <c r="C575" i="2"/>
  <c r="Q574" i="2"/>
  <c r="P574" i="2"/>
  <c r="S574" i="2" s="1"/>
  <c r="F574" i="2"/>
  <c r="L573" i="2"/>
  <c r="J573" i="2"/>
  <c r="F573" i="2"/>
  <c r="D573" i="2"/>
  <c r="O573" i="2" s="1"/>
  <c r="P573" i="2" s="1"/>
  <c r="L572" i="2"/>
  <c r="J572" i="2"/>
  <c r="D572" i="2"/>
  <c r="O572" i="2" s="1"/>
  <c r="Q571" i="2"/>
  <c r="P571" i="2"/>
  <c r="F571" i="2"/>
  <c r="P570" i="2"/>
  <c r="D570" i="2"/>
  <c r="D575" i="2" s="1"/>
  <c r="S569" i="2"/>
  <c r="R569" i="2"/>
  <c r="P569" i="2"/>
  <c r="Q569" i="2" s="1"/>
  <c r="F569" i="2"/>
  <c r="S568" i="2"/>
  <c r="R568" i="2"/>
  <c r="Q568" i="2"/>
  <c r="P568" i="2"/>
  <c r="F568" i="2"/>
  <c r="S567" i="2"/>
  <c r="R567" i="2"/>
  <c r="P567" i="2"/>
  <c r="Q567" i="2" s="1"/>
  <c r="F567" i="2"/>
  <c r="O565" i="2"/>
  <c r="N565" i="2"/>
  <c r="M565" i="2"/>
  <c r="L565" i="2"/>
  <c r="E565" i="2"/>
  <c r="D565" i="2"/>
  <c r="C565" i="2"/>
  <c r="H565" i="2" s="1"/>
  <c r="S564" i="2"/>
  <c r="R564" i="2"/>
  <c r="P564" i="2"/>
  <c r="Q564" i="2" s="1"/>
  <c r="F564" i="2"/>
  <c r="S563" i="2"/>
  <c r="R563" i="2"/>
  <c r="P563" i="2"/>
  <c r="Q563" i="2" s="1"/>
  <c r="F563" i="2"/>
  <c r="D563" i="2"/>
  <c r="P562" i="2"/>
  <c r="S562" i="2" s="1"/>
  <c r="F562" i="2"/>
  <c r="Q561" i="2"/>
  <c r="P561" i="2"/>
  <c r="S561" i="2" s="1"/>
  <c r="F561" i="2"/>
  <c r="P560" i="2"/>
  <c r="F560" i="2"/>
  <c r="F565" i="2" s="1"/>
  <c r="O558" i="2"/>
  <c r="N558" i="2"/>
  <c r="M558" i="2"/>
  <c r="L558" i="2"/>
  <c r="G558" i="2"/>
  <c r="E558" i="2"/>
  <c r="C558" i="2"/>
  <c r="H558" i="2" s="1"/>
  <c r="Q557" i="2"/>
  <c r="P557" i="2"/>
  <c r="S557" i="2" s="1"/>
  <c r="F557" i="2"/>
  <c r="P556" i="2"/>
  <c r="S556" i="2" s="1"/>
  <c r="F556" i="2"/>
  <c r="P555" i="2"/>
  <c r="F555" i="2"/>
  <c r="P554" i="2"/>
  <c r="F554" i="2"/>
  <c r="S553" i="2"/>
  <c r="R553" i="2"/>
  <c r="Q553" i="2"/>
  <c r="P553" i="2"/>
  <c r="F553" i="2"/>
  <c r="P552" i="2"/>
  <c r="S552" i="2" s="1"/>
  <c r="F552" i="2"/>
  <c r="Q551" i="2"/>
  <c r="P551" i="2"/>
  <c r="S551" i="2" s="1"/>
  <c r="F551" i="2"/>
  <c r="P550" i="2"/>
  <c r="D550" i="2"/>
  <c r="D558" i="2" s="1"/>
  <c r="P549" i="2"/>
  <c r="S549" i="2" s="1"/>
  <c r="F549" i="2"/>
  <c r="N547" i="2"/>
  <c r="M547" i="2"/>
  <c r="E547" i="2"/>
  <c r="C547" i="2"/>
  <c r="H547" i="2" s="1"/>
  <c r="P546" i="2"/>
  <c r="S546" i="2" s="1"/>
  <c r="F546" i="2"/>
  <c r="L545" i="2"/>
  <c r="L547" i="2" s="1"/>
  <c r="J545" i="2"/>
  <c r="D545" i="2"/>
  <c r="L544" i="2"/>
  <c r="J544" i="2"/>
  <c r="F544" i="2"/>
  <c r="D544" i="2"/>
  <c r="O544" i="2" s="1"/>
  <c r="P543" i="2"/>
  <c r="F543" i="2"/>
  <c r="O541" i="2"/>
  <c r="N541" i="2"/>
  <c r="M541" i="2"/>
  <c r="L541" i="2"/>
  <c r="E541" i="2"/>
  <c r="C541" i="2"/>
  <c r="H541" i="2" s="1"/>
  <c r="P540" i="2"/>
  <c r="F540" i="2"/>
  <c r="S539" i="2"/>
  <c r="P539" i="2"/>
  <c r="F539" i="2"/>
  <c r="D539" i="2"/>
  <c r="S538" i="2"/>
  <c r="R538" i="2"/>
  <c r="Q538" i="2"/>
  <c r="P538" i="2"/>
  <c r="D538" i="2"/>
  <c r="F538" i="2" s="1"/>
  <c r="S537" i="2"/>
  <c r="R537" i="2"/>
  <c r="Q537" i="2"/>
  <c r="P537" i="2"/>
  <c r="F537" i="2"/>
  <c r="D537" i="2"/>
  <c r="D541" i="2" s="1"/>
  <c r="P536" i="2"/>
  <c r="S536" i="2" s="1"/>
  <c r="F536" i="2"/>
  <c r="F541" i="2" s="1"/>
  <c r="N534" i="2"/>
  <c r="M534" i="2"/>
  <c r="L534" i="2"/>
  <c r="E534" i="2"/>
  <c r="D534" i="2"/>
  <c r="C534" i="2"/>
  <c r="H534" i="2" s="1"/>
  <c r="P533" i="2"/>
  <c r="F533" i="2"/>
  <c r="L532" i="2"/>
  <c r="J532" i="2"/>
  <c r="D532" i="2"/>
  <c r="O532" i="2" s="1"/>
  <c r="Q531" i="2"/>
  <c r="P531" i="2"/>
  <c r="F531" i="2"/>
  <c r="O529" i="2"/>
  <c r="N529" i="2"/>
  <c r="M529" i="2"/>
  <c r="L529" i="2"/>
  <c r="E529" i="2"/>
  <c r="D529" i="2"/>
  <c r="C529" i="2"/>
  <c r="H529" i="2" s="1"/>
  <c r="P528" i="2"/>
  <c r="F528" i="2"/>
  <c r="P527" i="2"/>
  <c r="Q527" i="2" s="1"/>
  <c r="S526" i="2"/>
  <c r="R526" i="2"/>
  <c r="Q526" i="2"/>
  <c r="P526" i="2"/>
  <c r="F526" i="2"/>
  <c r="C526" i="2"/>
  <c r="Q525" i="2"/>
  <c r="P525" i="2"/>
  <c r="S525" i="2" s="1"/>
  <c r="F525" i="2"/>
  <c r="O523" i="2"/>
  <c r="N523" i="2"/>
  <c r="M523" i="2"/>
  <c r="L523" i="2"/>
  <c r="H523" i="2"/>
  <c r="E523" i="2"/>
  <c r="C523" i="2"/>
  <c r="Q522" i="2"/>
  <c r="P522" i="2"/>
  <c r="S522" i="2" s="1"/>
  <c r="F522" i="2"/>
  <c r="S521" i="2"/>
  <c r="R521" i="2"/>
  <c r="Q521" i="2"/>
  <c r="P521" i="2"/>
  <c r="D521" i="2"/>
  <c r="F521" i="2" s="1"/>
  <c r="F523" i="2" s="1"/>
  <c r="R520" i="2"/>
  <c r="P520" i="2"/>
  <c r="F520" i="2"/>
  <c r="D520" i="2"/>
  <c r="P519" i="2"/>
  <c r="S519" i="2" s="1"/>
  <c r="F519" i="2"/>
  <c r="D519" i="2"/>
  <c r="S518" i="2"/>
  <c r="R518" i="2"/>
  <c r="Q518" i="2"/>
  <c r="P518" i="2"/>
  <c r="F518" i="2"/>
  <c r="P517" i="2"/>
  <c r="F517" i="2"/>
  <c r="P516" i="2"/>
  <c r="S516" i="2" s="1"/>
  <c r="F516" i="2"/>
  <c r="P514" i="2"/>
  <c r="O514" i="2"/>
  <c r="N514" i="2"/>
  <c r="M514" i="2"/>
  <c r="L514" i="2"/>
  <c r="H514" i="2"/>
  <c r="F514" i="2"/>
  <c r="E514" i="2"/>
  <c r="D514" i="2"/>
  <c r="C514" i="2"/>
  <c r="P513" i="2"/>
  <c r="S513" i="2" s="1"/>
  <c r="F513" i="2"/>
  <c r="S512" i="2"/>
  <c r="F512" i="2"/>
  <c r="D512" i="2"/>
  <c r="S511" i="2"/>
  <c r="S514" i="2" s="1"/>
  <c r="R511" i="2"/>
  <c r="Q511" i="2"/>
  <c r="P511" i="2"/>
  <c r="F511" i="2"/>
  <c r="S509" i="2"/>
  <c r="P509" i="2"/>
  <c r="O509" i="2"/>
  <c r="N509" i="2"/>
  <c r="M509" i="2"/>
  <c r="L509" i="2"/>
  <c r="H509" i="2"/>
  <c r="E509" i="2"/>
  <c r="C509" i="2"/>
  <c r="S508" i="2"/>
  <c r="R508" i="2"/>
  <c r="Q508" i="2"/>
  <c r="P508" i="2"/>
  <c r="F508" i="2"/>
  <c r="S507" i="2"/>
  <c r="R507" i="2"/>
  <c r="Q507" i="2"/>
  <c r="P507" i="2"/>
  <c r="F507" i="2"/>
  <c r="D507" i="2"/>
  <c r="P506" i="2"/>
  <c r="S506" i="2" s="1"/>
  <c r="F506" i="2"/>
  <c r="D506" i="2"/>
  <c r="D509" i="2" s="1"/>
  <c r="Q505" i="2"/>
  <c r="P505" i="2"/>
  <c r="S505" i="2" s="1"/>
  <c r="F505" i="2"/>
  <c r="Q504" i="2"/>
  <c r="P504" i="2"/>
  <c r="S504" i="2" s="1"/>
  <c r="F504" i="2"/>
  <c r="F509" i="2" s="1"/>
  <c r="N502" i="2"/>
  <c r="M502" i="2"/>
  <c r="L502" i="2"/>
  <c r="F502" i="2"/>
  <c r="E502" i="2"/>
  <c r="D502" i="2"/>
  <c r="C502" i="2"/>
  <c r="H502" i="2" s="1"/>
  <c r="Q501" i="2"/>
  <c r="P501" i="2"/>
  <c r="S501" i="2" s="1"/>
  <c r="F501" i="2"/>
  <c r="O500" i="2"/>
  <c r="P500" i="2" s="1"/>
  <c r="L500" i="2"/>
  <c r="J500" i="2"/>
  <c r="F500" i="2"/>
  <c r="D500" i="2"/>
  <c r="S499" i="2"/>
  <c r="R499" i="2"/>
  <c r="Q499" i="2"/>
  <c r="P499" i="2"/>
  <c r="P502" i="2" s="1"/>
  <c r="F499" i="2"/>
  <c r="N497" i="2"/>
  <c r="M497" i="2"/>
  <c r="H497" i="2"/>
  <c r="E497" i="2"/>
  <c r="D497" i="2"/>
  <c r="C497" i="2"/>
  <c r="S496" i="2"/>
  <c r="R496" i="2"/>
  <c r="Q496" i="2"/>
  <c r="P496" i="2"/>
  <c r="F496" i="2"/>
  <c r="P495" i="2"/>
  <c r="S495" i="2" s="1"/>
  <c r="S497" i="2" s="1"/>
  <c r="O495" i="2"/>
  <c r="O497" i="2" s="1"/>
  <c r="L495" i="2"/>
  <c r="L497" i="2" s="1"/>
  <c r="J495" i="2"/>
  <c r="D495" i="2"/>
  <c r="F495" i="2" s="1"/>
  <c r="S494" i="2"/>
  <c r="R494" i="2"/>
  <c r="Q494" i="2"/>
  <c r="P494" i="2"/>
  <c r="F494" i="2"/>
  <c r="S493" i="2"/>
  <c r="R493" i="2"/>
  <c r="P493" i="2"/>
  <c r="Q493" i="2" s="1"/>
  <c r="F493" i="2"/>
  <c r="F497" i="2" s="1"/>
  <c r="S492" i="2"/>
  <c r="Q492" i="2"/>
  <c r="P492" i="2"/>
  <c r="F492" i="2"/>
  <c r="O490" i="2"/>
  <c r="N490" i="2"/>
  <c r="M490" i="2"/>
  <c r="L490" i="2"/>
  <c r="E490" i="2"/>
  <c r="C490" i="2"/>
  <c r="H490" i="2" s="1"/>
  <c r="S489" i="2"/>
  <c r="R489" i="2"/>
  <c r="Q489" i="2"/>
  <c r="P489" i="2"/>
  <c r="F489" i="2"/>
  <c r="P488" i="2"/>
  <c r="S488" i="2" s="1"/>
  <c r="F488" i="2"/>
  <c r="D488" i="2"/>
  <c r="R487" i="2"/>
  <c r="Q487" i="2"/>
  <c r="P487" i="2"/>
  <c r="S487" i="2" s="1"/>
  <c r="D487" i="2"/>
  <c r="Q486" i="2"/>
  <c r="P486" i="2"/>
  <c r="S486" i="2" s="1"/>
  <c r="F486" i="2"/>
  <c r="D486" i="2"/>
  <c r="P485" i="2"/>
  <c r="S485" i="2" s="1"/>
  <c r="F485" i="2"/>
  <c r="Q484" i="2"/>
  <c r="P484" i="2"/>
  <c r="F484" i="2"/>
  <c r="N482" i="2"/>
  <c r="M482" i="2"/>
  <c r="E482" i="2"/>
  <c r="D482" i="2"/>
  <c r="C482" i="2"/>
  <c r="H482" i="2" s="1"/>
  <c r="Q481" i="2"/>
  <c r="P481" i="2"/>
  <c r="F481" i="2"/>
  <c r="O480" i="2"/>
  <c r="L480" i="2"/>
  <c r="L482" i="2" s="1"/>
  <c r="J480" i="2"/>
  <c r="F480" i="2"/>
  <c r="D480" i="2"/>
  <c r="P479" i="2"/>
  <c r="S479" i="2" s="1"/>
  <c r="F479" i="2"/>
  <c r="F482" i="2" s="1"/>
  <c r="O477" i="2"/>
  <c r="N477" i="2"/>
  <c r="M477" i="2"/>
  <c r="L477" i="2"/>
  <c r="H477" i="2"/>
  <c r="E477" i="2"/>
  <c r="C477" i="2"/>
  <c r="P476" i="2"/>
  <c r="S476" i="2" s="1"/>
  <c r="F476" i="2"/>
  <c r="R475" i="2"/>
  <c r="Q475" i="2"/>
  <c r="P475" i="2"/>
  <c r="S475" i="2" s="1"/>
  <c r="D475" i="2"/>
  <c r="S474" i="2"/>
  <c r="R474" i="2"/>
  <c r="Q474" i="2"/>
  <c r="P474" i="2"/>
  <c r="P477" i="2" s="1"/>
  <c r="F474" i="2"/>
  <c r="O472" i="2"/>
  <c r="N472" i="2"/>
  <c r="M472" i="2"/>
  <c r="L472" i="2"/>
  <c r="E472" i="2"/>
  <c r="C472" i="2"/>
  <c r="H472" i="2" s="1"/>
  <c r="P471" i="2"/>
  <c r="F471" i="2"/>
  <c r="P470" i="2"/>
  <c r="S470" i="2" s="1"/>
  <c r="D470" i="2"/>
  <c r="F470" i="2" s="1"/>
  <c r="Q469" i="2"/>
  <c r="P469" i="2"/>
  <c r="F469" i="2"/>
  <c r="D469" i="2"/>
  <c r="D472" i="2" s="1"/>
  <c r="P468" i="2"/>
  <c r="F468" i="2"/>
  <c r="F472" i="2" s="1"/>
  <c r="N466" i="2"/>
  <c r="M466" i="2"/>
  <c r="E466" i="2"/>
  <c r="D466" i="2"/>
  <c r="C466" i="2"/>
  <c r="H466" i="2" s="1"/>
  <c r="S465" i="2"/>
  <c r="R465" i="2"/>
  <c r="Q465" i="2"/>
  <c r="P465" i="2"/>
  <c r="F465" i="2"/>
  <c r="O464" i="2"/>
  <c r="P464" i="2" s="1"/>
  <c r="L464" i="2"/>
  <c r="L466" i="2" s="1"/>
  <c r="J464" i="2"/>
  <c r="F464" i="2"/>
  <c r="D464" i="2"/>
  <c r="S463" i="2"/>
  <c r="R463" i="2"/>
  <c r="Q463" i="2"/>
  <c r="P463" i="2"/>
  <c r="P466" i="2" s="1"/>
  <c r="F463" i="2"/>
  <c r="F466" i="2" s="1"/>
  <c r="P461" i="2"/>
  <c r="O461" i="2"/>
  <c r="N461" i="2"/>
  <c r="M461" i="2"/>
  <c r="L461" i="2"/>
  <c r="H461" i="2"/>
  <c r="E461" i="2"/>
  <c r="C461" i="2"/>
  <c r="S460" i="2"/>
  <c r="R460" i="2"/>
  <c r="Q460" i="2"/>
  <c r="P460" i="2"/>
  <c r="F460" i="2"/>
  <c r="P459" i="2"/>
  <c r="S459" i="2" s="1"/>
  <c r="F459" i="2"/>
  <c r="D459" i="2"/>
  <c r="P458" i="2"/>
  <c r="S458" i="2" s="1"/>
  <c r="P457" i="2"/>
  <c r="S457" i="2" s="1"/>
  <c r="F457" i="2"/>
  <c r="Q456" i="2"/>
  <c r="P456" i="2"/>
  <c r="S456" i="2" s="1"/>
  <c r="F456" i="2"/>
  <c r="D456" i="2"/>
  <c r="P455" i="2"/>
  <c r="S455" i="2" s="1"/>
  <c r="F455" i="2"/>
  <c r="P454" i="2"/>
  <c r="S454" i="2" s="1"/>
  <c r="F454" i="2"/>
  <c r="D454" i="2"/>
  <c r="R453" i="2"/>
  <c r="P453" i="2"/>
  <c r="S453" i="2" s="1"/>
  <c r="F453" i="2"/>
  <c r="O451" i="2"/>
  <c r="N451" i="2"/>
  <c r="M451" i="2"/>
  <c r="L451" i="2"/>
  <c r="E451" i="2"/>
  <c r="D451" i="2"/>
  <c r="C451" i="2"/>
  <c r="H451" i="2" s="1"/>
  <c r="P450" i="2"/>
  <c r="S450" i="2" s="1"/>
  <c r="S451" i="2" s="1"/>
  <c r="F450" i="2"/>
  <c r="F449" i="2"/>
  <c r="D449" i="2"/>
  <c r="P448" i="2"/>
  <c r="S448" i="2" s="1"/>
  <c r="F448" i="2"/>
  <c r="O446" i="2"/>
  <c r="N446" i="2"/>
  <c r="M446" i="2"/>
  <c r="L446" i="2"/>
  <c r="F446" i="2"/>
  <c r="E446" i="2"/>
  <c r="D446" i="2"/>
  <c r="C446" i="2"/>
  <c r="H446" i="2" s="1"/>
  <c r="P445" i="2"/>
  <c r="S445" i="2" s="1"/>
  <c r="F445" i="2"/>
  <c r="F444" i="2"/>
  <c r="D444" i="2"/>
  <c r="D443" i="2"/>
  <c r="F443" i="2" s="1"/>
  <c r="R442" i="2"/>
  <c r="P442" i="2"/>
  <c r="Q442" i="2" s="1"/>
  <c r="F442" i="2"/>
  <c r="P441" i="2"/>
  <c r="F441" i="2"/>
  <c r="O439" i="2"/>
  <c r="N439" i="2"/>
  <c r="M439" i="2"/>
  <c r="L439" i="2"/>
  <c r="H439" i="2"/>
  <c r="F439" i="2"/>
  <c r="E439" i="2"/>
  <c r="D439" i="2"/>
  <c r="C439" i="2"/>
  <c r="P438" i="2"/>
  <c r="P439" i="2" s="1"/>
  <c r="F438" i="2"/>
  <c r="D437" i="2"/>
  <c r="F437" i="2" s="1"/>
  <c r="S436" i="2"/>
  <c r="R436" i="2"/>
  <c r="Q436" i="2"/>
  <c r="P436" i="2"/>
  <c r="F436" i="2"/>
  <c r="O434" i="2"/>
  <c r="N434" i="2"/>
  <c r="M434" i="2"/>
  <c r="L434" i="2"/>
  <c r="H434" i="2"/>
  <c r="E434" i="2"/>
  <c r="C434" i="2"/>
  <c r="S433" i="2"/>
  <c r="R433" i="2"/>
  <c r="Q433" i="2"/>
  <c r="P433" i="2"/>
  <c r="F433" i="2"/>
  <c r="Q432" i="2"/>
  <c r="P432" i="2"/>
  <c r="R432" i="2" s="1"/>
  <c r="D432" i="2"/>
  <c r="F432" i="2" s="1"/>
  <c r="F434" i="2" s="1"/>
  <c r="S431" i="2"/>
  <c r="R431" i="2"/>
  <c r="R434" i="2" s="1"/>
  <c r="Q431" i="2"/>
  <c r="P431" i="2"/>
  <c r="F431" i="2"/>
  <c r="D431" i="2"/>
  <c r="R430" i="2"/>
  <c r="P430" i="2"/>
  <c r="F430" i="2"/>
  <c r="N428" i="2"/>
  <c r="M428" i="2"/>
  <c r="H428" i="2"/>
  <c r="E428" i="2"/>
  <c r="C428" i="2"/>
  <c r="Q427" i="2"/>
  <c r="P427" i="2"/>
  <c r="S427" i="2" s="1"/>
  <c r="F427" i="2"/>
  <c r="L426" i="2"/>
  <c r="L428" i="2" s="1"/>
  <c r="J426" i="2"/>
  <c r="D426" i="2"/>
  <c r="S425" i="2"/>
  <c r="R425" i="2"/>
  <c r="L425" i="2"/>
  <c r="J425" i="2"/>
  <c r="F425" i="2"/>
  <c r="D425" i="2"/>
  <c r="O425" i="2" s="1"/>
  <c r="P425" i="2" s="1"/>
  <c r="Q425" i="2" s="1"/>
  <c r="L424" i="2"/>
  <c r="J424" i="2"/>
  <c r="D424" i="2"/>
  <c r="L423" i="2"/>
  <c r="J423" i="2"/>
  <c r="D423" i="2"/>
  <c r="O423" i="2" s="1"/>
  <c r="Q422" i="2"/>
  <c r="P422" i="2"/>
  <c r="S422" i="2" s="1"/>
  <c r="F422" i="2"/>
  <c r="P421" i="2"/>
  <c r="S421" i="2" s="1"/>
  <c r="O421" i="2"/>
  <c r="L421" i="2"/>
  <c r="J421" i="2"/>
  <c r="D421" i="2"/>
  <c r="F421" i="2" s="1"/>
  <c r="R420" i="2"/>
  <c r="P420" i="2"/>
  <c r="Q420" i="2" s="1"/>
  <c r="F420" i="2"/>
  <c r="P419" i="2"/>
  <c r="S419" i="2" s="1"/>
  <c r="F419" i="2"/>
  <c r="D419" i="2"/>
  <c r="Q418" i="2"/>
  <c r="P418" i="2"/>
  <c r="S418" i="2" s="1"/>
  <c r="F418" i="2"/>
  <c r="P417" i="2"/>
  <c r="D417" i="2"/>
  <c r="F417" i="2" s="1"/>
  <c r="P416" i="2"/>
  <c r="D416" i="2"/>
  <c r="F416" i="2" s="1"/>
  <c r="S415" i="2"/>
  <c r="R415" i="2"/>
  <c r="Q415" i="2"/>
  <c r="P415" i="2"/>
  <c r="F415" i="2"/>
  <c r="D415" i="2"/>
  <c r="Q414" i="2"/>
  <c r="P414" i="2"/>
  <c r="F414" i="2"/>
  <c r="O412" i="2"/>
  <c r="N412" i="2"/>
  <c r="M412" i="2"/>
  <c r="L412" i="2"/>
  <c r="H412" i="2"/>
  <c r="E412" i="2"/>
  <c r="C412" i="2"/>
  <c r="P411" i="2"/>
  <c r="F411" i="2"/>
  <c r="S410" i="2"/>
  <c r="Q410" i="2"/>
  <c r="P410" i="2"/>
  <c r="R410" i="2" s="1"/>
  <c r="D410" i="2"/>
  <c r="S409" i="2"/>
  <c r="R409" i="2"/>
  <c r="P409" i="2"/>
  <c r="Q409" i="2" s="1"/>
  <c r="F409" i="2"/>
  <c r="O407" i="2"/>
  <c r="N407" i="2"/>
  <c r="M407" i="2"/>
  <c r="L407" i="2"/>
  <c r="H407" i="2"/>
  <c r="G407" i="2"/>
  <c r="E407" i="2"/>
  <c r="C407" i="2"/>
  <c r="P406" i="2"/>
  <c r="S406" i="2" s="1"/>
  <c r="S405" i="2"/>
  <c r="R405" i="2"/>
  <c r="P405" i="2"/>
  <c r="Q405" i="2" s="1"/>
  <c r="F405" i="2"/>
  <c r="D405" i="2"/>
  <c r="S404" i="2"/>
  <c r="R404" i="2"/>
  <c r="P404" i="2"/>
  <c r="Q404" i="2" s="1"/>
  <c r="D404" i="2"/>
  <c r="F404" i="2" s="1"/>
  <c r="R403" i="2"/>
  <c r="P403" i="2"/>
  <c r="S403" i="2" s="1"/>
  <c r="F403" i="2"/>
  <c r="S402" i="2"/>
  <c r="R402" i="2"/>
  <c r="Q402" i="2"/>
  <c r="P402" i="2"/>
  <c r="D402" i="2"/>
  <c r="F402" i="2" s="1"/>
  <c r="S401" i="2"/>
  <c r="R401" i="2"/>
  <c r="Q401" i="2"/>
  <c r="P401" i="2"/>
  <c r="F401" i="2"/>
  <c r="S400" i="2"/>
  <c r="Q400" i="2"/>
  <c r="P400" i="2"/>
  <c r="R400" i="2" s="1"/>
  <c r="F400" i="2"/>
  <c r="D400" i="2"/>
  <c r="S399" i="2"/>
  <c r="R399" i="2"/>
  <c r="Q399" i="2"/>
  <c r="P399" i="2"/>
  <c r="D399" i="2"/>
  <c r="F399" i="2" s="1"/>
  <c r="P398" i="2"/>
  <c r="S398" i="2" s="1"/>
  <c r="D398" i="2"/>
  <c r="F398" i="2" s="1"/>
  <c r="S397" i="2"/>
  <c r="R397" i="2"/>
  <c r="Q397" i="2"/>
  <c r="P397" i="2"/>
  <c r="F397" i="2"/>
  <c r="R396" i="2"/>
  <c r="P396" i="2"/>
  <c r="S396" i="2" s="1"/>
  <c r="F396" i="2"/>
  <c r="P395" i="2"/>
  <c r="F395" i="2"/>
  <c r="D395" i="2"/>
  <c r="R394" i="2"/>
  <c r="P394" i="2"/>
  <c r="S394" i="2" s="1"/>
  <c r="D394" i="2"/>
  <c r="F394" i="2" s="1"/>
  <c r="S393" i="2"/>
  <c r="R393" i="2"/>
  <c r="P393" i="2"/>
  <c r="Q393" i="2" s="1"/>
  <c r="F393" i="2"/>
  <c r="P392" i="2"/>
  <c r="F392" i="2"/>
  <c r="P391" i="2"/>
  <c r="F391" i="2"/>
  <c r="P390" i="2"/>
  <c r="R390" i="2" s="1"/>
  <c r="D390" i="2"/>
  <c r="F390" i="2" s="1"/>
  <c r="S389" i="2"/>
  <c r="R389" i="2"/>
  <c r="Q389" i="2"/>
  <c r="P389" i="2"/>
  <c r="F389" i="2"/>
  <c r="R388" i="2"/>
  <c r="P388" i="2"/>
  <c r="F388" i="2"/>
  <c r="N386" i="2"/>
  <c r="M386" i="2"/>
  <c r="H386" i="2"/>
  <c r="E386" i="2"/>
  <c r="C386" i="2"/>
  <c r="Q385" i="2"/>
  <c r="P385" i="2"/>
  <c r="S385" i="2" s="1"/>
  <c r="F385" i="2"/>
  <c r="L384" i="2"/>
  <c r="L386" i="2" s="1"/>
  <c r="J384" i="2"/>
  <c r="F384" i="2"/>
  <c r="F386" i="2" s="1"/>
  <c r="D384" i="2"/>
  <c r="S383" i="2"/>
  <c r="R383" i="2"/>
  <c r="P383" i="2"/>
  <c r="Q383" i="2" s="1"/>
  <c r="F383" i="2"/>
  <c r="O381" i="2"/>
  <c r="N381" i="2"/>
  <c r="M381" i="2"/>
  <c r="L381" i="2"/>
  <c r="E381" i="2"/>
  <c r="D381" i="2"/>
  <c r="C381" i="2"/>
  <c r="H381" i="2" s="1"/>
  <c r="S380" i="2"/>
  <c r="R380" i="2"/>
  <c r="P380" i="2"/>
  <c r="Q380" i="2" s="1"/>
  <c r="F380" i="2"/>
  <c r="S379" i="2"/>
  <c r="R379" i="2"/>
  <c r="Q379" i="2"/>
  <c r="P379" i="2"/>
  <c r="F379" i="2"/>
  <c r="D379" i="2"/>
  <c r="P378" i="2"/>
  <c r="Q378" i="2" s="1"/>
  <c r="F378" i="2"/>
  <c r="S377" i="2"/>
  <c r="R377" i="2"/>
  <c r="Q377" i="2"/>
  <c r="P377" i="2"/>
  <c r="F377" i="2"/>
  <c r="O375" i="2"/>
  <c r="N375" i="2"/>
  <c r="M375" i="2"/>
  <c r="L375" i="2"/>
  <c r="E375" i="2"/>
  <c r="D375" i="2"/>
  <c r="C375" i="2"/>
  <c r="H375" i="2" s="1"/>
  <c r="S374" i="2"/>
  <c r="R374" i="2"/>
  <c r="Q374" i="2"/>
  <c r="P374" i="2"/>
  <c r="F374" i="2"/>
  <c r="P373" i="2"/>
  <c r="S373" i="2" s="1"/>
  <c r="F373" i="2"/>
  <c r="D373" i="2"/>
  <c r="Q372" i="2"/>
  <c r="P372" i="2"/>
  <c r="S372" i="2" s="1"/>
  <c r="D372" i="2"/>
  <c r="F372" i="2" s="1"/>
  <c r="S371" i="2"/>
  <c r="R371" i="2"/>
  <c r="Q371" i="2"/>
  <c r="P371" i="2"/>
  <c r="F371" i="2"/>
  <c r="D371" i="2"/>
  <c r="Q370" i="2"/>
  <c r="P370" i="2"/>
  <c r="S370" i="2" s="1"/>
  <c r="F370" i="2"/>
  <c r="D370" i="2"/>
  <c r="P369" i="2"/>
  <c r="F369" i="2"/>
  <c r="P367" i="2"/>
  <c r="O367" i="2"/>
  <c r="N367" i="2"/>
  <c r="M367" i="2"/>
  <c r="L367" i="2"/>
  <c r="H367" i="2"/>
  <c r="E367" i="2"/>
  <c r="D367" i="2"/>
  <c r="C367" i="2"/>
  <c r="P366" i="2"/>
  <c r="S366" i="2" s="1"/>
  <c r="P365" i="2"/>
  <c r="F365" i="2"/>
  <c r="S364" i="2"/>
  <c r="R364" i="2"/>
  <c r="P364" i="2"/>
  <c r="Q364" i="2" s="1"/>
  <c r="F364" i="2"/>
  <c r="S363" i="2"/>
  <c r="R363" i="2"/>
  <c r="Q363" i="2"/>
  <c r="P363" i="2"/>
  <c r="F363" i="2"/>
  <c r="P362" i="2"/>
  <c r="S362" i="2" s="1"/>
  <c r="F362" i="2"/>
  <c r="P361" i="2"/>
  <c r="F361" i="2"/>
  <c r="P360" i="2"/>
  <c r="F360" i="2"/>
  <c r="S359" i="2"/>
  <c r="Q359" i="2"/>
  <c r="P359" i="2"/>
  <c r="R359" i="2" s="1"/>
  <c r="F359" i="2"/>
  <c r="F367" i="2" s="1"/>
  <c r="O357" i="2"/>
  <c r="N357" i="2"/>
  <c r="M357" i="2"/>
  <c r="L357" i="2"/>
  <c r="E357" i="2"/>
  <c r="D357" i="2"/>
  <c r="C357" i="2"/>
  <c r="H357" i="2" s="1"/>
  <c r="P356" i="2"/>
  <c r="F356" i="2"/>
  <c r="S355" i="2"/>
  <c r="R355" i="2"/>
  <c r="Q355" i="2"/>
  <c r="P355" i="2"/>
  <c r="S354" i="2"/>
  <c r="R354" i="2"/>
  <c r="P354" i="2"/>
  <c r="Q354" i="2" s="1"/>
  <c r="D354" i="2"/>
  <c r="D355" i="2" s="1"/>
  <c r="F355" i="2" s="1"/>
  <c r="P353" i="2"/>
  <c r="Q353" i="2" s="1"/>
  <c r="F353" i="2"/>
  <c r="S352" i="2"/>
  <c r="R352" i="2"/>
  <c r="Q352" i="2"/>
  <c r="P352" i="2"/>
  <c r="F352" i="2"/>
  <c r="N350" i="2"/>
  <c r="M350" i="2"/>
  <c r="L350" i="2"/>
  <c r="E350" i="2"/>
  <c r="D350" i="2"/>
  <c r="C350" i="2"/>
  <c r="H350" i="2" s="1"/>
  <c r="S349" i="2"/>
  <c r="Q349" i="2"/>
  <c r="P349" i="2"/>
  <c r="R349" i="2" s="1"/>
  <c r="F349" i="2"/>
  <c r="S348" i="2"/>
  <c r="R348" i="2"/>
  <c r="Q348" i="2"/>
  <c r="P348" i="2"/>
  <c r="F348" i="2"/>
  <c r="P347" i="2"/>
  <c r="O347" i="2"/>
  <c r="O350" i="2" s="1"/>
  <c r="L347" i="2"/>
  <c r="J347" i="2"/>
  <c r="F347" i="2"/>
  <c r="P346" i="2"/>
  <c r="Q346" i="2" s="1"/>
  <c r="F346" i="2"/>
  <c r="O344" i="2"/>
  <c r="N344" i="2"/>
  <c r="M344" i="2"/>
  <c r="L344" i="2"/>
  <c r="E344" i="2"/>
  <c r="D344" i="2"/>
  <c r="C344" i="2"/>
  <c r="H344" i="2" s="1"/>
  <c r="P343" i="2"/>
  <c r="S343" i="2" s="1"/>
  <c r="S344" i="2" s="1"/>
  <c r="F343" i="2"/>
  <c r="S342" i="2"/>
  <c r="R342" i="2"/>
  <c r="Q342" i="2"/>
  <c r="P342" i="2"/>
  <c r="D342" i="2"/>
  <c r="F342" i="2" s="1"/>
  <c r="F344" i="2" s="1"/>
  <c r="S341" i="2"/>
  <c r="Q341" i="2"/>
  <c r="P341" i="2"/>
  <c r="F341" i="2"/>
  <c r="O339" i="2"/>
  <c r="N339" i="2"/>
  <c r="M339" i="2"/>
  <c r="L339" i="2"/>
  <c r="H339" i="2"/>
  <c r="E339" i="2"/>
  <c r="C339" i="2"/>
  <c r="S338" i="2"/>
  <c r="R338" i="2"/>
  <c r="P338" i="2"/>
  <c r="Q338" i="2" s="1"/>
  <c r="F338" i="2"/>
  <c r="S337" i="2"/>
  <c r="P337" i="2"/>
  <c r="R337" i="2" s="1"/>
  <c r="D337" i="2"/>
  <c r="D339" i="2" s="1"/>
  <c r="P336" i="2"/>
  <c r="S336" i="2" s="1"/>
  <c r="S339" i="2" s="1"/>
  <c r="F336" i="2"/>
  <c r="O334" i="2"/>
  <c r="N334" i="2"/>
  <c r="M334" i="2"/>
  <c r="L334" i="2"/>
  <c r="E334" i="2"/>
  <c r="C334" i="2"/>
  <c r="H334" i="2" s="1"/>
  <c r="P333" i="2"/>
  <c r="S333" i="2" s="1"/>
  <c r="F333" i="2"/>
  <c r="P332" i="2"/>
  <c r="D332" i="2"/>
  <c r="D334" i="2" s="1"/>
  <c r="R331" i="2"/>
  <c r="Q331" i="2"/>
  <c r="P331" i="2"/>
  <c r="S331" i="2" s="1"/>
  <c r="F331" i="2"/>
  <c r="D331" i="2"/>
  <c r="S330" i="2"/>
  <c r="P330" i="2"/>
  <c r="R330" i="2" s="1"/>
  <c r="F330" i="2"/>
  <c r="N328" i="2"/>
  <c r="M328" i="2"/>
  <c r="E328" i="2"/>
  <c r="D328" i="2"/>
  <c r="C328" i="2"/>
  <c r="H328" i="2" s="1"/>
  <c r="S327" i="2"/>
  <c r="Q327" i="2"/>
  <c r="P327" i="2"/>
  <c r="R327" i="2" s="1"/>
  <c r="F327" i="2"/>
  <c r="L326" i="2"/>
  <c r="J326" i="2"/>
  <c r="D326" i="2"/>
  <c r="O325" i="2"/>
  <c r="P325" i="2" s="1"/>
  <c r="L325" i="2"/>
  <c r="J325" i="2"/>
  <c r="F325" i="2"/>
  <c r="D325" i="2"/>
  <c r="L324" i="2"/>
  <c r="J324" i="2"/>
  <c r="D324" i="2"/>
  <c r="F324" i="2" s="1"/>
  <c r="P323" i="2"/>
  <c r="F323" i="2"/>
  <c r="P322" i="2"/>
  <c r="S322" i="2" s="1"/>
  <c r="L322" i="2"/>
  <c r="J322" i="2"/>
  <c r="F322" i="2"/>
  <c r="D322" i="2"/>
  <c r="O322" i="2" s="1"/>
  <c r="L321" i="2"/>
  <c r="J321" i="2"/>
  <c r="D321" i="2"/>
  <c r="Q320" i="2"/>
  <c r="P320" i="2"/>
  <c r="L320" i="2"/>
  <c r="J320" i="2"/>
  <c r="D320" i="2"/>
  <c r="O320" i="2" s="1"/>
  <c r="R319" i="2"/>
  <c r="Q319" i="2"/>
  <c r="P319" i="2"/>
  <c r="F319" i="2"/>
  <c r="R318" i="2"/>
  <c r="Q318" i="2"/>
  <c r="P318" i="2"/>
  <c r="S318" i="2" s="1"/>
  <c r="F318" i="2"/>
  <c r="Q316" i="2"/>
  <c r="P316" i="2"/>
  <c r="O316" i="2"/>
  <c r="N316" i="2"/>
  <c r="M316" i="2"/>
  <c r="L316" i="2"/>
  <c r="H316" i="2"/>
  <c r="E316" i="2"/>
  <c r="C316" i="2"/>
  <c r="Q315" i="2"/>
  <c r="P315" i="2"/>
  <c r="S315" i="2" s="1"/>
  <c r="S316" i="2" s="1"/>
  <c r="F315" i="2"/>
  <c r="D314" i="2"/>
  <c r="S313" i="2"/>
  <c r="R313" i="2"/>
  <c r="Q313" i="2"/>
  <c r="P313" i="2"/>
  <c r="F313" i="2"/>
  <c r="N311" i="2"/>
  <c r="M311" i="2"/>
  <c r="E311" i="2"/>
  <c r="D311" i="2"/>
  <c r="C311" i="2"/>
  <c r="H311" i="2" s="1"/>
  <c r="S310" i="2"/>
  <c r="R310" i="2"/>
  <c r="Q310" i="2"/>
  <c r="P310" i="2"/>
  <c r="F310" i="2"/>
  <c r="P309" i="2"/>
  <c r="P311" i="2" s="1"/>
  <c r="L309" i="2"/>
  <c r="L311" i="2" s="1"/>
  <c r="J309" i="2"/>
  <c r="D309" i="2"/>
  <c r="O309" i="2" s="1"/>
  <c r="O311" i="2" s="1"/>
  <c r="R308" i="2"/>
  <c r="Q308" i="2"/>
  <c r="P308" i="2"/>
  <c r="S308" i="2" s="1"/>
  <c r="F308" i="2"/>
  <c r="O306" i="2"/>
  <c r="N306" i="2"/>
  <c r="M306" i="2"/>
  <c r="L306" i="2"/>
  <c r="F306" i="2"/>
  <c r="E306" i="2"/>
  <c r="D306" i="2"/>
  <c r="C306" i="2"/>
  <c r="H306" i="2" s="1"/>
  <c r="S305" i="2"/>
  <c r="R305" i="2"/>
  <c r="P305" i="2"/>
  <c r="Q305" i="2" s="1"/>
  <c r="F305" i="2"/>
  <c r="S304" i="2"/>
  <c r="R304" i="2"/>
  <c r="P304" i="2"/>
  <c r="Q304" i="2" s="1"/>
  <c r="D304" i="2"/>
  <c r="F304" i="2" s="1"/>
  <c r="P303" i="2"/>
  <c r="F303" i="2"/>
  <c r="O301" i="2"/>
  <c r="N301" i="2"/>
  <c r="M301" i="2"/>
  <c r="L301" i="2"/>
  <c r="E301" i="2"/>
  <c r="C301" i="2"/>
  <c r="H301" i="2" s="1"/>
  <c r="P300" i="2"/>
  <c r="F300" i="2"/>
  <c r="P299" i="2"/>
  <c r="S299" i="2" s="1"/>
  <c r="F299" i="2"/>
  <c r="D299" i="2"/>
  <c r="D301" i="2" s="1"/>
  <c r="S298" i="2"/>
  <c r="R298" i="2"/>
  <c r="Q298" i="2"/>
  <c r="P298" i="2"/>
  <c r="D298" i="2"/>
  <c r="F298" i="2" s="1"/>
  <c r="S297" i="2"/>
  <c r="R297" i="2"/>
  <c r="Q297" i="2"/>
  <c r="P297" i="2"/>
  <c r="F297" i="2"/>
  <c r="O295" i="2"/>
  <c r="N295" i="2"/>
  <c r="M295" i="2"/>
  <c r="L295" i="2"/>
  <c r="H295" i="2"/>
  <c r="E295" i="2"/>
  <c r="C295" i="2"/>
  <c r="S294" i="2"/>
  <c r="R294" i="2"/>
  <c r="Q294" i="2"/>
  <c r="P294" i="2"/>
  <c r="F294" i="2"/>
  <c r="Q293" i="2"/>
  <c r="P293" i="2"/>
  <c r="F293" i="2"/>
  <c r="D293" i="2"/>
  <c r="Q292" i="2"/>
  <c r="P292" i="2"/>
  <c r="S292" i="2" s="1"/>
  <c r="D292" i="2"/>
  <c r="F292" i="2" s="1"/>
  <c r="S291" i="2"/>
  <c r="R291" i="2"/>
  <c r="P291" i="2"/>
  <c r="Q291" i="2" s="1"/>
  <c r="F291" i="2"/>
  <c r="S290" i="2"/>
  <c r="P290" i="2"/>
  <c r="R290" i="2" s="1"/>
  <c r="F290" i="2"/>
  <c r="P288" i="2"/>
  <c r="O288" i="2"/>
  <c r="N288" i="2"/>
  <c r="M288" i="2"/>
  <c r="L288" i="2"/>
  <c r="H288" i="2"/>
  <c r="G288" i="2"/>
  <c r="E288" i="2"/>
  <c r="C288" i="2"/>
  <c r="S287" i="2"/>
  <c r="P287" i="2"/>
  <c r="R287" i="2" s="1"/>
  <c r="F287" i="2"/>
  <c r="F286" i="2"/>
  <c r="D285" i="2"/>
  <c r="D288" i="2" s="1"/>
  <c r="S284" i="2"/>
  <c r="R284" i="2"/>
  <c r="P284" i="2"/>
  <c r="Q284" i="2" s="1"/>
  <c r="F284" i="2"/>
  <c r="S283" i="2"/>
  <c r="R283" i="2"/>
  <c r="Q283" i="2"/>
  <c r="P283" i="2"/>
  <c r="F283" i="2"/>
  <c r="R282" i="2"/>
  <c r="Q282" i="2"/>
  <c r="P282" i="2"/>
  <c r="S282" i="2" s="1"/>
  <c r="F282" i="2"/>
  <c r="S281" i="2"/>
  <c r="R281" i="2"/>
  <c r="Q281" i="2"/>
  <c r="P281" i="2"/>
  <c r="F281" i="2"/>
  <c r="P280" i="2"/>
  <c r="Q280" i="2" s="1"/>
  <c r="F280" i="2"/>
  <c r="S279" i="2"/>
  <c r="Q279" i="2"/>
  <c r="P279" i="2"/>
  <c r="R279" i="2" s="1"/>
  <c r="F279" i="2"/>
  <c r="Q278" i="2"/>
  <c r="P278" i="2"/>
  <c r="S278" i="2" s="1"/>
  <c r="F278" i="2"/>
  <c r="N276" i="2"/>
  <c r="M276" i="2"/>
  <c r="L276" i="2"/>
  <c r="E276" i="2"/>
  <c r="D276" i="2"/>
  <c r="C276" i="2"/>
  <c r="H276" i="2" s="1"/>
  <c r="S275" i="2"/>
  <c r="R275" i="2"/>
  <c r="P275" i="2"/>
  <c r="Q275" i="2" s="1"/>
  <c r="F275" i="2"/>
  <c r="S274" i="2"/>
  <c r="O274" i="2"/>
  <c r="P274" i="2" s="1"/>
  <c r="R274" i="2" s="1"/>
  <c r="L274" i="2"/>
  <c r="J274" i="2"/>
  <c r="F274" i="2"/>
  <c r="P273" i="2"/>
  <c r="R273" i="2" s="1"/>
  <c r="F273" i="2"/>
  <c r="S272" i="2"/>
  <c r="R272" i="2"/>
  <c r="R276" i="2" s="1"/>
  <c r="Q272" i="2"/>
  <c r="P272" i="2"/>
  <c r="F272" i="2"/>
  <c r="S271" i="2"/>
  <c r="R271" i="2"/>
  <c r="Q271" i="2"/>
  <c r="P271" i="2"/>
  <c r="F271" i="2"/>
  <c r="P269" i="2"/>
  <c r="O269" i="2"/>
  <c r="N269" i="2"/>
  <c r="M269" i="2"/>
  <c r="L269" i="2"/>
  <c r="H269" i="2"/>
  <c r="E269" i="2"/>
  <c r="D269" i="2"/>
  <c r="C269" i="2"/>
  <c r="S268" i="2"/>
  <c r="R268" i="2"/>
  <c r="Q268" i="2"/>
  <c r="P268" i="2"/>
  <c r="F268" i="2"/>
  <c r="S267" i="2"/>
  <c r="R267" i="2"/>
  <c r="Q267" i="2"/>
  <c r="F267" i="2"/>
  <c r="Q266" i="2"/>
  <c r="Q269" i="2" s="1"/>
  <c r="P266" i="2"/>
  <c r="S266" i="2" s="1"/>
  <c r="S269" i="2" s="1"/>
  <c r="F266" i="2"/>
  <c r="F269" i="2" s="1"/>
  <c r="N264" i="2"/>
  <c r="M264" i="2"/>
  <c r="E264" i="2"/>
  <c r="D264" i="2"/>
  <c r="C264" i="2"/>
  <c r="H264" i="2" s="1"/>
  <c r="R263" i="2"/>
  <c r="Q263" i="2"/>
  <c r="P263" i="2"/>
  <c r="S263" i="2" s="1"/>
  <c r="F263" i="2"/>
  <c r="R262" i="2"/>
  <c r="R264" i="2" s="1"/>
  <c r="P262" i="2"/>
  <c r="P264" i="2" s="1"/>
  <c r="O262" i="2"/>
  <c r="O264" i="2" s="1"/>
  <c r="L262" i="2"/>
  <c r="L264" i="2" s="1"/>
  <c r="J262" i="2"/>
  <c r="D262" i="2"/>
  <c r="F262" i="2" s="1"/>
  <c r="F264" i="2" s="1"/>
  <c r="R261" i="2"/>
  <c r="Q261" i="2"/>
  <c r="P261" i="2"/>
  <c r="S261" i="2" s="1"/>
  <c r="F261" i="2"/>
  <c r="P259" i="2"/>
  <c r="O259" i="2"/>
  <c r="N259" i="2"/>
  <c r="M259" i="2"/>
  <c r="L259" i="2"/>
  <c r="H259" i="2"/>
  <c r="E259" i="2"/>
  <c r="C259" i="2"/>
  <c r="R258" i="2"/>
  <c r="Q258" i="2"/>
  <c r="P258" i="2"/>
  <c r="S258" i="2" s="1"/>
  <c r="F258" i="2"/>
  <c r="P257" i="2"/>
  <c r="D257" i="2"/>
  <c r="D259" i="2" s="1"/>
  <c r="P256" i="2"/>
  <c r="S256" i="2" s="1"/>
  <c r="F256" i="2"/>
  <c r="P255" i="2"/>
  <c r="S255" i="2" s="1"/>
  <c r="F255" i="2"/>
  <c r="N253" i="2"/>
  <c r="M253" i="2"/>
  <c r="L253" i="2"/>
  <c r="H253" i="2"/>
  <c r="F253" i="2"/>
  <c r="E253" i="2"/>
  <c r="D253" i="2"/>
  <c r="C253" i="2"/>
  <c r="P252" i="2"/>
  <c r="F252" i="2"/>
  <c r="L251" i="2"/>
  <c r="J251" i="2"/>
  <c r="F251" i="2"/>
  <c r="D251" i="2"/>
  <c r="O251" i="2" s="1"/>
  <c r="S250" i="2"/>
  <c r="R250" i="2"/>
  <c r="Q250" i="2"/>
  <c r="P250" i="2"/>
  <c r="F250" i="2"/>
  <c r="O248" i="2"/>
  <c r="N248" i="2"/>
  <c r="M248" i="2"/>
  <c r="L248" i="2"/>
  <c r="E248" i="2"/>
  <c r="C248" i="2"/>
  <c r="H248" i="2" s="1"/>
  <c r="S247" i="2"/>
  <c r="R247" i="2"/>
  <c r="Q247" i="2"/>
  <c r="P247" i="2"/>
  <c r="F247" i="2"/>
  <c r="Q246" i="2"/>
  <c r="P246" i="2"/>
  <c r="S246" i="2" s="1"/>
  <c r="D246" i="2"/>
  <c r="F246" i="2" s="1"/>
  <c r="P245" i="2"/>
  <c r="S245" i="2" s="1"/>
  <c r="R244" i="2"/>
  <c r="P244" i="2"/>
  <c r="S244" i="2" s="1"/>
  <c r="F244" i="2"/>
  <c r="P243" i="2"/>
  <c r="C243" i="2"/>
  <c r="D243" i="2" s="1"/>
  <c r="F243" i="2" s="1"/>
  <c r="P242" i="2"/>
  <c r="F242" i="2"/>
  <c r="N240" i="2"/>
  <c r="M240" i="2"/>
  <c r="L240" i="2"/>
  <c r="H240" i="2"/>
  <c r="G240" i="2"/>
  <c r="E240" i="2"/>
  <c r="C240" i="2"/>
  <c r="S239" i="2"/>
  <c r="R239" i="2"/>
  <c r="Q239" i="2"/>
  <c r="P239" i="2"/>
  <c r="F239" i="2"/>
  <c r="L238" i="2"/>
  <c r="J238" i="2"/>
  <c r="P237" i="2"/>
  <c r="N235" i="2"/>
  <c r="M235" i="2"/>
  <c r="L235" i="2"/>
  <c r="E235" i="2"/>
  <c r="C235" i="2"/>
  <c r="H235" i="2" s="1"/>
  <c r="P234" i="2"/>
  <c r="F234" i="2"/>
  <c r="L233" i="2"/>
  <c r="J233" i="2"/>
  <c r="Q232" i="2"/>
  <c r="P232" i="2"/>
  <c r="S232" i="2" s="1"/>
  <c r="F232" i="2"/>
  <c r="S231" i="2"/>
  <c r="R231" i="2"/>
  <c r="D231" i="2"/>
  <c r="S230" i="2"/>
  <c r="R230" i="2"/>
  <c r="Q230" i="2"/>
  <c r="P230" i="2"/>
  <c r="F230" i="2"/>
  <c r="O228" i="2"/>
  <c r="N228" i="2"/>
  <c r="M228" i="2"/>
  <c r="L228" i="2"/>
  <c r="E228" i="2"/>
  <c r="D228" i="2"/>
  <c r="C228" i="2"/>
  <c r="H228" i="2" s="1"/>
  <c r="P227" i="2"/>
  <c r="S227" i="2" s="1"/>
  <c r="F227" i="2"/>
  <c r="S226" i="2"/>
  <c r="R226" i="2"/>
  <c r="Q226" i="2"/>
  <c r="P226" i="2"/>
  <c r="F226" i="2"/>
  <c r="D226" i="2"/>
  <c r="S225" i="2"/>
  <c r="S228" i="2" s="1"/>
  <c r="R225" i="2"/>
  <c r="P225" i="2"/>
  <c r="F225" i="2"/>
  <c r="F228" i="2" s="1"/>
  <c r="O223" i="2"/>
  <c r="N223" i="2"/>
  <c r="M223" i="2"/>
  <c r="L223" i="2"/>
  <c r="H223" i="2"/>
  <c r="E223" i="2"/>
  <c r="C223" i="2"/>
  <c r="P222" i="2"/>
  <c r="Q222" i="2" s="1"/>
  <c r="F222" i="2"/>
  <c r="S221" i="2"/>
  <c r="R221" i="2"/>
  <c r="D221" i="2"/>
  <c r="D223" i="2" s="1"/>
  <c r="P220" i="2"/>
  <c r="Q220" i="2" s="1"/>
  <c r="Q223" i="2" s="1"/>
  <c r="F220" i="2"/>
  <c r="O218" i="2"/>
  <c r="N218" i="2"/>
  <c r="M218" i="2"/>
  <c r="L218" i="2"/>
  <c r="H218" i="2"/>
  <c r="E218" i="2"/>
  <c r="D218" i="2"/>
  <c r="C218" i="2"/>
  <c r="P217" i="2"/>
  <c r="S217" i="2" s="1"/>
  <c r="F217" i="2"/>
  <c r="F218" i="2" s="1"/>
  <c r="S216" i="2"/>
  <c r="S218" i="2" s="1"/>
  <c r="Q216" i="2"/>
  <c r="P216" i="2"/>
  <c r="R216" i="2" s="1"/>
  <c r="F216" i="2"/>
  <c r="O214" i="2"/>
  <c r="N214" i="2"/>
  <c r="M214" i="2"/>
  <c r="L214" i="2"/>
  <c r="E214" i="2"/>
  <c r="D214" i="2"/>
  <c r="C214" i="2"/>
  <c r="P213" i="2"/>
  <c r="F213" i="2"/>
  <c r="S212" i="2"/>
  <c r="P212" i="2"/>
  <c r="R212" i="2" s="1"/>
  <c r="F212" i="2"/>
  <c r="P210" i="2"/>
  <c r="O210" i="2"/>
  <c r="N210" i="2"/>
  <c r="M210" i="2"/>
  <c r="L210" i="2"/>
  <c r="E210" i="2"/>
  <c r="D210" i="2"/>
  <c r="C210" i="2"/>
  <c r="S209" i="2"/>
  <c r="R209" i="2"/>
  <c r="Q209" i="2"/>
  <c r="P209" i="2"/>
  <c r="F209" i="2"/>
  <c r="F208" i="2"/>
  <c r="S207" i="2"/>
  <c r="S210" i="2" s="1"/>
  <c r="Q207" i="2"/>
  <c r="Q210" i="2" s="1"/>
  <c r="P207" i="2"/>
  <c r="R207" i="2" s="1"/>
  <c r="R210" i="2" s="1"/>
  <c r="F207" i="2"/>
  <c r="F210" i="2" s="1"/>
  <c r="N205" i="2"/>
  <c r="M205" i="2"/>
  <c r="E205" i="2"/>
  <c r="P204" i="2"/>
  <c r="S204" i="2" s="1"/>
  <c r="F204" i="2"/>
  <c r="S203" i="2"/>
  <c r="O203" i="2"/>
  <c r="P203" i="2" s="1"/>
  <c r="L203" i="2"/>
  <c r="J203" i="2"/>
  <c r="F203" i="2"/>
  <c r="O202" i="2"/>
  <c r="P202" i="2" s="1"/>
  <c r="L202" i="2"/>
  <c r="J202" i="2"/>
  <c r="I202" i="2"/>
  <c r="D202" i="2"/>
  <c r="F202" i="2" s="1"/>
  <c r="L201" i="2"/>
  <c r="J201" i="2"/>
  <c r="D201" i="2"/>
  <c r="O201" i="2" s="1"/>
  <c r="P201" i="2" s="1"/>
  <c r="L200" i="2"/>
  <c r="J200" i="2"/>
  <c r="L199" i="2"/>
  <c r="J199" i="2"/>
  <c r="L198" i="2"/>
  <c r="J198" i="2"/>
  <c r="S197" i="2"/>
  <c r="Q197" i="2"/>
  <c r="P197" i="2"/>
  <c r="R197" i="2" s="1"/>
  <c r="F197" i="2"/>
  <c r="D197" i="2"/>
  <c r="Q196" i="2"/>
  <c r="P196" i="2"/>
  <c r="S196" i="2" s="1"/>
  <c r="D196" i="2"/>
  <c r="F196" i="2" s="1"/>
  <c r="S195" i="2"/>
  <c r="R195" i="2"/>
  <c r="Q195" i="2"/>
  <c r="P195" i="2"/>
  <c r="D195" i="2"/>
  <c r="F195" i="2" s="1"/>
  <c r="P194" i="2"/>
  <c r="F194" i="2"/>
  <c r="C194" i="2"/>
  <c r="S193" i="2"/>
  <c r="P193" i="2"/>
  <c r="O192" i="2"/>
  <c r="N192" i="2"/>
  <c r="M192" i="2"/>
  <c r="L192" i="2"/>
  <c r="E192" i="2"/>
  <c r="C192" i="2"/>
  <c r="H192" i="2" s="1"/>
  <c r="P191" i="2"/>
  <c r="S191" i="2" s="1"/>
  <c r="F191" i="2"/>
  <c r="Q190" i="2"/>
  <c r="P190" i="2"/>
  <c r="S190" i="2" s="1"/>
  <c r="F190" i="2"/>
  <c r="S189" i="2"/>
  <c r="R189" i="2"/>
  <c r="Q189" i="2"/>
  <c r="P189" i="2"/>
  <c r="F189" i="2"/>
  <c r="D189" i="2"/>
  <c r="P188" i="2"/>
  <c r="D188" i="2"/>
  <c r="D192" i="2" s="1"/>
  <c r="P187" i="2"/>
  <c r="S187" i="2" s="1"/>
  <c r="F187" i="2"/>
  <c r="Q186" i="2"/>
  <c r="P186" i="2"/>
  <c r="S186" i="2" s="1"/>
  <c r="F186" i="2"/>
  <c r="Q185" i="2"/>
  <c r="P185" i="2"/>
  <c r="P184" i="2"/>
  <c r="O184" i="2"/>
  <c r="N184" i="2"/>
  <c r="M184" i="2"/>
  <c r="L184" i="2"/>
  <c r="E184" i="2"/>
  <c r="P183" i="2"/>
  <c r="F183" i="2"/>
  <c r="P182" i="2"/>
  <c r="S182" i="2" s="1"/>
  <c r="D182" i="2"/>
  <c r="F182" i="2" s="1"/>
  <c r="S181" i="2"/>
  <c r="R181" i="2"/>
  <c r="Q181" i="2"/>
  <c r="P181" i="2"/>
  <c r="D181" i="2"/>
  <c r="F181" i="2" s="1"/>
  <c r="S180" i="2"/>
  <c r="Q180" i="2"/>
  <c r="P180" i="2"/>
  <c r="R180" i="2" s="1"/>
  <c r="D180" i="2"/>
  <c r="F180" i="2" s="1"/>
  <c r="C180" i="2"/>
  <c r="C184" i="2" s="1"/>
  <c r="H184" i="2" s="1"/>
  <c r="P179" i="2"/>
  <c r="S179" i="2" s="1"/>
  <c r="D179" i="2"/>
  <c r="D184" i="2" s="1"/>
  <c r="S178" i="2"/>
  <c r="R178" i="2"/>
  <c r="Q178" i="2"/>
  <c r="P178" i="2"/>
  <c r="F178" i="2"/>
  <c r="S177" i="2"/>
  <c r="R177" i="2"/>
  <c r="F177" i="2"/>
  <c r="D177" i="2"/>
  <c r="R176" i="2"/>
  <c r="Q176" i="2"/>
  <c r="P176" i="2"/>
  <c r="S176" i="2" s="1"/>
  <c r="F176" i="2"/>
  <c r="O174" i="2"/>
  <c r="N174" i="2"/>
  <c r="M174" i="2"/>
  <c r="H174" i="2"/>
  <c r="E174" i="2"/>
  <c r="C174" i="2"/>
  <c r="Q173" i="2"/>
  <c r="P173" i="2"/>
  <c r="S173" i="2" s="1"/>
  <c r="F173" i="2"/>
  <c r="O172" i="2"/>
  <c r="P172" i="2" s="1"/>
  <c r="L172" i="2"/>
  <c r="L174" i="2" s="1"/>
  <c r="J172" i="2"/>
  <c r="F172" i="2"/>
  <c r="D172" i="2"/>
  <c r="D174" i="2" s="1"/>
  <c r="S171" i="2"/>
  <c r="Q171" i="2"/>
  <c r="P171" i="2"/>
  <c r="R171" i="2" s="1"/>
  <c r="F171" i="2"/>
  <c r="O169" i="2"/>
  <c r="N169" i="2"/>
  <c r="M169" i="2"/>
  <c r="L169" i="2"/>
  <c r="E169" i="2"/>
  <c r="D169" i="2"/>
  <c r="C169" i="2"/>
  <c r="H169" i="2" s="1"/>
  <c r="S168" i="2"/>
  <c r="Q168" i="2"/>
  <c r="P168" i="2"/>
  <c r="R168" i="2" s="1"/>
  <c r="F168" i="2"/>
  <c r="P167" i="2"/>
  <c r="S167" i="2" s="1"/>
  <c r="F167" i="2"/>
  <c r="D167" i="2"/>
  <c r="P166" i="2"/>
  <c r="P169" i="2" s="1"/>
  <c r="F166" i="2"/>
  <c r="F169" i="2" s="1"/>
  <c r="N164" i="2"/>
  <c r="M164" i="2"/>
  <c r="L164" i="2"/>
  <c r="E164" i="2"/>
  <c r="D164" i="2"/>
  <c r="C164" i="2"/>
  <c r="H164" i="2" s="1"/>
  <c r="S163" i="2"/>
  <c r="R163" i="2"/>
  <c r="Q163" i="2"/>
  <c r="P163" i="2"/>
  <c r="F163" i="2"/>
  <c r="L162" i="2"/>
  <c r="J162" i="2"/>
  <c r="F162" i="2"/>
  <c r="D162" i="2"/>
  <c r="O162" i="2" s="1"/>
  <c r="R161" i="2"/>
  <c r="P161" i="2"/>
  <c r="S161" i="2" s="1"/>
  <c r="F161" i="2"/>
  <c r="S160" i="2"/>
  <c r="R160" i="2"/>
  <c r="P160" i="2"/>
  <c r="Q160" i="2" s="1"/>
  <c r="F160" i="2"/>
  <c r="S159" i="2"/>
  <c r="R159" i="2"/>
  <c r="P159" i="2"/>
  <c r="Q159" i="2" s="1"/>
  <c r="F159" i="2"/>
  <c r="S158" i="2"/>
  <c r="R158" i="2"/>
  <c r="P158" i="2"/>
  <c r="Q158" i="2" s="1"/>
  <c r="F158" i="2"/>
  <c r="S157" i="2"/>
  <c r="Q157" i="2"/>
  <c r="P157" i="2"/>
  <c r="R157" i="2" s="1"/>
  <c r="F157" i="2"/>
  <c r="S156" i="2"/>
  <c r="R156" i="2"/>
  <c r="Q156" i="2"/>
  <c r="P156" i="2"/>
  <c r="F156" i="2"/>
  <c r="C156" i="2"/>
  <c r="P155" i="2"/>
  <c r="F155" i="2"/>
  <c r="S154" i="2"/>
  <c r="P154" i="2"/>
  <c r="R154" i="2" s="1"/>
  <c r="F154" i="2"/>
  <c r="P153" i="2"/>
  <c r="S153" i="2" s="1"/>
  <c r="F153" i="2"/>
  <c r="S152" i="2"/>
  <c r="R152" i="2"/>
  <c r="P152" i="2"/>
  <c r="Q152" i="2" s="1"/>
  <c r="F152" i="2"/>
  <c r="Q151" i="2"/>
  <c r="P151" i="2"/>
  <c r="F151" i="2"/>
  <c r="F164" i="2" s="1"/>
  <c r="N149" i="2"/>
  <c r="M149" i="2"/>
  <c r="L149" i="2"/>
  <c r="H149" i="2"/>
  <c r="E149" i="2"/>
  <c r="C149" i="2"/>
  <c r="P148" i="2"/>
  <c r="F148" i="2"/>
  <c r="L147" i="2"/>
  <c r="J147" i="2"/>
  <c r="D147" i="2"/>
  <c r="O147" i="2" s="1"/>
  <c r="P147" i="2" s="1"/>
  <c r="S147" i="2" s="1"/>
  <c r="L146" i="2"/>
  <c r="J146" i="2"/>
  <c r="D146" i="2"/>
  <c r="F146" i="2" s="1"/>
  <c r="L145" i="2"/>
  <c r="J145" i="2"/>
  <c r="F145" i="2"/>
  <c r="D145" i="2"/>
  <c r="O145" i="2" s="1"/>
  <c r="S144" i="2"/>
  <c r="Q144" i="2"/>
  <c r="P144" i="2"/>
  <c r="R144" i="2" s="1"/>
  <c r="F144" i="2"/>
  <c r="D144" i="2"/>
  <c r="P143" i="2"/>
  <c r="S143" i="2" s="1"/>
  <c r="F143" i="2"/>
  <c r="S142" i="2"/>
  <c r="R142" i="2"/>
  <c r="Q142" i="2"/>
  <c r="P142" i="2"/>
  <c r="F142" i="2"/>
  <c r="S141" i="2"/>
  <c r="R141" i="2"/>
  <c r="Q141" i="2"/>
  <c r="P141" i="2"/>
  <c r="F141" i="2"/>
  <c r="R140" i="2"/>
  <c r="Q140" i="2"/>
  <c r="P140" i="2"/>
  <c r="S140" i="2" s="1"/>
  <c r="F140" i="2"/>
  <c r="D140" i="2"/>
  <c r="P139" i="2"/>
  <c r="F139" i="2"/>
  <c r="S138" i="2"/>
  <c r="P138" i="2"/>
  <c r="R138" i="2" s="1"/>
  <c r="F138" i="2"/>
  <c r="P137" i="2"/>
  <c r="F137" i="2"/>
  <c r="R136" i="2"/>
  <c r="Q136" i="2"/>
  <c r="P136" i="2"/>
  <c r="S136" i="2" s="1"/>
  <c r="F136" i="2"/>
  <c r="P135" i="2"/>
  <c r="O135" i="2"/>
  <c r="N135" i="2"/>
  <c r="M135" i="2"/>
  <c r="L135" i="2"/>
  <c r="E135" i="2"/>
  <c r="C135" i="2"/>
  <c r="H135" i="2" s="1"/>
  <c r="P134" i="2"/>
  <c r="S134" i="2" s="1"/>
  <c r="F134" i="2"/>
  <c r="P133" i="2"/>
  <c r="S133" i="2" s="1"/>
  <c r="D133" i="2"/>
  <c r="F133" i="2" s="1"/>
  <c r="S132" i="2"/>
  <c r="R132" i="2"/>
  <c r="P132" i="2"/>
  <c r="Q132" i="2" s="1"/>
  <c r="D132" i="2"/>
  <c r="F132" i="2" s="1"/>
  <c r="Q131" i="2"/>
  <c r="P131" i="2"/>
  <c r="S131" i="2" s="1"/>
  <c r="F131" i="2"/>
  <c r="D131" i="2"/>
  <c r="S130" i="2"/>
  <c r="R130" i="2"/>
  <c r="P130" i="2"/>
  <c r="Q130" i="2" s="1"/>
  <c r="D130" i="2"/>
  <c r="D135" i="2" s="1"/>
  <c r="S129" i="2"/>
  <c r="R129" i="2"/>
  <c r="P129" i="2"/>
  <c r="Q129" i="2" s="1"/>
  <c r="F129" i="2"/>
  <c r="O127" i="2"/>
  <c r="N127" i="2"/>
  <c r="M127" i="2"/>
  <c r="L127" i="2"/>
  <c r="E127" i="2"/>
  <c r="D127" i="2"/>
  <c r="C127" i="2"/>
  <c r="S126" i="2"/>
  <c r="R126" i="2"/>
  <c r="Q126" i="2"/>
  <c r="P126" i="2"/>
  <c r="Q125" i="2"/>
  <c r="P125" i="2"/>
  <c r="F125" i="2"/>
  <c r="D125" i="2"/>
  <c r="Q124" i="2"/>
  <c r="P124" i="2"/>
  <c r="S124" i="2" s="1"/>
  <c r="F124" i="2"/>
  <c r="D124" i="2"/>
  <c r="S123" i="2"/>
  <c r="R123" i="2"/>
  <c r="P123" i="2"/>
  <c r="Q123" i="2" s="1"/>
  <c r="F123" i="2"/>
  <c r="C123" i="2"/>
  <c r="P122" i="2"/>
  <c r="F122" i="2"/>
  <c r="O120" i="2"/>
  <c r="N120" i="2"/>
  <c r="M120" i="2"/>
  <c r="L120" i="2"/>
  <c r="E120" i="2"/>
  <c r="C120" i="2"/>
  <c r="P119" i="2"/>
  <c r="F119" i="2"/>
  <c r="P118" i="2"/>
  <c r="D118" i="2"/>
  <c r="F118" i="2" s="1"/>
  <c r="Q117" i="2"/>
  <c r="P117" i="2"/>
  <c r="S117" i="2" s="1"/>
  <c r="F117" i="2"/>
  <c r="S116" i="2"/>
  <c r="P116" i="2"/>
  <c r="Q116" i="2" s="1"/>
  <c r="R116" i="2" s="1"/>
  <c r="D116" i="2"/>
  <c r="F116" i="2" s="1"/>
  <c r="P115" i="2"/>
  <c r="S115" i="2" s="1"/>
  <c r="F115" i="2"/>
  <c r="P114" i="2"/>
  <c r="S114" i="2" s="1"/>
  <c r="F114" i="2"/>
  <c r="Q113" i="2"/>
  <c r="P113" i="2"/>
  <c r="R113" i="2" s="1"/>
  <c r="F113" i="2"/>
  <c r="Q112" i="2"/>
  <c r="P112" i="2"/>
  <c r="D112" i="2"/>
  <c r="F112" i="2" s="1"/>
  <c r="P111" i="2"/>
  <c r="Q111" i="2" s="1"/>
  <c r="F111" i="2"/>
  <c r="N109" i="2"/>
  <c r="M109" i="2"/>
  <c r="L109" i="2"/>
  <c r="E109" i="2"/>
  <c r="C109" i="2"/>
  <c r="H109" i="2" s="1"/>
  <c r="P108" i="2"/>
  <c r="Q108" i="2" s="1"/>
  <c r="F108" i="2"/>
  <c r="S107" i="2"/>
  <c r="R107" i="2"/>
  <c r="Q107" i="2"/>
  <c r="P107" i="2"/>
  <c r="O107" i="2"/>
  <c r="L107" i="2"/>
  <c r="J107" i="2"/>
  <c r="F107" i="2"/>
  <c r="D107" i="2"/>
  <c r="L106" i="2"/>
  <c r="J106" i="2"/>
  <c r="D106" i="2"/>
  <c r="O106" i="2" s="1"/>
  <c r="P106" i="2" s="1"/>
  <c r="S105" i="2"/>
  <c r="R105" i="2"/>
  <c r="Q105" i="2"/>
  <c r="P105" i="2"/>
  <c r="O105" i="2"/>
  <c r="L105" i="2"/>
  <c r="J105" i="2"/>
  <c r="F105" i="2"/>
  <c r="D105" i="2"/>
  <c r="L104" i="2"/>
  <c r="J104" i="2"/>
  <c r="D104" i="2"/>
  <c r="F104" i="2" s="1"/>
  <c r="S103" i="2"/>
  <c r="R103" i="2"/>
  <c r="Q103" i="2"/>
  <c r="P103" i="2"/>
  <c r="O103" i="2"/>
  <c r="L103" i="2"/>
  <c r="J103" i="2"/>
  <c r="F103" i="2"/>
  <c r="D103" i="2"/>
  <c r="L102" i="2"/>
  <c r="J102" i="2"/>
  <c r="D102" i="2"/>
  <c r="F102" i="2" s="1"/>
  <c r="S101" i="2"/>
  <c r="R101" i="2"/>
  <c r="Q101" i="2"/>
  <c r="P101" i="2"/>
  <c r="O101" i="2"/>
  <c r="L101" i="2"/>
  <c r="J101" i="2"/>
  <c r="F101" i="2"/>
  <c r="D101" i="2"/>
  <c r="L100" i="2"/>
  <c r="J100" i="2"/>
  <c r="D100" i="2"/>
  <c r="F100" i="2" s="1"/>
  <c r="S99" i="2"/>
  <c r="R99" i="2"/>
  <c r="Q99" i="2"/>
  <c r="P99" i="2"/>
  <c r="O99" i="2"/>
  <c r="L99" i="2"/>
  <c r="J99" i="2"/>
  <c r="F99" i="2"/>
  <c r="D99" i="2"/>
  <c r="R98" i="2"/>
  <c r="Q98" i="2"/>
  <c r="P98" i="2"/>
  <c r="S98" i="2" s="1"/>
  <c r="F98" i="2"/>
  <c r="D98" i="2"/>
  <c r="P97" i="2"/>
  <c r="D97" i="2"/>
  <c r="F97" i="2" s="1"/>
  <c r="S96" i="2"/>
  <c r="R96" i="2"/>
  <c r="Q96" i="2"/>
  <c r="P96" i="2"/>
  <c r="F96" i="2"/>
  <c r="D96" i="2"/>
  <c r="R95" i="2"/>
  <c r="Q95" i="2"/>
  <c r="P95" i="2"/>
  <c r="S95" i="2" s="1"/>
  <c r="F95" i="2"/>
  <c r="D95" i="2"/>
  <c r="P94" i="2"/>
  <c r="D94" i="2"/>
  <c r="S93" i="2"/>
  <c r="R93" i="2"/>
  <c r="Q93" i="2"/>
  <c r="P93" i="2"/>
  <c r="F93" i="2"/>
  <c r="P92" i="2"/>
  <c r="S92" i="2" s="1"/>
  <c r="F92" i="2"/>
  <c r="P91" i="2"/>
  <c r="F91" i="2"/>
  <c r="P89" i="2"/>
  <c r="O89" i="2"/>
  <c r="N89" i="2"/>
  <c r="M89" i="2"/>
  <c r="L89" i="2"/>
  <c r="E89" i="2"/>
  <c r="C89" i="2"/>
  <c r="H89" i="2" s="1"/>
  <c r="S88" i="2"/>
  <c r="R88" i="2"/>
  <c r="Q88" i="2"/>
  <c r="P88" i="2"/>
  <c r="F88" i="2"/>
  <c r="Q87" i="2"/>
  <c r="P87" i="2"/>
  <c r="F87" i="2"/>
  <c r="D87" i="2"/>
  <c r="P86" i="2"/>
  <c r="R86" i="2" s="1"/>
  <c r="F86" i="2"/>
  <c r="D86" i="2"/>
  <c r="D89" i="2" s="1"/>
  <c r="Q85" i="2"/>
  <c r="P85" i="2"/>
  <c r="S85" i="2" s="1"/>
  <c r="F85" i="2"/>
  <c r="F89" i="2" s="1"/>
  <c r="N83" i="2"/>
  <c r="M83" i="2"/>
  <c r="H83" i="2"/>
  <c r="E83" i="2"/>
  <c r="C83" i="2"/>
  <c r="S82" i="2"/>
  <c r="Q82" i="2"/>
  <c r="P82" i="2"/>
  <c r="R82" i="2" s="1"/>
  <c r="F82" i="2"/>
  <c r="L81" i="2"/>
  <c r="L83" i="2" s="1"/>
  <c r="J81" i="2"/>
  <c r="D81" i="2"/>
  <c r="R80" i="2"/>
  <c r="Q80" i="2"/>
  <c r="P80" i="2"/>
  <c r="S80" i="2" s="1"/>
  <c r="F80" i="2"/>
  <c r="O78" i="2"/>
  <c r="N78" i="2"/>
  <c r="M78" i="2"/>
  <c r="L78" i="2"/>
  <c r="E78" i="2"/>
  <c r="C78" i="2"/>
  <c r="H78" i="2" s="1"/>
  <c r="Q77" i="2"/>
  <c r="P77" i="2"/>
  <c r="F77" i="2"/>
  <c r="P76" i="2"/>
  <c r="S76" i="2" s="1"/>
  <c r="D76" i="2"/>
  <c r="F76" i="2" s="1"/>
  <c r="R75" i="2"/>
  <c r="Q75" i="2"/>
  <c r="P75" i="2"/>
  <c r="S75" i="2" s="1"/>
  <c r="F75" i="2"/>
  <c r="P74" i="2"/>
  <c r="R74" i="2" s="1"/>
  <c r="D74" i="2"/>
  <c r="F74" i="2" s="1"/>
  <c r="S73" i="2"/>
  <c r="R73" i="2"/>
  <c r="Q73" i="2"/>
  <c r="P73" i="2"/>
  <c r="S72" i="2"/>
  <c r="Q72" i="2"/>
  <c r="P72" i="2"/>
  <c r="R72" i="2" s="1"/>
  <c r="F72" i="2"/>
  <c r="D72" i="2"/>
  <c r="P71" i="2"/>
  <c r="F71" i="2"/>
  <c r="P70" i="2"/>
  <c r="F70" i="2"/>
  <c r="O68" i="2"/>
  <c r="N68" i="2"/>
  <c r="M68" i="2"/>
  <c r="L68" i="2"/>
  <c r="E68" i="2"/>
  <c r="C68" i="2"/>
  <c r="H68" i="2" s="1"/>
  <c r="P67" i="2"/>
  <c r="R67" i="2" s="1"/>
  <c r="F67" i="2"/>
  <c r="S66" i="2"/>
  <c r="R66" i="2"/>
  <c r="P66" i="2"/>
  <c r="Q66" i="2" s="1"/>
  <c r="D66" i="2"/>
  <c r="F66" i="2" s="1"/>
  <c r="R65" i="2"/>
  <c r="P65" i="2"/>
  <c r="Q65" i="2" s="1"/>
  <c r="F65" i="2"/>
  <c r="N63" i="2"/>
  <c r="M63" i="2"/>
  <c r="L63" i="2"/>
  <c r="H63" i="2"/>
  <c r="E63" i="2"/>
  <c r="C63" i="2"/>
  <c r="P62" i="2"/>
  <c r="Q62" i="2" s="1"/>
  <c r="F62" i="2"/>
  <c r="L61" i="2"/>
  <c r="J61" i="2"/>
  <c r="D61" i="2"/>
  <c r="S60" i="2"/>
  <c r="R60" i="2"/>
  <c r="P60" i="2"/>
  <c r="Q60" i="2" s="1"/>
  <c r="F60" i="2"/>
  <c r="S59" i="2"/>
  <c r="Q59" i="2"/>
  <c r="P59" i="2"/>
  <c r="R59" i="2" s="1"/>
  <c r="D59" i="2"/>
  <c r="D63" i="2" s="1"/>
  <c r="S58" i="2"/>
  <c r="R58" i="2"/>
  <c r="Q58" i="2"/>
  <c r="P58" i="2"/>
  <c r="F58" i="2"/>
  <c r="P56" i="2"/>
  <c r="O56" i="2"/>
  <c r="N56" i="2"/>
  <c r="M56" i="2"/>
  <c r="L56" i="2"/>
  <c r="E56" i="2"/>
  <c r="C56" i="2"/>
  <c r="H56" i="2" s="1"/>
  <c r="S55" i="2"/>
  <c r="R55" i="2"/>
  <c r="P55" i="2"/>
  <c r="Q55" i="2" s="1"/>
  <c r="F55" i="2"/>
  <c r="P54" i="2"/>
  <c r="D54" i="2"/>
  <c r="D56" i="2" s="1"/>
  <c r="P53" i="2"/>
  <c r="Q53" i="2" s="1"/>
  <c r="D53" i="2"/>
  <c r="F53" i="2" s="1"/>
  <c r="P52" i="2"/>
  <c r="S52" i="2" s="1"/>
  <c r="F52" i="2"/>
  <c r="P51" i="2"/>
  <c r="S51" i="2" s="1"/>
  <c r="F51" i="2"/>
  <c r="R50" i="2"/>
  <c r="P50" i="2"/>
  <c r="S50" i="2" s="1"/>
  <c r="D50" i="2"/>
  <c r="F50" i="2" s="1"/>
  <c r="Q49" i="2"/>
  <c r="P49" i="2"/>
  <c r="R49" i="2" s="1"/>
  <c r="F49" i="2"/>
  <c r="R48" i="2"/>
  <c r="Q48" i="2"/>
  <c r="P48" i="2"/>
  <c r="S48" i="2" s="1"/>
  <c r="F48" i="2"/>
  <c r="P47" i="2"/>
  <c r="S47" i="2" s="1"/>
  <c r="F47" i="2"/>
  <c r="O45" i="2"/>
  <c r="N45" i="2"/>
  <c r="M45" i="2"/>
  <c r="L45" i="2"/>
  <c r="H45" i="2"/>
  <c r="E45" i="2"/>
  <c r="D45" i="2"/>
  <c r="C45" i="2"/>
  <c r="P44" i="2"/>
  <c r="Q44" i="2" s="1"/>
  <c r="F44" i="2"/>
  <c r="Q43" i="2"/>
  <c r="P43" i="2"/>
  <c r="R43" i="2" s="1"/>
  <c r="D43" i="2"/>
  <c r="F43" i="2" s="1"/>
  <c r="P42" i="2"/>
  <c r="P45" i="2" s="1"/>
  <c r="F42" i="2"/>
  <c r="O40" i="2"/>
  <c r="N40" i="2"/>
  <c r="M40" i="2"/>
  <c r="L40" i="2"/>
  <c r="F40" i="2"/>
  <c r="E40" i="2"/>
  <c r="D40" i="2"/>
  <c r="C40" i="2"/>
  <c r="H40" i="2" s="1"/>
  <c r="Q39" i="2"/>
  <c r="P39" i="2"/>
  <c r="S39" i="2" s="1"/>
  <c r="F39" i="2"/>
  <c r="R38" i="2"/>
  <c r="Q38" i="2"/>
  <c r="P38" i="2"/>
  <c r="S38" i="2" s="1"/>
  <c r="F38" i="2"/>
  <c r="D38" i="2"/>
  <c r="P37" i="2"/>
  <c r="Q37" i="2" s="1"/>
  <c r="F37" i="2"/>
  <c r="S36" i="2"/>
  <c r="R36" i="2"/>
  <c r="P36" i="2"/>
  <c r="Q36" i="2" s="1"/>
  <c r="D36" i="2"/>
  <c r="F36" i="2" s="1"/>
  <c r="P35" i="2"/>
  <c r="S35" i="2" s="1"/>
  <c r="F35" i="2"/>
  <c r="D35" i="2"/>
  <c r="P34" i="2"/>
  <c r="Q34" i="2" s="1"/>
  <c r="F34" i="2"/>
  <c r="O32" i="2"/>
  <c r="N32" i="2"/>
  <c r="M32" i="2"/>
  <c r="L32" i="2"/>
  <c r="H32" i="2"/>
  <c r="E32" i="2"/>
  <c r="C32" i="2"/>
  <c r="P31" i="2"/>
  <c r="Q31" i="2" s="1"/>
  <c r="F31" i="2"/>
  <c r="S30" i="2"/>
  <c r="R30" i="2"/>
  <c r="Q30" i="2"/>
  <c r="P30" i="2"/>
  <c r="D30" i="2"/>
  <c r="F30" i="2" s="1"/>
  <c r="S29" i="2"/>
  <c r="Q29" i="2"/>
  <c r="P29" i="2"/>
  <c r="R29" i="2" s="1"/>
  <c r="F29" i="2"/>
  <c r="D29" i="2"/>
  <c r="P28" i="2"/>
  <c r="F28" i="2"/>
  <c r="O8" i="2"/>
  <c r="C8" i="2"/>
  <c r="D7" i="2"/>
  <c r="C7" i="2"/>
  <c r="P6" i="2"/>
  <c r="D6" i="2"/>
  <c r="O5" i="2"/>
  <c r="C4" i="2"/>
  <c r="O4" i="2" s="1"/>
  <c r="S94" i="2" l="1"/>
  <c r="Q94" i="2"/>
  <c r="R94" i="2"/>
  <c r="Q135" i="2"/>
  <c r="R139" i="2"/>
  <c r="S139" i="2"/>
  <c r="Q139" i="2"/>
  <c r="F188" i="2"/>
  <c r="S213" i="2"/>
  <c r="R213" i="2"/>
  <c r="R214" i="2" s="1"/>
  <c r="Q213" i="2"/>
  <c r="P214" i="2"/>
  <c r="S234" i="2"/>
  <c r="R234" i="2"/>
  <c r="R245" i="2"/>
  <c r="S613" i="2"/>
  <c r="R613" i="2"/>
  <c r="P614" i="2"/>
  <c r="Q613" i="2"/>
  <c r="S202" i="2"/>
  <c r="Q202" i="2"/>
  <c r="R202" i="2"/>
  <c r="Q234" i="2"/>
  <c r="R301" i="2"/>
  <c r="P480" i="2"/>
  <c r="O482" i="2"/>
  <c r="R357" i="2"/>
  <c r="P174" i="2"/>
  <c r="S172" i="2"/>
  <c r="S174" i="2" s="1"/>
  <c r="Q172" i="2"/>
  <c r="Q174" i="2" s="1"/>
  <c r="R172" i="2"/>
  <c r="R188" i="2"/>
  <c r="Q188" i="2"/>
  <c r="S188" i="2"/>
  <c r="S135" i="2"/>
  <c r="R148" i="2"/>
  <c r="Q148" i="2"/>
  <c r="S148" i="2"/>
  <c r="P251" i="2"/>
  <c r="O253" i="2"/>
  <c r="S264" i="2"/>
  <c r="S288" i="2"/>
  <c r="R412" i="2"/>
  <c r="F45" i="2"/>
  <c r="Q114" i="2"/>
  <c r="R114" i="2" s="1"/>
  <c r="S125" i="2"/>
  <c r="R125" i="2"/>
  <c r="F257" i="2"/>
  <c r="F259" i="2" s="1"/>
  <c r="S332" i="2"/>
  <c r="R332" i="2"/>
  <c r="R334" i="2" s="1"/>
  <c r="P334" i="2"/>
  <c r="Q332" i="2"/>
  <c r="F223" i="2"/>
  <c r="D199" i="2"/>
  <c r="I196" i="2"/>
  <c r="D198" i="2"/>
  <c r="S461" i="2"/>
  <c r="R54" i="2"/>
  <c r="Q54" i="2"/>
  <c r="S54" i="2"/>
  <c r="S87" i="2"/>
  <c r="R87" i="2"/>
  <c r="S471" i="2"/>
  <c r="Q471" i="2"/>
  <c r="R471" i="2"/>
  <c r="S214" i="2"/>
  <c r="S602" i="2"/>
  <c r="R602" i="2"/>
  <c r="Q602" i="2"/>
  <c r="Q529" i="2"/>
  <c r="F332" i="2"/>
  <c r="Q245" i="2"/>
  <c r="F81" i="2"/>
  <c r="D83" i="2"/>
  <c r="O81" i="2"/>
  <c r="F54" i="2"/>
  <c r="F56" i="2" s="1"/>
  <c r="F407" i="2"/>
  <c r="P78" i="2"/>
  <c r="R70" i="2"/>
  <c r="R78" i="2" s="1"/>
  <c r="Q70" i="2"/>
  <c r="S70" i="2"/>
  <c r="R106" i="2"/>
  <c r="S106" i="2"/>
  <c r="Q106" i="2"/>
  <c r="F127" i="2"/>
  <c r="D200" i="2"/>
  <c r="P339" i="2"/>
  <c r="R147" i="2"/>
  <c r="Q147" i="2"/>
  <c r="R257" i="2"/>
  <c r="Q257" i="2"/>
  <c r="S257" i="2"/>
  <c r="S259" i="2" s="1"/>
  <c r="P145" i="2"/>
  <c r="R218" i="2"/>
  <c r="D233" i="2"/>
  <c r="F231" i="2"/>
  <c r="D235" i="2"/>
  <c r="R68" i="2"/>
  <c r="S77" i="2"/>
  <c r="R77" i="2"/>
  <c r="S151" i="2"/>
  <c r="R151" i="2"/>
  <c r="Q218" i="2"/>
  <c r="S320" i="2"/>
  <c r="Q336" i="2"/>
  <c r="R184" i="2"/>
  <c r="Q68" i="2"/>
  <c r="F120" i="2"/>
  <c r="L205" i="2"/>
  <c r="R336" i="2"/>
  <c r="R339" i="2" s="1"/>
  <c r="R201" i="2"/>
  <c r="Q201" i="2"/>
  <c r="S201" i="2"/>
  <c r="R320" i="2"/>
  <c r="R325" i="2"/>
  <c r="S325" i="2"/>
  <c r="Q325" i="2"/>
  <c r="R422" i="2"/>
  <c r="Q509" i="2"/>
  <c r="S56" i="2"/>
  <c r="F109" i="2"/>
  <c r="F410" i="2"/>
  <c r="F412" i="2" s="1"/>
  <c r="D412" i="2"/>
  <c r="F426" i="2"/>
  <c r="O426" i="2"/>
  <c r="P426" i="2" s="1"/>
  <c r="S43" i="2"/>
  <c r="C205" i="2"/>
  <c r="H205" i="2" s="1"/>
  <c r="F68" i="2"/>
  <c r="Q40" i="2"/>
  <c r="D109" i="2"/>
  <c r="S192" i="2"/>
  <c r="Q191" i="2"/>
  <c r="Q227" i="2"/>
  <c r="R118" i="2"/>
  <c r="Q118" i="2"/>
  <c r="S118" i="2"/>
  <c r="Q344" i="2"/>
  <c r="S357" i="2"/>
  <c r="S155" i="2"/>
  <c r="R155" i="2"/>
  <c r="Q155" i="2"/>
  <c r="P223" i="2"/>
  <c r="R220" i="2"/>
  <c r="R223" i="2" s="1"/>
  <c r="S220" i="2"/>
  <c r="Q300" i="2"/>
  <c r="S300" i="2"/>
  <c r="S301" i="2" s="1"/>
  <c r="R300" i="2"/>
  <c r="P301" i="2"/>
  <c r="R97" i="2"/>
  <c r="Q97" i="2"/>
  <c r="S97" i="2"/>
  <c r="F174" i="2"/>
  <c r="Q120" i="2"/>
  <c r="Q50" i="2"/>
  <c r="O61" i="2"/>
  <c r="F61" i="2"/>
  <c r="F94" i="2"/>
  <c r="R191" i="2"/>
  <c r="F214" i="2"/>
  <c r="R227" i="2"/>
  <c r="R228" i="2" s="1"/>
  <c r="S293" i="2"/>
  <c r="S295" i="2" s="1"/>
  <c r="R293" i="2"/>
  <c r="F381" i="2"/>
  <c r="S122" i="2"/>
  <c r="S127" i="2" s="1"/>
  <c r="R122" i="2"/>
  <c r="Q47" i="2"/>
  <c r="S573" i="2"/>
  <c r="R573" i="2"/>
  <c r="Q573" i="2"/>
  <c r="R47" i="2"/>
  <c r="Q143" i="2"/>
  <c r="F593" i="2"/>
  <c r="F545" i="2"/>
  <c r="D547" i="2"/>
  <c r="Q122" i="2"/>
  <c r="Q127" i="2" s="1"/>
  <c r="Q217" i="2"/>
  <c r="P248" i="2"/>
  <c r="P381" i="2"/>
  <c r="Q406" i="2"/>
  <c r="Q419" i="2"/>
  <c r="O545" i="2"/>
  <c r="P545" i="2" s="1"/>
  <c r="Q28" i="2"/>
  <c r="R31" i="2"/>
  <c r="R34" i="2"/>
  <c r="R40" i="2" s="1"/>
  <c r="R44" i="2"/>
  <c r="Q51" i="2"/>
  <c r="S67" i="2"/>
  <c r="Q91" i="2"/>
  <c r="R108" i="2"/>
  <c r="S111" i="2"/>
  <c r="Q115" i="2"/>
  <c r="R115" i="2" s="1"/>
  <c r="F130" i="2"/>
  <c r="F135" i="2" s="1"/>
  <c r="Q133" i="2"/>
  <c r="D149" i="2"/>
  <c r="R143" i="2"/>
  <c r="R166" i="2"/>
  <c r="Q179" i="2"/>
  <c r="Q184" i="2" s="1"/>
  <c r="Q182" i="2"/>
  <c r="S185" i="2"/>
  <c r="R185" i="2"/>
  <c r="R217" i="2"/>
  <c r="F221" i="2"/>
  <c r="Q242" i="2"/>
  <c r="F285" i="2"/>
  <c r="F288" i="2" s="1"/>
  <c r="S309" i="2"/>
  <c r="S311" i="2" s="1"/>
  <c r="Q333" i="2"/>
  <c r="S353" i="2"/>
  <c r="P375" i="2"/>
  <c r="Q373" i="2"/>
  <c r="Q381" i="2"/>
  <c r="Q398" i="2"/>
  <c r="R406" i="2"/>
  <c r="R419" i="2"/>
  <c r="Q459" i="2"/>
  <c r="P497" i="2"/>
  <c r="Q495" i="2"/>
  <c r="Q502" i="2"/>
  <c r="S517" i="2"/>
  <c r="S523" i="2" s="1"/>
  <c r="R517" i="2"/>
  <c r="Q517" i="2"/>
  <c r="S593" i="2"/>
  <c r="R593" i="2"/>
  <c r="Q629" i="2"/>
  <c r="F106" i="2"/>
  <c r="Q309" i="2"/>
  <c r="Q311" i="2" s="1"/>
  <c r="R309" i="2"/>
  <c r="R311" i="2" s="1"/>
  <c r="F337" i="2"/>
  <c r="F339" i="2" s="1"/>
  <c r="R353" i="2"/>
  <c r="R28" i="2"/>
  <c r="S31" i="2"/>
  <c r="S34" i="2"/>
  <c r="P40" i="2"/>
  <c r="S44" i="2"/>
  <c r="R51" i="2"/>
  <c r="S71" i="2"/>
  <c r="Q71" i="2"/>
  <c r="R91" i="2"/>
  <c r="O100" i="2"/>
  <c r="O102" i="2"/>
  <c r="P102" i="2" s="1"/>
  <c r="O104" i="2"/>
  <c r="P104" i="2" s="1"/>
  <c r="S108" i="2"/>
  <c r="S119" i="2"/>
  <c r="R119" i="2"/>
  <c r="Q119" i="2"/>
  <c r="R133" i="2"/>
  <c r="S166" i="2"/>
  <c r="S169" i="2" s="1"/>
  <c r="R179" i="2"/>
  <c r="R182" i="2"/>
  <c r="G214" i="2"/>
  <c r="H214" i="2" s="1"/>
  <c r="H636" i="2" s="1"/>
  <c r="R242" i="2"/>
  <c r="R333" i="2"/>
  <c r="R373" i="2"/>
  <c r="R381" i="2"/>
  <c r="R398" i="2"/>
  <c r="R459" i="2"/>
  <c r="Q497" i="2"/>
  <c r="R495" i="2"/>
  <c r="P532" i="2"/>
  <c r="O534" i="2"/>
  <c r="P588" i="2"/>
  <c r="O590" i="2"/>
  <c r="Q593" i="2"/>
  <c r="H210" i="2"/>
  <c r="G210" i="2"/>
  <c r="Q67" i="2"/>
  <c r="F179" i="2"/>
  <c r="F184" i="2" s="1"/>
  <c r="S74" i="2"/>
  <c r="Q74" i="2"/>
  <c r="Q166" i="2"/>
  <c r="Q169" i="2" s="1"/>
  <c r="F295" i="2"/>
  <c r="F375" i="2"/>
  <c r="C9" i="2"/>
  <c r="S28" i="2"/>
  <c r="D68" i="2"/>
  <c r="R71" i="2"/>
  <c r="S91" i="2"/>
  <c r="O146" i="2"/>
  <c r="P146" i="2" s="1"/>
  <c r="P228" i="2"/>
  <c r="Q225" i="2"/>
  <c r="Q228" i="2" s="1"/>
  <c r="S242" i="2"/>
  <c r="D316" i="2"/>
  <c r="F314" i="2"/>
  <c r="F316" i="2" s="1"/>
  <c r="S381" i="2"/>
  <c r="Q394" i="2"/>
  <c r="D461" i="2"/>
  <c r="R492" i="2"/>
  <c r="R497" i="2" s="1"/>
  <c r="S502" i="2"/>
  <c r="P598" i="2"/>
  <c r="S632" i="2"/>
  <c r="R632" i="2"/>
  <c r="P634" i="2"/>
  <c r="P423" i="2"/>
  <c r="O428" i="2"/>
  <c r="R37" i="2"/>
  <c r="F423" i="2"/>
  <c r="F428" i="2" s="1"/>
  <c r="R536" i="2"/>
  <c r="R541" i="2" s="1"/>
  <c r="Q536" i="2"/>
  <c r="Q541" i="2" s="1"/>
  <c r="P541" i="2"/>
  <c r="S37" i="2"/>
  <c r="R111" i="2"/>
  <c r="D32" i="2"/>
  <c r="R112" i="2"/>
  <c r="D120" i="2"/>
  <c r="O424" i="2"/>
  <c r="P424" i="2" s="1"/>
  <c r="F424" i="2"/>
  <c r="P446" i="2"/>
  <c r="S441" i="2"/>
  <c r="R441" i="2"/>
  <c r="Q441" i="2"/>
  <c r="S594" i="2"/>
  <c r="R594" i="2"/>
  <c r="Q594" i="2"/>
  <c r="S194" i="2"/>
  <c r="R194" i="2"/>
  <c r="Q194" i="2"/>
  <c r="S243" i="2"/>
  <c r="R243" i="2"/>
  <c r="Q243" i="2"/>
  <c r="F32" i="2"/>
  <c r="Q35" i="2"/>
  <c r="Q52" i="2"/>
  <c r="F59" i="2"/>
  <c r="F63" i="2" s="1"/>
  <c r="R85" i="2"/>
  <c r="R89" i="2" s="1"/>
  <c r="Q92" i="2"/>
  <c r="S112" i="2"/>
  <c r="Q134" i="2"/>
  <c r="F147" i="2"/>
  <c r="F149" i="2" s="1"/>
  <c r="Q153" i="2"/>
  <c r="Q167" i="2"/>
  <c r="R173" i="2"/>
  <c r="R186" i="2"/>
  <c r="P192" i="2"/>
  <c r="F201" i="2"/>
  <c r="R203" i="2"/>
  <c r="Q203" i="2"/>
  <c r="R222" i="2"/>
  <c r="Q273" i="2"/>
  <c r="Q276" i="2" s="1"/>
  <c r="R346" i="2"/>
  <c r="R370" i="2"/>
  <c r="S420" i="2"/>
  <c r="S432" i="2"/>
  <c r="R554" i="2"/>
  <c r="Q554" i="2"/>
  <c r="S560" i="2"/>
  <c r="S565" i="2" s="1"/>
  <c r="P565" i="2"/>
  <c r="R560" i="2"/>
  <c r="R565" i="2" s="1"/>
  <c r="S633" i="2"/>
  <c r="S634" i="2" s="1"/>
  <c r="R633" i="2"/>
  <c r="Q633" i="2"/>
  <c r="Q634" i="2" s="1"/>
  <c r="S183" i="2"/>
  <c r="S184" i="2" s="1"/>
  <c r="R183" i="2"/>
  <c r="Q183" i="2"/>
  <c r="S378" i="2"/>
  <c r="R378" i="2"/>
  <c r="R92" i="2"/>
  <c r="R134" i="2"/>
  <c r="R153" i="2"/>
  <c r="R167" i="2"/>
  <c r="S222" i="2"/>
  <c r="S273" i="2"/>
  <c r="S276" i="2" s="1"/>
  <c r="P306" i="2"/>
  <c r="Q303" i="2"/>
  <c r="Q306" i="2" s="1"/>
  <c r="Q322" i="2"/>
  <c r="F326" i="2"/>
  <c r="O326" i="2"/>
  <c r="P326" i="2" s="1"/>
  <c r="S346" i="2"/>
  <c r="S360" i="2"/>
  <c r="S367" i="2" s="1"/>
  <c r="R360" i="2"/>
  <c r="R367" i="2" s="1"/>
  <c r="Q360" i="2"/>
  <c r="S395" i="2"/>
  <c r="R395" i="2"/>
  <c r="S416" i="2"/>
  <c r="R416" i="2"/>
  <c r="D523" i="2"/>
  <c r="F547" i="2"/>
  <c r="S554" i="2"/>
  <c r="Q560" i="2"/>
  <c r="S579" i="2"/>
  <c r="S580" i="2" s="1"/>
  <c r="R579" i="2"/>
  <c r="Q579" i="2"/>
  <c r="P580" i="2"/>
  <c r="O321" i="2"/>
  <c r="F321" i="2"/>
  <c r="E636" i="2"/>
  <c r="S365" i="2"/>
  <c r="R365" i="2"/>
  <c r="Q365" i="2"/>
  <c r="R454" i="2"/>
  <c r="Q454" i="2"/>
  <c r="R35" i="2"/>
  <c r="R52" i="2"/>
  <c r="Q42" i="2"/>
  <c r="Q45" i="2" s="1"/>
  <c r="R62" i="2"/>
  <c r="S65" i="2"/>
  <c r="S137" i="2"/>
  <c r="R137" i="2"/>
  <c r="Q137" i="2"/>
  <c r="Q161" i="2"/>
  <c r="F192" i="2"/>
  <c r="D237" i="2"/>
  <c r="Q244" i="2"/>
  <c r="Q262" i="2"/>
  <c r="Q264" i="2" s="1"/>
  <c r="R266" i="2"/>
  <c r="R269" i="2" s="1"/>
  <c r="R303" i="2"/>
  <c r="R306" i="2" s="1"/>
  <c r="R322" i="2"/>
  <c r="F350" i="2"/>
  <c r="Q390" i="2"/>
  <c r="Q395" i="2"/>
  <c r="Q416" i="2"/>
  <c r="S528" i="2"/>
  <c r="R528" i="2"/>
  <c r="Q299" i="2"/>
  <c r="S303" i="2"/>
  <c r="S306" i="2" s="1"/>
  <c r="Q343" i="2"/>
  <c r="S361" i="2"/>
  <c r="R361" i="2"/>
  <c r="S390" i="2"/>
  <c r="Q450" i="2"/>
  <c r="Q528" i="2"/>
  <c r="R533" i="2"/>
  <c r="Q533" i="2"/>
  <c r="S533" i="2"/>
  <c r="O547" i="2"/>
  <c r="S555" i="2"/>
  <c r="R555" i="2"/>
  <c r="Q555" i="2"/>
  <c r="F612" i="2"/>
  <c r="F614" i="2" s="1"/>
  <c r="Q618" i="2"/>
  <c r="R124" i="2"/>
  <c r="P127" i="2"/>
  <c r="R131" i="2"/>
  <c r="R135" i="2" s="1"/>
  <c r="Q187" i="2"/>
  <c r="Q192" i="2" s="1"/>
  <c r="R190" i="2"/>
  <c r="R196" i="2"/>
  <c r="Q204" i="2"/>
  <c r="S237" i="2"/>
  <c r="R237" i="2"/>
  <c r="Q237" i="2"/>
  <c r="Q256" i="2"/>
  <c r="S262" i="2"/>
  <c r="R292" i="2"/>
  <c r="R295" i="2" s="1"/>
  <c r="P295" i="2"/>
  <c r="R299" i="2"/>
  <c r="F320" i="2"/>
  <c r="R343" i="2"/>
  <c r="Q361" i="2"/>
  <c r="R450" i="2"/>
  <c r="S477" i="2"/>
  <c r="F550" i="2"/>
  <c r="F558" i="2" s="1"/>
  <c r="R618" i="2"/>
  <c r="S280" i="2"/>
  <c r="R280" i="2"/>
  <c r="S540" i="2"/>
  <c r="S541" i="2" s="1"/>
  <c r="R540" i="2"/>
  <c r="Q540" i="2"/>
  <c r="F334" i="2"/>
  <c r="S527" i="2"/>
  <c r="S529" i="2" s="1"/>
  <c r="R527" i="2"/>
  <c r="P529" i="2"/>
  <c r="M636" i="2"/>
  <c r="R42" i="2"/>
  <c r="S62" i="2"/>
  <c r="S42" i="2"/>
  <c r="S45" i="2" s="1"/>
  <c r="D73" i="2"/>
  <c r="F73" i="2" s="1"/>
  <c r="F78" i="2" s="1"/>
  <c r="Q76" i="2"/>
  <c r="S49" i="2"/>
  <c r="R53" i="2"/>
  <c r="R76" i="2"/>
  <c r="F83" i="2"/>
  <c r="S113" i="2"/>
  <c r="R117" i="2"/>
  <c r="P120" i="2"/>
  <c r="Q138" i="2"/>
  <c r="Q154" i="2"/>
  <c r="P162" i="2"/>
  <c r="O164" i="2"/>
  <c r="R187" i="2"/>
  <c r="Q193" i="2"/>
  <c r="R204" i="2"/>
  <c r="Q212" i="2"/>
  <c r="Q214" i="2" s="1"/>
  <c r="D245" i="2"/>
  <c r="F245" i="2" s="1"/>
  <c r="F248" i="2" s="1"/>
  <c r="R256" i="2"/>
  <c r="S323" i="2"/>
  <c r="R323" i="2"/>
  <c r="R356" i="2"/>
  <c r="S356" i="2"/>
  <c r="Q391" i="2"/>
  <c r="S391" i="2"/>
  <c r="R391" i="2"/>
  <c r="R407" i="2" s="1"/>
  <c r="S417" i="2"/>
  <c r="R417" i="2"/>
  <c r="Q417" i="2"/>
  <c r="D477" i="2"/>
  <c r="F475" i="2"/>
  <c r="F477" i="2" s="1"/>
  <c r="Q490" i="2"/>
  <c r="S550" i="2"/>
  <c r="S558" i="2" s="1"/>
  <c r="R550" i="2"/>
  <c r="P572" i="2"/>
  <c r="O575" i="2"/>
  <c r="D407" i="2"/>
  <c r="Q614" i="2"/>
  <c r="N636" i="2"/>
  <c r="R39" i="2"/>
  <c r="P68" i="2"/>
  <c r="S86" i="2"/>
  <c r="S89" i="2" s="1"/>
  <c r="Q86" i="2"/>
  <c r="Q89" i="2" s="1"/>
  <c r="P32" i="2"/>
  <c r="S53" i="2"/>
  <c r="R193" i="2"/>
  <c r="S252" i="2"/>
  <c r="R252" i="2"/>
  <c r="Q252" i="2"/>
  <c r="L328" i="2"/>
  <c r="Q323" i="2"/>
  <c r="P357" i="2"/>
  <c r="Q356" i="2"/>
  <c r="Q357" i="2" s="1"/>
  <c r="D386" i="2"/>
  <c r="O384" i="2"/>
  <c r="P412" i="2"/>
  <c r="S520" i="2"/>
  <c r="Q520" i="2"/>
  <c r="Q550" i="2"/>
  <c r="D458" i="2"/>
  <c r="F458" i="2" s="1"/>
  <c r="P490" i="2"/>
  <c r="S484" i="2"/>
  <c r="S490" i="2" s="1"/>
  <c r="R484" i="2"/>
  <c r="Q514" i="2"/>
  <c r="S623" i="2"/>
  <c r="S624" i="2" s="1"/>
  <c r="R623" i="2"/>
  <c r="R624" i="2" s="1"/>
  <c r="Q439" i="2"/>
  <c r="F301" i="2"/>
  <c r="S439" i="2"/>
  <c r="R456" i="2"/>
  <c r="P472" i="2"/>
  <c r="R504" i="2"/>
  <c r="F529" i="2"/>
  <c r="R551" i="2"/>
  <c r="R557" i="2"/>
  <c r="R561" i="2"/>
  <c r="F603" i="2"/>
  <c r="F276" i="2"/>
  <c r="Q274" i="2"/>
  <c r="Q287" i="2"/>
  <c r="Q288" i="2" s="1"/>
  <c r="Q290" i="2"/>
  <c r="Q295" i="2" s="1"/>
  <c r="Q330" i="2"/>
  <c r="Q337" i="2"/>
  <c r="F354" i="2"/>
  <c r="F357" i="2" s="1"/>
  <c r="P407" i="2"/>
  <c r="S430" i="2"/>
  <c r="S434" i="2" s="1"/>
  <c r="P434" i="2"/>
  <c r="Q468" i="2"/>
  <c r="Q472" i="2" s="1"/>
  <c r="R500" i="2"/>
  <c r="R502" i="2" s="1"/>
  <c r="Q500" i="2"/>
  <c r="S543" i="2"/>
  <c r="R543" i="2"/>
  <c r="Q543" i="2"/>
  <c r="S600" i="2"/>
  <c r="P276" i="2"/>
  <c r="Q388" i="2"/>
  <c r="Q396" i="2"/>
  <c r="Q403" i="2"/>
  <c r="S414" i="2"/>
  <c r="R414" i="2"/>
  <c r="Q430" i="2"/>
  <c r="Q434" i="2" s="1"/>
  <c r="R468" i="2"/>
  <c r="S481" i="2"/>
  <c r="R481" i="2"/>
  <c r="S500" i="2"/>
  <c r="F570" i="2"/>
  <c r="F575" i="2" s="1"/>
  <c r="Q600" i="2"/>
  <c r="S334" i="2"/>
  <c r="P350" i="2"/>
  <c r="S347" i="2"/>
  <c r="S350" i="2" s="1"/>
  <c r="S392" i="2"/>
  <c r="R392" i="2"/>
  <c r="Q392" i="2"/>
  <c r="R464" i="2"/>
  <c r="R466" i="2" s="1"/>
  <c r="Q464" i="2"/>
  <c r="Q466" i="2" s="1"/>
  <c r="S468" i="2"/>
  <c r="S472" i="2" s="1"/>
  <c r="S570" i="2"/>
  <c r="R570" i="2"/>
  <c r="P585" i="2"/>
  <c r="S582" i="2"/>
  <c r="S585" i="2" s="1"/>
  <c r="R582" i="2"/>
  <c r="Q582" i="2"/>
  <c r="P609" i="2"/>
  <c r="S605" i="2"/>
  <c r="R605" i="2"/>
  <c r="P218" i="2"/>
  <c r="R232" i="2"/>
  <c r="R246" i="2"/>
  <c r="Q255" i="2"/>
  <c r="R278" i="2"/>
  <c r="R288" i="2" s="1"/>
  <c r="R315" i="2"/>
  <c r="R316" i="2" s="1"/>
  <c r="P344" i="2"/>
  <c r="Q347" i="2"/>
  <c r="Q350" i="2" s="1"/>
  <c r="Q362" i="2"/>
  <c r="Q366" i="2"/>
  <c r="Q369" i="2"/>
  <c r="Q375" i="2" s="1"/>
  <c r="R372" i="2"/>
  <c r="R385" i="2"/>
  <c r="S388" i="2"/>
  <c r="D428" i="2"/>
  <c r="R418" i="2"/>
  <c r="Q421" i="2"/>
  <c r="D434" i="2"/>
  <c r="Q438" i="2"/>
  <c r="F461" i="2"/>
  <c r="Q457" i="2"/>
  <c r="S464" i="2"/>
  <c r="S466" i="2" s="1"/>
  <c r="R486" i="2"/>
  <c r="R505" i="2"/>
  <c r="Q570" i="2"/>
  <c r="Q587" i="2"/>
  <c r="F598" i="2"/>
  <c r="R596" i="2"/>
  <c r="P601" i="2"/>
  <c r="P603" i="2" s="1"/>
  <c r="O603" i="2"/>
  <c r="Q605" i="2"/>
  <c r="P624" i="2"/>
  <c r="F634" i="2"/>
  <c r="R255" i="2"/>
  <c r="O324" i="2"/>
  <c r="P324" i="2" s="1"/>
  <c r="R347" i="2"/>
  <c r="R350" i="2" s="1"/>
  <c r="R362" i="2"/>
  <c r="R366" i="2"/>
  <c r="R369" i="2"/>
  <c r="S411" i="2"/>
  <c r="S412" i="2" s="1"/>
  <c r="R411" i="2"/>
  <c r="R421" i="2"/>
  <c r="R438" i="2"/>
  <c r="R439" i="2" s="1"/>
  <c r="F451" i="2"/>
  <c r="R457" i="2"/>
  <c r="F534" i="2"/>
  <c r="R587" i="2"/>
  <c r="P607" i="2"/>
  <c r="O609" i="2"/>
  <c r="F309" i="2"/>
  <c r="F311" i="2" s="1"/>
  <c r="R341" i="2"/>
  <c r="S369" i="2"/>
  <c r="S375" i="2" s="1"/>
  <c r="Q411" i="2"/>
  <c r="Q412" i="2" s="1"/>
  <c r="R427" i="2"/>
  <c r="S438" i="2"/>
  <c r="S442" i="2"/>
  <c r="Q453" i="2"/>
  <c r="S469" i="2"/>
  <c r="R469" i="2"/>
  <c r="F487" i="2"/>
  <c r="F490" i="2" s="1"/>
  <c r="D490" i="2"/>
  <c r="R501" i="2"/>
  <c r="P534" i="2"/>
  <c r="S531" i="2"/>
  <c r="R531" i="2"/>
  <c r="R539" i="2"/>
  <c r="Q539" i="2"/>
  <c r="P544" i="2"/>
  <c r="S571" i="2"/>
  <c r="R571" i="2"/>
  <c r="S587" i="2"/>
  <c r="F607" i="2"/>
  <c r="F609" i="2" s="1"/>
  <c r="R614" i="2"/>
  <c r="P619" i="2"/>
  <c r="S616" i="2"/>
  <c r="S619" i="2" s="1"/>
  <c r="R616" i="2"/>
  <c r="F624" i="2"/>
  <c r="P547" i="2"/>
  <c r="R578" i="2"/>
  <c r="Q578" i="2"/>
  <c r="Q580" i="2" s="1"/>
  <c r="S598" i="2"/>
  <c r="S614" i="2"/>
  <c r="Q619" i="2"/>
  <c r="S626" i="2"/>
  <c r="S629" i="2" s="1"/>
  <c r="P629" i="2"/>
  <c r="R626" i="2"/>
  <c r="R629" i="2" s="1"/>
  <c r="P523" i="2"/>
  <c r="Q476" i="2"/>
  <c r="Q477" i="2" s="1"/>
  <c r="Q479" i="2"/>
  <c r="Q519" i="2"/>
  <c r="R522" i="2"/>
  <c r="R525" i="2"/>
  <c r="R529" i="2" s="1"/>
  <c r="F532" i="2"/>
  <c r="Q552" i="2"/>
  <c r="Q562" i="2"/>
  <c r="F572" i="2"/>
  <c r="Q458" i="2"/>
  <c r="O466" i="2"/>
  <c r="R476" i="2"/>
  <c r="R477" i="2" s="1"/>
  <c r="R479" i="2"/>
  <c r="Q485" i="2"/>
  <c r="Q488" i="2"/>
  <c r="O502" i="2"/>
  <c r="Q506" i="2"/>
  <c r="R519" i="2"/>
  <c r="R552" i="2"/>
  <c r="R562" i="2"/>
  <c r="O276" i="2"/>
  <c r="D295" i="2"/>
  <c r="Q445" i="2"/>
  <c r="Q448" i="2"/>
  <c r="Q451" i="2" s="1"/>
  <c r="Q455" i="2"/>
  <c r="R458" i="2"/>
  <c r="Q470" i="2"/>
  <c r="R485" i="2"/>
  <c r="R488" i="2"/>
  <c r="R506" i="2"/>
  <c r="Q513" i="2"/>
  <c r="Q516" i="2"/>
  <c r="Q546" i="2"/>
  <c r="Q549" i="2"/>
  <c r="Q556" i="2"/>
  <c r="P558" i="2"/>
  <c r="R574" i="2"/>
  <c r="R577" i="2"/>
  <c r="Q583" i="2"/>
  <c r="Q595" i="2"/>
  <c r="Q617" i="2"/>
  <c r="R445" i="2"/>
  <c r="R448" i="2"/>
  <c r="P451" i="2"/>
  <c r="R455" i="2"/>
  <c r="R470" i="2"/>
  <c r="R513" i="2"/>
  <c r="R514" i="2" s="1"/>
  <c r="R516" i="2"/>
  <c r="R523" i="2" s="1"/>
  <c r="R546" i="2"/>
  <c r="R549" i="2"/>
  <c r="R556" i="2"/>
  <c r="R583" i="2"/>
  <c r="R595" i="2"/>
  <c r="R617" i="2"/>
  <c r="Q575" i="2" l="1"/>
  <c r="O199" i="2"/>
  <c r="P199" i="2" s="1"/>
  <c r="F199" i="2"/>
  <c r="P3" i="2"/>
  <c r="D5" i="2"/>
  <c r="S145" i="2"/>
  <c r="R145" i="2"/>
  <c r="Q145" i="2"/>
  <c r="S78" i="2"/>
  <c r="R472" i="2"/>
  <c r="F328" i="2"/>
  <c r="Q301" i="2"/>
  <c r="Q32" i="2"/>
  <c r="R127" i="2"/>
  <c r="Q339" i="2"/>
  <c r="Q78" i="2"/>
  <c r="S251" i="2"/>
  <c r="S253" i="2" s="1"/>
  <c r="R251" i="2"/>
  <c r="R253" i="2" s="1"/>
  <c r="Q251" i="2"/>
  <c r="Q253" i="2" s="1"/>
  <c r="P253" i="2"/>
  <c r="D240" i="2"/>
  <c r="D238" i="2"/>
  <c r="F237" i="2"/>
  <c r="R619" i="2"/>
  <c r="Q259" i="2"/>
  <c r="Q334" i="2"/>
  <c r="Q149" i="2"/>
  <c r="S545" i="2"/>
  <c r="R545" i="2"/>
  <c r="Q545" i="2"/>
  <c r="O233" i="2"/>
  <c r="F233" i="2"/>
  <c r="F235" i="2" s="1"/>
  <c r="R45" i="2"/>
  <c r="Q56" i="2"/>
  <c r="Q461" i="2"/>
  <c r="R375" i="2"/>
  <c r="Q407" i="2"/>
  <c r="R490" i="2"/>
  <c r="S162" i="2"/>
  <c r="S164" i="2" s="1"/>
  <c r="R162" i="2"/>
  <c r="Q162" i="2"/>
  <c r="Q164" i="2" s="1"/>
  <c r="R149" i="2"/>
  <c r="R248" i="2"/>
  <c r="S149" i="2"/>
  <c r="Q565" i="2"/>
  <c r="Q446" i="2"/>
  <c r="R572" i="2"/>
  <c r="R575" i="2" s="1"/>
  <c r="S572" i="2"/>
  <c r="S575" i="2" s="1"/>
  <c r="Q572" i="2"/>
  <c r="P575" i="2"/>
  <c r="S102" i="2"/>
  <c r="R102" i="2"/>
  <c r="Q102" i="2"/>
  <c r="R580" i="2"/>
  <c r="Q482" i="2"/>
  <c r="S68" i="2"/>
  <c r="R446" i="2"/>
  <c r="S248" i="2"/>
  <c r="S40" i="2"/>
  <c r="R169" i="2"/>
  <c r="R164" i="2"/>
  <c r="P149" i="2"/>
  <c r="S480" i="2"/>
  <c r="S482" i="2" s="1"/>
  <c r="R480" i="2"/>
  <c r="P482" i="2"/>
  <c r="Q480" i="2"/>
  <c r="R32" i="2"/>
  <c r="S223" i="2"/>
  <c r="P164" i="2"/>
  <c r="P81" i="2"/>
  <c r="O83" i="2"/>
  <c r="R192" i="2"/>
  <c r="S534" i="2"/>
  <c r="R120" i="2"/>
  <c r="Q248" i="2"/>
  <c r="S446" i="2"/>
  <c r="R259" i="2"/>
  <c r="R146" i="2"/>
  <c r="Q146" i="2"/>
  <c r="S146" i="2"/>
  <c r="S424" i="2"/>
  <c r="R424" i="2"/>
  <c r="Q424" i="2"/>
  <c r="Q428" i="2" s="1"/>
  <c r="R104" i="2"/>
  <c r="S104" i="2"/>
  <c r="Q104" i="2"/>
  <c r="D248" i="2"/>
  <c r="O109" i="2"/>
  <c r="P100" i="2"/>
  <c r="S326" i="2"/>
  <c r="R326" i="2"/>
  <c r="Q326" i="2"/>
  <c r="R451" i="2"/>
  <c r="S588" i="2"/>
  <c r="S590" i="2" s="1"/>
  <c r="R588" i="2"/>
  <c r="Q588" i="2"/>
  <c r="Q590" i="2" s="1"/>
  <c r="Q558" i="2"/>
  <c r="R344" i="2"/>
  <c r="P590" i="2"/>
  <c r="Q544" i="2"/>
  <c r="Q547" i="2" s="1"/>
  <c r="S544" i="2"/>
  <c r="S547" i="2" s="1"/>
  <c r="R544" i="2"/>
  <c r="R547" i="2" s="1"/>
  <c r="S407" i="2"/>
  <c r="Q585" i="2"/>
  <c r="Q532" i="2"/>
  <c r="Q534" i="2" s="1"/>
  <c r="S532" i="2"/>
  <c r="R532" i="2"/>
  <c r="O149" i="2"/>
  <c r="Q598" i="2"/>
  <c r="S324" i="2"/>
  <c r="R324" i="2"/>
  <c r="Q324" i="2"/>
  <c r="R461" i="2"/>
  <c r="S120" i="2"/>
  <c r="S426" i="2"/>
  <c r="S428" i="2" s="1"/>
  <c r="R426" i="2"/>
  <c r="R428" i="2" s="1"/>
  <c r="Q426" i="2"/>
  <c r="R174" i="2"/>
  <c r="R598" i="2"/>
  <c r="P321" i="2"/>
  <c r="O328" i="2"/>
  <c r="Q423" i="2"/>
  <c r="S423" i="2"/>
  <c r="R423" i="2"/>
  <c r="R634" i="2"/>
  <c r="R558" i="2"/>
  <c r="Q523" i="2"/>
  <c r="R585" i="2"/>
  <c r="R482" i="2"/>
  <c r="S607" i="2"/>
  <c r="S609" i="2" s="1"/>
  <c r="R607" i="2"/>
  <c r="R609" i="2" s="1"/>
  <c r="Q607" i="2"/>
  <c r="Q609" i="2" s="1"/>
  <c r="R509" i="2"/>
  <c r="P384" i="2"/>
  <c r="O386" i="2"/>
  <c r="D78" i="2"/>
  <c r="S32" i="2"/>
  <c r="O63" i="2"/>
  <c r="P61" i="2"/>
  <c r="O198" i="2"/>
  <c r="F198" i="2"/>
  <c r="F205" i="2" s="1"/>
  <c r="D205" i="2"/>
  <c r="R534" i="2"/>
  <c r="R590" i="2"/>
  <c r="Q601" i="2"/>
  <c r="Q603" i="2" s="1"/>
  <c r="R601" i="2"/>
  <c r="R603" i="2" s="1"/>
  <c r="S601" i="2"/>
  <c r="S603" i="2" s="1"/>
  <c r="P428" i="2"/>
  <c r="Q367" i="2"/>
  <c r="R56" i="2"/>
  <c r="O200" i="2"/>
  <c r="P200" i="2" s="1"/>
  <c r="F200" i="2"/>
  <c r="O238" i="2" l="1"/>
  <c r="F238" i="2"/>
  <c r="D9" i="2"/>
  <c r="E9" i="2" s="1"/>
  <c r="E10" i="2" s="1"/>
  <c r="P9" i="2" s="1"/>
  <c r="F9" i="2"/>
  <c r="P11" i="2"/>
  <c r="O10" i="2"/>
  <c r="R100" i="2"/>
  <c r="R109" i="2" s="1"/>
  <c r="S100" i="2"/>
  <c r="S109" i="2" s="1"/>
  <c r="Q100" i="2"/>
  <c r="Q109" i="2" s="1"/>
  <c r="P109" i="2"/>
  <c r="P198" i="2"/>
  <c r="O205" i="2"/>
  <c r="S81" i="2"/>
  <c r="S83" i="2" s="1"/>
  <c r="R81" i="2"/>
  <c r="R83" i="2" s="1"/>
  <c r="Q81" i="2"/>
  <c r="Q83" i="2" s="1"/>
  <c r="P83" i="2"/>
  <c r="F240" i="2"/>
  <c r="F636" i="2" s="1"/>
  <c r="O22" i="2" s="1"/>
  <c r="O23" i="2" s="1"/>
  <c r="P233" i="2"/>
  <c r="O235" i="2"/>
  <c r="S61" i="2"/>
  <c r="S63" i="2" s="1"/>
  <c r="R61" i="2"/>
  <c r="R63" i="2" s="1"/>
  <c r="Q61" i="2"/>
  <c r="Q63" i="2" s="1"/>
  <c r="P63" i="2"/>
  <c r="D636" i="2"/>
  <c r="S200" i="2"/>
  <c r="R200" i="2"/>
  <c r="Q200" i="2"/>
  <c r="Q321" i="2"/>
  <c r="Q328" i="2" s="1"/>
  <c r="S321" i="2"/>
  <c r="S328" i="2" s="1"/>
  <c r="R321" i="2"/>
  <c r="R328" i="2" s="1"/>
  <c r="P328" i="2"/>
  <c r="R199" i="2"/>
  <c r="Q199" i="2"/>
  <c r="S199" i="2"/>
  <c r="S384" i="2"/>
  <c r="S386" i="2" s="1"/>
  <c r="P386" i="2"/>
  <c r="R384" i="2"/>
  <c r="R386" i="2" s="1"/>
  <c r="Q384" i="2"/>
  <c r="Q386" i="2" s="1"/>
  <c r="S198" i="2" l="1"/>
  <c r="S205" i="2" s="1"/>
  <c r="R198" i="2"/>
  <c r="R205" i="2" s="1"/>
  <c r="Q198" i="2"/>
  <c r="Q205" i="2" s="1"/>
  <c r="P205" i="2"/>
  <c r="O15" i="2"/>
  <c r="O16" i="2" s="1"/>
  <c r="P17" i="2" s="1"/>
  <c r="O11" i="2"/>
  <c r="Q233" i="2"/>
  <c r="Q235" i="2" s="1"/>
  <c r="S233" i="2"/>
  <c r="S235" i="2" s="1"/>
  <c r="R233" i="2"/>
  <c r="R235" i="2" s="1"/>
  <c r="P235" i="2"/>
  <c r="O240" i="2"/>
  <c r="O636" i="2" s="1"/>
  <c r="P238" i="2"/>
  <c r="R238" i="2" l="1"/>
  <c r="S238" i="2"/>
  <c r="Q238" i="2"/>
  <c r="P240" i="2"/>
  <c r="P636" i="2" s="1"/>
  <c r="Q240" i="2" l="1"/>
  <c r="Q636" i="2"/>
  <c r="S240" i="2"/>
  <c r="S636" i="2"/>
  <c r="R240" i="2"/>
  <c r="R636" i="2"/>
  <c r="F78" i="1" l="1"/>
  <c r="F70" i="1"/>
  <c r="F69" i="1"/>
  <c r="F62" i="1"/>
  <c r="F59" i="1"/>
  <c r="F60" i="1" s="1"/>
  <c r="F58" i="1"/>
  <c r="F54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19" i="1"/>
  <c r="F20" i="1" s="1"/>
  <c r="F14" i="1"/>
  <c r="F13" i="1"/>
  <c r="F15" i="1" s="1"/>
  <c r="F10" i="1"/>
  <c r="F11" i="1" s="1"/>
  <c r="F9" i="1"/>
  <c r="F71" i="1"/>
  <c r="F72" i="1" s="1"/>
  <c r="F55" i="1"/>
  <c r="D71" i="1"/>
  <c r="D72" i="1" s="1"/>
  <c r="D60" i="1"/>
  <c r="D55" i="1"/>
  <c r="D47" i="1"/>
  <c r="D20" i="1"/>
  <c r="D15" i="1"/>
  <c r="D11" i="1"/>
  <c r="B71" i="1"/>
  <c r="B72" i="1" s="1"/>
  <c r="B60" i="1"/>
  <c r="B64" i="1" s="1"/>
  <c r="B73" i="1" s="1"/>
  <c r="B55" i="1"/>
  <c r="B47" i="1"/>
  <c r="B20" i="1"/>
  <c r="B48" i="1" s="1"/>
  <c r="B15" i="1"/>
  <c r="B11" i="1"/>
  <c r="D48" i="1" l="1"/>
  <c r="D16" i="1"/>
  <c r="D49" i="1" s="1"/>
  <c r="D64" i="1"/>
  <c r="D73" i="1" s="1"/>
  <c r="F47" i="1"/>
  <c r="F48" i="1" s="1"/>
  <c r="F64" i="1"/>
  <c r="F73" i="1" s="1"/>
  <c r="F16" i="1"/>
  <c r="B16" i="1"/>
  <c r="B49" i="1" s="1"/>
  <c r="B75" i="1" s="1"/>
  <c r="F49" i="1" l="1"/>
  <c r="D75" i="1"/>
  <c r="F75" i="1"/>
  <c r="D79" i="1" s="1"/>
  <c r="F79" i="1" l="1"/>
  <c r="F80" i="1" s="1"/>
  <c r="D80" i="1"/>
</calcChain>
</file>

<file path=xl/sharedStrings.xml><?xml version="1.0" encoding="utf-8"?>
<sst xmlns="http://schemas.openxmlformats.org/spreadsheetml/2006/main" count="645" uniqueCount="241">
  <si>
    <t>Mariva Property Trust</t>
  </si>
  <si>
    <t xml:space="preserve"> ABN 95 147 284 625</t>
  </si>
  <si>
    <t>Detailed Statement of Financial Position as at 30 June 2022</t>
  </si>
  <si>
    <t>2022</t>
  </si>
  <si>
    <t>$</t>
  </si>
  <si>
    <t>Current Assets</t>
  </si>
  <si>
    <t>Cash Assets</t>
  </si>
  <si>
    <t>NAB Business Everyday Account (#1777)</t>
  </si>
  <si>
    <t>NAB Business Cash Account (#3281)</t>
  </si>
  <si>
    <t>Receivables</t>
  </si>
  <si>
    <t>Trust Distributions Receivable</t>
  </si>
  <si>
    <t>Unsettled Transactions</t>
  </si>
  <si>
    <t>Total Current Assets</t>
  </si>
  <si>
    <t>Non-Current Assets</t>
  </si>
  <si>
    <t>Inventories</t>
  </si>
  <si>
    <t>Development Costs - Bishop St Units</t>
  </si>
  <si>
    <t>Other Financial Assets</t>
  </si>
  <si>
    <t>Shares in Other Companies - Bell Potter</t>
  </si>
  <si>
    <t>Shares in Other Companies - Ord Minnett</t>
  </si>
  <si>
    <t>Investment in BTP Trust</t>
  </si>
  <si>
    <t>Investment in Carseldine Gardens Trust</t>
  </si>
  <si>
    <t>Carseldine Gardens Trust - Tax Deferred</t>
  </si>
  <si>
    <t>Investment in BTP2 Trust</t>
  </si>
  <si>
    <t>Investment - Alceon Creation QLD Dvlpmn</t>
  </si>
  <si>
    <t>Investment - Alceon No.5 (QRT Finance)</t>
  </si>
  <si>
    <t>Investment in Findexia Ltd</t>
  </si>
  <si>
    <t>Findexia Ltd - SAFE Notes</t>
  </si>
  <si>
    <t>Investment in Ranger Resources Pty Ltd</t>
  </si>
  <si>
    <t>Investment in Tritium Holdings</t>
  </si>
  <si>
    <t>Tritium Holdings - Convertible Equity</t>
  </si>
  <si>
    <t>Tritium Holdings - Rights Issued</t>
  </si>
  <si>
    <t>Tritium DCFC Ltd - Rollover Shares</t>
  </si>
  <si>
    <t>Investment in Travello Pty Ltd</t>
  </si>
  <si>
    <t>Investment in Caboolture Retail Trust</t>
  </si>
  <si>
    <t>Investment in Gladstone Retail Trust</t>
  </si>
  <si>
    <t>Investment in Silver Shores Trust</t>
  </si>
  <si>
    <t>Investment in Murrarie Office Trust</t>
  </si>
  <si>
    <t>Investment in Tweed Parks Trust</t>
  </si>
  <si>
    <t>Investment in Cocoon Data Techn. (ESIC)</t>
  </si>
  <si>
    <t>Investment in BV1 Fund</t>
  </si>
  <si>
    <t>Investment in DCP Mort &amp; Co</t>
  </si>
  <si>
    <t>Investment - Alceon DTR</t>
  </si>
  <si>
    <t>Total Non-Current Assets</t>
  </si>
  <si>
    <t>Total Assets</t>
  </si>
  <si>
    <t>Current Liabilities</t>
  </si>
  <si>
    <t>Payables</t>
  </si>
  <si>
    <t>Unsecured:</t>
  </si>
  <si>
    <t>Sundry Creditor</t>
  </si>
  <si>
    <t>Financial Liabilities</t>
  </si>
  <si>
    <t>Beneficiary loan:  Valente Super Fund</t>
  </si>
  <si>
    <t>Loan - Frani Trust</t>
  </si>
  <si>
    <t>Current Tax Liabilities</t>
  </si>
  <si>
    <t>Input Tax Credit Control Account</t>
  </si>
  <si>
    <t>Total Current Liabilities</t>
  </si>
  <si>
    <t>Non-Current Liabilities</t>
  </si>
  <si>
    <t>Secured:</t>
  </si>
  <si>
    <t>Ord Minnett NAB Margin Loan</t>
  </si>
  <si>
    <t>Bell Potter Margin Loan</t>
  </si>
  <si>
    <t>Total Non-Current Liabilities</t>
  </si>
  <si>
    <t>Total Liabilities</t>
  </si>
  <si>
    <t>Net Assets</t>
  </si>
  <si>
    <t>Equity</t>
  </si>
  <si>
    <t>Subscribed Units</t>
  </si>
  <si>
    <t>Total Equity</t>
  </si>
  <si>
    <t>Difference</t>
  </si>
  <si>
    <t>Fair Value</t>
  </si>
  <si>
    <t>Unrealised Gains On Investments</t>
  </si>
  <si>
    <t>Number Of Units</t>
  </si>
  <si>
    <t>Value Per Unit</t>
  </si>
  <si>
    <t>The Macro Group</t>
  </si>
  <si>
    <t>Data for Interest &amp; Dividend</t>
  </si>
  <si>
    <t>Entry for Movement in Cash</t>
  </si>
  <si>
    <t>Dr</t>
  </si>
  <si>
    <t>Cr</t>
  </si>
  <si>
    <t>Start</t>
  </si>
  <si>
    <t>Capitalised Accrued Interest for EOM</t>
  </si>
  <si>
    <t>Capital Gains/Losses (Sales)</t>
  </si>
  <si>
    <t>Asset Purchases</t>
  </si>
  <si>
    <t>DR</t>
  </si>
  <si>
    <t>Capital Gains/Losses (Purchases)</t>
  </si>
  <si>
    <t>Sale Proceeds</t>
  </si>
  <si>
    <t>CR</t>
  </si>
  <si>
    <t>Interest Expense</t>
  </si>
  <si>
    <t>Dividends</t>
  </si>
  <si>
    <t>Income</t>
  </si>
  <si>
    <t>Shares in Bell Potter (EOFY)</t>
  </si>
  <si>
    <t>Bell Potter Cash Account Annual Movement</t>
  </si>
  <si>
    <t>Dividends Frank "Correct transfer"</t>
  </si>
  <si>
    <t>Total</t>
  </si>
  <si>
    <t>Transfer</t>
  </si>
  <si>
    <t xml:space="preserve">Difference </t>
  </si>
  <si>
    <t>Intra Month Capitalised Interest</t>
  </si>
  <si>
    <t>Bell Potter Margin</t>
  </si>
  <si>
    <t>Amount in Red is sale taken up last year when not settled till this year - adjusted in Cash account for no effect</t>
  </si>
  <si>
    <t>Bell Potter Cash Reconciliation</t>
  </si>
  <si>
    <t>Direct Credit received BFG DIVIDEND</t>
  </si>
  <si>
    <t>Bell Potter OP</t>
  </si>
  <si>
    <t>Direct Credit received CLT FNL DIV</t>
  </si>
  <si>
    <t>Movements</t>
  </si>
  <si>
    <t>Calculated closing</t>
  </si>
  <si>
    <t>Impedime SPP (IDP)</t>
  </si>
  <si>
    <t>Bell Potter CL</t>
  </si>
  <si>
    <r>
      <rPr>
        <sz val="8"/>
        <rFont val="Arial"/>
        <family val="2"/>
      </rPr>
      <t>Direct Credit received IPDSPPREFUND</t>
    </r>
  </si>
  <si>
    <t>Transfer of funds to client</t>
  </si>
  <si>
    <t>Shares entry</t>
  </si>
  <si>
    <t>Shares in Bell Potter (2021)</t>
  </si>
  <si>
    <t>Shares in Bell Potter (2022)</t>
  </si>
  <si>
    <t>Capital Gains/Losses (Change in Holdings)</t>
  </si>
  <si>
    <t>Shares Held</t>
  </si>
  <si>
    <t>Share Disposals</t>
  </si>
  <si>
    <t>SHARE</t>
  </si>
  <si>
    <t>Date</t>
  </si>
  <si>
    <t>Units</t>
  </si>
  <si>
    <t>Cost</t>
  </si>
  <si>
    <t>Other Costs</t>
  </si>
  <si>
    <t>Total Cost</t>
  </si>
  <si>
    <t>Unit Price @ 30 June 2022</t>
  </si>
  <si>
    <t>Market Value @ 30 June 2022</t>
  </si>
  <si>
    <t>Sale Date</t>
  </si>
  <si>
    <t>Discountable Y/N</t>
  </si>
  <si>
    <t>No. Units
Disposed</t>
  </si>
  <si>
    <t>Sale Brokerage</t>
  </si>
  <si>
    <t>Cost Base</t>
  </si>
  <si>
    <t>Gain / Loss 
on Disposal</t>
  </si>
  <si>
    <t>Other 
Gain</t>
  </si>
  <si>
    <t>Discount 
Gain</t>
  </si>
  <si>
    <t>Loss</t>
  </si>
  <si>
    <t>ADN</t>
  </si>
  <si>
    <t>Purchase</t>
  </si>
  <si>
    <t>Sale</t>
  </si>
  <si>
    <t>ALL</t>
  </si>
  <si>
    <t>ANZ</t>
  </si>
  <si>
    <t>APT</t>
  </si>
  <si>
    <t>APX</t>
  </si>
  <si>
    <t>ARX</t>
  </si>
  <si>
    <t>AVH</t>
  </si>
  <si>
    <t>BBT</t>
  </si>
  <si>
    <t>BET</t>
  </si>
  <si>
    <t>BFG</t>
  </si>
  <si>
    <t xml:space="preserve">Purchase </t>
  </si>
  <si>
    <t>Rights Issue</t>
  </si>
  <si>
    <t>Transfer From FRAN0002</t>
  </si>
  <si>
    <t>Y</t>
  </si>
  <si>
    <t>BHP</t>
  </si>
  <si>
    <t xml:space="preserve">CAA </t>
  </si>
  <si>
    <t>Share Consolidation</t>
  </si>
  <si>
    <t>CBA</t>
  </si>
  <si>
    <t xml:space="preserve">Sale </t>
  </si>
  <si>
    <t>CHN</t>
  </si>
  <si>
    <t>Entitlement Offer</t>
  </si>
  <si>
    <t>Cost Base adj. (FAL demerger)</t>
  </si>
  <si>
    <t>N</t>
  </si>
  <si>
    <t>CLT</t>
  </si>
  <si>
    <t>COE</t>
  </si>
  <si>
    <t>DEG</t>
  </si>
  <si>
    <t>DEV</t>
  </si>
  <si>
    <t>DRX</t>
  </si>
  <si>
    <t>DUN</t>
  </si>
  <si>
    <t>DUNO</t>
  </si>
  <si>
    <t>EOM</t>
  </si>
  <si>
    <t>EOS</t>
  </si>
  <si>
    <t>EVN</t>
  </si>
  <si>
    <t>EVS</t>
  </si>
  <si>
    <t>FAL</t>
  </si>
  <si>
    <t>Dist in Spec (1 FAL to every 3.034 CHN)</t>
  </si>
  <si>
    <t>FCL</t>
  </si>
  <si>
    <t>FFX / MLL</t>
  </si>
  <si>
    <t>HUM</t>
  </si>
  <si>
    <t>Buy</t>
  </si>
  <si>
    <t>IHL</t>
  </si>
  <si>
    <t>IMU</t>
  </si>
  <si>
    <t>IMUOC</t>
  </si>
  <si>
    <t>Miscellaneous Conversion</t>
  </si>
  <si>
    <t>IPD</t>
  </si>
  <si>
    <t>Purchase (Share Purchase Plan SPP $30,000)</t>
  </si>
  <si>
    <t>SPP Oversubscribed Refund</t>
  </si>
  <si>
    <t>KGN</t>
  </si>
  <si>
    <t>KZR</t>
  </si>
  <si>
    <t>LBY</t>
  </si>
  <si>
    <t>LKE</t>
  </si>
  <si>
    <t>LNK</t>
  </si>
  <si>
    <t>LTR</t>
  </si>
  <si>
    <t>MCP</t>
  </si>
  <si>
    <t>MEI</t>
  </si>
  <si>
    <t>MGX</t>
  </si>
  <si>
    <t>MI6</t>
  </si>
  <si>
    <t>IPO @ 0.50</t>
  </si>
  <si>
    <t>MQG</t>
  </si>
  <si>
    <t>Share Purchase Plan</t>
  </si>
  <si>
    <t>MTL</t>
  </si>
  <si>
    <t>M7T</t>
  </si>
  <si>
    <t>NAB</t>
  </si>
  <si>
    <t>NET</t>
  </si>
  <si>
    <t>Purchased</t>
  </si>
  <si>
    <t>NIC</t>
  </si>
  <si>
    <t>NUF</t>
  </si>
  <si>
    <t>NVX</t>
  </si>
  <si>
    <t>NXL</t>
  </si>
  <si>
    <t>OCC</t>
  </si>
  <si>
    <t>OFX</t>
  </si>
  <si>
    <t>OSL</t>
  </si>
  <si>
    <t>PBH</t>
  </si>
  <si>
    <t>Rights Issue Allot.</t>
  </si>
  <si>
    <t>PDN</t>
  </si>
  <si>
    <t>PLS</t>
  </si>
  <si>
    <t>QAN</t>
  </si>
  <si>
    <t>RDT</t>
  </si>
  <si>
    <t>REA</t>
  </si>
  <si>
    <t>RFX</t>
  </si>
  <si>
    <t>RTR</t>
  </si>
  <si>
    <t>RUL</t>
  </si>
  <si>
    <t>SCL</t>
  </si>
  <si>
    <t>SLC</t>
  </si>
  <si>
    <t>Non-Renounceable Issue Allotment</t>
  </si>
  <si>
    <t>SL1</t>
  </si>
  <si>
    <t>SOR</t>
  </si>
  <si>
    <t>SPT</t>
  </si>
  <si>
    <t>STM</t>
  </si>
  <si>
    <t>SUV</t>
  </si>
  <si>
    <t>SZL</t>
  </si>
  <si>
    <t>TNG</t>
  </si>
  <si>
    <t>TNGOB</t>
  </si>
  <si>
    <t>Allotment</t>
  </si>
  <si>
    <t>TNY</t>
  </si>
  <si>
    <t>TRT</t>
  </si>
  <si>
    <t>Dist In Spec - Inc</t>
  </si>
  <si>
    <t>UWL</t>
  </si>
  <si>
    <t>VUL</t>
  </si>
  <si>
    <t>VXR/DVP</t>
  </si>
  <si>
    <t>WBC</t>
  </si>
  <si>
    <t>WEB</t>
  </si>
  <si>
    <t>WZR</t>
  </si>
  <si>
    <t>XRO</t>
  </si>
  <si>
    <t>Z1P</t>
  </si>
  <si>
    <t>Total Investments</t>
  </si>
  <si>
    <t>..\..\..\MARI0001\2022\Year End\2618.06 - Ord Minnett Portfolio.pdf</t>
  </si>
  <si>
    <t>NOTE: Price of $400 Per Share Used, Which Was The Price Used For The Last Capital Raising Which Occurred On 19 May 2021</t>
  </si>
  <si>
    <t>NOTE: Last Advised Price of $5.40 Per Share Used (As Of 30 June 2021)</t>
  </si>
  <si>
    <t>NOTE: Valuation As Per Annual Tax Statement Issued</t>
  </si>
  <si>
    <t>NOTE: Market Value Of Shares As Listed On NASDAQ On 30 June 2022 Is AU$8.8402</t>
  </si>
  <si>
    <t>NOTE: Advised That Best Estimate Of Market Vale Is $0.095012 Per 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</si>
</sst>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(* #,##0.00_);_(* \(#,##0.00\);_(* &quot;-&quot;??_);_(@_)"/>
    <numFmt numFmtId="165" formatCode="#,###,##0.00"/>
    <numFmt numFmtId="166" formatCode="&quot;$&quot;#,##0.000000"/>
    <numFmt numFmtId="167" formatCode="dd/mm/yy;@"/>
    <numFmt numFmtId="168" formatCode="#,##0;\(#,##0\)"/>
    <numFmt numFmtId="169" formatCode="#,##0.00;\(#,##0.00\)"/>
    <numFmt numFmtId="170" formatCode="#,##0.00_);\(#,##0.00\);_-* &quot;-&quot;??_-;_-@_-"/>
    <numFmt numFmtId="171" formatCode="#,##0_);\(#,##0\);_-* &quot;-&quot;??_-;_-@_-"/>
    <numFmt numFmtId="172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u/>
      <sz val="10"/>
      <color indexed="12"/>
      <name val="Arial"/>
      <family val="2"/>
    </font>
    <font>
      <b/>
      <sz val="16"/>
      <name val="Verdana"/>
      <family val="2"/>
    </font>
    <font>
      <sz val="10"/>
      <name val="Arial"/>
      <family val="2"/>
    </font>
    <font>
      <b/>
      <u/>
      <sz val="10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b/>
      <sz val="11"/>
      <name val="Verdana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DDEBF7"/>
        <bgColor rgb="FF000000"/>
      </patternFill>
    </fill>
    <fill>
      <patternFill patternType="solid">
        <fgColor rgb="FFC6EFCE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/>
    <xf numFmtId="164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" fillId="0" borderId="0"/>
    <xf numFmtId="43" fontId="7" fillId="0" borderId="0" applyFont="0" applyFill="0" applyBorder="0" applyAlignment="0" applyProtection="0"/>
  </cellStyleXfs>
  <cellXfs count="169">
    <xf numFmtId="0" fontId="0" fillId="0" borderId="0" xfId="0"/>
    <xf numFmtId="0" fontId="1" fillId="0" borderId="0" xfId="0" quotePrefix="1" applyFont="1" applyAlignment="1">
      <alignment horizontal="center"/>
    </xf>
    <xf numFmtId="0" fontId="1" fillId="0" borderId="1" xfId="0" quotePrefix="1" applyFont="1" applyBorder="1"/>
    <xf numFmtId="0" fontId="1" fillId="0" borderId="0" xfId="0" quotePrefix="1" applyFont="1"/>
    <xf numFmtId="0" fontId="0" fillId="0" borderId="0" xfId="0" applyFont="1"/>
    <xf numFmtId="0" fontId="0" fillId="0" borderId="1" xfId="0" applyFont="1" applyBorder="1"/>
    <xf numFmtId="0" fontId="0" fillId="0" borderId="0" xfId="0" quotePrefix="1" applyFont="1"/>
    <xf numFmtId="165" fontId="0" fillId="0" borderId="0" xfId="0" applyNumberFormat="1" applyFont="1" applyAlignment="1">
      <alignment horizontal="right"/>
    </xf>
    <xf numFmtId="165" fontId="0" fillId="0" borderId="2" xfId="0" applyNumberFormat="1" applyFont="1" applyBorder="1" applyAlignment="1">
      <alignment horizontal="right"/>
    </xf>
    <xf numFmtId="165" fontId="0" fillId="0" borderId="0" xfId="0" applyNumberFormat="1" applyFont="1" applyBorder="1" applyAlignment="1">
      <alignment horizontal="right"/>
    </xf>
    <xf numFmtId="165" fontId="1" fillId="0" borderId="2" xfId="0" applyNumberFormat="1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0" fontId="1" fillId="0" borderId="0" xfId="0" quotePrefix="1" applyFont="1" applyAlignment="1">
      <alignment horizontal="left"/>
    </xf>
    <xf numFmtId="165" fontId="1" fillId="0" borderId="0" xfId="0" applyNumberFormat="1" applyFont="1" applyAlignment="1">
      <alignment horizontal="right"/>
    </xf>
    <xf numFmtId="166" fontId="1" fillId="0" borderId="0" xfId="0" applyNumberFormat="1" applyFont="1"/>
    <xf numFmtId="43" fontId="6" fillId="0" borderId="0" xfId="3" applyNumberFormat="1" applyFont="1" applyBorder="1" applyAlignment="1" applyProtection="1"/>
    <xf numFmtId="0" fontId="7" fillId="0" borderId="0" xfId="4"/>
    <xf numFmtId="43" fontId="6" fillId="0" borderId="0" xfId="3" applyNumberFormat="1" applyFont="1" applyBorder="1" applyAlignment="1" applyProtection="1">
      <alignment horizontal="center"/>
    </xf>
    <xf numFmtId="0" fontId="8" fillId="0" borderId="0" xfId="4" applyFont="1"/>
    <xf numFmtId="164" fontId="7" fillId="0" borderId="0" xfId="5"/>
    <xf numFmtId="14" fontId="7" fillId="0" borderId="0" xfId="4" applyNumberFormat="1"/>
    <xf numFmtId="164" fontId="0" fillId="0" borderId="0" xfId="5" applyFont="1"/>
    <xf numFmtId="43" fontId="7" fillId="0" borderId="0" xfId="4" applyNumberFormat="1"/>
    <xf numFmtId="164" fontId="7" fillId="0" borderId="0" xfId="4" applyNumberFormat="1"/>
    <xf numFmtId="43" fontId="7" fillId="4" borderId="0" xfId="4" applyNumberFormat="1" applyFill="1"/>
    <xf numFmtId="0" fontId="7" fillId="4" borderId="0" xfId="4" applyFill="1"/>
    <xf numFmtId="164" fontId="7" fillId="0" borderId="5" xfId="5" applyBorder="1"/>
    <xf numFmtId="0" fontId="9" fillId="0" borderId="0" xfId="4" applyFont="1" applyAlignment="1">
      <alignment horizontal="left" vertical="center"/>
    </xf>
    <xf numFmtId="0" fontId="7" fillId="0" borderId="0" xfId="4" applyAlignment="1">
      <alignment horizontal="left" vertical="top"/>
    </xf>
    <xf numFmtId="4" fontId="9" fillId="0" borderId="0" xfId="4" applyNumberFormat="1" applyFont="1" applyAlignment="1">
      <alignment horizontal="right" vertical="center"/>
    </xf>
    <xf numFmtId="43" fontId="7" fillId="0" borderId="0" xfId="6" applyFont="1"/>
    <xf numFmtId="43" fontId="11" fillId="0" borderId="0" xfId="3" applyNumberFormat="1" applyFont="1" applyBorder="1" applyAlignment="1" applyProtection="1">
      <alignment horizontal="center"/>
    </xf>
    <xf numFmtId="0" fontId="12" fillId="5" borderId="3" xfId="4" applyFont="1" applyFill="1" applyBorder="1" applyAlignment="1">
      <alignment horizontal="left"/>
    </xf>
    <xf numFmtId="167" fontId="12" fillId="5" borderId="2" xfId="4" applyNumberFormat="1" applyFont="1" applyFill="1" applyBorder="1" applyAlignment="1">
      <alignment horizontal="left"/>
    </xf>
    <xf numFmtId="168" fontId="12" fillId="5" borderId="2" xfId="7" applyNumberFormat="1" applyFont="1" applyFill="1" applyBorder="1" applyAlignment="1">
      <alignment horizontal="center"/>
    </xf>
    <xf numFmtId="169" fontId="12" fillId="5" borderId="2" xfId="4" applyNumberFormat="1" applyFont="1" applyFill="1" applyBorder="1" applyAlignment="1">
      <alignment horizontal="center" wrapText="1"/>
    </xf>
    <xf numFmtId="169" fontId="12" fillId="5" borderId="2" xfId="7" applyNumberFormat="1" applyFont="1" applyFill="1" applyBorder="1" applyAlignment="1">
      <alignment horizontal="center" wrapText="1"/>
    </xf>
    <xf numFmtId="169" fontId="12" fillId="5" borderId="2" xfId="4" applyNumberFormat="1" applyFont="1" applyFill="1" applyBorder="1" applyAlignment="1">
      <alignment horizontal="left"/>
    </xf>
    <xf numFmtId="169" fontId="12" fillId="5" borderId="4" xfId="4" applyNumberFormat="1" applyFont="1" applyFill="1" applyBorder="1" applyAlignment="1">
      <alignment horizontal="center" wrapText="1"/>
    </xf>
    <xf numFmtId="49" fontId="12" fillId="6" borderId="6" xfId="4" applyNumberFormat="1" applyFont="1" applyFill="1" applyBorder="1" applyAlignment="1">
      <alignment horizontal="left"/>
    </xf>
    <xf numFmtId="14" fontId="7" fillId="7" borderId="1" xfId="4" applyNumberFormat="1" applyFill="1" applyBorder="1" applyAlignment="1">
      <alignment horizontal="left"/>
    </xf>
    <xf numFmtId="43" fontId="7" fillId="7" borderId="1" xfId="8" applyNumberFormat="1" applyFont="1" applyFill="1" applyBorder="1" applyAlignment="1">
      <alignment horizontal="left"/>
    </xf>
    <xf numFmtId="43" fontId="7" fillId="7" borderId="1" xfId="8" applyNumberFormat="1" applyFont="1" applyFill="1" applyBorder="1" applyAlignment="1"/>
    <xf numFmtId="43" fontId="7" fillId="0" borderId="0" xfId="8" applyNumberFormat="1" applyFont="1" applyFill="1" applyBorder="1" applyAlignment="1">
      <alignment horizontal="left"/>
    </xf>
    <xf numFmtId="43" fontId="7" fillId="7" borderId="0" xfId="8" applyNumberFormat="1" applyFont="1" applyFill="1" applyBorder="1" applyAlignment="1">
      <alignment horizontal="left"/>
    </xf>
    <xf numFmtId="43" fontId="7" fillId="7" borderId="7" xfId="8" applyNumberFormat="1" applyFont="1" applyFill="1" applyBorder="1" applyAlignment="1">
      <alignment horizontal="left"/>
    </xf>
    <xf numFmtId="49" fontId="7" fillId="6" borderId="8" xfId="4" applyNumberFormat="1" applyFill="1" applyBorder="1" applyAlignment="1">
      <alignment horizontal="left"/>
    </xf>
    <xf numFmtId="14" fontId="7" fillId="6" borderId="9" xfId="4" applyNumberFormat="1" applyFill="1" applyBorder="1" applyAlignment="1">
      <alignment horizontal="left"/>
    </xf>
    <xf numFmtId="168" fontId="7" fillId="6" borderId="9" xfId="8" applyNumberFormat="1" applyFont="1" applyFill="1" applyBorder="1" applyAlignment="1"/>
    <xf numFmtId="169" fontId="7" fillId="6" borderId="9" xfId="8" applyNumberFormat="1" applyFont="1" applyFill="1" applyBorder="1" applyAlignment="1"/>
    <xf numFmtId="169" fontId="7" fillId="6" borderId="10" xfId="8" applyNumberFormat="1" applyFont="1" applyFill="1" applyBorder="1" applyAlignment="1"/>
    <xf numFmtId="170" fontId="7" fillId="8" borderId="11" xfId="4" applyNumberFormat="1" applyFill="1" applyBorder="1"/>
    <xf numFmtId="43" fontId="7" fillId="0" borderId="0" xfId="4" applyNumberFormat="1" applyAlignment="1">
      <alignment horizontal="left"/>
    </xf>
    <xf numFmtId="14" fontId="7" fillId="6" borderId="10" xfId="4" applyNumberFormat="1" applyFill="1" applyBorder="1" applyAlignment="1">
      <alignment horizontal="left"/>
    </xf>
    <xf numFmtId="167" fontId="7" fillId="6" borderId="9" xfId="4" applyNumberFormat="1" applyFill="1" applyBorder="1" applyAlignment="1">
      <alignment horizontal="left"/>
    </xf>
    <xf numFmtId="171" fontId="7" fillId="6" borderId="9" xfId="4" applyNumberFormat="1" applyFill="1" applyBorder="1"/>
    <xf numFmtId="170" fontId="7" fillId="6" borderId="9" xfId="4" applyNumberFormat="1" applyFill="1" applyBorder="1"/>
    <xf numFmtId="170" fontId="7" fillId="8" borderId="12" xfId="4" applyNumberFormat="1" applyFill="1" applyBorder="1"/>
    <xf numFmtId="170" fontId="7" fillId="8" borderId="9" xfId="4" applyNumberFormat="1" applyFill="1" applyBorder="1"/>
    <xf numFmtId="170" fontId="7" fillId="8" borderId="13" xfId="4" applyNumberFormat="1" applyFill="1" applyBorder="1"/>
    <xf numFmtId="49" fontId="7" fillId="6" borderId="14" xfId="4" applyNumberFormat="1" applyFill="1" applyBorder="1" applyAlignment="1">
      <alignment horizontal="left"/>
    </xf>
    <xf numFmtId="169" fontId="7" fillId="6" borderId="9" xfId="8" applyNumberFormat="1" applyFont="1" applyFill="1" applyBorder="1" applyAlignment="1">
      <alignment horizontal="left"/>
    </xf>
    <xf numFmtId="169" fontId="7" fillId="6" borderId="10" xfId="8" applyNumberFormat="1" applyFont="1" applyFill="1" applyBorder="1" applyAlignment="1">
      <alignment horizontal="left"/>
    </xf>
    <xf numFmtId="49" fontId="12" fillId="0" borderId="6" xfId="4" applyNumberFormat="1" applyFont="1" applyBorder="1" applyAlignment="1">
      <alignment horizontal="left"/>
    </xf>
    <xf numFmtId="167" fontId="12" fillId="0" borderId="0" xfId="4" applyNumberFormat="1" applyFont="1" applyAlignment="1">
      <alignment horizontal="left"/>
    </xf>
    <xf numFmtId="164" fontId="12" fillId="8" borderId="5" xfId="9" applyFont="1" applyFill="1" applyBorder="1" applyAlignment="1">
      <alignment horizontal="left"/>
    </xf>
    <xf numFmtId="164" fontId="3" fillId="2" borderId="5" xfId="1" applyNumberFormat="1" applyBorder="1" applyAlignment="1"/>
    <xf numFmtId="164" fontId="12" fillId="8" borderId="5" xfId="9" applyFont="1" applyFill="1" applyBorder="1" applyAlignment="1"/>
    <xf numFmtId="164" fontId="12" fillId="0" borderId="15" xfId="4" applyNumberFormat="1" applyFont="1" applyBorder="1" applyAlignment="1">
      <alignment horizontal="left"/>
    </xf>
    <xf numFmtId="171" fontId="12" fillId="8" borderId="5" xfId="4" applyNumberFormat="1" applyFont="1" applyFill="1" applyBorder="1"/>
    <xf numFmtId="164" fontId="12" fillId="8" borderId="5" xfId="4" applyNumberFormat="1" applyFont="1" applyFill="1" applyBorder="1" applyAlignment="1">
      <alignment horizontal="left"/>
    </xf>
    <xf numFmtId="164" fontId="12" fillId="8" borderId="16" xfId="4" applyNumberFormat="1" applyFont="1" applyFill="1" applyBorder="1" applyAlignment="1">
      <alignment horizontal="left"/>
    </xf>
    <xf numFmtId="14" fontId="7" fillId="6" borderId="17" xfId="4" applyNumberFormat="1" applyFill="1" applyBorder="1" applyAlignment="1">
      <alignment horizontal="left"/>
    </xf>
    <xf numFmtId="172" fontId="12" fillId="8" borderId="5" xfId="9" applyNumberFormat="1" applyFont="1" applyFill="1" applyBorder="1" applyAlignment="1">
      <alignment horizontal="left"/>
    </xf>
    <xf numFmtId="169" fontId="3" fillId="2" borderId="5" xfId="1" applyNumberFormat="1" applyBorder="1" applyAlignment="1"/>
    <xf numFmtId="169" fontId="12" fillId="8" borderId="5" xfId="9" applyNumberFormat="1" applyFont="1" applyFill="1" applyBorder="1" applyAlignment="1"/>
    <xf numFmtId="43" fontId="12" fillId="0" borderId="15" xfId="4" applyNumberFormat="1" applyFont="1" applyBorder="1" applyAlignment="1">
      <alignment horizontal="left"/>
    </xf>
    <xf numFmtId="167" fontId="12" fillId="0" borderId="15" xfId="4" applyNumberFormat="1" applyFont="1" applyBorder="1" applyAlignment="1">
      <alignment horizontal="left"/>
    </xf>
    <xf numFmtId="49" fontId="12" fillId="6" borderId="8" xfId="4" applyNumberFormat="1" applyFont="1" applyFill="1" applyBorder="1" applyAlignment="1">
      <alignment horizontal="left"/>
    </xf>
    <xf numFmtId="14" fontId="7" fillId="6" borderId="12" xfId="4" applyNumberFormat="1" applyFill="1" applyBorder="1" applyAlignment="1">
      <alignment horizontal="left"/>
    </xf>
    <xf numFmtId="43" fontId="12" fillId="8" borderId="5" xfId="4" applyNumberFormat="1" applyFont="1" applyFill="1" applyBorder="1" applyAlignment="1">
      <alignment horizontal="left"/>
    </xf>
    <xf numFmtId="43" fontId="12" fillId="8" borderId="16" xfId="4" applyNumberFormat="1" applyFont="1" applyFill="1" applyBorder="1" applyAlignment="1">
      <alignment horizontal="left"/>
    </xf>
    <xf numFmtId="14" fontId="7" fillId="7" borderId="0" xfId="4" applyNumberFormat="1" applyFill="1" applyAlignment="1">
      <alignment horizontal="left"/>
    </xf>
    <xf numFmtId="43" fontId="7" fillId="7" borderId="0" xfId="8" applyNumberFormat="1" applyFont="1" applyFill="1" applyBorder="1" applyAlignment="1"/>
    <xf numFmtId="43" fontId="12" fillId="0" borderId="0" xfId="4" applyNumberFormat="1" applyFont="1" applyAlignment="1">
      <alignment horizontal="left"/>
    </xf>
    <xf numFmtId="43" fontId="7" fillId="7" borderId="18" xfId="8" applyNumberFormat="1" applyFont="1" applyFill="1" applyBorder="1" applyAlignment="1">
      <alignment horizontal="left"/>
    </xf>
    <xf numFmtId="168" fontId="7" fillId="6" borderId="12" xfId="8" applyNumberFormat="1" applyFont="1" applyFill="1" applyBorder="1" applyAlignment="1"/>
    <xf numFmtId="169" fontId="7" fillId="6" borderId="12" xfId="8" applyNumberFormat="1" applyFont="1" applyFill="1" applyBorder="1" applyAlignment="1"/>
    <xf numFmtId="169" fontId="7" fillId="6" borderId="19" xfId="8" applyNumberFormat="1" applyFont="1" applyFill="1" applyBorder="1" applyAlignment="1"/>
    <xf numFmtId="167" fontId="7" fillId="6" borderId="20" xfId="4" applyNumberFormat="1" applyFill="1" applyBorder="1" applyAlignment="1">
      <alignment horizontal="left"/>
    </xf>
    <xf numFmtId="167" fontId="7" fillId="6" borderId="12" xfId="4" applyNumberFormat="1" applyFill="1" applyBorder="1" applyAlignment="1">
      <alignment horizontal="left"/>
    </xf>
    <xf numFmtId="171" fontId="7" fillId="6" borderId="12" xfId="4" applyNumberFormat="1" applyFill="1" applyBorder="1"/>
    <xf numFmtId="170" fontId="7" fillId="6" borderId="12" xfId="4" applyNumberFormat="1" applyFill="1" applyBorder="1"/>
    <xf numFmtId="170" fontId="7" fillId="8" borderId="21" xfId="4" applyNumberFormat="1" applyFill="1" applyBorder="1"/>
    <xf numFmtId="167" fontId="7" fillId="0" borderId="20" xfId="4" applyNumberFormat="1" applyBorder="1" applyAlignment="1">
      <alignment horizontal="left"/>
    </xf>
    <xf numFmtId="170" fontId="12" fillId="8" borderId="5" xfId="4" applyNumberFormat="1" applyFont="1" applyFill="1" applyBorder="1"/>
    <xf numFmtId="14" fontId="7" fillId="6" borderId="20" xfId="4" applyNumberFormat="1" applyFill="1" applyBorder="1" applyAlignment="1">
      <alignment horizontal="left"/>
    </xf>
    <xf numFmtId="169" fontId="7" fillId="9" borderId="9" xfId="8" applyNumberFormat="1" applyFont="1" applyFill="1" applyBorder="1" applyAlignment="1"/>
    <xf numFmtId="14" fontId="7" fillId="10" borderId="9" xfId="10" applyNumberFormat="1" applyFont="1" applyFill="1" applyBorder="1" applyAlignment="1">
      <alignment horizontal="left"/>
    </xf>
    <xf numFmtId="0" fontId="7" fillId="10" borderId="14" xfId="10" applyFont="1" applyFill="1" applyBorder="1" applyAlignment="1">
      <alignment horizontal="left"/>
    </xf>
    <xf numFmtId="0" fontId="7" fillId="10" borderId="9" xfId="10" applyFont="1" applyFill="1" applyBorder="1" applyAlignment="1">
      <alignment horizontal="left"/>
    </xf>
    <xf numFmtId="0" fontId="7" fillId="10" borderId="9" xfId="10" applyFont="1" applyFill="1" applyBorder="1"/>
    <xf numFmtId="0" fontId="7" fillId="10" borderId="10" xfId="10" applyFont="1" applyFill="1" applyBorder="1" applyAlignment="1">
      <alignment horizontal="left"/>
    </xf>
    <xf numFmtId="0" fontId="7" fillId="10" borderId="10" xfId="10" applyFont="1" applyFill="1" applyBorder="1"/>
    <xf numFmtId="0" fontId="7" fillId="0" borderId="0" xfId="10" applyFont="1" applyAlignment="1">
      <alignment horizontal="left"/>
    </xf>
    <xf numFmtId="0" fontId="12" fillId="0" borderId="6" xfId="10" applyFont="1" applyBorder="1" applyAlignment="1">
      <alignment horizontal="left"/>
    </xf>
    <xf numFmtId="0" fontId="12" fillId="0" borderId="0" xfId="10" applyFont="1" applyAlignment="1">
      <alignment horizontal="left"/>
    </xf>
    <xf numFmtId="4" fontId="3" fillId="11" borderId="5" xfId="10" applyNumberFormat="1" applyFont="1" applyFill="1" applyBorder="1"/>
    <xf numFmtId="0" fontId="12" fillId="12" borderId="5" xfId="10" applyFont="1" applyFill="1" applyBorder="1"/>
    <xf numFmtId="0" fontId="12" fillId="0" borderId="15" xfId="10" applyFont="1" applyBorder="1" applyAlignment="1">
      <alignment horizontal="left"/>
    </xf>
    <xf numFmtId="49" fontId="7" fillId="6" borderId="17" xfId="4" applyNumberFormat="1" applyFill="1" applyBorder="1" applyAlignment="1">
      <alignment horizontal="left"/>
    </xf>
    <xf numFmtId="168" fontId="7" fillId="6" borderId="0" xfId="8" applyNumberFormat="1" applyFont="1" applyFill="1" applyBorder="1" applyAlignment="1"/>
    <xf numFmtId="169" fontId="7" fillId="6" borderId="0" xfId="8" applyNumberFormat="1" applyFont="1" applyFill="1" applyBorder="1" applyAlignment="1"/>
    <xf numFmtId="169" fontId="7" fillId="6" borderId="0" xfId="8" applyNumberFormat="1" applyFont="1" applyFill="1" applyBorder="1" applyAlignment="1">
      <alignment horizontal="left"/>
    </xf>
    <xf numFmtId="14" fontId="7" fillId="6" borderId="0" xfId="4" applyNumberFormat="1" applyFill="1" applyAlignment="1">
      <alignment horizontal="left"/>
    </xf>
    <xf numFmtId="167" fontId="7" fillId="6" borderId="0" xfId="4" applyNumberFormat="1" applyFill="1" applyAlignment="1">
      <alignment horizontal="left"/>
    </xf>
    <xf numFmtId="171" fontId="7" fillId="6" borderId="0" xfId="4" applyNumberFormat="1" applyFill="1"/>
    <xf numFmtId="170" fontId="7" fillId="6" borderId="0" xfId="4" applyNumberFormat="1" applyFill="1"/>
    <xf numFmtId="49" fontId="7" fillId="6" borderId="0" xfId="4" applyNumberFormat="1" applyFill="1" applyAlignment="1">
      <alignment horizontal="left"/>
    </xf>
    <xf numFmtId="170" fontId="7" fillId="8" borderId="0" xfId="4" applyNumberFormat="1" applyFill="1"/>
    <xf numFmtId="49" fontId="12" fillId="6" borderId="14" xfId="4" applyNumberFormat="1" applyFont="1" applyFill="1" applyBorder="1" applyAlignment="1">
      <alignment horizontal="left"/>
    </xf>
    <xf numFmtId="49" fontId="7" fillId="6" borderId="6" xfId="4" applyNumberFormat="1" applyFill="1" applyBorder="1" applyAlignment="1">
      <alignment horizontal="left"/>
    </xf>
    <xf numFmtId="169" fontId="7" fillId="6" borderId="19" xfId="8" applyNumberFormat="1" applyFont="1" applyFill="1" applyBorder="1" applyAlignment="1">
      <alignment horizontal="left"/>
    </xf>
    <xf numFmtId="164" fontId="12" fillId="0" borderId="0" xfId="4" applyNumberFormat="1" applyFont="1" applyAlignment="1">
      <alignment horizontal="left"/>
    </xf>
    <xf numFmtId="172" fontId="12" fillId="8" borderId="5" xfId="9" applyNumberFormat="1" applyFont="1" applyFill="1" applyBorder="1" applyAlignment="1"/>
    <xf numFmtId="172" fontId="12" fillId="8" borderId="5" xfId="4" applyNumberFormat="1" applyFont="1" applyFill="1" applyBorder="1"/>
    <xf numFmtId="164" fontId="12" fillId="8" borderId="5" xfId="4" applyNumberFormat="1" applyFont="1" applyFill="1" applyBorder="1"/>
    <xf numFmtId="168" fontId="7" fillId="6" borderId="10" xfId="8" applyNumberFormat="1" applyFont="1" applyFill="1" applyBorder="1" applyAlignment="1"/>
    <xf numFmtId="14" fontId="7" fillId="6" borderId="10" xfId="8" applyNumberFormat="1" applyFont="1" applyFill="1" applyBorder="1" applyAlignment="1">
      <alignment horizontal="left"/>
    </xf>
    <xf numFmtId="0" fontId="12" fillId="0" borderId="6" xfId="4" applyFont="1" applyBorder="1" applyAlignment="1">
      <alignment horizontal="left"/>
    </xf>
    <xf numFmtId="164" fontId="12" fillId="8" borderId="16" xfId="9" applyFont="1" applyFill="1" applyBorder="1" applyAlignment="1">
      <alignment horizontal="left"/>
    </xf>
    <xf numFmtId="169" fontId="4" fillId="3" borderId="5" xfId="2" applyNumberFormat="1" applyBorder="1" applyAlignment="1"/>
    <xf numFmtId="167" fontId="7" fillId="6" borderId="22" xfId="4" applyNumberFormat="1" applyFill="1" applyBorder="1" applyAlignment="1">
      <alignment horizontal="left"/>
    </xf>
    <xf numFmtId="14" fontId="7" fillId="6" borderId="8" xfId="4" applyNumberFormat="1" applyFill="1" applyBorder="1" applyAlignment="1">
      <alignment horizontal="left"/>
    </xf>
    <xf numFmtId="49" fontId="7" fillId="6" borderId="22" xfId="4" applyNumberFormat="1" applyFill="1" applyBorder="1" applyAlignment="1">
      <alignment horizontal="left"/>
    </xf>
    <xf numFmtId="0" fontId="12" fillId="0" borderId="0" xfId="4" applyFont="1" applyAlignment="1">
      <alignment horizontal="left"/>
    </xf>
    <xf numFmtId="167" fontId="7" fillId="6" borderId="17" xfId="4" applyNumberFormat="1" applyFill="1" applyBorder="1" applyAlignment="1">
      <alignment horizontal="left"/>
    </xf>
    <xf numFmtId="49" fontId="13" fillId="6" borderId="14" xfId="4" applyNumberFormat="1" applyFont="1" applyFill="1" applyBorder="1" applyAlignment="1">
      <alignment horizontal="left"/>
    </xf>
    <xf numFmtId="170" fontId="7" fillId="8" borderId="20" xfId="4" applyNumberFormat="1" applyFill="1" applyBorder="1"/>
    <xf numFmtId="168" fontId="7" fillId="6" borderId="12" xfId="11" applyNumberFormat="1" applyFont="1" applyFill="1" applyBorder="1" applyAlignment="1"/>
    <xf numFmtId="168" fontId="7" fillId="6" borderId="9" xfId="11" applyNumberFormat="1" applyFont="1" applyFill="1" applyBorder="1" applyAlignment="1"/>
    <xf numFmtId="169" fontId="7" fillId="13" borderId="12" xfId="8" applyNumberFormat="1" applyFont="1" applyFill="1" applyBorder="1" applyAlignment="1"/>
    <xf numFmtId="168" fontId="7" fillId="6" borderId="0" xfId="11" applyNumberFormat="1" applyFont="1" applyFill="1" applyBorder="1" applyAlignment="1"/>
    <xf numFmtId="169" fontId="7" fillId="13" borderId="0" xfId="8" applyNumberFormat="1" applyFont="1" applyFill="1" applyBorder="1" applyAlignment="1"/>
    <xf numFmtId="49" fontId="7" fillId="14" borderId="8" xfId="4" applyNumberFormat="1" applyFill="1" applyBorder="1" applyAlignment="1">
      <alignment horizontal="left"/>
    </xf>
    <xf numFmtId="167" fontId="12" fillId="0" borderId="11" xfId="4" applyNumberFormat="1" applyFont="1" applyBorder="1" applyAlignment="1">
      <alignment horizontal="left"/>
    </xf>
    <xf numFmtId="14" fontId="7" fillId="6" borderId="22" xfId="4" applyNumberFormat="1" applyFill="1" applyBorder="1" applyAlignment="1">
      <alignment horizontal="left"/>
    </xf>
    <xf numFmtId="170" fontId="7" fillId="6" borderId="17" xfId="4" applyNumberFormat="1" applyFill="1" applyBorder="1"/>
    <xf numFmtId="172" fontId="12" fillId="0" borderId="0" xfId="9" applyNumberFormat="1" applyFont="1" applyFill="1" applyBorder="1" applyAlignment="1">
      <alignment horizontal="left"/>
    </xf>
    <xf numFmtId="169" fontId="12" fillId="0" borderId="0" xfId="9" applyNumberFormat="1" applyFont="1" applyFill="1" applyBorder="1" applyAlignment="1"/>
    <xf numFmtId="164" fontId="12" fillId="0" borderId="0" xfId="9" applyFont="1" applyFill="1" applyBorder="1" applyAlignment="1">
      <alignment horizontal="left"/>
    </xf>
    <xf numFmtId="171" fontId="12" fillId="0" borderId="0" xfId="4" applyNumberFormat="1" applyFont="1"/>
    <xf numFmtId="43" fontId="12" fillId="0" borderId="5" xfId="4" applyNumberFormat="1" applyFont="1" applyBorder="1" applyAlignment="1">
      <alignment horizontal="left"/>
    </xf>
    <xf numFmtId="43" fontId="12" fillId="0" borderId="16" xfId="4" applyNumberFormat="1" applyFont="1" applyBorder="1" applyAlignment="1">
      <alignment horizontal="left"/>
    </xf>
    <xf numFmtId="164" fontId="12" fillId="8" borderId="23" xfId="9" applyFont="1" applyFill="1" applyBorder="1" applyAlignment="1"/>
    <xf numFmtId="0" fontId="7" fillId="0" borderId="24" xfId="4" applyBorder="1"/>
    <xf numFmtId="0" fontId="7" fillId="0" borderId="25" xfId="4" applyBorder="1"/>
    <xf numFmtId="43" fontId="7" fillId="0" borderId="25" xfId="4" applyNumberFormat="1" applyBorder="1"/>
    <xf numFmtId="0" fontId="7" fillId="0" borderId="26" xfId="4" applyBorder="1"/>
    <xf numFmtId="0" fontId="5" fillId="0" borderId="0" xfId="3" applyAlignment="1" applyProtection="1"/>
    <xf numFmtId="0" fontId="14" fillId="0" borderId="0" xfId="0" applyFont="1"/>
    <xf numFmtId="165" fontId="0" fillId="0" borderId="0" xfId="0" applyNumberFormat="1" applyFont="1" applyFill="1" applyAlignment="1">
      <alignment horizontal="right"/>
    </xf>
    <xf numFmtId="0" fontId="1" fillId="0" borderId="0" xfId="0" quotePrefix="1" applyFont="1" applyAlignment="1">
      <alignment horizontal="center"/>
    </xf>
    <xf numFmtId="43" fontId="6" fillId="0" borderId="3" xfId="3" applyNumberFormat="1" applyFont="1" applyBorder="1" applyAlignment="1" applyProtection="1">
      <alignment horizontal="center"/>
    </xf>
    <xf numFmtId="43" fontId="6" fillId="0" borderId="4" xfId="3" applyNumberFormat="1" applyFont="1" applyBorder="1" applyAlignment="1" applyProtection="1">
      <alignment horizontal="center"/>
    </xf>
    <xf numFmtId="43" fontId="11" fillId="0" borderId="3" xfId="3" applyNumberFormat="1" applyFont="1" applyBorder="1" applyAlignment="1" applyProtection="1">
      <alignment horizontal="center"/>
    </xf>
    <xf numFmtId="43" fontId="11" fillId="0" borderId="2" xfId="3" applyNumberFormat="1" applyFont="1" applyBorder="1" applyAlignment="1" applyProtection="1">
      <alignment horizontal="center"/>
    </xf>
    <xf numFmtId="43" fontId="11" fillId="0" borderId="4" xfId="3" applyNumberFormat="1" applyFont="1" applyBorder="1" applyAlignment="1" applyProtection="1">
      <alignment horizontal="center"/>
    </xf>
    <xf numFmtId="0" fontId="0" fillId="15" borderId="0" xfId="0" applyFill="1"/>
  </cellXfs>
  <cellStyles count="12">
    <cellStyle name="Bad" xfId="2" builtinId="27"/>
    <cellStyle name="Comma 11" xfId="6" xr:uid="{89A4630D-F221-40B8-BCD0-ED59816CF7C3}"/>
    <cellStyle name="Comma 2" xfId="5" xr:uid="{1F5011BF-DB4B-4562-8A5C-8202A63C12BC}"/>
    <cellStyle name="Comma 2 2 2 2" xfId="11" xr:uid="{C5BDA0C9-41CB-4ADD-8713-C175EFDC4CEC}"/>
    <cellStyle name="Comma 2 2 3" xfId="8" xr:uid="{ED8CF8BE-361A-473C-886D-04EE6D5B6A88}"/>
    <cellStyle name="Comma 4 2 2 2" xfId="7" xr:uid="{01B4F4D2-FBB1-49D2-92A7-168083F1502A}"/>
    <cellStyle name="Comma 5 3" xfId="9" xr:uid="{517C7744-725D-4AB6-9A3A-ABF80C984FA3}"/>
    <cellStyle name="Good" xfId="1" builtinId="26"/>
    <cellStyle name="Hyperlink" xfId="3" builtinId="8"/>
    <cellStyle name="Normal" xfId="0" builtinId="0"/>
    <cellStyle name="Normal 2 2" xfId="4" xr:uid="{42C8FAB5-B49B-4B1F-AF4A-741DD586C95B}"/>
    <cellStyle name="Normal 8" xfId="10" xr:uid="{52DEEBEB-3DE7-4581-92D2-3116F8B519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DSWIN2K\BOS\windows\TEMP\Accountants%20Time%20Saver%20Package%20Series%201%20V97\1.%20Rule%20of%2078%20Loan%20Amortizati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arious%20other%20files\Bates%20Weston%20-%20Standard%20Working%20Paper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ATA"/>
      <sheetName val="AMORT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 Sheet"/>
      <sheetName val="Working Papers Index"/>
      <sheetName val="Working Papers Index (2)"/>
      <sheetName val="Alterations &lt;A23&gt;"/>
      <sheetName val="File Storage Checklist &lt;A24&gt;"/>
      <sheetName val="Notes &lt;A28&gt;"/>
      <sheetName val="Notes &lt;A28&gt; (2)"/>
      <sheetName val="F A Lead Sch. &lt;E1&gt;"/>
      <sheetName val="F A Additons &lt;E6&gt;"/>
      <sheetName val="F A Disposals &lt;E7&gt;"/>
      <sheetName val="Debtors Lead Sch &lt;H1&gt; "/>
      <sheetName val="SL Control &lt;H50&gt;"/>
      <sheetName val="Bank Rec &lt;I6&gt;"/>
      <sheetName val="Bank Control &lt;I50&gt;"/>
      <sheetName val="Cash Account &lt;I60&gt; "/>
      <sheetName val="Simplex Cashbook Sum"/>
      <sheetName val="Simplex Payments"/>
      <sheetName val="Creditors Lead Sch &lt;J1&gt;"/>
      <sheetName val="Hire Purchase Summary &lt;J9&gt;"/>
      <sheetName val="Hire Purchase &lt;J9-1&gt;"/>
      <sheetName val="P L Control &lt;J50&gt;"/>
      <sheetName val="Capital Introduced &lt;L6&gt;"/>
      <sheetName val="Drawings Analysis &lt;L7&gt;"/>
      <sheetName val="Recon of wage cost to nom &lt;M7&gt;"/>
      <sheetName val="PAYE and Net Wages cont. &lt;M50&gt;"/>
      <sheetName val="Journal Adjustments &lt;N6&gt;"/>
      <sheetName val="VAT Turnover Rec &lt;O1&gt;"/>
      <sheetName val="VAT Control &lt;O50&gt;"/>
      <sheetName val="VAT Returns Summary &lt;O51&gt;"/>
      <sheetName val="Standard Working Paper"/>
      <sheetName val="Standard Working Paper (2)"/>
    </sheetNames>
    <sheetDataSet>
      <sheetData sheetId="0" refreshError="1">
        <row r="24">
          <cell r="H24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\..\..\MARI0001\2022\Year%20End\2618.06%20-%20Ord%20Minnett%20Portfolio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8C5FD-6EF6-48C7-86D5-61BA1CA94DD4}">
  <dimension ref="A1:H83"/>
  <sheetViews>
    <sheetView tabSelected="1" topLeftCell="A52" workbookViewId="0">
      <selection activeCell="B83" sqref="B83"/>
    </sheetView>
  </sheetViews>
  <sheetFormatPr defaultRowHeight="15" x14ac:dyDescent="0.25"/>
  <cols>
    <col min="1" max="1" width="53.7109375" customWidth="1"/>
    <col min="2" max="2" width="15.7109375" customWidth="1"/>
    <col min="3" max="3" width="5.7109375" customWidth="1"/>
    <col min="4" max="4" width="15.7109375" customWidth="1"/>
    <col min="5" max="5" width="5.7109375" customWidth="1"/>
    <col min="6" max="6" width="15.7109375" customWidth="1"/>
  </cols>
  <sheetData>
    <row r="1" spans="1:6" x14ac:dyDescent="0.25">
      <c r="A1" s="162" t="s">
        <v>0</v>
      </c>
      <c r="B1" s="162"/>
      <c r="C1" s="162"/>
      <c r="D1" s="162"/>
      <c r="E1" s="162"/>
      <c r="F1" s="162"/>
    </row>
    <row r="2" spans="1:6" x14ac:dyDescent="0.25">
      <c r="A2" s="162" t="s">
        <v>1</v>
      </c>
      <c r="B2" s="162"/>
      <c r="C2" s="162"/>
      <c r="D2" s="162"/>
      <c r="E2" s="162"/>
      <c r="F2" s="162"/>
    </row>
    <row r="3" spans="1:6" x14ac:dyDescent="0.25">
      <c r="A3" s="162" t="s">
        <v>2</v>
      </c>
      <c r="B3" s="162"/>
      <c r="C3" s="162"/>
      <c r="D3" s="162"/>
      <c r="E3" s="162"/>
      <c r="F3" s="162"/>
    </row>
    <row r="4" spans="1:6" x14ac:dyDescent="0.25">
      <c r="A4" s="1"/>
    </row>
    <row r="5" spans="1:6" x14ac:dyDescent="0.25">
      <c r="A5" s="4"/>
      <c r="B5" s="1" t="s">
        <v>3</v>
      </c>
      <c r="C5" s="1"/>
      <c r="D5" s="1" t="s">
        <v>65</v>
      </c>
      <c r="E5" s="1"/>
      <c r="F5" s="1" t="s">
        <v>64</v>
      </c>
    </row>
    <row r="6" spans="1:6" x14ac:dyDescent="0.25">
      <c r="A6" s="4"/>
      <c r="B6" s="1" t="s">
        <v>4</v>
      </c>
      <c r="C6" s="1"/>
      <c r="D6" s="1" t="s">
        <v>4</v>
      </c>
      <c r="E6" s="1"/>
      <c r="F6" s="1" t="s">
        <v>4</v>
      </c>
    </row>
    <row r="7" spans="1:6" x14ac:dyDescent="0.25">
      <c r="A7" s="2" t="s">
        <v>5</v>
      </c>
      <c r="B7" s="5"/>
      <c r="C7" s="5"/>
      <c r="D7" s="5"/>
      <c r="E7" s="5"/>
      <c r="F7" s="5"/>
    </row>
    <row r="8" spans="1:6" x14ac:dyDescent="0.25">
      <c r="A8" s="3" t="s">
        <v>6</v>
      </c>
      <c r="B8" s="4"/>
      <c r="C8" s="4"/>
      <c r="D8" s="4"/>
      <c r="E8" s="4"/>
      <c r="F8" s="4"/>
    </row>
    <row r="9" spans="1:6" x14ac:dyDescent="0.25">
      <c r="A9" s="6" t="s">
        <v>7</v>
      </c>
      <c r="B9" s="7">
        <v>167593.88</v>
      </c>
      <c r="C9" s="7"/>
      <c r="D9" s="7">
        <v>167593.88</v>
      </c>
      <c r="E9" s="7"/>
      <c r="F9" s="7">
        <f>D9-B9</f>
        <v>0</v>
      </c>
    </row>
    <row r="10" spans="1:6" x14ac:dyDescent="0.25">
      <c r="A10" s="6" t="s">
        <v>8</v>
      </c>
      <c r="B10" s="7">
        <v>300048.44</v>
      </c>
      <c r="C10" s="7"/>
      <c r="D10" s="7">
        <v>300048.44</v>
      </c>
      <c r="E10" s="7"/>
      <c r="F10" s="7">
        <f>D10-B10</f>
        <v>0</v>
      </c>
    </row>
    <row r="11" spans="1:6" x14ac:dyDescent="0.25">
      <c r="A11" s="4"/>
      <c r="B11" s="8">
        <f>SUM(B9:B10)</f>
        <v>467642.32</v>
      </c>
      <c r="C11" s="8"/>
      <c r="D11" s="8">
        <f>SUM(D9:D10)</f>
        <v>467642.32</v>
      </c>
      <c r="E11" s="9"/>
      <c r="F11" s="8">
        <f>SUM(F9:F10)</f>
        <v>0</v>
      </c>
    </row>
    <row r="12" spans="1:6" x14ac:dyDescent="0.25">
      <c r="A12" s="3" t="s">
        <v>9</v>
      </c>
      <c r="B12" s="4"/>
      <c r="C12" s="4"/>
      <c r="D12" s="4"/>
      <c r="E12" s="4"/>
      <c r="F12" s="4"/>
    </row>
    <row r="13" spans="1:6" x14ac:dyDescent="0.25">
      <c r="A13" s="6" t="s">
        <v>10</v>
      </c>
      <c r="B13" s="7">
        <v>108860.79</v>
      </c>
      <c r="C13" s="7"/>
      <c r="D13" s="7">
        <v>108860.79</v>
      </c>
      <c r="E13" s="7"/>
      <c r="F13" s="7">
        <f t="shared" ref="F13:F14" si="0">D13-B13</f>
        <v>0</v>
      </c>
    </row>
    <row r="14" spans="1:6" x14ac:dyDescent="0.25">
      <c r="A14" s="6" t="s">
        <v>11</v>
      </c>
      <c r="B14" s="7">
        <v>1.94</v>
      </c>
      <c r="C14" s="7"/>
      <c r="D14" s="7">
        <v>1.94</v>
      </c>
      <c r="E14" s="7"/>
      <c r="F14" s="7">
        <f t="shared" si="0"/>
        <v>0</v>
      </c>
    </row>
    <row r="15" spans="1:6" x14ac:dyDescent="0.25">
      <c r="A15" s="4"/>
      <c r="B15" s="8">
        <f>SUM(B13:B14)</f>
        <v>108862.73</v>
      </c>
      <c r="C15" s="8"/>
      <c r="D15" s="8">
        <f>SUM(D13:D14)</f>
        <v>108862.73</v>
      </c>
      <c r="E15" s="9"/>
      <c r="F15" s="8">
        <f>SUM(F13:F14)</f>
        <v>0</v>
      </c>
    </row>
    <row r="16" spans="1:6" x14ac:dyDescent="0.25">
      <c r="A16" s="3" t="s">
        <v>12</v>
      </c>
      <c r="B16" s="10">
        <f>B11+B15</f>
        <v>576505.05000000005</v>
      </c>
      <c r="C16" s="10"/>
      <c r="D16" s="10">
        <f>D11+D15</f>
        <v>576505.05000000005</v>
      </c>
      <c r="E16" s="11"/>
      <c r="F16" s="10">
        <f>F11+F15</f>
        <v>0</v>
      </c>
    </row>
    <row r="17" spans="1:8" x14ac:dyDescent="0.25">
      <c r="A17" s="3" t="s">
        <v>13</v>
      </c>
      <c r="B17" s="4"/>
      <c r="C17" s="4"/>
      <c r="D17" s="4"/>
      <c r="E17" s="4"/>
      <c r="F17" s="4"/>
    </row>
    <row r="18" spans="1:8" x14ac:dyDescent="0.25">
      <c r="A18" s="3" t="s">
        <v>14</v>
      </c>
      <c r="B18" s="4"/>
      <c r="C18" s="4"/>
      <c r="D18" s="4"/>
      <c r="E18" s="4"/>
      <c r="F18" s="4"/>
    </row>
    <row r="19" spans="1:8" x14ac:dyDescent="0.25">
      <c r="A19" s="6" t="s">
        <v>15</v>
      </c>
      <c r="B19" s="7">
        <v>355010.04</v>
      </c>
      <c r="C19" s="7"/>
      <c r="D19" s="7">
        <v>355010.04</v>
      </c>
      <c r="E19" s="7"/>
      <c r="F19" s="7">
        <f>D19-B19</f>
        <v>0</v>
      </c>
    </row>
    <row r="20" spans="1:8" x14ac:dyDescent="0.25">
      <c r="A20" s="4"/>
      <c r="B20" s="8">
        <f>B19</f>
        <v>355010.04</v>
      </c>
      <c r="C20" s="8"/>
      <c r="D20" s="8">
        <f>D19</f>
        <v>355010.04</v>
      </c>
      <c r="E20" s="9"/>
      <c r="F20" s="8">
        <f>F19</f>
        <v>0</v>
      </c>
    </row>
    <row r="21" spans="1:8" x14ac:dyDescent="0.25">
      <c r="A21" s="3" t="s">
        <v>16</v>
      </c>
      <c r="B21" s="4"/>
      <c r="C21" s="4"/>
      <c r="D21" s="4"/>
      <c r="E21" s="4"/>
      <c r="F21" s="4"/>
    </row>
    <row r="22" spans="1:8" x14ac:dyDescent="0.25">
      <c r="A22" s="6" t="s">
        <v>17</v>
      </c>
      <c r="B22" s="7">
        <v>837802.1</v>
      </c>
      <c r="C22" s="7"/>
      <c r="D22" s="7">
        <f>'Investments Held - Bell Potter'!H636</f>
        <v>301530.5</v>
      </c>
      <c r="E22" s="7"/>
      <c r="F22" s="7">
        <f t="shared" ref="F22:F46" si="1">D22-B22</f>
        <v>-536271.6</v>
      </c>
    </row>
    <row r="23" spans="1:8" x14ac:dyDescent="0.25">
      <c r="A23" s="6" t="s">
        <v>18</v>
      </c>
      <c r="B23" s="7">
        <v>986350.23</v>
      </c>
      <c r="C23" s="7"/>
      <c r="D23" s="7">
        <v>984183.24</v>
      </c>
      <c r="E23" s="7"/>
      <c r="F23" s="7">
        <f t="shared" si="1"/>
        <v>-2166.9899999999907</v>
      </c>
      <c r="H23" s="159" t="s">
        <v>235</v>
      </c>
    </row>
    <row r="24" spans="1:8" x14ac:dyDescent="0.25">
      <c r="A24" s="6" t="s">
        <v>19</v>
      </c>
      <c r="B24" s="4"/>
      <c r="C24" s="4"/>
      <c r="D24" s="4"/>
      <c r="E24" s="7"/>
      <c r="F24" s="7">
        <f t="shared" si="1"/>
        <v>0</v>
      </c>
    </row>
    <row r="25" spans="1:8" x14ac:dyDescent="0.25">
      <c r="A25" s="6" t="s">
        <v>20</v>
      </c>
      <c r="B25" s="7">
        <v>289615.45</v>
      </c>
      <c r="C25" s="7"/>
      <c r="D25" s="161">
        <f>0.62*700000</f>
        <v>434000</v>
      </c>
      <c r="E25" s="7"/>
      <c r="F25" s="7">
        <f t="shared" si="1"/>
        <v>144384.54999999999</v>
      </c>
      <c r="H25" s="160" t="s">
        <v>238</v>
      </c>
    </row>
    <row r="26" spans="1:8" x14ac:dyDescent="0.25">
      <c r="A26" s="6" t="s">
        <v>21</v>
      </c>
      <c r="B26" s="7">
        <v>-87475.31</v>
      </c>
      <c r="C26" s="7"/>
      <c r="D26" s="7">
        <v>0</v>
      </c>
      <c r="E26" s="7"/>
      <c r="F26" s="7">
        <f t="shared" si="1"/>
        <v>87475.31</v>
      </c>
    </row>
    <row r="27" spans="1:8" x14ac:dyDescent="0.25">
      <c r="A27" s="6" t="s">
        <v>22</v>
      </c>
      <c r="B27" s="7">
        <v>100000</v>
      </c>
      <c r="C27" s="7"/>
      <c r="D27" s="161">
        <v>0</v>
      </c>
      <c r="E27" s="7"/>
      <c r="F27" s="7">
        <f t="shared" si="1"/>
        <v>-100000</v>
      </c>
      <c r="H27" s="160" t="s">
        <v>238</v>
      </c>
    </row>
    <row r="28" spans="1:8" x14ac:dyDescent="0.25">
      <c r="A28" s="6" t="s">
        <v>23</v>
      </c>
      <c r="B28" s="7">
        <v>500000</v>
      </c>
      <c r="C28" s="7"/>
      <c r="D28" s="161">
        <v>500000</v>
      </c>
      <c r="E28" s="4"/>
      <c r="F28" s="7">
        <f t="shared" si="1"/>
        <v>0</v>
      </c>
      <c r="H28" s="160" t="s">
        <v>238</v>
      </c>
    </row>
    <row r="29" spans="1:8" x14ac:dyDescent="0.25">
      <c r="A29" s="6" t="s">
        <v>24</v>
      </c>
      <c r="B29" s="7">
        <v>1192500</v>
      </c>
      <c r="C29" s="7"/>
      <c r="D29" s="161">
        <v>1192500</v>
      </c>
      <c r="E29" s="4"/>
      <c r="F29" s="7">
        <f t="shared" si="1"/>
        <v>0</v>
      </c>
      <c r="H29" s="160" t="s">
        <v>238</v>
      </c>
    </row>
    <row r="30" spans="1:8" x14ac:dyDescent="0.25">
      <c r="A30" s="6" t="s">
        <v>25</v>
      </c>
      <c r="B30" s="7">
        <v>200000</v>
      </c>
      <c r="C30" s="7"/>
      <c r="D30" s="7">
        <v>200000</v>
      </c>
      <c r="E30" s="7"/>
      <c r="F30" s="7">
        <f t="shared" si="1"/>
        <v>0</v>
      </c>
    </row>
    <row r="31" spans="1:8" x14ac:dyDescent="0.25">
      <c r="A31" s="6" t="s">
        <v>26</v>
      </c>
      <c r="B31" s="7">
        <v>400000</v>
      </c>
      <c r="C31" s="7"/>
      <c r="D31" s="7">
        <v>400000</v>
      </c>
      <c r="E31" s="4"/>
      <c r="F31" s="7">
        <f t="shared" si="1"/>
        <v>0</v>
      </c>
    </row>
    <row r="32" spans="1:8" x14ac:dyDescent="0.25">
      <c r="A32" s="6" t="s">
        <v>27</v>
      </c>
      <c r="B32" s="7">
        <v>1000000</v>
      </c>
      <c r="C32" s="7"/>
      <c r="D32" s="7">
        <f>17681729*0.095012</f>
        <v>1679976.4357479999</v>
      </c>
      <c r="E32" s="7"/>
      <c r="F32" s="7">
        <f t="shared" si="1"/>
        <v>679976.43574799993</v>
      </c>
      <c r="H32" s="160" t="s">
        <v>240</v>
      </c>
    </row>
    <row r="33" spans="1:8" x14ac:dyDescent="0.25">
      <c r="A33" s="6" t="s">
        <v>28</v>
      </c>
      <c r="B33" s="4"/>
      <c r="C33" s="4"/>
      <c r="D33" s="4"/>
      <c r="E33" s="7"/>
      <c r="F33" s="7">
        <f t="shared" si="1"/>
        <v>0</v>
      </c>
    </row>
    <row r="34" spans="1:8" x14ac:dyDescent="0.25">
      <c r="A34" s="6" t="s">
        <v>29</v>
      </c>
      <c r="B34" s="4"/>
      <c r="C34" s="4"/>
      <c r="D34" s="4"/>
      <c r="E34" s="7"/>
      <c r="F34" s="7">
        <f t="shared" si="1"/>
        <v>0</v>
      </c>
    </row>
    <row r="35" spans="1:8" x14ac:dyDescent="0.25">
      <c r="A35" s="6" t="s">
        <v>30</v>
      </c>
      <c r="B35" s="4"/>
      <c r="C35" s="4"/>
      <c r="D35" s="4"/>
      <c r="E35" s="7"/>
      <c r="F35" s="7">
        <f t="shared" si="1"/>
        <v>0</v>
      </c>
    </row>
    <row r="36" spans="1:8" x14ac:dyDescent="0.25">
      <c r="A36" s="6" t="s">
        <v>31</v>
      </c>
      <c r="B36" s="7">
        <v>656432.37</v>
      </c>
      <c r="C36" s="7"/>
      <c r="D36" s="161">
        <f>8.8402*424560</f>
        <v>3753195.3119999999</v>
      </c>
      <c r="E36" s="4"/>
      <c r="F36" s="7">
        <f t="shared" si="1"/>
        <v>3096762.9419999998</v>
      </c>
      <c r="H36" s="160" t="s">
        <v>239</v>
      </c>
    </row>
    <row r="37" spans="1:8" x14ac:dyDescent="0.25">
      <c r="A37" s="6" t="s">
        <v>32</v>
      </c>
      <c r="B37" s="7">
        <v>150000</v>
      </c>
      <c r="C37" s="7"/>
      <c r="D37" s="7">
        <f>5.4*47526</f>
        <v>256640.40000000002</v>
      </c>
      <c r="E37" s="7"/>
      <c r="F37" s="7">
        <f t="shared" si="1"/>
        <v>106640.40000000002</v>
      </c>
      <c r="H37" s="160" t="s">
        <v>237</v>
      </c>
    </row>
    <row r="38" spans="1:8" x14ac:dyDescent="0.25">
      <c r="A38" s="6" t="s">
        <v>33</v>
      </c>
      <c r="B38" s="4"/>
      <c r="C38" s="4"/>
      <c r="D38" s="4"/>
      <c r="E38" s="7"/>
      <c r="F38" s="7">
        <f t="shared" si="1"/>
        <v>0</v>
      </c>
    </row>
    <row r="39" spans="1:8" x14ac:dyDescent="0.25">
      <c r="A39" s="6" t="s">
        <v>34</v>
      </c>
      <c r="B39" s="7">
        <v>276307.51</v>
      </c>
      <c r="C39" s="7"/>
      <c r="D39" s="161">
        <f>1.39*300000</f>
        <v>416999.99999999994</v>
      </c>
      <c r="E39" s="7"/>
      <c r="F39" s="7">
        <f t="shared" si="1"/>
        <v>140692.48999999993</v>
      </c>
      <c r="H39" s="160" t="s">
        <v>238</v>
      </c>
    </row>
    <row r="40" spans="1:8" x14ac:dyDescent="0.25">
      <c r="A40" s="6" t="s">
        <v>35</v>
      </c>
      <c r="B40" s="4"/>
      <c r="C40" s="4"/>
      <c r="D40" s="4"/>
      <c r="E40" s="7"/>
      <c r="F40" s="7">
        <f t="shared" si="1"/>
        <v>0</v>
      </c>
    </row>
    <row r="41" spans="1:8" x14ac:dyDescent="0.25">
      <c r="A41" s="6" t="s">
        <v>36</v>
      </c>
      <c r="B41" s="4"/>
      <c r="C41" s="4"/>
      <c r="D41" s="4"/>
      <c r="E41" s="7"/>
      <c r="F41" s="7">
        <f t="shared" si="1"/>
        <v>0</v>
      </c>
    </row>
    <row r="42" spans="1:8" x14ac:dyDescent="0.25">
      <c r="A42" s="6" t="s">
        <v>37</v>
      </c>
      <c r="B42" s="4"/>
      <c r="C42" s="4"/>
      <c r="D42" s="4"/>
      <c r="E42" s="7"/>
      <c r="F42" s="7">
        <f t="shared" si="1"/>
        <v>0</v>
      </c>
    </row>
    <row r="43" spans="1:8" x14ac:dyDescent="0.25">
      <c r="A43" s="6" t="s">
        <v>38</v>
      </c>
      <c r="B43" s="7">
        <v>50160</v>
      </c>
      <c r="C43" s="7"/>
      <c r="D43" s="7">
        <f>500*400</f>
        <v>200000</v>
      </c>
      <c r="E43" s="7"/>
      <c r="F43" s="7">
        <f t="shared" si="1"/>
        <v>149840</v>
      </c>
      <c r="H43" s="160" t="s">
        <v>236</v>
      </c>
    </row>
    <row r="44" spans="1:8" x14ac:dyDescent="0.25">
      <c r="A44" s="6" t="s">
        <v>39</v>
      </c>
      <c r="B44" s="7">
        <v>1300000</v>
      </c>
      <c r="C44" s="7"/>
      <c r="D44" s="7">
        <f>1300000*0.972</f>
        <v>1263600</v>
      </c>
      <c r="E44" s="4"/>
      <c r="F44" s="7">
        <f t="shared" si="1"/>
        <v>-36400</v>
      </c>
      <c r="H44" s="160" t="s">
        <v>238</v>
      </c>
    </row>
    <row r="45" spans="1:8" x14ac:dyDescent="0.25">
      <c r="A45" s="6" t="s">
        <v>40</v>
      </c>
      <c r="B45" s="7">
        <v>400000</v>
      </c>
      <c r="C45" s="7"/>
      <c r="D45" s="7">
        <v>400000</v>
      </c>
      <c r="E45" s="4"/>
      <c r="F45" s="7">
        <f t="shared" si="1"/>
        <v>0</v>
      </c>
      <c r="H45" s="160" t="s">
        <v>238</v>
      </c>
    </row>
    <row r="46" spans="1:8" x14ac:dyDescent="0.25">
      <c r="A46" s="6" t="s">
        <v>41</v>
      </c>
      <c r="B46" s="7">
        <v>105000</v>
      </c>
      <c r="C46" s="7"/>
      <c r="D46" s="7">
        <v>105000</v>
      </c>
      <c r="E46" s="4"/>
      <c r="F46" s="7">
        <f t="shared" si="1"/>
        <v>0</v>
      </c>
    </row>
    <row r="47" spans="1:8" x14ac:dyDescent="0.25">
      <c r="A47" s="4"/>
      <c r="B47" s="8">
        <f>SUM(B22:B46)</f>
        <v>8356692.3500000006</v>
      </c>
      <c r="C47" s="8"/>
      <c r="D47" s="8">
        <f>SUM(D22:D46)</f>
        <v>12087625.887748001</v>
      </c>
      <c r="E47" s="9"/>
      <c r="F47" s="8">
        <f>SUM(F22:F46)</f>
        <v>3730933.5377479997</v>
      </c>
    </row>
    <row r="48" spans="1:8" x14ac:dyDescent="0.25">
      <c r="A48" s="3" t="s">
        <v>42</v>
      </c>
      <c r="B48" s="10">
        <f>B20+B47</f>
        <v>8711702.3900000006</v>
      </c>
      <c r="C48" s="10"/>
      <c r="D48" s="10">
        <f>D20+D47</f>
        <v>12442635.927748</v>
      </c>
      <c r="E48" s="11"/>
      <c r="F48" s="10">
        <f>F20+F47</f>
        <v>3730933.5377479997</v>
      </c>
    </row>
    <row r="49" spans="1:6" x14ac:dyDescent="0.25">
      <c r="A49" s="3" t="s">
        <v>43</v>
      </c>
      <c r="B49" s="10">
        <f>B16+B48</f>
        <v>9288207.4400000013</v>
      </c>
      <c r="C49" s="10"/>
      <c r="D49" s="10">
        <f>D16+D48</f>
        <v>13019140.977748001</v>
      </c>
      <c r="E49" s="11"/>
      <c r="F49" s="10">
        <f>F16+F48</f>
        <v>3730933.5377479997</v>
      </c>
    </row>
    <row r="50" spans="1:6" x14ac:dyDescent="0.25">
      <c r="A50" s="3"/>
      <c r="B50" s="11"/>
      <c r="C50" s="11"/>
      <c r="D50" s="11"/>
      <c r="E50" s="11"/>
      <c r="F50" s="11"/>
    </row>
    <row r="51" spans="1:6" x14ac:dyDescent="0.25">
      <c r="A51" s="3" t="s">
        <v>44</v>
      </c>
      <c r="B51" s="4"/>
      <c r="C51" s="4"/>
      <c r="D51" s="4"/>
      <c r="E51" s="4"/>
      <c r="F51" s="4"/>
    </row>
    <row r="52" spans="1:6" x14ac:dyDescent="0.25">
      <c r="A52" s="3" t="s">
        <v>45</v>
      </c>
      <c r="B52" s="4"/>
      <c r="C52" s="4"/>
      <c r="D52" s="4"/>
      <c r="E52" s="4"/>
      <c r="F52" s="4"/>
    </row>
    <row r="53" spans="1:6" x14ac:dyDescent="0.25">
      <c r="A53" s="3" t="s">
        <v>46</v>
      </c>
      <c r="B53" s="4"/>
      <c r="C53" s="4"/>
      <c r="D53" s="4"/>
      <c r="E53" s="4"/>
      <c r="F53" s="4"/>
    </row>
    <row r="54" spans="1:6" x14ac:dyDescent="0.25">
      <c r="A54" s="6" t="s">
        <v>47</v>
      </c>
      <c r="B54" s="7">
        <v>7745.1</v>
      </c>
      <c r="C54" s="7"/>
      <c r="D54" s="7">
        <v>7745.1</v>
      </c>
      <c r="E54" s="4"/>
      <c r="F54" s="7">
        <f>D54-B54</f>
        <v>0</v>
      </c>
    </row>
    <row r="55" spans="1:6" x14ac:dyDescent="0.25">
      <c r="A55" s="4"/>
      <c r="B55" s="8">
        <f>B54</f>
        <v>7745.1</v>
      </c>
      <c r="C55" s="9"/>
      <c r="D55" s="8">
        <f>D54</f>
        <v>7745.1</v>
      </c>
      <c r="E55" s="4"/>
      <c r="F55" s="8">
        <f>F54</f>
        <v>0</v>
      </c>
    </row>
    <row r="56" spans="1:6" x14ac:dyDescent="0.25">
      <c r="A56" s="3" t="s">
        <v>48</v>
      </c>
      <c r="B56" s="4"/>
      <c r="C56" s="4"/>
      <c r="D56" s="4"/>
      <c r="E56" s="4"/>
      <c r="F56" s="4"/>
    </row>
    <row r="57" spans="1:6" x14ac:dyDescent="0.25">
      <c r="A57" s="3" t="s">
        <v>46</v>
      </c>
      <c r="B57" s="4"/>
      <c r="C57" s="4"/>
      <c r="D57" s="4"/>
      <c r="E57" s="4"/>
      <c r="F57" s="4"/>
    </row>
    <row r="58" spans="1:6" x14ac:dyDescent="0.25">
      <c r="A58" s="6" t="s">
        <v>49</v>
      </c>
      <c r="B58" s="7">
        <v>1170708.2</v>
      </c>
      <c r="C58" s="7"/>
      <c r="D58" s="7">
        <v>1170708.2</v>
      </c>
      <c r="E58" s="7"/>
      <c r="F58" s="7">
        <f t="shared" ref="F58:F59" si="2">D58-B58</f>
        <v>0</v>
      </c>
    </row>
    <row r="59" spans="1:6" x14ac:dyDescent="0.25">
      <c r="A59" s="6" t="s">
        <v>50</v>
      </c>
      <c r="B59" s="7">
        <v>190907.78</v>
      </c>
      <c r="C59" s="7"/>
      <c r="D59" s="7">
        <v>190907.78</v>
      </c>
      <c r="E59" s="7"/>
      <c r="F59" s="7">
        <f t="shared" si="2"/>
        <v>0</v>
      </c>
    </row>
    <row r="60" spans="1:6" x14ac:dyDescent="0.25">
      <c r="A60" s="4"/>
      <c r="B60" s="8">
        <f>SUM(B58:B59)</f>
        <v>1361615.98</v>
      </c>
      <c r="C60" s="8"/>
      <c r="D60" s="8">
        <f>SUM(D58:D59)</f>
        <v>1361615.98</v>
      </c>
      <c r="E60" s="9"/>
      <c r="F60" s="8">
        <f>SUM(F58:F59)</f>
        <v>0</v>
      </c>
    </row>
    <row r="61" spans="1:6" x14ac:dyDescent="0.25">
      <c r="A61" s="3" t="s">
        <v>51</v>
      </c>
      <c r="B61" s="4"/>
      <c r="C61" s="4"/>
      <c r="D61" s="4"/>
      <c r="E61" s="4"/>
      <c r="F61" s="4"/>
    </row>
    <row r="62" spans="1:6" x14ac:dyDescent="0.25">
      <c r="A62" s="6" t="s">
        <v>52</v>
      </c>
      <c r="B62" s="4"/>
      <c r="C62" s="4"/>
      <c r="D62" s="4"/>
      <c r="E62" s="7"/>
      <c r="F62" s="7">
        <f>D62-B62</f>
        <v>0</v>
      </c>
    </row>
    <row r="63" spans="1:6" x14ac:dyDescent="0.25">
      <c r="A63" s="4"/>
      <c r="B63" s="4"/>
      <c r="C63" s="4"/>
      <c r="D63" s="4"/>
      <c r="E63" s="9"/>
      <c r="F63" s="4"/>
    </row>
    <row r="64" spans="1:6" x14ac:dyDescent="0.25">
      <c r="A64" s="3" t="s">
        <v>53</v>
      </c>
      <c r="B64" s="10">
        <f>B55+B60+B63</f>
        <v>1369361.08</v>
      </c>
      <c r="C64" s="10"/>
      <c r="D64" s="10">
        <f>D55+D60+D63</f>
        <v>1369361.08</v>
      </c>
      <c r="E64" s="11"/>
      <c r="F64" s="10">
        <f>F55+F60+F63</f>
        <v>0</v>
      </c>
    </row>
    <row r="65" spans="1:6" x14ac:dyDescent="0.25">
      <c r="A65" s="3"/>
      <c r="B65" s="11"/>
      <c r="C65" s="11"/>
      <c r="D65" s="11"/>
      <c r="E65" s="11"/>
      <c r="F65" s="11"/>
    </row>
    <row r="66" spans="1:6" x14ac:dyDescent="0.25">
      <c r="A66" s="3" t="s">
        <v>54</v>
      </c>
      <c r="B66" s="4"/>
      <c r="C66" s="4"/>
      <c r="D66" s="4"/>
      <c r="E66" s="4"/>
      <c r="F66" s="4"/>
    </row>
    <row r="67" spans="1:6" x14ac:dyDescent="0.25">
      <c r="A67" s="3" t="s">
        <v>48</v>
      </c>
      <c r="B67" s="4"/>
      <c r="C67" s="4"/>
      <c r="D67" s="4"/>
      <c r="E67" s="4"/>
      <c r="F67" s="4"/>
    </row>
    <row r="68" spans="1:6" x14ac:dyDescent="0.25">
      <c r="A68" s="3" t="s">
        <v>55</v>
      </c>
      <c r="B68" s="4"/>
      <c r="C68" s="4"/>
      <c r="D68" s="4"/>
      <c r="E68" s="4"/>
      <c r="F68" s="4"/>
    </row>
    <row r="69" spans="1:6" x14ac:dyDescent="0.25">
      <c r="A69" s="6" t="s">
        <v>56</v>
      </c>
      <c r="B69" s="7">
        <v>595146.6</v>
      </c>
      <c r="C69" s="7"/>
      <c r="D69" s="7">
        <v>595146.6</v>
      </c>
      <c r="E69" s="7"/>
      <c r="F69" s="7">
        <f>D69-B69</f>
        <v>0</v>
      </c>
    </row>
    <row r="70" spans="1:6" x14ac:dyDescent="0.25">
      <c r="A70" s="6" t="s">
        <v>57</v>
      </c>
      <c r="B70" s="4"/>
      <c r="C70" s="4"/>
      <c r="D70" s="4"/>
      <c r="E70" s="7"/>
      <c r="F70" s="7">
        <f>D70-B70</f>
        <v>0</v>
      </c>
    </row>
    <row r="71" spans="1:6" x14ac:dyDescent="0.25">
      <c r="A71" s="4"/>
      <c r="B71" s="8">
        <f>SUM(B69:B70)</f>
        <v>595146.6</v>
      </c>
      <c r="C71" s="8"/>
      <c r="D71" s="8">
        <f>SUM(D69:D70)</f>
        <v>595146.6</v>
      </c>
      <c r="E71" s="9"/>
      <c r="F71" s="8">
        <f>SUM(F69:F70)</f>
        <v>0</v>
      </c>
    </row>
    <row r="72" spans="1:6" x14ac:dyDescent="0.25">
      <c r="A72" s="3" t="s">
        <v>58</v>
      </c>
      <c r="B72" s="10">
        <f>B71</f>
        <v>595146.6</v>
      </c>
      <c r="C72" s="10"/>
      <c r="D72" s="10">
        <f>D71</f>
        <v>595146.6</v>
      </c>
      <c r="E72" s="11"/>
      <c r="F72" s="10">
        <f>F71</f>
        <v>0</v>
      </c>
    </row>
    <row r="73" spans="1:6" x14ac:dyDescent="0.25">
      <c r="A73" s="3" t="s">
        <v>59</v>
      </c>
      <c r="B73" s="10">
        <f>B64+B72</f>
        <v>1964507.6800000002</v>
      </c>
      <c r="C73" s="10"/>
      <c r="D73" s="10">
        <f>D64+D72</f>
        <v>1964507.6800000002</v>
      </c>
      <c r="E73" s="11"/>
      <c r="F73" s="10">
        <f>F64+F72</f>
        <v>0</v>
      </c>
    </row>
    <row r="74" spans="1:6" x14ac:dyDescent="0.25">
      <c r="A74" s="3"/>
      <c r="B74" s="10"/>
      <c r="C74" s="10"/>
      <c r="D74" s="10"/>
      <c r="E74" s="11"/>
      <c r="F74" s="10"/>
    </row>
    <row r="75" spans="1:6" x14ac:dyDescent="0.25">
      <c r="A75" s="3" t="s">
        <v>60</v>
      </c>
      <c r="B75" s="10">
        <f>B49-B73</f>
        <v>7323699.7600000016</v>
      </c>
      <c r="C75" s="10"/>
      <c r="D75" s="10">
        <f>D49-D73</f>
        <v>11054633.297748001</v>
      </c>
      <c r="E75" s="11"/>
      <c r="F75" s="10">
        <f>F49-F73</f>
        <v>3730933.5377479997</v>
      </c>
    </row>
    <row r="76" spans="1:6" x14ac:dyDescent="0.25">
      <c r="A76" s="3"/>
      <c r="B76" s="11"/>
      <c r="C76" s="11"/>
      <c r="D76" s="11"/>
      <c r="E76" s="11"/>
      <c r="F76" s="11"/>
    </row>
    <row r="77" spans="1:6" x14ac:dyDescent="0.25">
      <c r="A77" s="3" t="s">
        <v>61</v>
      </c>
      <c r="B77" s="4"/>
      <c r="C77" s="4"/>
      <c r="D77" s="4"/>
      <c r="E77" s="4"/>
      <c r="F77" s="4"/>
    </row>
    <row r="78" spans="1:6" x14ac:dyDescent="0.25">
      <c r="A78" s="6" t="s">
        <v>62</v>
      </c>
      <c r="B78" s="7">
        <v>7323699.7599999998</v>
      </c>
      <c r="C78" s="7"/>
      <c r="D78" s="7">
        <v>7323699.7599999998</v>
      </c>
      <c r="E78" s="7"/>
      <c r="F78" s="7">
        <f>D78-B78</f>
        <v>0</v>
      </c>
    </row>
    <row r="79" spans="1:6" x14ac:dyDescent="0.25">
      <c r="A79" s="6" t="s">
        <v>66</v>
      </c>
      <c r="B79" s="7"/>
      <c r="C79" s="7"/>
      <c r="D79" s="7">
        <f>F75</f>
        <v>3730933.5377479997</v>
      </c>
      <c r="E79" s="6"/>
      <c r="F79" s="7">
        <f t="shared" ref="F79" si="3">D79-B79</f>
        <v>3730933.5377479997</v>
      </c>
    </row>
    <row r="80" spans="1:6" x14ac:dyDescent="0.25">
      <c r="A80" s="3" t="s">
        <v>63</v>
      </c>
      <c r="B80" s="10">
        <f>SUM(B78:B79)</f>
        <v>7323699.7599999998</v>
      </c>
      <c r="C80" s="10"/>
      <c r="D80" s="10">
        <f>SUM(D78:D79)</f>
        <v>11054633.297747999</v>
      </c>
      <c r="E80" s="11"/>
      <c r="F80" s="10">
        <f>SUM(F78:F79)</f>
        <v>3730933.5377479997</v>
      </c>
    </row>
    <row r="82" spans="1:6" x14ac:dyDescent="0.25">
      <c r="A82" s="12" t="s">
        <v>67</v>
      </c>
      <c r="D82" s="13">
        <v>7323699.7599999998</v>
      </c>
    </row>
    <row r="83" spans="1:6" x14ac:dyDescent="0.25">
      <c r="A83" s="12" t="s">
        <v>68</v>
      </c>
      <c r="D83" s="14">
        <f>D80/D82</f>
        <v>1.5094328904804803</v>
      </c>
      <c r="F83" s="168"/>
    </row>
  </sheetData>
  <mergeCells count="3">
    <mergeCell ref="A1:F1"/>
    <mergeCell ref="A2:F2"/>
    <mergeCell ref="A3:F3"/>
  </mergeCells>
  <hyperlinks>
    <hyperlink ref="H23" r:id="rId1" xr:uid="{D4954D62-DA6F-4C2C-9CBD-6CCB51DBD2AA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89658-8995-4184-80C2-F09CE45CB62F}">
  <dimension ref="A1:S648"/>
  <sheetViews>
    <sheetView topLeftCell="A607" zoomScale="90" zoomScaleNormal="90" workbookViewId="0">
      <selection activeCell="P636" sqref="P636"/>
    </sheetView>
  </sheetViews>
  <sheetFormatPr defaultRowHeight="12.75" x14ac:dyDescent="0.2"/>
  <cols>
    <col min="1" max="1" width="40.7109375" style="16" bestFit="1" customWidth="1"/>
    <col min="2" max="2" width="12.85546875" style="16" bestFit="1" customWidth="1"/>
    <col min="3" max="7" width="13.7109375" style="16" customWidth="1"/>
    <col min="8" max="8" width="16.7109375" style="16" customWidth="1"/>
    <col min="9" max="9" width="11.85546875" style="16" bestFit="1" customWidth="1"/>
    <col min="10" max="10" width="11.7109375" style="16" customWidth="1"/>
    <col min="11" max="11" width="12.7109375" style="16" bestFit="1" customWidth="1"/>
    <col min="12" max="12" width="12.7109375" style="16" customWidth="1"/>
    <col min="13" max="13" width="13.7109375" style="16" customWidth="1"/>
    <col min="14" max="14" width="30" style="16" bestFit="1" customWidth="1"/>
    <col min="15" max="15" width="13.7109375" style="16" customWidth="1"/>
    <col min="16" max="16" width="14.5703125" style="16" bestFit="1" customWidth="1"/>
    <col min="17" max="19" width="13.7109375" style="16" customWidth="1"/>
    <col min="20" max="20" width="9.140625" style="16"/>
    <col min="21" max="21" width="10" style="16" customWidth="1"/>
    <col min="22" max="256" width="9.140625" style="16"/>
    <col min="257" max="257" width="20.5703125" style="16" customWidth="1"/>
    <col min="258" max="258" width="11" style="16" bestFit="1" customWidth="1"/>
    <col min="259" max="259" width="12" style="16" bestFit="1" customWidth="1"/>
    <col min="260" max="260" width="16.5703125" style="16" bestFit="1" customWidth="1"/>
    <col min="261" max="261" width="11.85546875" style="16" bestFit="1" customWidth="1"/>
    <col min="262" max="262" width="13.85546875" style="16" bestFit="1" customWidth="1"/>
    <col min="263" max="264" width="13.85546875" style="16" customWidth="1"/>
    <col min="265" max="265" width="4.5703125" style="16" customWidth="1"/>
    <col min="266" max="266" width="11" style="16" bestFit="1" customWidth="1"/>
    <col min="267" max="267" width="9.140625" style="16"/>
    <col min="268" max="268" width="11.28515625" style="16" customWidth="1"/>
    <col min="269" max="269" width="15.5703125" style="16" bestFit="1" customWidth="1"/>
    <col min="270" max="270" width="10.5703125" style="16" customWidth="1"/>
    <col min="271" max="271" width="15.140625" style="16" bestFit="1" customWidth="1"/>
    <col min="272" max="272" width="13.85546875" style="16" bestFit="1" customWidth="1"/>
    <col min="273" max="273" width="12.85546875" style="16" bestFit="1" customWidth="1"/>
    <col min="274" max="274" width="13.85546875" style="16" bestFit="1" customWidth="1"/>
    <col min="275" max="275" width="13.5703125" style="16" bestFit="1" customWidth="1"/>
    <col min="276" max="276" width="9.140625" style="16"/>
    <col min="277" max="277" width="10" style="16" customWidth="1"/>
    <col min="278" max="512" width="9.140625" style="16"/>
    <col min="513" max="513" width="20.5703125" style="16" customWidth="1"/>
    <col min="514" max="514" width="11" style="16" bestFit="1" customWidth="1"/>
    <col min="515" max="515" width="12" style="16" bestFit="1" customWidth="1"/>
    <col min="516" max="516" width="16.5703125" style="16" bestFit="1" customWidth="1"/>
    <col min="517" max="517" width="11.85546875" style="16" bestFit="1" customWidth="1"/>
    <col min="518" max="518" width="13.85546875" style="16" bestFit="1" customWidth="1"/>
    <col min="519" max="520" width="13.85546875" style="16" customWidth="1"/>
    <col min="521" max="521" width="4.5703125" style="16" customWidth="1"/>
    <col min="522" max="522" width="11" style="16" bestFit="1" customWidth="1"/>
    <col min="523" max="523" width="9.140625" style="16"/>
    <col min="524" max="524" width="11.28515625" style="16" customWidth="1"/>
    <col min="525" max="525" width="15.5703125" style="16" bestFit="1" customWidth="1"/>
    <col min="526" max="526" width="10.5703125" style="16" customWidth="1"/>
    <col min="527" max="527" width="15.140625" style="16" bestFit="1" customWidth="1"/>
    <col min="528" max="528" width="13.85546875" style="16" bestFit="1" customWidth="1"/>
    <col min="529" max="529" width="12.85546875" style="16" bestFit="1" customWidth="1"/>
    <col min="530" max="530" width="13.85546875" style="16" bestFit="1" customWidth="1"/>
    <col min="531" max="531" width="13.5703125" style="16" bestFit="1" customWidth="1"/>
    <col min="532" max="532" width="9.140625" style="16"/>
    <col min="533" max="533" width="10" style="16" customWidth="1"/>
    <col min="534" max="768" width="9.140625" style="16"/>
    <col min="769" max="769" width="20.5703125" style="16" customWidth="1"/>
    <col min="770" max="770" width="11" style="16" bestFit="1" customWidth="1"/>
    <col min="771" max="771" width="12" style="16" bestFit="1" customWidth="1"/>
    <col min="772" max="772" width="16.5703125" style="16" bestFit="1" customWidth="1"/>
    <col min="773" max="773" width="11.85546875" style="16" bestFit="1" customWidth="1"/>
    <col min="774" max="774" width="13.85546875" style="16" bestFit="1" customWidth="1"/>
    <col min="775" max="776" width="13.85546875" style="16" customWidth="1"/>
    <col min="777" max="777" width="4.5703125" style="16" customWidth="1"/>
    <col min="778" max="778" width="11" style="16" bestFit="1" customWidth="1"/>
    <col min="779" max="779" width="9.140625" style="16"/>
    <col min="780" max="780" width="11.28515625" style="16" customWidth="1"/>
    <col min="781" max="781" width="15.5703125" style="16" bestFit="1" customWidth="1"/>
    <col min="782" max="782" width="10.5703125" style="16" customWidth="1"/>
    <col min="783" max="783" width="15.140625" style="16" bestFit="1" customWidth="1"/>
    <col min="784" max="784" width="13.85546875" style="16" bestFit="1" customWidth="1"/>
    <col min="785" max="785" width="12.85546875" style="16" bestFit="1" customWidth="1"/>
    <col min="786" max="786" width="13.85546875" style="16" bestFit="1" customWidth="1"/>
    <col min="787" max="787" width="13.5703125" style="16" bestFit="1" customWidth="1"/>
    <col min="788" max="788" width="9.140625" style="16"/>
    <col min="789" max="789" width="10" style="16" customWidth="1"/>
    <col min="790" max="1024" width="9.140625" style="16"/>
    <col min="1025" max="1025" width="20.5703125" style="16" customWidth="1"/>
    <col min="1026" max="1026" width="11" style="16" bestFit="1" customWidth="1"/>
    <col min="1027" max="1027" width="12" style="16" bestFit="1" customWidth="1"/>
    <col min="1028" max="1028" width="16.5703125" style="16" bestFit="1" customWidth="1"/>
    <col min="1029" max="1029" width="11.85546875" style="16" bestFit="1" customWidth="1"/>
    <col min="1030" max="1030" width="13.85546875" style="16" bestFit="1" customWidth="1"/>
    <col min="1031" max="1032" width="13.85546875" style="16" customWidth="1"/>
    <col min="1033" max="1033" width="4.5703125" style="16" customWidth="1"/>
    <col min="1034" max="1034" width="11" style="16" bestFit="1" customWidth="1"/>
    <col min="1035" max="1035" width="9.140625" style="16"/>
    <col min="1036" max="1036" width="11.28515625" style="16" customWidth="1"/>
    <col min="1037" max="1037" width="15.5703125" style="16" bestFit="1" customWidth="1"/>
    <col min="1038" max="1038" width="10.5703125" style="16" customWidth="1"/>
    <col min="1039" max="1039" width="15.140625" style="16" bestFit="1" customWidth="1"/>
    <col min="1040" max="1040" width="13.85546875" style="16" bestFit="1" customWidth="1"/>
    <col min="1041" max="1041" width="12.85546875" style="16" bestFit="1" customWidth="1"/>
    <col min="1042" max="1042" width="13.85546875" style="16" bestFit="1" customWidth="1"/>
    <col min="1043" max="1043" width="13.5703125" style="16" bestFit="1" customWidth="1"/>
    <col min="1044" max="1044" width="9.140625" style="16"/>
    <col min="1045" max="1045" width="10" style="16" customWidth="1"/>
    <col min="1046" max="1280" width="9.140625" style="16"/>
    <col min="1281" max="1281" width="20.5703125" style="16" customWidth="1"/>
    <col min="1282" max="1282" width="11" style="16" bestFit="1" customWidth="1"/>
    <col min="1283" max="1283" width="12" style="16" bestFit="1" customWidth="1"/>
    <col min="1284" max="1284" width="16.5703125" style="16" bestFit="1" customWidth="1"/>
    <col min="1285" max="1285" width="11.85546875" style="16" bestFit="1" customWidth="1"/>
    <col min="1286" max="1286" width="13.85546875" style="16" bestFit="1" customWidth="1"/>
    <col min="1287" max="1288" width="13.85546875" style="16" customWidth="1"/>
    <col min="1289" max="1289" width="4.5703125" style="16" customWidth="1"/>
    <col min="1290" max="1290" width="11" style="16" bestFit="1" customWidth="1"/>
    <col min="1291" max="1291" width="9.140625" style="16"/>
    <col min="1292" max="1292" width="11.28515625" style="16" customWidth="1"/>
    <col min="1293" max="1293" width="15.5703125" style="16" bestFit="1" customWidth="1"/>
    <col min="1294" max="1294" width="10.5703125" style="16" customWidth="1"/>
    <col min="1295" max="1295" width="15.140625" style="16" bestFit="1" customWidth="1"/>
    <col min="1296" max="1296" width="13.85546875" style="16" bestFit="1" customWidth="1"/>
    <col min="1297" max="1297" width="12.85546875" style="16" bestFit="1" customWidth="1"/>
    <col min="1298" max="1298" width="13.85546875" style="16" bestFit="1" customWidth="1"/>
    <col min="1299" max="1299" width="13.5703125" style="16" bestFit="1" customWidth="1"/>
    <col min="1300" max="1300" width="9.140625" style="16"/>
    <col min="1301" max="1301" width="10" style="16" customWidth="1"/>
    <col min="1302" max="1536" width="9.140625" style="16"/>
    <col min="1537" max="1537" width="20.5703125" style="16" customWidth="1"/>
    <col min="1538" max="1538" width="11" style="16" bestFit="1" customWidth="1"/>
    <col min="1539" max="1539" width="12" style="16" bestFit="1" customWidth="1"/>
    <col min="1540" max="1540" width="16.5703125" style="16" bestFit="1" customWidth="1"/>
    <col min="1541" max="1541" width="11.85546875" style="16" bestFit="1" customWidth="1"/>
    <col min="1542" max="1542" width="13.85546875" style="16" bestFit="1" customWidth="1"/>
    <col min="1543" max="1544" width="13.85546875" style="16" customWidth="1"/>
    <col min="1545" max="1545" width="4.5703125" style="16" customWidth="1"/>
    <col min="1546" max="1546" width="11" style="16" bestFit="1" customWidth="1"/>
    <col min="1547" max="1547" width="9.140625" style="16"/>
    <col min="1548" max="1548" width="11.28515625" style="16" customWidth="1"/>
    <col min="1549" max="1549" width="15.5703125" style="16" bestFit="1" customWidth="1"/>
    <col min="1550" max="1550" width="10.5703125" style="16" customWidth="1"/>
    <col min="1551" max="1551" width="15.140625" style="16" bestFit="1" customWidth="1"/>
    <col min="1552" max="1552" width="13.85546875" style="16" bestFit="1" customWidth="1"/>
    <col min="1553" max="1553" width="12.85546875" style="16" bestFit="1" customWidth="1"/>
    <col min="1554" max="1554" width="13.85546875" style="16" bestFit="1" customWidth="1"/>
    <col min="1555" max="1555" width="13.5703125" style="16" bestFit="1" customWidth="1"/>
    <col min="1556" max="1556" width="9.140625" style="16"/>
    <col min="1557" max="1557" width="10" style="16" customWidth="1"/>
    <col min="1558" max="1792" width="9.140625" style="16"/>
    <col min="1793" max="1793" width="20.5703125" style="16" customWidth="1"/>
    <col min="1794" max="1794" width="11" style="16" bestFit="1" customWidth="1"/>
    <col min="1795" max="1795" width="12" style="16" bestFit="1" customWidth="1"/>
    <col min="1796" max="1796" width="16.5703125" style="16" bestFit="1" customWidth="1"/>
    <col min="1797" max="1797" width="11.85546875" style="16" bestFit="1" customWidth="1"/>
    <col min="1798" max="1798" width="13.85546875" style="16" bestFit="1" customWidth="1"/>
    <col min="1799" max="1800" width="13.85546875" style="16" customWidth="1"/>
    <col min="1801" max="1801" width="4.5703125" style="16" customWidth="1"/>
    <col min="1802" max="1802" width="11" style="16" bestFit="1" customWidth="1"/>
    <col min="1803" max="1803" width="9.140625" style="16"/>
    <col min="1804" max="1804" width="11.28515625" style="16" customWidth="1"/>
    <col min="1805" max="1805" width="15.5703125" style="16" bestFit="1" customWidth="1"/>
    <col min="1806" max="1806" width="10.5703125" style="16" customWidth="1"/>
    <col min="1807" max="1807" width="15.140625" style="16" bestFit="1" customWidth="1"/>
    <col min="1808" max="1808" width="13.85546875" style="16" bestFit="1" customWidth="1"/>
    <col min="1809" max="1809" width="12.85546875" style="16" bestFit="1" customWidth="1"/>
    <col min="1810" max="1810" width="13.85546875" style="16" bestFit="1" customWidth="1"/>
    <col min="1811" max="1811" width="13.5703125" style="16" bestFit="1" customWidth="1"/>
    <col min="1812" max="1812" width="9.140625" style="16"/>
    <col min="1813" max="1813" width="10" style="16" customWidth="1"/>
    <col min="1814" max="2048" width="9.140625" style="16"/>
    <col min="2049" max="2049" width="20.5703125" style="16" customWidth="1"/>
    <col min="2050" max="2050" width="11" style="16" bestFit="1" customWidth="1"/>
    <col min="2051" max="2051" width="12" style="16" bestFit="1" customWidth="1"/>
    <col min="2052" max="2052" width="16.5703125" style="16" bestFit="1" customWidth="1"/>
    <col min="2053" max="2053" width="11.85546875" style="16" bestFit="1" customWidth="1"/>
    <col min="2054" max="2054" width="13.85546875" style="16" bestFit="1" customWidth="1"/>
    <col min="2055" max="2056" width="13.85546875" style="16" customWidth="1"/>
    <col min="2057" max="2057" width="4.5703125" style="16" customWidth="1"/>
    <col min="2058" max="2058" width="11" style="16" bestFit="1" customWidth="1"/>
    <col min="2059" max="2059" width="9.140625" style="16"/>
    <col min="2060" max="2060" width="11.28515625" style="16" customWidth="1"/>
    <col min="2061" max="2061" width="15.5703125" style="16" bestFit="1" customWidth="1"/>
    <col min="2062" max="2062" width="10.5703125" style="16" customWidth="1"/>
    <col min="2063" max="2063" width="15.140625" style="16" bestFit="1" customWidth="1"/>
    <col min="2064" max="2064" width="13.85546875" style="16" bestFit="1" customWidth="1"/>
    <col min="2065" max="2065" width="12.85546875" style="16" bestFit="1" customWidth="1"/>
    <col min="2066" max="2066" width="13.85546875" style="16" bestFit="1" customWidth="1"/>
    <col min="2067" max="2067" width="13.5703125" style="16" bestFit="1" customWidth="1"/>
    <col min="2068" max="2068" width="9.140625" style="16"/>
    <col min="2069" max="2069" width="10" style="16" customWidth="1"/>
    <col min="2070" max="2304" width="9.140625" style="16"/>
    <col min="2305" max="2305" width="20.5703125" style="16" customWidth="1"/>
    <col min="2306" max="2306" width="11" style="16" bestFit="1" customWidth="1"/>
    <col min="2307" max="2307" width="12" style="16" bestFit="1" customWidth="1"/>
    <col min="2308" max="2308" width="16.5703125" style="16" bestFit="1" customWidth="1"/>
    <col min="2309" max="2309" width="11.85546875" style="16" bestFit="1" customWidth="1"/>
    <col min="2310" max="2310" width="13.85546875" style="16" bestFit="1" customWidth="1"/>
    <col min="2311" max="2312" width="13.85546875" style="16" customWidth="1"/>
    <col min="2313" max="2313" width="4.5703125" style="16" customWidth="1"/>
    <col min="2314" max="2314" width="11" style="16" bestFit="1" customWidth="1"/>
    <col min="2315" max="2315" width="9.140625" style="16"/>
    <col min="2316" max="2316" width="11.28515625" style="16" customWidth="1"/>
    <col min="2317" max="2317" width="15.5703125" style="16" bestFit="1" customWidth="1"/>
    <col min="2318" max="2318" width="10.5703125" style="16" customWidth="1"/>
    <col min="2319" max="2319" width="15.140625" style="16" bestFit="1" customWidth="1"/>
    <col min="2320" max="2320" width="13.85546875" style="16" bestFit="1" customWidth="1"/>
    <col min="2321" max="2321" width="12.85546875" style="16" bestFit="1" customWidth="1"/>
    <col min="2322" max="2322" width="13.85546875" style="16" bestFit="1" customWidth="1"/>
    <col min="2323" max="2323" width="13.5703125" style="16" bestFit="1" customWidth="1"/>
    <col min="2324" max="2324" width="9.140625" style="16"/>
    <col min="2325" max="2325" width="10" style="16" customWidth="1"/>
    <col min="2326" max="2560" width="9.140625" style="16"/>
    <col min="2561" max="2561" width="20.5703125" style="16" customWidth="1"/>
    <col min="2562" max="2562" width="11" style="16" bestFit="1" customWidth="1"/>
    <col min="2563" max="2563" width="12" style="16" bestFit="1" customWidth="1"/>
    <col min="2564" max="2564" width="16.5703125" style="16" bestFit="1" customWidth="1"/>
    <col min="2565" max="2565" width="11.85546875" style="16" bestFit="1" customWidth="1"/>
    <col min="2566" max="2566" width="13.85546875" style="16" bestFit="1" customWidth="1"/>
    <col min="2567" max="2568" width="13.85546875" style="16" customWidth="1"/>
    <col min="2569" max="2569" width="4.5703125" style="16" customWidth="1"/>
    <col min="2570" max="2570" width="11" style="16" bestFit="1" customWidth="1"/>
    <col min="2571" max="2571" width="9.140625" style="16"/>
    <col min="2572" max="2572" width="11.28515625" style="16" customWidth="1"/>
    <col min="2573" max="2573" width="15.5703125" style="16" bestFit="1" customWidth="1"/>
    <col min="2574" max="2574" width="10.5703125" style="16" customWidth="1"/>
    <col min="2575" max="2575" width="15.140625" style="16" bestFit="1" customWidth="1"/>
    <col min="2576" max="2576" width="13.85546875" style="16" bestFit="1" customWidth="1"/>
    <col min="2577" max="2577" width="12.85546875" style="16" bestFit="1" customWidth="1"/>
    <col min="2578" max="2578" width="13.85546875" style="16" bestFit="1" customWidth="1"/>
    <col min="2579" max="2579" width="13.5703125" style="16" bestFit="1" customWidth="1"/>
    <col min="2580" max="2580" width="9.140625" style="16"/>
    <col min="2581" max="2581" width="10" style="16" customWidth="1"/>
    <col min="2582" max="2816" width="9.140625" style="16"/>
    <col min="2817" max="2817" width="20.5703125" style="16" customWidth="1"/>
    <col min="2818" max="2818" width="11" style="16" bestFit="1" customWidth="1"/>
    <col min="2819" max="2819" width="12" style="16" bestFit="1" customWidth="1"/>
    <col min="2820" max="2820" width="16.5703125" style="16" bestFit="1" customWidth="1"/>
    <col min="2821" max="2821" width="11.85546875" style="16" bestFit="1" customWidth="1"/>
    <col min="2822" max="2822" width="13.85546875" style="16" bestFit="1" customWidth="1"/>
    <col min="2823" max="2824" width="13.85546875" style="16" customWidth="1"/>
    <col min="2825" max="2825" width="4.5703125" style="16" customWidth="1"/>
    <col min="2826" max="2826" width="11" style="16" bestFit="1" customWidth="1"/>
    <col min="2827" max="2827" width="9.140625" style="16"/>
    <col min="2828" max="2828" width="11.28515625" style="16" customWidth="1"/>
    <col min="2829" max="2829" width="15.5703125" style="16" bestFit="1" customWidth="1"/>
    <col min="2830" max="2830" width="10.5703125" style="16" customWidth="1"/>
    <col min="2831" max="2831" width="15.140625" style="16" bestFit="1" customWidth="1"/>
    <col min="2832" max="2832" width="13.85546875" style="16" bestFit="1" customWidth="1"/>
    <col min="2833" max="2833" width="12.85546875" style="16" bestFit="1" customWidth="1"/>
    <col min="2834" max="2834" width="13.85546875" style="16" bestFit="1" customWidth="1"/>
    <col min="2835" max="2835" width="13.5703125" style="16" bestFit="1" customWidth="1"/>
    <col min="2836" max="2836" width="9.140625" style="16"/>
    <col min="2837" max="2837" width="10" style="16" customWidth="1"/>
    <col min="2838" max="3072" width="9.140625" style="16"/>
    <col min="3073" max="3073" width="20.5703125" style="16" customWidth="1"/>
    <col min="3074" max="3074" width="11" style="16" bestFit="1" customWidth="1"/>
    <col min="3075" max="3075" width="12" style="16" bestFit="1" customWidth="1"/>
    <col min="3076" max="3076" width="16.5703125" style="16" bestFit="1" customWidth="1"/>
    <col min="3077" max="3077" width="11.85546875" style="16" bestFit="1" customWidth="1"/>
    <col min="3078" max="3078" width="13.85546875" style="16" bestFit="1" customWidth="1"/>
    <col min="3079" max="3080" width="13.85546875" style="16" customWidth="1"/>
    <col min="3081" max="3081" width="4.5703125" style="16" customWidth="1"/>
    <col min="3082" max="3082" width="11" style="16" bestFit="1" customWidth="1"/>
    <col min="3083" max="3083" width="9.140625" style="16"/>
    <col min="3084" max="3084" width="11.28515625" style="16" customWidth="1"/>
    <col min="3085" max="3085" width="15.5703125" style="16" bestFit="1" customWidth="1"/>
    <col min="3086" max="3086" width="10.5703125" style="16" customWidth="1"/>
    <col min="3087" max="3087" width="15.140625" style="16" bestFit="1" customWidth="1"/>
    <col min="3088" max="3088" width="13.85546875" style="16" bestFit="1" customWidth="1"/>
    <col min="3089" max="3089" width="12.85546875" style="16" bestFit="1" customWidth="1"/>
    <col min="3090" max="3090" width="13.85546875" style="16" bestFit="1" customWidth="1"/>
    <col min="3091" max="3091" width="13.5703125" style="16" bestFit="1" customWidth="1"/>
    <col min="3092" max="3092" width="9.140625" style="16"/>
    <col min="3093" max="3093" width="10" style="16" customWidth="1"/>
    <col min="3094" max="3328" width="9.140625" style="16"/>
    <col min="3329" max="3329" width="20.5703125" style="16" customWidth="1"/>
    <col min="3330" max="3330" width="11" style="16" bestFit="1" customWidth="1"/>
    <col min="3331" max="3331" width="12" style="16" bestFit="1" customWidth="1"/>
    <col min="3332" max="3332" width="16.5703125" style="16" bestFit="1" customWidth="1"/>
    <col min="3333" max="3333" width="11.85546875" style="16" bestFit="1" customWidth="1"/>
    <col min="3334" max="3334" width="13.85546875" style="16" bestFit="1" customWidth="1"/>
    <col min="3335" max="3336" width="13.85546875" style="16" customWidth="1"/>
    <col min="3337" max="3337" width="4.5703125" style="16" customWidth="1"/>
    <col min="3338" max="3338" width="11" style="16" bestFit="1" customWidth="1"/>
    <col min="3339" max="3339" width="9.140625" style="16"/>
    <col min="3340" max="3340" width="11.28515625" style="16" customWidth="1"/>
    <col min="3341" max="3341" width="15.5703125" style="16" bestFit="1" customWidth="1"/>
    <col min="3342" max="3342" width="10.5703125" style="16" customWidth="1"/>
    <col min="3343" max="3343" width="15.140625" style="16" bestFit="1" customWidth="1"/>
    <col min="3344" max="3344" width="13.85546875" style="16" bestFit="1" customWidth="1"/>
    <col min="3345" max="3345" width="12.85546875" style="16" bestFit="1" customWidth="1"/>
    <col min="3346" max="3346" width="13.85546875" style="16" bestFit="1" customWidth="1"/>
    <col min="3347" max="3347" width="13.5703125" style="16" bestFit="1" customWidth="1"/>
    <col min="3348" max="3348" width="9.140625" style="16"/>
    <col min="3349" max="3349" width="10" style="16" customWidth="1"/>
    <col min="3350" max="3584" width="9.140625" style="16"/>
    <col min="3585" max="3585" width="20.5703125" style="16" customWidth="1"/>
    <col min="3586" max="3586" width="11" style="16" bestFit="1" customWidth="1"/>
    <col min="3587" max="3587" width="12" style="16" bestFit="1" customWidth="1"/>
    <col min="3588" max="3588" width="16.5703125" style="16" bestFit="1" customWidth="1"/>
    <col min="3589" max="3589" width="11.85546875" style="16" bestFit="1" customWidth="1"/>
    <col min="3590" max="3590" width="13.85546875" style="16" bestFit="1" customWidth="1"/>
    <col min="3591" max="3592" width="13.85546875" style="16" customWidth="1"/>
    <col min="3593" max="3593" width="4.5703125" style="16" customWidth="1"/>
    <col min="3594" max="3594" width="11" style="16" bestFit="1" customWidth="1"/>
    <col min="3595" max="3595" width="9.140625" style="16"/>
    <col min="3596" max="3596" width="11.28515625" style="16" customWidth="1"/>
    <col min="3597" max="3597" width="15.5703125" style="16" bestFit="1" customWidth="1"/>
    <col min="3598" max="3598" width="10.5703125" style="16" customWidth="1"/>
    <col min="3599" max="3599" width="15.140625" style="16" bestFit="1" customWidth="1"/>
    <col min="3600" max="3600" width="13.85546875" style="16" bestFit="1" customWidth="1"/>
    <col min="3601" max="3601" width="12.85546875" style="16" bestFit="1" customWidth="1"/>
    <col min="3602" max="3602" width="13.85546875" style="16" bestFit="1" customWidth="1"/>
    <col min="3603" max="3603" width="13.5703125" style="16" bestFit="1" customWidth="1"/>
    <col min="3604" max="3604" width="9.140625" style="16"/>
    <col min="3605" max="3605" width="10" style="16" customWidth="1"/>
    <col min="3606" max="3840" width="9.140625" style="16"/>
    <col min="3841" max="3841" width="20.5703125" style="16" customWidth="1"/>
    <col min="3842" max="3842" width="11" style="16" bestFit="1" customWidth="1"/>
    <col min="3843" max="3843" width="12" style="16" bestFit="1" customWidth="1"/>
    <col min="3844" max="3844" width="16.5703125" style="16" bestFit="1" customWidth="1"/>
    <col min="3845" max="3845" width="11.85546875" style="16" bestFit="1" customWidth="1"/>
    <col min="3846" max="3846" width="13.85546875" style="16" bestFit="1" customWidth="1"/>
    <col min="3847" max="3848" width="13.85546875" style="16" customWidth="1"/>
    <col min="3849" max="3849" width="4.5703125" style="16" customWidth="1"/>
    <col min="3850" max="3850" width="11" style="16" bestFit="1" customWidth="1"/>
    <col min="3851" max="3851" width="9.140625" style="16"/>
    <col min="3852" max="3852" width="11.28515625" style="16" customWidth="1"/>
    <col min="3853" max="3853" width="15.5703125" style="16" bestFit="1" customWidth="1"/>
    <col min="3854" max="3854" width="10.5703125" style="16" customWidth="1"/>
    <col min="3855" max="3855" width="15.140625" style="16" bestFit="1" customWidth="1"/>
    <col min="3856" max="3856" width="13.85546875" style="16" bestFit="1" customWidth="1"/>
    <col min="3857" max="3857" width="12.85546875" style="16" bestFit="1" customWidth="1"/>
    <col min="3858" max="3858" width="13.85546875" style="16" bestFit="1" customWidth="1"/>
    <col min="3859" max="3859" width="13.5703125" style="16" bestFit="1" customWidth="1"/>
    <col min="3860" max="3860" width="9.140625" style="16"/>
    <col min="3861" max="3861" width="10" style="16" customWidth="1"/>
    <col min="3862" max="4096" width="9.140625" style="16"/>
    <col min="4097" max="4097" width="20.5703125" style="16" customWidth="1"/>
    <col min="4098" max="4098" width="11" style="16" bestFit="1" customWidth="1"/>
    <col min="4099" max="4099" width="12" style="16" bestFit="1" customWidth="1"/>
    <col min="4100" max="4100" width="16.5703125" style="16" bestFit="1" customWidth="1"/>
    <col min="4101" max="4101" width="11.85546875" style="16" bestFit="1" customWidth="1"/>
    <col min="4102" max="4102" width="13.85546875" style="16" bestFit="1" customWidth="1"/>
    <col min="4103" max="4104" width="13.85546875" style="16" customWidth="1"/>
    <col min="4105" max="4105" width="4.5703125" style="16" customWidth="1"/>
    <col min="4106" max="4106" width="11" style="16" bestFit="1" customWidth="1"/>
    <col min="4107" max="4107" width="9.140625" style="16"/>
    <col min="4108" max="4108" width="11.28515625" style="16" customWidth="1"/>
    <col min="4109" max="4109" width="15.5703125" style="16" bestFit="1" customWidth="1"/>
    <col min="4110" max="4110" width="10.5703125" style="16" customWidth="1"/>
    <col min="4111" max="4111" width="15.140625" style="16" bestFit="1" customWidth="1"/>
    <col min="4112" max="4112" width="13.85546875" style="16" bestFit="1" customWidth="1"/>
    <col min="4113" max="4113" width="12.85546875" style="16" bestFit="1" customWidth="1"/>
    <col min="4114" max="4114" width="13.85546875" style="16" bestFit="1" customWidth="1"/>
    <col min="4115" max="4115" width="13.5703125" style="16" bestFit="1" customWidth="1"/>
    <col min="4116" max="4116" width="9.140625" style="16"/>
    <col min="4117" max="4117" width="10" style="16" customWidth="1"/>
    <col min="4118" max="4352" width="9.140625" style="16"/>
    <col min="4353" max="4353" width="20.5703125" style="16" customWidth="1"/>
    <col min="4354" max="4354" width="11" style="16" bestFit="1" customWidth="1"/>
    <col min="4355" max="4355" width="12" style="16" bestFit="1" customWidth="1"/>
    <col min="4356" max="4356" width="16.5703125" style="16" bestFit="1" customWidth="1"/>
    <col min="4357" max="4357" width="11.85546875" style="16" bestFit="1" customWidth="1"/>
    <col min="4358" max="4358" width="13.85546875" style="16" bestFit="1" customWidth="1"/>
    <col min="4359" max="4360" width="13.85546875" style="16" customWidth="1"/>
    <col min="4361" max="4361" width="4.5703125" style="16" customWidth="1"/>
    <col min="4362" max="4362" width="11" style="16" bestFit="1" customWidth="1"/>
    <col min="4363" max="4363" width="9.140625" style="16"/>
    <col min="4364" max="4364" width="11.28515625" style="16" customWidth="1"/>
    <col min="4365" max="4365" width="15.5703125" style="16" bestFit="1" customWidth="1"/>
    <col min="4366" max="4366" width="10.5703125" style="16" customWidth="1"/>
    <col min="4367" max="4367" width="15.140625" style="16" bestFit="1" customWidth="1"/>
    <col min="4368" max="4368" width="13.85546875" style="16" bestFit="1" customWidth="1"/>
    <col min="4369" max="4369" width="12.85546875" style="16" bestFit="1" customWidth="1"/>
    <col min="4370" max="4370" width="13.85546875" style="16" bestFit="1" customWidth="1"/>
    <col min="4371" max="4371" width="13.5703125" style="16" bestFit="1" customWidth="1"/>
    <col min="4372" max="4372" width="9.140625" style="16"/>
    <col min="4373" max="4373" width="10" style="16" customWidth="1"/>
    <col min="4374" max="4608" width="9.140625" style="16"/>
    <col min="4609" max="4609" width="20.5703125" style="16" customWidth="1"/>
    <col min="4610" max="4610" width="11" style="16" bestFit="1" customWidth="1"/>
    <col min="4611" max="4611" width="12" style="16" bestFit="1" customWidth="1"/>
    <col min="4612" max="4612" width="16.5703125" style="16" bestFit="1" customWidth="1"/>
    <col min="4613" max="4613" width="11.85546875" style="16" bestFit="1" customWidth="1"/>
    <col min="4614" max="4614" width="13.85546875" style="16" bestFit="1" customWidth="1"/>
    <col min="4615" max="4616" width="13.85546875" style="16" customWidth="1"/>
    <col min="4617" max="4617" width="4.5703125" style="16" customWidth="1"/>
    <col min="4618" max="4618" width="11" style="16" bestFit="1" customWidth="1"/>
    <col min="4619" max="4619" width="9.140625" style="16"/>
    <col min="4620" max="4620" width="11.28515625" style="16" customWidth="1"/>
    <col min="4621" max="4621" width="15.5703125" style="16" bestFit="1" customWidth="1"/>
    <col min="4622" max="4622" width="10.5703125" style="16" customWidth="1"/>
    <col min="4623" max="4623" width="15.140625" style="16" bestFit="1" customWidth="1"/>
    <col min="4624" max="4624" width="13.85546875" style="16" bestFit="1" customWidth="1"/>
    <col min="4625" max="4625" width="12.85546875" style="16" bestFit="1" customWidth="1"/>
    <col min="4626" max="4626" width="13.85546875" style="16" bestFit="1" customWidth="1"/>
    <col min="4627" max="4627" width="13.5703125" style="16" bestFit="1" customWidth="1"/>
    <col min="4628" max="4628" width="9.140625" style="16"/>
    <col min="4629" max="4629" width="10" style="16" customWidth="1"/>
    <col min="4630" max="4864" width="9.140625" style="16"/>
    <col min="4865" max="4865" width="20.5703125" style="16" customWidth="1"/>
    <col min="4866" max="4866" width="11" style="16" bestFit="1" customWidth="1"/>
    <col min="4867" max="4867" width="12" style="16" bestFit="1" customWidth="1"/>
    <col min="4868" max="4868" width="16.5703125" style="16" bestFit="1" customWidth="1"/>
    <col min="4869" max="4869" width="11.85546875" style="16" bestFit="1" customWidth="1"/>
    <col min="4870" max="4870" width="13.85546875" style="16" bestFit="1" customWidth="1"/>
    <col min="4871" max="4872" width="13.85546875" style="16" customWidth="1"/>
    <col min="4873" max="4873" width="4.5703125" style="16" customWidth="1"/>
    <col min="4874" max="4874" width="11" style="16" bestFit="1" customWidth="1"/>
    <col min="4875" max="4875" width="9.140625" style="16"/>
    <col min="4876" max="4876" width="11.28515625" style="16" customWidth="1"/>
    <col min="4877" max="4877" width="15.5703125" style="16" bestFit="1" customWidth="1"/>
    <col min="4878" max="4878" width="10.5703125" style="16" customWidth="1"/>
    <col min="4879" max="4879" width="15.140625" style="16" bestFit="1" customWidth="1"/>
    <col min="4880" max="4880" width="13.85546875" style="16" bestFit="1" customWidth="1"/>
    <col min="4881" max="4881" width="12.85546875" style="16" bestFit="1" customWidth="1"/>
    <col min="4882" max="4882" width="13.85546875" style="16" bestFit="1" customWidth="1"/>
    <col min="4883" max="4883" width="13.5703125" style="16" bestFit="1" customWidth="1"/>
    <col min="4884" max="4884" width="9.140625" style="16"/>
    <col min="4885" max="4885" width="10" style="16" customWidth="1"/>
    <col min="4886" max="5120" width="9.140625" style="16"/>
    <col min="5121" max="5121" width="20.5703125" style="16" customWidth="1"/>
    <col min="5122" max="5122" width="11" style="16" bestFit="1" customWidth="1"/>
    <col min="5123" max="5123" width="12" style="16" bestFit="1" customWidth="1"/>
    <col min="5124" max="5124" width="16.5703125" style="16" bestFit="1" customWidth="1"/>
    <col min="5125" max="5125" width="11.85546875" style="16" bestFit="1" customWidth="1"/>
    <col min="5126" max="5126" width="13.85546875" style="16" bestFit="1" customWidth="1"/>
    <col min="5127" max="5128" width="13.85546875" style="16" customWidth="1"/>
    <col min="5129" max="5129" width="4.5703125" style="16" customWidth="1"/>
    <col min="5130" max="5130" width="11" style="16" bestFit="1" customWidth="1"/>
    <col min="5131" max="5131" width="9.140625" style="16"/>
    <col min="5132" max="5132" width="11.28515625" style="16" customWidth="1"/>
    <col min="5133" max="5133" width="15.5703125" style="16" bestFit="1" customWidth="1"/>
    <col min="5134" max="5134" width="10.5703125" style="16" customWidth="1"/>
    <col min="5135" max="5135" width="15.140625" style="16" bestFit="1" customWidth="1"/>
    <col min="5136" max="5136" width="13.85546875" style="16" bestFit="1" customWidth="1"/>
    <col min="5137" max="5137" width="12.85546875" style="16" bestFit="1" customWidth="1"/>
    <col min="5138" max="5138" width="13.85546875" style="16" bestFit="1" customWidth="1"/>
    <col min="5139" max="5139" width="13.5703125" style="16" bestFit="1" customWidth="1"/>
    <col min="5140" max="5140" width="9.140625" style="16"/>
    <col min="5141" max="5141" width="10" style="16" customWidth="1"/>
    <col min="5142" max="5376" width="9.140625" style="16"/>
    <col min="5377" max="5377" width="20.5703125" style="16" customWidth="1"/>
    <col min="5378" max="5378" width="11" style="16" bestFit="1" customWidth="1"/>
    <col min="5379" max="5379" width="12" style="16" bestFit="1" customWidth="1"/>
    <col min="5380" max="5380" width="16.5703125" style="16" bestFit="1" customWidth="1"/>
    <col min="5381" max="5381" width="11.85546875" style="16" bestFit="1" customWidth="1"/>
    <col min="5382" max="5382" width="13.85546875" style="16" bestFit="1" customWidth="1"/>
    <col min="5383" max="5384" width="13.85546875" style="16" customWidth="1"/>
    <col min="5385" max="5385" width="4.5703125" style="16" customWidth="1"/>
    <col min="5386" max="5386" width="11" style="16" bestFit="1" customWidth="1"/>
    <col min="5387" max="5387" width="9.140625" style="16"/>
    <col min="5388" max="5388" width="11.28515625" style="16" customWidth="1"/>
    <col min="5389" max="5389" width="15.5703125" style="16" bestFit="1" customWidth="1"/>
    <col min="5390" max="5390" width="10.5703125" style="16" customWidth="1"/>
    <col min="5391" max="5391" width="15.140625" style="16" bestFit="1" customWidth="1"/>
    <col min="5392" max="5392" width="13.85546875" style="16" bestFit="1" customWidth="1"/>
    <col min="5393" max="5393" width="12.85546875" style="16" bestFit="1" customWidth="1"/>
    <col min="5394" max="5394" width="13.85546875" style="16" bestFit="1" customWidth="1"/>
    <col min="5395" max="5395" width="13.5703125" style="16" bestFit="1" customWidth="1"/>
    <col min="5396" max="5396" width="9.140625" style="16"/>
    <col min="5397" max="5397" width="10" style="16" customWidth="1"/>
    <col min="5398" max="5632" width="9.140625" style="16"/>
    <col min="5633" max="5633" width="20.5703125" style="16" customWidth="1"/>
    <col min="5634" max="5634" width="11" style="16" bestFit="1" customWidth="1"/>
    <col min="5635" max="5635" width="12" style="16" bestFit="1" customWidth="1"/>
    <col min="5636" max="5636" width="16.5703125" style="16" bestFit="1" customWidth="1"/>
    <col min="5637" max="5637" width="11.85546875" style="16" bestFit="1" customWidth="1"/>
    <col min="5638" max="5638" width="13.85546875" style="16" bestFit="1" customWidth="1"/>
    <col min="5639" max="5640" width="13.85546875" style="16" customWidth="1"/>
    <col min="5641" max="5641" width="4.5703125" style="16" customWidth="1"/>
    <col min="5642" max="5642" width="11" style="16" bestFit="1" customWidth="1"/>
    <col min="5643" max="5643" width="9.140625" style="16"/>
    <col min="5644" max="5644" width="11.28515625" style="16" customWidth="1"/>
    <col min="5645" max="5645" width="15.5703125" style="16" bestFit="1" customWidth="1"/>
    <col min="5646" max="5646" width="10.5703125" style="16" customWidth="1"/>
    <col min="5647" max="5647" width="15.140625" style="16" bestFit="1" customWidth="1"/>
    <col min="5648" max="5648" width="13.85546875" style="16" bestFit="1" customWidth="1"/>
    <col min="5649" max="5649" width="12.85546875" style="16" bestFit="1" customWidth="1"/>
    <col min="5650" max="5650" width="13.85546875" style="16" bestFit="1" customWidth="1"/>
    <col min="5651" max="5651" width="13.5703125" style="16" bestFit="1" customWidth="1"/>
    <col min="5652" max="5652" width="9.140625" style="16"/>
    <col min="5653" max="5653" width="10" style="16" customWidth="1"/>
    <col min="5654" max="5888" width="9.140625" style="16"/>
    <col min="5889" max="5889" width="20.5703125" style="16" customWidth="1"/>
    <col min="5890" max="5890" width="11" style="16" bestFit="1" customWidth="1"/>
    <col min="5891" max="5891" width="12" style="16" bestFit="1" customWidth="1"/>
    <col min="5892" max="5892" width="16.5703125" style="16" bestFit="1" customWidth="1"/>
    <col min="5893" max="5893" width="11.85546875" style="16" bestFit="1" customWidth="1"/>
    <col min="5894" max="5894" width="13.85546875" style="16" bestFit="1" customWidth="1"/>
    <col min="5895" max="5896" width="13.85546875" style="16" customWidth="1"/>
    <col min="5897" max="5897" width="4.5703125" style="16" customWidth="1"/>
    <col min="5898" max="5898" width="11" style="16" bestFit="1" customWidth="1"/>
    <col min="5899" max="5899" width="9.140625" style="16"/>
    <col min="5900" max="5900" width="11.28515625" style="16" customWidth="1"/>
    <col min="5901" max="5901" width="15.5703125" style="16" bestFit="1" customWidth="1"/>
    <col min="5902" max="5902" width="10.5703125" style="16" customWidth="1"/>
    <col min="5903" max="5903" width="15.140625" style="16" bestFit="1" customWidth="1"/>
    <col min="5904" max="5904" width="13.85546875" style="16" bestFit="1" customWidth="1"/>
    <col min="5905" max="5905" width="12.85546875" style="16" bestFit="1" customWidth="1"/>
    <col min="5906" max="5906" width="13.85546875" style="16" bestFit="1" customWidth="1"/>
    <col min="5907" max="5907" width="13.5703125" style="16" bestFit="1" customWidth="1"/>
    <col min="5908" max="5908" width="9.140625" style="16"/>
    <col min="5909" max="5909" width="10" style="16" customWidth="1"/>
    <col min="5910" max="6144" width="9.140625" style="16"/>
    <col min="6145" max="6145" width="20.5703125" style="16" customWidth="1"/>
    <col min="6146" max="6146" width="11" style="16" bestFit="1" customWidth="1"/>
    <col min="6147" max="6147" width="12" style="16" bestFit="1" customWidth="1"/>
    <col min="6148" max="6148" width="16.5703125" style="16" bestFit="1" customWidth="1"/>
    <col min="6149" max="6149" width="11.85546875" style="16" bestFit="1" customWidth="1"/>
    <col min="6150" max="6150" width="13.85546875" style="16" bestFit="1" customWidth="1"/>
    <col min="6151" max="6152" width="13.85546875" style="16" customWidth="1"/>
    <col min="6153" max="6153" width="4.5703125" style="16" customWidth="1"/>
    <col min="6154" max="6154" width="11" style="16" bestFit="1" customWidth="1"/>
    <col min="6155" max="6155" width="9.140625" style="16"/>
    <col min="6156" max="6156" width="11.28515625" style="16" customWidth="1"/>
    <col min="6157" max="6157" width="15.5703125" style="16" bestFit="1" customWidth="1"/>
    <col min="6158" max="6158" width="10.5703125" style="16" customWidth="1"/>
    <col min="6159" max="6159" width="15.140625" style="16" bestFit="1" customWidth="1"/>
    <col min="6160" max="6160" width="13.85546875" style="16" bestFit="1" customWidth="1"/>
    <col min="6161" max="6161" width="12.85546875" style="16" bestFit="1" customWidth="1"/>
    <col min="6162" max="6162" width="13.85546875" style="16" bestFit="1" customWidth="1"/>
    <col min="6163" max="6163" width="13.5703125" style="16" bestFit="1" customWidth="1"/>
    <col min="6164" max="6164" width="9.140625" style="16"/>
    <col min="6165" max="6165" width="10" style="16" customWidth="1"/>
    <col min="6166" max="6400" width="9.140625" style="16"/>
    <col min="6401" max="6401" width="20.5703125" style="16" customWidth="1"/>
    <col min="6402" max="6402" width="11" style="16" bestFit="1" customWidth="1"/>
    <col min="6403" max="6403" width="12" style="16" bestFit="1" customWidth="1"/>
    <col min="6404" max="6404" width="16.5703125" style="16" bestFit="1" customWidth="1"/>
    <col min="6405" max="6405" width="11.85546875" style="16" bestFit="1" customWidth="1"/>
    <col min="6406" max="6406" width="13.85546875" style="16" bestFit="1" customWidth="1"/>
    <col min="6407" max="6408" width="13.85546875" style="16" customWidth="1"/>
    <col min="6409" max="6409" width="4.5703125" style="16" customWidth="1"/>
    <col min="6410" max="6410" width="11" style="16" bestFit="1" customWidth="1"/>
    <col min="6411" max="6411" width="9.140625" style="16"/>
    <col min="6412" max="6412" width="11.28515625" style="16" customWidth="1"/>
    <col min="6413" max="6413" width="15.5703125" style="16" bestFit="1" customWidth="1"/>
    <col min="6414" max="6414" width="10.5703125" style="16" customWidth="1"/>
    <col min="6415" max="6415" width="15.140625" style="16" bestFit="1" customWidth="1"/>
    <col min="6416" max="6416" width="13.85546875" style="16" bestFit="1" customWidth="1"/>
    <col min="6417" max="6417" width="12.85546875" style="16" bestFit="1" customWidth="1"/>
    <col min="6418" max="6418" width="13.85546875" style="16" bestFit="1" customWidth="1"/>
    <col min="6419" max="6419" width="13.5703125" style="16" bestFit="1" customWidth="1"/>
    <col min="6420" max="6420" width="9.140625" style="16"/>
    <col min="6421" max="6421" width="10" style="16" customWidth="1"/>
    <col min="6422" max="6656" width="9.140625" style="16"/>
    <col min="6657" max="6657" width="20.5703125" style="16" customWidth="1"/>
    <col min="6658" max="6658" width="11" style="16" bestFit="1" customWidth="1"/>
    <col min="6659" max="6659" width="12" style="16" bestFit="1" customWidth="1"/>
    <col min="6660" max="6660" width="16.5703125" style="16" bestFit="1" customWidth="1"/>
    <col min="6661" max="6661" width="11.85546875" style="16" bestFit="1" customWidth="1"/>
    <col min="6662" max="6662" width="13.85546875" style="16" bestFit="1" customWidth="1"/>
    <col min="6663" max="6664" width="13.85546875" style="16" customWidth="1"/>
    <col min="6665" max="6665" width="4.5703125" style="16" customWidth="1"/>
    <col min="6666" max="6666" width="11" style="16" bestFit="1" customWidth="1"/>
    <col min="6667" max="6667" width="9.140625" style="16"/>
    <col min="6668" max="6668" width="11.28515625" style="16" customWidth="1"/>
    <col min="6669" max="6669" width="15.5703125" style="16" bestFit="1" customWidth="1"/>
    <col min="6670" max="6670" width="10.5703125" style="16" customWidth="1"/>
    <col min="6671" max="6671" width="15.140625" style="16" bestFit="1" customWidth="1"/>
    <col min="6672" max="6672" width="13.85546875" style="16" bestFit="1" customWidth="1"/>
    <col min="6673" max="6673" width="12.85546875" style="16" bestFit="1" customWidth="1"/>
    <col min="6674" max="6674" width="13.85546875" style="16" bestFit="1" customWidth="1"/>
    <col min="6675" max="6675" width="13.5703125" style="16" bestFit="1" customWidth="1"/>
    <col min="6676" max="6676" width="9.140625" style="16"/>
    <col min="6677" max="6677" width="10" style="16" customWidth="1"/>
    <col min="6678" max="6912" width="9.140625" style="16"/>
    <col min="6913" max="6913" width="20.5703125" style="16" customWidth="1"/>
    <col min="6914" max="6914" width="11" style="16" bestFit="1" customWidth="1"/>
    <col min="6915" max="6915" width="12" style="16" bestFit="1" customWidth="1"/>
    <col min="6916" max="6916" width="16.5703125" style="16" bestFit="1" customWidth="1"/>
    <col min="6917" max="6917" width="11.85546875" style="16" bestFit="1" customWidth="1"/>
    <col min="6918" max="6918" width="13.85546875" style="16" bestFit="1" customWidth="1"/>
    <col min="6919" max="6920" width="13.85546875" style="16" customWidth="1"/>
    <col min="6921" max="6921" width="4.5703125" style="16" customWidth="1"/>
    <col min="6922" max="6922" width="11" style="16" bestFit="1" customWidth="1"/>
    <col min="6923" max="6923" width="9.140625" style="16"/>
    <col min="6924" max="6924" width="11.28515625" style="16" customWidth="1"/>
    <col min="6925" max="6925" width="15.5703125" style="16" bestFit="1" customWidth="1"/>
    <col min="6926" max="6926" width="10.5703125" style="16" customWidth="1"/>
    <col min="6927" max="6927" width="15.140625" style="16" bestFit="1" customWidth="1"/>
    <col min="6928" max="6928" width="13.85546875" style="16" bestFit="1" customWidth="1"/>
    <col min="6929" max="6929" width="12.85546875" style="16" bestFit="1" customWidth="1"/>
    <col min="6930" max="6930" width="13.85546875" style="16" bestFit="1" customWidth="1"/>
    <col min="6931" max="6931" width="13.5703125" style="16" bestFit="1" customWidth="1"/>
    <col min="6932" max="6932" width="9.140625" style="16"/>
    <col min="6933" max="6933" width="10" style="16" customWidth="1"/>
    <col min="6934" max="7168" width="9.140625" style="16"/>
    <col min="7169" max="7169" width="20.5703125" style="16" customWidth="1"/>
    <col min="7170" max="7170" width="11" style="16" bestFit="1" customWidth="1"/>
    <col min="7171" max="7171" width="12" style="16" bestFit="1" customWidth="1"/>
    <col min="7172" max="7172" width="16.5703125" style="16" bestFit="1" customWidth="1"/>
    <col min="7173" max="7173" width="11.85546875" style="16" bestFit="1" customWidth="1"/>
    <col min="7174" max="7174" width="13.85546875" style="16" bestFit="1" customWidth="1"/>
    <col min="7175" max="7176" width="13.85546875" style="16" customWidth="1"/>
    <col min="7177" max="7177" width="4.5703125" style="16" customWidth="1"/>
    <col min="7178" max="7178" width="11" style="16" bestFit="1" customWidth="1"/>
    <col min="7179" max="7179" width="9.140625" style="16"/>
    <col min="7180" max="7180" width="11.28515625" style="16" customWidth="1"/>
    <col min="7181" max="7181" width="15.5703125" style="16" bestFit="1" customWidth="1"/>
    <col min="7182" max="7182" width="10.5703125" style="16" customWidth="1"/>
    <col min="7183" max="7183" width="15.140625" style="16" bestFit="1" customWidth="1"/>
    <col min="7184" max="7184" width="13.85546875" style="16" bestFit="1" customWidth="1"/>
    <col min="7185" max="7185" width="12.85546875" style="16" bestFit="1" customWidth="1"/>
    <col min="7186" max="7186" width="13.85546875" style="16" bestFit="1" customWidth="1"/>
    <col min="7187" max="7187" width="13.5703125" style="16" bestFit="1" customWidth="1"/>
    <col min="7188" max="7188" width="9.140625" style="16"/>
    <col min="7189" max="7189" width="10" style="16" customWidth="1"/>
    <col min="7190" max="7424" width="9.140625" style="16"/>
    <col min="7425" max="7425" width="20.5703125" style="16" customWidth="1"/>
    <col min="7426" max="7426" width="11" style="16" bestFit="1" customWidth="1"/>
    <col min="7427" max="7427" width="12" style="16" bestFit="1" customWidth="1"/>
    <col min="7428" max="7428" width="16.5703125" style="16" bestFit="1" customWidth="1"/>
    <col min="7429" max="7429" width="11.85546875" style="16" bestFit="1" customWidth="1"/>
    <col min="7430" max="7430" width="13.85546875" style="16" bestFit="1" customWidth="1"/>
    <col min="7431" max="7432" width="13.85546875" style="16" customWidth="1"/>
    <col min="7433" max="7433" width="4.5703125" style="16" customWidth="1"/>
    <col min="7434" max="7434" width="11" style="16" bestFit="1" customWidth="1"/>
    <col min="7435" max="7435" width="9.140625" style="16"/>
    <col min="7436" max="7436" width="11.28515625" style="16" customWidth="1"/>
    <col min="7437" max="7437" width="15.5703125" style="16" bestFit="1" customWidth="1"/>
    <col min="7438" max="7438" width="10.5703125" style="16" customWidth="1"/>
    <col min="7439" max="7439" width="15.140625" style="16" bestFit="1" customWidth="1"/>
    <col min="7440" max="7440" width="13.85546875" style="16" bestFit="1" customWidth="1"/>
    <col min="7441" max="7441" width="12.85546875" style="16" bestFit="1" customWidth="1"/>
    <col min="7442" max="7442" width="13.85546875" style="16" bestFit="1" customWidth="1"/>
    <col min="7443" max="7443" width="13.5703125" style="16" bestFit="1" customWidth="1"/>
    <col min="7444" max="7444" width="9.140625" style="16"/>
    <col min="7445" max="7445" width="10" style="16" customWidth="1"/>
    <col min="7446" max="7680" width="9.140625" style="16"/>
    <col min="7681" max="7681" width="20.5703125" style="16" customWidth="1"/>
    <col min="7682" max="7682" width="11" style="16" bestFit="1" customWidth="1"/>
    <col min="7683" max="7683" width="12" style="16" bestFit="1" customWidth="1"/>
    <col min="7684" max="7684" width="16.5703125" style="16" bestFit="1" customWidth="1"/>
    <col min="7685" max="7685" width="11.85546875" style="16" bestFit="1" customWidth="1"/>
    <col min="7686" max="7686" width="13.85546875" style="16" bestFit="1" customWidth="1"/>
    <col min="7687" max="7688" width="13.85546875" style="16" customWidth="1"/>
    <col min="7689" max="7689" width="4.5703125" style="16" customWidth="1"/>
    <col min="7690" max="7690" width="11" style="16" bestFit="1" customWidth="1"/>
    <col min="7691" max="7691" width="9.140625" style="16"/>
    <col min="7692" max="7692" width="11.28515625" style="16" customWidth="1"/>
    <col min="7693" max="7693" width="15.5703125" style="16" bestFit="1" customWidth="1"/>
    <col min="7694" max="7694" width="10.5703125" style="16" customWidth="1"/>
    <col min="7695" max="7695" width="15.140625" style="16" bestFit="1" customWidth="1"/>
    <col min="7696" max="7696" width="13.85546875" style="16" bestFit="1" customWidth="1"/>
    <col min="7697" max="7697" width="12.85546875" style="16" bestFit="1" customWidth="1"/>
    <col min="7698" max="7698" width="13.85546875" style="16" bestFit="1" customWidth="1"/>
    <col min="7699" max="7699" width="13.5703125" style="16" bestFit="1" customWidth="1"/>
    <col min="7700" max="7700" width="9.140625" style="16"/>
    <col min="7701" max="7701" width="10" style="16" customWidth="1"/>
    <col min="7702" max="7936" width="9.140625" style="16"/>
    <col min="7937" max="7937" width="20.5703125" style="16" customWidth="1"/>
    <col min="7938" max="7938" width="11" style="16" bestFit="1" customWidth="1"/>
    <col min="7939" max="7939" width="12" style="16" bestFit="1" customWidth="1"/>
    <col min="7940" max="7940" width="16.5703125" style="16" bestFit="1" customWidth="1"/>
    <col min="7941" max="7941" width="11.85546875" style="16" bestFit="1" customWidth="1"/>
    <col min="7942" max="7942" width="13.85546875" style="16" bestFit="1" customWidth="1"/>
    <col min="7943" max="7944" width="13.85546875" style="16" customWidth="1"/>
    <col min="7945" max="7945" width="4.5703125" style="16" customWidth="1"/>
    <col min="7946" max="7946" width="11" style="16" bestFit="1" customWidth="1"/>
    <col min="7947" max="7947" width="9.140625" style="16"/>
    <col min="7948" max="7948" width="11.28515625" style="16" customWidth="1"/>
    <col min="7949" max="7949" width="15.5703125" style="16" bestFit="1" customWidth="1"/>
    <col min="7950" max="7950" width="10.5703125" style="16" customWidth="1"/>
    <col min="7951" max="7951" width="15.140625" style="16" bestFit="1" customWidth="1"/>
    <col min="7952" max="7952" width="13.85546875" style="16" bestFit="1" customWidth="1"/>
    <col min="7953" max="7953" width="12.85546875" style="16" bestFit="1" customWidth="1"/>
    <col min="7954" max="7954" width="13.85546875" style="16" bestFit="1" customWidth="1"/>
    <col min="7955" max="7955" width="13.5703125" style="16" bestFit="1" customWidth="1"/>
    <col min="7956" max="7956" width="9.140625" style="16"/>
    <col min="7957" max="7957" width="10" style="16" customWidth="1"/>
    <col min="7958" max="8192" width="9.140625" style="16"/>
    <col min="8193" max="8193" width="20.5703125" style="16" customWidth="1"/>
    <col min="8194" max="8194" width="11" style="16" bestFit="1" customWidth="1"/>
    <col min="8195" max="8195" width="12" style="16" bestFit="1" customWidth="1"/>
    <col min="8196" max="8196" width="16.5703125" style="16" bestFit="1" customWidth="1"/>
    <col min="8197" max="8197" width="11.85546875" style="16" bestFit="1" customWidth="1"/>
    <col min="8198" max="8198" width="13.85546875" style="16" bestFit="1" customWidth="1"/>
    <col min="8199" max="8200" width="13.85546875" style="16" customWidth="1"/>
    <col min="8201" max="8201" width="4.5703125" style="16" customWidth="1"/>
    <col min="8202" max="8202" width="11" style="16" bestFit="1" customWidth="1"/>
    <col min="8203" max="8203" width="9.140625" style="16"/>
    <col min="8204" max="8204" width="11.28515625" style="16" customWidth="1"/>
    <col min="8205" max="8205" width="15.5703125" style="16" bestFit="1" customWidth="1"/>
    <col min="8206" max="8206" width="10.5703125" style="16" customWidth="1"/>
    <col min="8207" max="8207" width="15.140625" style="16" bestFit="1" customWidth="1"/>
    <col min="8208" max="8208" width="13.85546875" style="16" bestFit="1" customWidth="1"/>
    <col min="8209" max="8209" width="12.85546875" style="16" bestFit="1" customWidth="1"/>
    <col min="8210" max="8210" width="13.85546875" style="16" bestFit="1" customWidth="1"/>
    <col min="8211" max="8211" width="13.5703125" style="16" bestFit="1" customWidth="1"/>
    <col min="8212" max="8212" width="9.140625" style="16"/>
    <col min="8213" max="8213" width="10" style="16" customWidth="1"/>
    <col min="8214" max="8448" width="9.140625" style="16"/>
    <col min="8449" max="8449" width="20.5703125" style="16" customWidth="1"/>
    <col min="8450" max="8450" width="11" style="16" bestFit="1" customWidth="1"/>
    <col min="8451" max="8451" width="12" style="16" bestFit="1" customWidth="1"/>
    <col min="8452" max="8452" width="16.5703125" style="16" bestFit="1" customWidth="1"/>
    <col min="8453" max="8453" width="11.85546875" style="16" bestFit="1" customWidth="1"/>
    <col min="8454" max="8454" width="13.85546875" style="16" bestFit="1" customWidth="1"/>
    <col min="8455" max="8456" width="13.85546875" style="16" customWidth="1"/>
    <col min="8457" max="8457" width="4.5703125" style="16" customWidth="1"/>
    <col min="8458" max="8458" width="11" style="16" bestFit="1" customWidth="1"/>
    <col min="8459" max="8459" width="9.140625" style="16"/>
    <col min="8460" max="8460" width="11.28515625" style="16" customWidth="1"/>
    <col min="8461" max="8461" width="15.5703125" style="16" bestFit="1" customWidth="1"/>
    <col min="8462" max="8462" width="10.5703125" style="16" customWidth="1"/>
    <col min="8463" max="8463" width="15.140625" style="16" bestFit="1" customWidth="1"/>
    <col min="8464" max="8464" width="13.85546875" style="16" bestFit="1" customWidth="1"/>
    <col min="8465" max="8465" width="12.85546875" style="16" bestFit="1" customWidth="1"/>
    <col min="8466" max="8466" width="13.85546875" style="16" bestFit="1" customWidth="1"/>
    <col min="8467" max="8467" width="13.5703125" style="16" bestFit="1" customWidth="1"/>
    <col min="8468" max="8468" width="9.140625" style="16"/>
    <col min="8469" max="8469" width="10" style="16" customWidth="1"/>
    <col min="8470" max="8704" width="9.140625" style="16"/>
    <col min="8705" max="8705" width="20.5703125" style="16" customWidth="1"/>
    <col min="8706" max="8706" width="11" style="16" bestFit="1" customWidth="1"/>
    <col min="8707" max="8707" width="12" style="16" bestFit="1" customWidth="1"/>
    <col min="8708" max="8708" width="16.5703125" style="16" bestFit="1" customWidth="1"/>
    <col min="8709" max="8709" width="11.85546875" style="16" bestFit="1" customWidth="1"/>
    <col min="8710" max="8710" width="13.85546875" style="16" bestFit="1" customWidth="1"/>
    <col min="8711" max="8712" width="13.85546875" style="16" customWidth="1"/>
    <col min="8713" max="8713" width="4.5703125" style="16" customWidth="1"/>
    <col min="8714" max="8714" width="11" style="16" bestFit="1" customWidth="1"/>
    <col min="8715" max="8715" width="9.140625" style="16"/>
    <col min="8716" max="8716" width="11.28515625" style="16" customWidth="1"/>
    <col min="8717" max="8717" width="15.5703125" style="16" bestFit="1" customWidth="1"/>
    <col min="8718" max="8718" width="10.5703125" style="16" customWidth="1"/>
    <col min="8719" max="8719" width="15.140625" style="16" bestFit="1" customWidth="1"/>
    <col min="8720" max="8720" width="13.85546875" style="16" bestFit="1" customWidth="1"/>
    <col min="8721" max="8721" width="12.85546875" style="16" bestFit="1" customWidth="1"/>
    <col min="8722" max="8722" width="13.85546875" style="16" bestFit="1" customWidth="1"/>
    <col min="8723" max="8723" width="13.5703125" style="16" bestFit="1" customWidth="1"/>
    <col min="8724" max="8724" width="9.140625" style="16"/>
    <col min="8725" max="8725" width="10" style="16" customWidth="1"/>
    <col min="8726" max="8960" width="9.140625" style="16"/>
    <col min="8961" max="8961" width="20.5703125" style="16" customWidth="1"/>
    <col min="8962" max="8962" width="11" style="16" bestFit="1" customWidth="1"/>
    <col min="8963" max="8963" width="12" style="16" bestFit="1" customWidth="1"/>
    <col min="8964" max="8964" width="16.5703125" style="16" bestFit="1" customWidth="1"/>
    <col min="8965" max="8965" width="11.85546875" style="16" bestFit="1" customWidth="1"/>
    <col min="8966" max="8966" width="13.85546875" style="16" bestFit="1" customWidth="1"/>
    <col min="8967" max="8968" width="13.85546875" style="16" customWidth="1"/>
    <col min="8969" max="8969" width="4.5703125" style="16" customWidth="1"/>
    <col min="8970" max="8970" width="11" style="16" bestFit="1" customWidth="1"/>
    <col min="8971" max="8971" width="9.140625" style="16"/>
    <col min="8972" max="8972" width="11.28515625" style="16" customWidth="1"/>
    <col min="8973" max="8973" width="15.5703125" style="16" bestFit="1" customWidth="1"/>
    <col min="8974" max="8974" width="10.5703125" style="16" customWidth="1"/>
    <col min="8975" max="8975" width="15.140625" style="16" bestFit="1" customWidth="1"/>
    <col min="8976" max="8976" width="13.85546875" style="16" bestFit="1" customWidth="1"/>
    <col min="8977" max="8977" width="12.85546875" style="16" bestFit="1" customWidth="1"/>
    <col min="8978" max="8978" width="13.85546875" style="16" bestFit="1" customWidth="1"/>
    <col min="8979" max="8979" width="13.5703125" style="16" bestFit="1" customWidth="1"/>
    <col min="8980" max="8980" width="9.140625" style="16"/>
    <col min="8981" max="8981" width="10" style="16" customWidth="1"/>
    <col min="8982" max="9216" width="9.140625" style="16"/>
    <col min="9217" max="9217" width="20.5703125" style="16" customWidth="1"/>
    <col min="9218" max="9218" width="11" style="16" bestFit="1" customWidth="1"/>
    <col min="9219" max="9219" width="12" style="16" bestFit="1" customWidth="1"/>
    <col min="9220" max="9220" width="16.5703125" style="16" bestFit="1" customWidth="1"/>
    <col min="9221" max="9221" width="11.85546875" style="16" bestFit="1" customWidth="1"/>
    <col min="9222" max="9222" width="13.85546875" style="16" bestFit="1" customWidth="1"/>
    <col min="9223" max="9224" width="13.85546875" style="16" customWidth="1"/>
    <col min="9225" max="9225" width="4.5703125" style="16" customWidth="1"/>
    <col min="9226" max="9226" width="11" style="16" bestFit="1" customWidth="1"/>
    <col min="9227" max="9227" width="9.140625" style="16"/>
    <col min="9228" max="9228" width="11.28515625" style="16" customWidth="1"/>
    <col min="9229" max="9229" width="15.5703125" style="16" bestFit="1" customWidth="1"/>
    <col min="9230" max="9230" width="10.5703125" style="16" customWidth="1"/>
    <col min="9231" max="9231" width="15.140625" style="16" bestFit="1" customWidth="1"/>
    <col min="9232" max="9232" width="13.85546875" style="16" bestFit="1" customWidth="1"/>
    <col min="9233" max="9233" width="12.85546875" style="16" bestFit="1" customWidth="1"/>
    <col min="9234" max="9234" width="13.85546875" style="16" bestFit="1" customWidth="1"/>
    <col min="9235" max="9235" width="13.5703125" style="16" bestFit="1" customWidth="1"/>
    <col min="9236" max="9236" width="9.140625" style="16"/>
    <col min="9237" max="9237" width="10" style="16" customWidth="1"/>
    <col min="9238" max="9472" width="9.140625" style="16"/>
    <col min="9473" max="9473" width="20.5703125" style="16" customWidth="1"/>
    <col min="9474" max="9474" width="11" style="16" bestFit="1" customWidth="1"/>
    <col min="9475" max="9475" width="12" style="16" bestFit="1" customWidth="1"/>
    <col min="9476" max="9476" width="16.5703125" style="16" bestFit="1" customWidth="1"/>
    <col min="9477" max="9477" width="11.85546875" style="16" bestFit="1" customWidth="1"/>
    <col min="9478" max="9478" width="13.85546875" style="16" bestFit="1" customWidth="1"/>
    <col min="9479" max="9480" width="13.85546875" style="16" customWidth="1"/>
    <col min="9481" max="9481" width="4.5703125" style="16" customWidth="1"/>
    <col min="9482" max="9482" width="11" style="16" bestFit="1" customWidth="1"/>
    <col min="9483" max="9483" width="9.140625" style="16"/>
    <col min="9484" max="9484" width="11.28515625" style="16" customWidth="1"/>
    <col min="9485" max="9485" width="15.5703125" style="16" bestFit="1" customWidth="1"/>
    <col min="9486" max="9486" width="10.5703125" style="16" customWidth="1"/>
    <col min="9487" max="9487" width="15.140625" style="16" bestFit="1" customWidth="1"/>
    <col min="9488" max="9488" width="13.85546875" style="16" bestFit="1" customWidth="1"/>
    <col min="9489" max="9489" width="12.85546875" style="16" bestFit="1" customWidth="1"/>
    <col min="9490" max="9490" width="13.85546875" style="16" bestFit="1" customWidth="1"/>
    <col min="9491" max="9491" width="13.5703125" style="16" bestFit="1" customWidth="1"/>
    <col min="9492" max="9492" width="9.140625" style="16"/>
    <col min="9493" max="9493" width="10" style="16" customWidth="1"/>
    <col min="9494" max="9728" width="9.140625" style="16"/>
    <col min="9729" max="9729" width="20.5703125" style="16" customWidth="1"/>
    <col min="9730" max="9730" width="11" style="16" bestFit="1" customWidth="1"/>
    <col min="9731" max="9731" width="12" style="16" bestFit="1" customWidth="1"/>
    <col min="9732" max="9732" width="16.5703125" style="16" bestFit="1" customWidth="1"/>
    <col min="9733" max="9733" width="11.85546875" style="16" bestFit="1" customWidth="1"/>
    <col min="9734" max="9734" width="13.85546875" style="16" bestFit="1" customWidth="1"/>
    <col min="9735" max="9736" width="13.85546875" style="16" customWidth="1"/>
    <col min="9737" max="9737" width="4.5703125" style="16" customWidth="1"/>
    <col min="9738" max="9738" width="11" style="16" bestFit="1" customWidth="1"/>
    <col min="9739" max="9739" width="9.140625" style="16"/>
    <col min="9740" max="9740" width="11.28515625" style="16" customWidth="1"/>
    <col min="9741" max="9741" width="15.5703125" style="16" bestFit="1" customWidth="1"/>
    <col min="9742" max="9742" width="10.5703125" style="16" customWidth="1"/>
    <col min="9743" max="9743" width="15.140625" style="16" bestFit="1" customWidth="1"/>
    <col min="9744" max="9744" width="13.85546875" style="16" bestFit="1" customWidth="1"/>
    <col min="9745" max="9745" width="12.85546875" style="16" bestFit="1" customWidth="1"/>
    <col min="9746" max="9746" width="13.85546875" style="16" bestFit="1" customWidth="1"/>
    <col min="9747" max="9747" width="13.5703125" style="16" bestFit="1" customWidth="1"/>
    <col min="9748" max="9748" width="9.140625" style="16"/>
    <col min="9749" max="9749" width="10" style="16" customWidth="1"/>
    <col min="9750" max="9984" width="9.140625" style="16"/>
    <col min="9985" max="9985" width="20.5703125" style="16" customWidth="1"/>
    <col min="9986" max="9986" width="11" style="16" bestFit="1" customWidth="1"/>
    <col min="9987" max="9987" width="12" style="16" bestFit="1" customWidth="1"/>
    <col min="9988" max="9988" width="16.5703125" style="16" bestFit="1" customWidth="1"/>
    <col min="9989" max="9989" width="11.85546875" style="16" bestFit="1" customWidth="1"/>
    <col min="9990" max="9990" width="13.85546875" style="16" bestFit="1" customWidth="1"/>
    <col min="9991" max="9992" width="13.85546875" style="16" customWidth="1"/>
    <col min="9993" max="9993" width="4.5703125" style="16" customWidth="1"/>
    <col min="9994" max="9994" width="11" style="16" bestFit="1" customWidth="1"/>
    <col min="9995" max="9995" width="9.140625" style="16"/>
    <col min="9996" max="9996" width="11.28515625" style="16" customWidth="1"/>
    <col min="9997" max="9997" width="15.5703125" style="16" bestFit="1" customWidth="1"/>
    <col min="9998" max="9998" width="10.5703125" style="16" customWidth="1"/>
    <col min="9999" max="9999" width="15.140625" style="16" bestFit="1" customWidth="1"/>
    <col min="10000" max="10000" width="13.85546875" style="16" bestFit="1" customWidth="1"/>
    <col min="10001" max="10001" width="12.85546875" style="16" bestFit="1" customWidth="1"/>
    <col min="10002" max="10002" width="13.85546875" style="16" bestFit="1" customWidth="1"/>
    <col min="10003" max="10003" width="13.5703125" style="16" bestFit="1" customWidth="1"/>
    <col min="10004" max="10004" width="9.140625" style="16"/>
    <col min="10005" max="10005" width="10" style="16" customWidth="1"/>
    <col min="10006" max="10240" width="9.140625" style="16"/>
    <col min="10241" max="10241" width="20.5703125" style="16" customWidth="1"/>
    <col min="10242" max="10242" width="11" style="16" bestFit="1" customWidth="1"/>
    <col min="10243" max="10243" width="12" style="16" bestFit="1" customWidth="1"/>
    <col min="10244" max="10244" width="16.5703125" style="16" bestFit="1" customWidth="1"/>
    <col min="10245" max="10245" width="11.85546875" style="16" bestFit="1" customWidth="1"/>
    <col min="10246" max="10246" width="13.85546875" style="16" bestFit="1" customWidth="1"/>
    <col min="10247" max="10248" width="13.85546875" style="16" customWidth="1"/>
    <col min="10249" max="10249" width="4.5703125" style="16" customWidth="1"/>
    <col min="10250" max="10250" width="11" style="16" bestFit="1" customWidth="1"/>
    <col min="10251" max="10251" width="9.140625" style="16"/>
    <col min="10252" max="10252" width="11.28515625" style="16" customWidth="1"/>
    <col min="10253" max="10253" width="15.5703125" style="16" bestFit="1" customWidth="1"/>
    <col min="10254" max="10254" width="10.5703125" style="16" customWidth="1"/>
    <col min="10255" max="10255" width="15.140625" style="16" bestFit="1" customWidth="1"/>
    <col min="10256" max="10256" width="13.85546875" style="16" bestFit="1" customWidth="1"/>
    <col min="10257" max="10257" width="12.85546875" style="16" bestFit="1" customWidth="1"/>
    <col min="10258" max="10258" width="13.85546875" style="16" bestFit="1" customWidth="1"/>
    <col min="10259" max="10259" width="13.5703125" style="16" bestFit="1" customWidth="1"/>
    <col min="10260" max="10260" width="9.140625" style="16"/>
    <col min="10261" max="10261" width="10" style="16" customWidth="1"/>
    <col min="10262" max="10496" width="9.140625" style="16"/>
    <col min="10497" max="10497" width="20.5703125" style="16" customWidth="1"/>
    <col min="10498" max="10498" width="11" style="16" bestFit="1" customWidth="1"/>
    <col min="10499" max="10499" width="12" style="16" bestFit="1" customWidth="1"/>
    <col min="10500" max="10500" width="16.5703125" style="16" bestFit="1" customWidth="1"/>
    <col min="10501" max="10501" width="11.85546875" style="16" bestFit="1" customWidth="1"/>
    <col min="10502" max="10502" width="13.85546875" style="16" bestFit="1" customWidth="1"/>
    <col min="10503" max="10504" width="13.85546875" style="16" customWidth="1"/>
    <col min="10505" max="10505" width="4.5703125" style="16" customWidth="1"/>
    <col min="10506" max="10506" width="11" style="16" bestFit="1" customWidth="1"/>
    <col min="10507" max="10507" width="9.140625" style="16"/>
    <col min="10508" max="10508" width="11.28515625" style="16" customWidth="1"/>
    <col min="10509" max="10509" width="15.5703125" style="16" bestFit="1" customWidth="1"/>
    <col min="10510" max="10510" width="10.5703125" style="16" customWidth="1"/>
    <col min="10511" max="10511" width="15.140625" style="16" bestFit="1" customWidth="1"/>
    <col min="10512" max="10512" width="13.85546875" style="16" bestFit="1" customWidth="1"/>
    <col min="10513" max="10513" width="12.85546875" style="16" bestFit="1" customWidth="1"/>
    <col min="10514" max="10514" width="13.85546875" style="16" bestFit="1" customWidth="1"/>
    <col min="10515" max="10515" width="13.5703125" style="16" bestFit="1" customWidth="1"/>
    <col min="10516" max="10516" width="9.140625" style="16"/>
    <col min="10517" max="10517" width="10" style="16" customWidth="1"/>
    <col min="10518" max="10752" width="9.140625" style="16"/>
    <col min="10753" max="10753" width="20.5703125" style="16" customWidth="1"/>
    <col min="10754" max="10754" width="11" style="16" bestFit="1" customWidth="1"/>
    <col min="10755" max="10755" width="12" style="16" bestFit="1" customWidth="1"/>
    <col min="10756" max="10756" width="16.5703125" style="16" bestFit="1" customWidth="1"/>
    <col min="10757" max="10757" width="11.85546875" style="16" bestFit="1" customWidth="1"/>
    <col min="10758" max="10758" width="13.85546875" style="16" bestFit="1" customWidth="1"/>
    <col min="10759" max="10760" width="13.85546875" style="16" customWidth="1"/>
    <col min="10761" max="10761" width="4.5703125" style="16" customWidth="1"/>
    <col min="10762" max="10762" width="11" style="16" bestFit="1" customWidth="1"/>
    <col min="10763" max="10763" width="9.140625" style="16"/>
    <col min="10764" max="10764" width="11.28515625" style="16" customWidth="1"/>
    <col min="10765" max="10765" width="15.5703125" style="16" bestFit="1" customWidth="1"/>
    <col min="10766" max="10766" width="10.5703125" style="16" customWidth="1"/>
    <col min="10767" max="10767" width="15.140625" style="16" bestFit="1" customWidth="1"/>
    <col min="10768" max="10768" width="13.85546875" style="16" bestFit="1" customWidth="1"/>
    <col min="10769" max="10769" width="12.85546875" style="16" bestFit="1" customWidth="1"/>
    <col min="10770" max="10770" width="13.85546875" style="16" bestFit="1" customWidth="1"/>
    <col min="10771" max="10771" width="13.5703125" style="16" bestFit="1" customWidth="1"/>
    <col min="10772" max="10772" width="9.140625" style="16"/>
    <col min="10773" max="10773" width="10" style="16" customWidth="1"/>
    <col min="10774" max="11008" width="9.140625" style="16"/>
    <col min="11009" max="11009" width="20.5703125" style="16" customWidth="1"/>
    <col min="11010" max="11010" width="11" style="16" bestFit="1" customWidth="1"/>
    <col min="11011" max="11011" width="12" style="16" bestFit="1" customWidth="1"/>
    <col min="11012" max="11012" width="16.5703125" style="16" bestFit="1" customWidth="1"/>
    <col min="11013" max="11013" width="11.85546875" style="16" bestFit="1" customWidth="1"/>
    <col min="11014" max="11014" width="13.85546875" style="16" bestFit="1" customWidth="1"/>
    <col min="11015" max="11016" width="13.85546875" style="16" customWidth="1"/>
    <col min="11017" max="11017" width="4.5703125" style="16" customWidth="1"/>
    <col min="11018" max="11018" width="11" style="16" bestFit="1" customWidth="1"/>
    <col min="11019" max="11019" width="9.140625" style="16"/>
    <col min="11020" max="11020" width="11.28515625" style="16" customWidth="1"/>
    <col min="11021" max="11021" width="15.5703125" style="16" bestFit="1" customWidth="1"/>
    <col min="11022" max="11022" width="10.5703125" style="16" customWidth="1"/>
    <col min="11023" max="11023" width="15.140625" style="16" bestFit="1" customWidth="1"/>
    <col min="11024" max="11024" width="13.85546875" style="16" bestFit="1" customWidth="1"/>
    <col min="11025" max="11025" width="12.85546875" style="16" bestFit="1" customWidth="1"/>
    <col min="11026" max="11026" width="13.85546875" style="16" bestFit="1" customWidth="1"/>
    <col min="11027" max="11027" width="13.5703125" style="16" bestFit="1" customWidth="1"/>
    <col min="11028" max="11028" width="9.140625" style="16"/>
    <col min="11029" max="11029" width="10" style="16" customWidth="1"/>
    <col min="11030" max="11264" width="9.140625" style="16"/>
    <col min="11265" max="11265" width="20.5703125" style="16" customWidth="1"/>
    <col min="11266" max="11266" width="11" style="16" bestFit="1" customWidth="1"/>
    <col min="11267" max="11267" width="12" style="16" bestFit="1" customWidth="1"/>
    <col min="11268" max="11268" width="16.5703125" style="16" bestFit="1" customWidth="1"/>
    <col min="11269" max="11269" width="11.85546875" style="16" bestFit="1" customWidth="1"/>
    <col min="11270" max="11270" width="13.85546875" style="16" bestFit="1" customWidth="1"/>
    <col min="11271" max="11272" width="13.85546875" style="16" customWidth="1"/>
    <col min="11273" max="11273" width="4.5703125" style="16" customWidth="1"/>
    <col min="11274" max="11274" width="11" style="16" bestFit="1" customWidth="1"/>
    <col min="11275" max="11275" width="9.140625" style="16"/>
    <col min="11276" max="11276" width="11.28515625" style="16" customWidth="1"/>
    <col min="11277" max="11277" width="15.5703125" style="16" bestFit="1" customWidth="1"/>
    <col min="11278" max="11278" width="10.5703125" style="16" customWidth="1"/>
    <col min="11279" max="11279" width="15.140625" style="16" bestFit="1" customWidth="1"/>
    <col min="11280" max="11280" width="13.85546875" style="16" bestFit="1" customWidth="1"/>
    <col min="11281" max="11281" width="12.85546875" style="16" bestFit="1" customWidth="1"/>
    <col min="11282" max="11282" width="13.85546875" style="16" bestFit="1" customWidth="1"/>
    <col min="11283" max="11283" width="13.5703125" style="16" bestFit="1" customWidth="1"/>
    <col min="11284" max="11284" width="9.140625" style="16"/>
    <col min="11285" max="11285" width="10" style="16" customWidth="1"/>
    <col min="11286" max="11520" width="9.140625" style="16"/>
    <col min="11521" max="11521" width="20.5703125" style="16" customWidth="1"/>
    <col min="11522" max="11522" width="11" style="16" bestFit="1" customWidth="1"/>
    <col min="11523" max="11523" width="12" style="16" bestFit="1" customWidth="1"/>
    <col min="11524" max="11524" width="16.5703125" style="16" bestFit="1" customWidth="1"/>
    <col min="11525" max="11525" width="11.85546875" style="16" bestFit="1" customWidth="1"/>
    <col min="11526" max="11526" width="13.85546875" style="16" bestFit="1" customWidth="1"/>
    <col min="11527" max="11528" width="13.85546875" style="16" customWidth="1"/>
    <col min="11529" max="11529" width="4.5703125" style="16" customWidth="1"/>
    <col min="11530" max="11530" width="11" style="16" bestFit="1" customWidth="1"/>
    <col min="11531" max="11531" width="9.140625" style="16"/>
    <col min="11532" max="11532" width="11.28515625" style="16" customWidth="1"/>
    <col min="11533" max="11533" width="15.5703125" style="16" bestFit="1" customWidth="1"/>
    <col min="11534" max="11534" width="10.5703125" style="16" customWidth="1"/>
    <col min="11535" max="11535" width="15.140625" style="16" bestFit="1" customWidth="1"/>
    <col min="11536" max="11536" width="13.85546875" style="16" bestFit="1" customWidth="1"/>
    <col min="11537" max="11537" width="12.85546875" style="16" bestFit="1" customWidth="1"/>
    <col min="11538" max="11538" width="13.85546875" style="16" bestFit="1" customWidth="1"/>
    <col min="11539" max="11539" width="13.5703125" style="16" bestFit="1" customWidth="1"/>
    <col min="11540" max="11540" width="9.140625" style="16"/>
    <col min="11541" max="11541" width="10" style="16" customWidth="1"/>
    <col min="11542" max="11776" width="9.140625" style="16"/>
    <col min="11777" max="11777" width="20.5703125" style="16" customWidth="1"/>
    <col min="11778" max="11778" width="11" style="16" bestFit="1" customWidth="1"/>
    <col min="11779" max="11779" width="12" style="16" bestFit="1" customWidth="1"/>
    <col min="11780" max="11780" width="16.5703125" style="16" bestFit="1" customWidth="1"/>
    <col min="11781" max="11781" width="11.85546875" style="16" bestFit="1" customWidth="1"/>
    <col min="11782" max="11782" width="13.85546875" style="16" bestFit="1" customWidth="1"/>
    <col min="11783" max="11784" width="13.85546875" style="16" customWidth="1"/>
    <col min="11785" max="11785" width="4.5703125" style="16" customWidth="1"/>
    <col min="11786" max="11786" width="11" style="16" bestFit="1" customWidth="1"/>
    <col min="11787" max="11787" width="9.140625" style="16"/>
    <col min="11788" max="11788" width="11.28515625" style="16" customWidth="1"/>
    <col min="11789" max="11789" width="15.5703125" style="16" bestFit="1" customWidth="1"/>
    <col min="11790" max="11790" width="10.5703125" style="16" customWidth="1"/>
    <col min="11791" max="11791" width="15.140625" style="16" bestFit="1" customWidth="1"/>
    <col min="11792" max="11792" width="13.85546875" style="16" bestFit="1" customWidth="1"/>
    <col min="11793" max="11793" width="12.85546875" style="16" bestFit="1" customWidth="1"/>
    <col min="11794" max="11794" width="13.85546875" style="16" bestFit="1" customWidth="1"/>
    <col min="11795" max="11795" width="13.5703125" style="16" bestFit="1" customWidth="1"/>
    <col min="11796" max="11796" width="9.140625" style="16"/>
    <col min="11797" max="11797" width="10" style="16" customWidth="1"/>
    <col min="11798" max="12032" width="9.140625" style="16"/>
    <col min="12033" max="12033" width="20.5703125" style="16" customWidth="1"/>
    <col min="12034" max="12034" width="11" style="16" bestFit="1" customWidth="1"/>
    <col min="12035" max="12035" width="12" style="16" bestFit="1" customWidth="1"/>
    <col min="12036" max="12036" width="16.5703125" style="16" bestFit="1" customWidth="1"/>
    <col min="12037" max="12037" width="11.85546875" style="16" bestFit="1" customWidth="1"/>
    <col min="12038" max="12038" width="13.85546875" style="16" bestFit="1" customWidth="1"/>
    <col min="12039" max="12040" width="13.85546875" style="16" customWidth="1"/>
    <col min="12041" max="12041" width="4.5703125" style="16" customWidth="1"/>
    <col min="12042" max="12042" width="11" style="16" bestFit="1" customWidth="1"/>
    <col min="12043" max="12043" width="9.140625" style="16"/>
    <col min="12044" max="12044" width="11.28515625" style="16" customWidth="1"/>
    <col min="12045" max="12045" width="15.5703125" style="16" bestFit="1" customWidth="1"/>
    <col min="12046" max="12046" width="10.5703125" style="16" customWidth="1"/>
    <col min="12047" max="12047" width="15.140625" style="16" bestFit="1" customWidth="1"/>
    <col min="12048" max="12048" width="13.85546875" style="16" bestFit="1" customWidth="1"/>
    <col min="12049" max="12049" width="12.85546875" style="16" bestFit="1" customWidth="1"/>
    <col min="12050" max="12050" width="13.85546875" style="16" bestFit="1" customWidth="1"/>
    <col min="12051" max="12051" width="13.5703125" style="16" bestFit="1" customWidth="1"/>
    <col min="12052" max="12052" width="9.140625" style="16"/>
    <col min="12053" max="12053" width="10" style="16" customWidth="1"/>
    <col min="12054" max="12288" width="9.140625" style="16"/>
    <col min="12289" max="12289" width="20.5703125" style="16" customWidth="1"/>
    <col min="12290" max="12290" width="11" style="16" bestFit="1" customWidth="1"/>
    <col min="12291" max="12291" width="12" style="16" bestFit="1" customWidth="1"/>
    <col min="12292" max="12292" width="16.5703125" style="16" bestFit="1" customWidth="1"/>
    <col min="12293" max="12293" width="11.85546875" style="16" bestFit="1" customWidth="1"/>
    <col min="12294" max="12294" width="13.85546875" style="16" bestFit="1" customWidth="1"/>
    <col min="12295" max="12296" width="13.85546875" style="16" customWidth="1"/>
    <col min="12297" max="12297" width="4.5703125" style="16" customWidth="1"/>
    <col min="12298" max="12298" width="11" style="16" bestFit="1" customWidth="1"/>
    <col min="12299" max="12299" width="9.140625" style="16"/>
    <col min="12300" max="12300" width="11.28515625" style="16" customWidth="1"/>
    <col min="12301" max="12301" width="15.5703125" style="16" bestFit="1" customWidth="1"/>
    <col min="12302" max="12302" width="10.5703125" style="16" customWidth="1"/>
    <col min="12303" max="12303" width="15.140625" style="16" bestFit="1" customWidth="1"/>
    <col min="12304" max="12304" width="13.85546875" style="16" bestFit="1" customWidth="1"/>
    <col min="12305" max="12305" width="12.85546875" style="16" bestFit="1" customWidth="1"/>
    <col min="12306" max="12306" width="13.85546875" style="16" bestFit="1" customWidth="1"/>
    <col min="12307" max="12307" width="13.5703125" style="16" bestFit="1" customWidth="1"/>
    <col min="12308" max="12308" width="9.140625" style="16"/>
    <col min="12309" max="12309" width="10" style="16" customWidth="1"/>
    <col min="12310" max="12544" width="9.140625" style="16"/>
    <col min="12545" max="12545" width="20.5703125" style="16" customWidth="1"/>
    <col min="12546" max="12546" width="11" style="16" bestFit="1" customWidth="1"/>
    <col min="12547" max="12547" width="12" style="16" bestFit="1" customWidth="1"/>
    <col min="12548" max="12548" width="16.5703125" style="16" bestFit="1" customWidth="1"/>
    <col min="12549" max="12549" width="11.85546875" style="16" bestFit="1" customWidth="1"/>
    <col min="12550" max="12550" width="13.85546875" style="16" bestFit="1" customWidth="1"/>
    <col min="12551" max="12552" width="13.85546875" style="16" customWidth="1"/>
    <col min="12553" max="12553" width="4.5703125" style="16" customWidth="1"/>
    <col min="12554" max="12554" width="11" style="16" bestFit="1" customWidth="1"/>
    <col min="12555" max="12555" width="9.140625" style="16"/>
    <col min="12556" max="12556" width="11.28515625" style="16" customWidth="1"/>
    <col min="12557" max="12557" width="15.5703125" style="16" bestFit="1" customWidth="1"/>
    <col min="12558" max="12558" width="10.5703125" style="16" customWidth="1"/>
    <col min="12559" max="12559" width="15.140625" style="16" bestFit="1" customWidth="1"/>
    <col min="12560" max="12560" width="13.85546875" style="16" bestFit="1" customWidth="1"/>
    <col min="12561" max="12561" width="12.85546875" style="16" bestFit="1" customWidth="1"/>
    <col min="12562" max="12562" width="13.85546875" style="16" bestFit="1" customWidth="1"/>
    <col min="12563" max="12563" width="13.5703125" style="16" bestFit="1" customWidth="1"/>
    <col min="12564" max="12564" width="9.140625" style="16"/>
    <col min="12565" max="12565" width="10" style="16" customWidth="1"/>
    <col min="12566" max="12800" width="9.140625" style="16"/>
    <col min="12801" max="12801" width="20.5703125" style="16" customWidth="1"/>
    <col min="12802" max="12802" width="11" style="16" bestFit="1" customWidth="1"/>
    <col min="12803" max="12803" width="12" style="16" bestFit="1" customWidth="1"/>
    <col min="12804" max="12804" width="16.5703125" style="16" bestFit="1" customWidth="1"/>
    <col min="12805" max="12805" width="11.85546875" style="16" bestFit="1" customWidth="1"/>
    <col min="12806" max="12806" width="13.85546875" style="16" bestFit="1" customWidth="1"/>
    <col min="12807" max="12808" width="13.85546875" style="16" customWidth="1"/>
    <col min="12809" max="12809" width="4.5703125" style="16" customWidth="1"/>
    <col min="12810" max="12810" width="11" style="16" bestFit="1" customWidth="1"/>
    <col min="12811" max="12811" width="9.140625" style="16"/>
    <col min="12812" max="12812" width="11.28515625" style="16" customWidth="1"/>
    <col min="12813" max="12813" width="15.5703125" style="16" bestFit="1" customWidth="1"/>
    <col min="12814" max="12814" width="10.5703125" style="16" customWidth="1"/>
    <col min="12815" max="12815" width="15.140625" style="16" bestFit="1" customWidth="1"/>
    <col min="12816" max="12816" width="13.85546875" style="16" bestFit="1" customWidth="1"/>
    <col min="12817" max="12817" width="12.85546875" style="16" bestFit="1" customWidth="1"/>
    <col min="12818" max="12818" width="13.85546875" style="16" bestFit="1" customWidth="1"/>
    <col min="12819" max="12819" width="13.5703125" style="16" bestFit="1" customWidth="1"/>
    <col min="12820" max="12820" width="9.140625" style="16"/>
    <col min="12821" max="12821" width="10" style="16" customWidth="1"/>
    <col min="12822" max="13056" width="9.140625" style="16"/>
    <col min="13057" max="13057" width="20.5703125" style="16" customWidth="1"/>
    <col min="13058" max="13058" width="11" style="16" bestFit="1" customWidth="1"/>
    <col min="13059" max="13059" width="12" style="16" bestFit="1" customWidth="1"/>
    <col min="13060" max="13060" width="16.5703125" style="16" bestFit="1" customWidth="1"/>
    <col min="13061" max="13061" width="11.85546875" style="16" bestFit="1" customWidth="1"/>
    <col min="13062" max="13062" width="13.85546875" style="16" bestFit="1" customWidth="1"/>
    <col min="13063" max="13064" width="13.85546875" style="16" customWidth="1"/>
    <col min="13065" max="13065" width="4.5703125" style="16" customWidth="1"/>
    <col min="13066" max="13066" width="11" style="16" bestFit="1" customWidth="1"/>
    <col min="13067" max="13067" width="9.140625" style="16"/>
    <col min="13068" max="13068" width="11.28515625" style="16" customWidth="1"/>
    <col min="13069" max="13069" width="15.5703125" style="16" bestFit="1" customWidth="1"/>
    <col min="13070" max="13070" width="10.5703125" style="16" customWidth="1"/>
    <col min="13071" max="13071" width="15.140625" style="16" bestFit="1" customWidth="1"/>
    <col min="13072" max="13072" width="13.85546875" style="16" bestFit="1" customWidth="1"/>
    <col min="13073" max="13073" width="12.85546875" style="16" bestFit="1" customWidth="1"/>
    <col min="13074" max="13074" width="13.85546875" style="16" bestFit="1" customWidth="1"/>
    <col min="13075" max="13075" width="13.5703125" style="16" bestFit="1" customWidth="1"/>
    <col min="13076" max="13076" width="9.140625" style="16"/>
    <col min="13077" max="13077" width="10" style="16" customWidth="1"/>
    <col min="13078" max="13312" width="9.140625" style="16"/>
    <col min="13313" max="13313" width="20.5703125" style="16" customWidth="1"/>
    <col min="13314" max="13314" width="11" style="16" bestFit="1" customWidth="1"/>
    <col min="13315" max="13315" width="12" style="16" bestFit="1" customWidth="1"/>
    <col min="13316" max="13316" width="16.5703125" style="16" bestFit="1" customWidth="1"/>
    <col min="13317" max="13317" width="11.85546875" style="16" bestFit="1" customWidth="1"/>
    <col min="13318" max="13318" width="13.85546875" style="16" bestFit="1" customWidth="1"/>
    <col min="13319" max="13320" width="13.85546875" style="16" customWidth="1"/>
    <col min="13321" max="13321" width="4.5703125" style="16" customWidth="1"/>
    <col min="13322" max="13322" width="11" style="16" bestFit="1" customWidth="1"/>
    <col min="13323" max="13323" width="9.140625" style="16"/>
    <col min="13324" max="13324" width="11.28515625" style="16" customWidth="1"/>
    <col min="13325" max="13325" width="15.5703125" style="16" bestFit="1" customWidth="1"/>
    <col min="13326" max="13326" width="10.5703125" style="16" customWidth="1"/>
    <col min="13327" max="13327" width="15.140625" style="16" bestFit="1" customWidth="1"/>
    <col min="13328" max="13328" width="13.85546875" style="16" bestFit="1" customWidth="1"/>
    <col min="13329" max="13329" width="12.85546875" style="16" bestFit="1" customWidth="1"/>
    <col min="13330" max="13330" width="13.85546875" style="16" bestFit="1" customWidth="1"/>
    <col min="13331" max="13331" width="13.5703125" style="16" bestFit="1" customWidth="1"/>
    <col min="13332" max="13332" width="9.140625" style="16"/>
    <col min="13333" max="13333" width="10" style="16" customWidth="1"/>
    <col min="13334" max="13568" width="9.140625" style="16"/>
    <col min="13569" max="13569" width="20.5703125" style="16" customWidth="1"/>
    <col min="13570" max="13570" width="11" style="16" bestFit="1" customWidth="1"/>
    <col min="13571" max="13571" width="12" style="16" bestFit="1" customWidth="1"/>
    <col min="13572" max="13572" width="16.5703125" style="16" bestFit="1" customWidth="1"/>
    <col min="13573" max="13573" width="11.85546875" style="16" bestFit="1" customWidth="1"/>
    <col min="13574" max="13574" width="13.85546875" style="16" bestFit="1" customWidth="1"/>
    <col min="13575" max="13576" width="13.85546875" style="16" customWidth="1"/>
    <col min="13577" max="13577" width="4.5703125" style="16" customWidth="1"/>
    <col min="13578" max="13578" width="11" style="16" bestFit="1" customWidth="1"/>
    <col min="13579" max="13579" width="9.140625" style="16"/>
    <col min="13580" max="13580" width="11.28515625" style="16" customWidth="1"/>
    <col min="13581" max="13581" width="15.5703125" style="16" bestFit="1" customWidth="1"/>
    <col min="13582" max="13582" width="10.5703125" style="16" customWidth="1"/>
    <col min="13583" max="13583" width="15.140625" style="16" bestFit="1" customWidth="1"/>
    <col min="13584" max="13584" width="13.85546875" style="16" bestFit="1" customWidth="1"/>
    <col min="13585" max="13585" width="12.85546875" style="16" bestFit="1" customWidth="1"/>
    <col min="13586" max="13586" width="13.85546875" style="16" bestFit="1" customWidth="1"/>
    <col min="13587" max="13587" width="13.5703125" style="16" bestFit="1" customWidth="1"/>
    <col min="13588" max="13588" width="9.140625" style="16"/>
    <col min="13589" max="13589" width="10" style="16" customWidth="1"/>
    <col min="13590" max="13824" width="9.140625" style="16"/>
    <col min="13825" max="13825" width="20.5703125" style="16" customWidth="1"/>
    <col min="13826" max="13826" width="11" style="16" bestFit="1" customWidth="1"/>
    <col min="13827" max="13827" width="12" style="16" bestFit="1" customWidth="1"/>
    <col min="13828" max="13828" width="16.5703125" style="16" bestFit="1" customWidth="1"/>
    <col min="13829" max="13829" width="11.85546875" style="16" bestFit="1" customWidth="1"/>
    <col min="13830" max="13830" width="13.85546875" style="16" bestFit="1" customWidth="1"/>
    <col min="13831" max="13832" width="13.85546875" style="16" customWidth="1"/>
    <col min="13833" max="13833" width="4.5703125" style="16" customWidth="1"/>
    <col min="13834" max="13834" width="11" style="16" bestFit="1" customWidth="1"/>
    <col min="13835" max="13835" width="9.140625" style="16"/>
    <col min="13836" max="13836" width="11.28515625" style="16" customWidth="1"/>
    <col min="13837" max="13837" width="15.5703125" style="16" bestFit="1" customWidth="1"/>
    <col min="13838" max="13838" width="10.5703125" style="16" customWidth="1"/>
    <col min="13839" max="13839" width="15.140625" style="16" bestFit="1" customWidth="1"/>
    <col min="13840" max="13840" width="13.85546875" style="16" bestFit="1" customWidth="1"/>
    <col min="13841" max="13841" width="12.85546875" style="16" bestFit="1" customWidth="1"/>
    <col min="13842" max="13842" width="13.85546875" style="16" bestFit="1" customWidth="1"/>
    <col min="13843" max="13843" width="13.5703125" style="16" bestFit="1" customWidth="1"/>
    <col min="13844" max="13844" width="9.140625" style="16"/>
    <col min="13845" max="13845" width="10" style="16" customWidth="1"/>
    <col min="13846" max="14080" width="9.140625" style="16"/>
    <col min="14081" max="14081" width="20.5703125" style="16" customWidth="1"/>
    <col min="14082" max="14082" width="11" style="16" bestFit="1" customWidth="1"/>
    <col min="14083" max="14083" width="12" style="16" bestFit="1" customWidth="1"/>
    <col min="14084" max="14084" width="16.5703125" style="16" bestFit="1" customWidth="1"/>
    <col min="14085" max="14085" width="11.85546875" style="16" bestFit="1" customWidth="1"/>
    <col min="14086" max="14086" width="13.85546875" style="16" bestFit="1" customWidth="1"/>
    <col min="14087" max="14088" width="13.85546875" style="16" customWidth="1"/>
    <col min="14089" max="14089" width="4.5703125" style="16" customWidth="1"/>
    <col min="14090" max="14090" width="11" style="16" bestFit="1" customWidth="1"/>
    <col min="14091" max="14091" width="9.140625" style="16"/>
    <col min="14092" max="14092" width="11.28515625" style="16" customWidth="1"/>
    <col min="14093" max="14093" width="15.5703125" style="16" bestFit="1" customWidth="1"/>
    <col min="14094" max="14094" width="10.5703125" style="16" customWidth="1"/>
    <col min="14095" max="14095" width="15.140625" style="16" bestFit="1" customWidth="1"/>
    <col min="14096" max="14096" width="13.85546875" style="16" bestFit="1" customWidth="1"/>
    <col min="14097" max="14097" width="12.85546875" style="16" bestFit="1" customWidth="1"/>
    <col min="14098" max="14098" width="13.85546875" style="16" bestFit="1" customWidth="1"/>
    <col min="14099" max="14099" width="13.5703125" style="16" bestFit="1" customWidth="1"/>
    <col min="14100" max="14100" width="9.140625" style="16"/>
    <col min="14101" max="14101" width="10" style="16" customWidth="1"/>
    <col min="14102" max="14336" width="9.140625" style="16"/>
    <col min="14337" max="14337" width="20.5703125" style="16" customWidth="1"/>
    <col min="14338" max="14338" width="11" style="16" bestFit="1" customWidth="1"/>
    <col min="14339" max="14339" width="12" style="16" bestFit="1" customWidth="1"/>
    <col min="14340" max="14340" width="16.5703125" style="16" bestFit="1" customWidth="1"/>
    <col min="14341" max="14341" width="11.85546875" style="16" bestFit="1" customWidth="1"/>
    <col min="14342" max="14342" width="13.85546875" style="16" bestFit="1" customWidth="1"/>
    <col min="14343" max="14344" width="13.85546875" style="16" customWidth="1"/>
    <col min="14345" max="14345" width="4.5703125" style="16" customWidth="1"/>
    <col min="14346" max="14346" width="11" style="16" bestFit="1" customWidth="1"/>
    <col min="14347" max="14347" width="9.140625" style="16"/>
    <col min="14348" max="14348" width="11.28515625" style="16" customWidth="1"/>
    <col min="14349" max="14349" width="15.5703125" style="16" bestFit="1" customWidth="1"/>
    <col min="14350" max="14350" width="10.5703125" style="16" customWidth="1"/>
    <col min="14351" max="14351" width="15.140625" style="16" bestFit="1" customWidth="1"/>
    <col min="14352" max="14352" width="13.85546875" style="16" bestFit="1" customWidth="1"/>
    <col min="14353" max="14353" width="12.85546875" style="16" bestFit="1" customWidth="1"/>
    <col min="14354" max="14354" width="13.85546875" style="16" bestFit="1" customWidth="1"/>
    <col min="14355" max="14355" width="13.5703125" style="16" bestFit="1" customWidth="1"/>
    <col min="14356" max="14356" width="9.140625" style="16"/>
    <col min="14357" max="14357" width="10" style="16" customWidth="1"/>
    <col min="14358" max="14592" width="9.140625" style="16"/>
    <col min="14593" max="14593" width="20.5703125" style="16" customWidth="1"/>
    <col min="14594" max="14594" width="11" style="16" bestFit="1" customWidth="1"/>
    <col min="14595" max="14595" width="12" style="16" bestFit="1" customWidth="1"/>
    <col min="14596" max="14596" width="16.5703125" style="16" bestFit="1" customWidth="1"/>
    <col min="14597" max="14597" width="11.85546875" style="16" bestFit="1" customWidth="1"/>
    <col min="14598" max="14598" width="13.85546875" style="16" bestFit="1" customWidth="1"/>
    <col min="14599" max="14600" width="13.85546875" style="16" customWidth="1"/>
    <col min="14601" max="14601" width="4.5703125" style="16" customWidth="1"/>
    <col min="14602" max="14602" width="11" style="16" bestFit="1" customWidth="1"/>
    <col min="14603" max="14603" width="9.140625" style="16"/>
    <col min="14604" max="14604" width="11.28515625" style="16" customWidth="1"/>
    <col min="14605" max="14605" width="15.5703125" style="16" bestFit="1" customWidth="1"/>
    <col min="14606" max="14606" width="10.5703125" style="16" customWidth="1"/>
    <col min="14607" max="14607" width="15.140625" style="16" bestFit="1" customWidth="1"/>
    <col min="14608" max="14608" width="13.85546875" style="16" bestFit="1" customWidth="1"/>
    <col min="14609" max="14609" width="12.85546875" style="16" bestFit="1" customWidth="1"/>
    <col min="14610" max="14610" width="13.85546875" style="16" bestFit="1" customWidth="1"/>
    <col min="14611" max="14611" width="13.5703125" style="16" bestFit="1" customWidth="1"/>
    <col min="14612" max="14612" width="9.140625" style="16"/>
    <col min="14613" max="14613" width="10" style="16" customWidth="1"/>
    <col min="14614" max="14848" width="9.140625" style="16"/>
    <col min="14849" max="14849" width="20.5703125" style="16" customWidth="1"/>
    <col min="14850" max="14850" width="11" style="16" bestFit="1" customWidth="1"/>
    <col min="14851" max="14851" width="12" style="16" bestFit="1" customWidth="1"/>
    <col min="14852" max="14852" width="16.5703125" style="16" bestFit="1" customWidth="1"/>
    <col min="14853" max="14853" width="11.85546875" style="16" bestFit="1" customWidth="1"/>
    <col min="14854" max="14854" width="13.85546875" style="16" bestFit="1" customWidth="1"/>
    <col min="14855" max="14856" width="13.85546875" style="16" customWidth="1"/>
    <col min="14857" max="14857" width="4.5703125" style="16" customWidth="1"/>
    <col min="14858" max="14858" width="11" style="16" bestFit="1" customWidth="1"/>
    <col min="14859" max="14859" width="9.140625" style="16"/>
    <col min="14860" max="14860" width="11.28515625" style="16" customWidth="1"/>
    <col min="14861" max="14861" width="15.5703125" style="16" bestFit="1" customWidth="1"/>
    <col min="14862" max="14862" width="10.5703125" style="16" customWidth="1"/>
    <col min="14863" max="14863" width="15.140625" style="16" bestFit="1" customWidth="1"/>
    <col min="14864" max="14864" width="13.85546875" style="16" bestFit="1" customWidth="1"/>
    <col min="14865" max="14865" width="12.85546875" style="16" bestFit="1" customWidth="1"/>
    <col min="14866" max="14866" width="13.85546875" style="16" bestFit="1" customWidth="1"/>
    <col min="14867" max="14867" width="13.5703125" style="16" bestFit="1" customWidth="1"/>
    <col min="14868" max="14868" width="9.140625" style="16"/>
    <col min="14869" max="14869" width="10" style="16" customWidth="1"/>
    <col min="14870" max="15104" width="9.140625" style="16"/>
    <col min="15105" max="15105" width="20.5703125" style="16" customWidth="1"/>
    <col min="15106" max="15106" width="11" style="16" bestFit="1" customWidth="1"/>
    <col min="15107" max="15107" width="12" style="16" bestFit="1" customWidth="1"/>
    <col min="15108" max="15108" width="16.5703125" style="16" bestFit="1" customWidth="1"/>
    <col min="15109" max="15109" width="11.85546875" style="16" bestFit="1" customWidth="1"/>
    <col min="15110" max="15110" width="13.85546875" style="16" bestFit="1" customWidth="1"/>
    <col min="15111" max="15112" width="13.85546875" style="16" customWidth="1"/>
    <col min="15113" max="15113" width="4.5703125" style="16" customWidth="1"/>
    <col min="15114" max="15114" width="11" style="16" bestFit="1" customWidth="1"/>
    <col min="15115" max="15115" width="9.140625" style="16"/>
    <col min="15116" max="15116" width="11.28515625" style="16" customWidth="1"/>
    <col min="15117" max="15117" width="15.5703125" style="16" bestFit="1" customWidth="1"/>
    <col min="15118" max="15118" width="10.5703125" style="16" customWidth="1"/>
    <col min="15119" max="15119" width="15.140625" style="16" bestFit="1" customWidth="1"/>
    <col min="15120" max="15120" width="13.85546875" style="16" bestFit="1" customWidth="1"/>
    <col min="15121" max="15121" width="12.85546875" style="16" bestFit="1" customWidth="1"/>
    <col min="15122" max="15122" width="13.85546875" style="16" bestFit="1" customWidth="1"/>
    <col min="15123" max="15123" width="13.5703125" style="16" bestFit="1" customWidth="1"/>
    <col min="15124" max="15124" width="9.140625" style="16"/>
    <col min="15125" max="15125" width="10" style="16" customWidth="1"/>
    <col min="15126" max="15360" width="9.140625" style="16"/>
    <col min="15361" max="15361" width="20.5703125" style="16" customWidth="1"/>
    <col min="15362" max="15362" width="11" style="16" bestFit="1" customWidth="1"/>
    <col min="15363" max="15363" width="12" style="16" bestFit="1" customWidth="1"/>
    <col min="15364" max="15364" width="16.5703125" style="16" bestFit="1" customWidth="1"/>
    <col min="15365" max="15365" width="11.85546875" style="16" bestFit="1" customWidth="1"/>
    <col min="15366" max="15366" width="13.85546875" style="16" bestFit="1" customWidth="1"/>
    <col min="15367" max="15368" width="13.85546875" style="16" customWidth="1"/>
    <col min="15369" max="15369" width="4.5703125" style="16" customWidth="1"/>
    <col min="15370" max="15370" width="11" style="16" bestFit="1" customWidth="1"/>
    <col min="15371" max="15371" width="9.140625" style="16"/>
    <col min="15372" max="15372" width="11.28515625" style="16" customWidth="1"/>
    <col min="15373" max="15373" width="15.5703125" style="16" bestFit="1" customWidth="1"/>
    <col min="15374" max="15374" width="10.5703125" style="16" customWidth="1"/>
    <col min="15375" max="15375" width="15.140625" style="16" bestFit="1" customWidth="1"/>
    <col min="15376" max="15376" width="13.85546875" style="16" bestFit="1" customWidth="1"/>
    <col min="15377" max="15377" width="12.85546875" style="16" bestFit="1" customWidth="1"/>
    <col min="15378" max="15378" width="13.85546875" style="16" bestFit="1" customWidth="1"/>
    <col min="15379" max="15379" width="13.5703125" style="16" bestFit="1" customWidth="1"/>
    <col min="15380" max="15380" width="9.140625" style="16"/>
    <col min="15381" max="15381" width="10" style="16" customWidth="1"/>
    <col min="15382" max="15616" width="9.140625" style="16"/>
    <col min="15617" max="15617" width="20.5703125" style="16" customWidth="1"/>
    <col min="15618" max="15618" width="11" style="16" bestFit="1" customWidth="1"/>
    <col min="15619" max="15619" width="12" style="16" bestFit="1" customWidth="1"/>
    <col min="15620" max="15620" width="16.5703125" style="16" bestFit="1" customWidth="1"/>
    <col min="15621" max="15621" width="11.85546875" style="16" bestFit="1" customWidth="1"/>
    <col min="15622" max="15622" width="13.85546875" style="16" bestFit="1" customWidth="1"/>
    <col min="15623" max="15624" width="13.85546875" style="16" customWidth="1"/>
    <col min="15625" max="15625" width="4.5703125" style="16" customWidth="1"/>
    <col min="15626" max="15626" width="11" style="16" bestFit="1" customWidth="1"/>
    <col min="15627" max="15627" width="9.140625" style="16"/>
    <col min="15628" max="15628" width="11.28515625" style="16" customWidth="1"/>
    <col min="15629" max="15629" width="15.5703125" style="16" bestFit="1" customWidth="1"/>
    <col min="15630" max="15630" width="10.5703125" style="16" customWidth="1"/>
    <col min="15631" max="15631" width="15.140625" style="16" bestFit="1" customWidth="1"/>
    <col min="15632" max="15632" width="13.85546875" style="16" bestFit="1" customWidth="1"/>
    <col min="15633" max="15633" width="12.85546875" style="16" bestFit="1" customWidth="1"/>
    <col min="15634" max="15634" width="13.85546875" style="16" bestFit="1" customWidth="1"/>
    <col min="15635" max="15635" width="13.5703125" style="16" bestFit="1" customWidth="1"/>
    <col min="15636" max="15636" width="9.140625" style="16"/>
    <col min="15637" max="15637" width="10" style="16" customWidth="1"/>
    <col min="15638" max="15872" width="9.140625" style="16"/>
    <col min="15873" max="15873" width="20.5703125" style="16" customWidth="1"/>
    <col min="15874" max="15874" width="11" style="16" bestFit="1" customWidth="1"/>
    <col min="15875" max="15875" width="12" style="16" bestFit="1" customWidth="1"/>
    <col min="15876" max="15876" width="16.5703125" style="16" bestFit="1" customWidth="1"/>
    <col min="15877" max="15877" width="11.85546875" style="16" bestFit="1" customWidth="1"/>
    <col min="15878" max="15878" width="13.85546875" style="16" bestFit="1" customWidth="1"/>
    <col min="15879" max="15880" width="13.85546875" style="16" customWidth="1"/>
    <col min="15881" max="15881" width="4.5703125" style="16" customWidth="1"/>
    <col min="15882" max="15882" width="11" style="16" bestFit="1" customWidth="1"/>
    <col min="15883" max="15883" width="9.140625" style="16"/>
    <col min="15884" max="15884" width="11.28515625" style="16" customWidth="1"/>
    <col min="15885" max="15885" width="15.5703125" style="16" bestFit="1" customWidth="1"/>
    <col min="15886" max="15886" width="10.5703125" style="16" customWidth="1"/>
    <col min="15887" max="15887" width="15.140625" style="16" bestFit="1" customWidth="1"/>
    <col min="15888" max="15888" width="13.85546875" style="16" bestFit="1" customWidth="1"/>
    <col min="15889" max="15889" width="12.85546875" style="16" bestFit="1" customWidth="1"/>
    <col min="15890" max="15890" width="13.85546875" style="16" bestFit="1" customWidth="1"/>
    <col min="15891" max="15891" width="13.5703125" style="16" bestFit="1" customWidth="1"/>
    <col min="15892" max="15892" width="9.140625" style="16"/>
    <col min="15893" max="15893" width="10" style="16" customWidth="1"/>
    <col min="15894" max="16128" width="9.140625" style="16"/>
    <col min="16129" max="16129" width="20.5703125" style="16" customWidth="1"/>
    <col min="16130" max="16130" width="11" style="16" bestFit="1" customWidth="1"/>
    <col min="16131" max="16131" width="12" style="16" bestFit="1" customWidth="1"/>
    <col min="16132" max="16132" width="16.5703125" style="16" bestFit="1" customWidth="1"/>
    <col min="16133" max="16133" width="11.85546875" style="16" bestFit="1" customWidth="1"/>
    <col min="16134" max="16134" width="13.85546875" style="16" bestFit="1" customWidth="1"/>
    <col min="16135" max="16136" width="13.85546875" style="16" customWidth="1"/>
    <col min="16137" max="16137" width="4.5703125" style="16" customWidth="1"/>
    <col min="16138" max="16138" width="11" style="16" bestFit="1" customWidth="1"/>
    <col min="16139" max="16139" width="9.140625" style="16"/>
    <col min="16140" max="16140" width="11.28515625" style="16" customWidth="1"/>
    <col min="16141" max="16141" width="15.5703125" style="16" bestFit="1" customWidth="1"/>
    <col min="16142" max="16142" width="10.5703125" style="16" customWidth="1"/>
    <col min="16143" max="16143" width="15.140625" style="16" bestFit="1" customWidth="1"/>
    <col min="16144" max="16144" width="13.85546875" style="16" bestFit="1" customWidth="1"/>
    <col min="16145" max="16145" width="12.85546875" style="16" bestFit="1" customWidth="1"/>
    <col min="16146" max="16146" width="13.85546875" style="16" bestFit="1" customWidth="1"/>
    <col min="16147" max="16147" width="13.5703125" style="16" bestFit="1" customWidth="1"/>
    <col min="16148" max="16148" width="9.140625" style="16"/>
    <col min="16149" max="16149" width="10" style="16" customWidth="1"/>
    <col min="16150" max="16384" width="9.140625" style="16"/>
  </cols>
  <sheetData>
    <row r="1" spans="1:18" ht="19.5" x14ac:dyDescent="0.25">
      <c r="A1" s="163" t="s">
        <v>69</v>
      </c>
      <c r="B1" s="164"/>
      <c r="C1" s="15"/>
      <c r="D1" s="15"/>
    </row>
    <row r="2" spans="1:18" ht="19.5" x14ac:dyDescent="0.25">
      <c r="A2" s="17"/>
      <c r="B2" s="17"/>
      <c r="C2" s="15"/>
      <c r="D2" s="15"/>
      <c r="H2" s="18" t="s">
        <v>70</v>
      </c>
      <c r="N2" s="18" t="s">
        <v>71</v>
      </c>
      <c r="O2" s="16" t="s">
        <v>72</v>
      </c>
      <c r="P2" s="16" t="s">
        <v>73</v>
      </c>
    </row>
    <row r="3" spans="1:18" x14ac:dyDescent="0.2">
      <c r="A3" s="16" t="s">
        <v>74</v>
      </c>
      <c r="C3" s="19">
        <v>318569.19</v>
      </c>
      <c r="D3" s="19"/>
      <c r="G3" s="20">
        <v>44408</v>
      </c>
      <c r="H3" s="16" t="s">
        <v>75</v>
      </c>
      <c r="K3" s="16">
        <v>162.99</v>
      </c>
      <c r="N3" s="16" t="s">
        <v>76</v>
      </c>
      <c r="O3" s="19"/>
      <c r="P3" s="19">
        <f>M636</f>
        <v>3319992.3100000015</v>
      </c>
      <c r="Q3" s="19"/>
      <c r="R3" s="19"/>
    </row>
    <row r="4" spans="1:18" ht="15" x14ac:dyDescent="0.25">
      <c r="A4" s="16" t="s">
        <v>77</v>
      </c>
      <c r="B4" s="16" t="s">
        <v>78</v>
      </c>
      <c r="C4" s="21">
        <f>1284014.01-2550.3</f>
        <v>1281463.71</v>
      </c>
      <c r="D4" s="19"/>
      <c r="G4" s="20">
        <v>44439</v>
      </c>
      <c r="H4" s="16" t="s">
        <v>75</v>
      </c>
      <c r="K4" s="16">
        <v>176.52</v>
      </c>
      <c r="N4" s="16" t="s">
        <v>79</v>
      </c>
      <c r="O4" s="19">
        <f>C4</f>
        <v>1281463.71</v>
      </c>
      <c r="P4" s="19"/>
      <c r="Q4" s="19"/>
      <c r="R4" s="19"/>
    </row>
    <row r="5" spans="1:18" x14ac:dyDescent="0.2">
      <c r="A5" s="16" t="s">
        <v>80</v>
      </c>
      <c r="B5" s="16" t="s">
        <v>81</v>
      </c>
      <c r="C5" s="19"/>
      <c r="D5" s="19">
        <f>M636</f>
        <v>3319992.3100000015</v>
      </c>
      <c r="G5" s="20">
        <v>44469</v>
      </c>
      <c r="H5" s="16" t="s">
        <v>75</v>
      </c>
      <c r="K5" s="16">
        <v>372</v>
      </c>
      <c r="N5" s="16" t="s">
        <v>82</v>
      </c>
      <c r="O5" s="19">
        <f>SUM(K3:K7)-SUM(L8:L11)</f>
        <v>1247.29</v>
      </c>
      <c r="P5" s="19"/>
    </row>
    <row r="6" spans="1:18" x14ac:dyDescent="0.2">
      <c r="A6" s="16" t="s">
        <v>83</v>
      </c>
      <c r="B6" s="16" t="s">
        <v>81</v>
      </c>
      <c r="C6" s="19"/>
      <c r="D6" s="19">
        <f>L14+L15</f>
        <v>21562.5</v>
      </c>
      <c r="G6" s="20">
        <v>44500</v>
      </c>
      <c r="H6" s="16" t="s">
        <v>75</v>
      </c>
      <c r="K6" s="16">
        <v>463.47</v>
      </c>
      <c r="N6" s="16" t="s">
        <v>83</v>
      </c>
      <c r="O6" s="19"/>
      <c r="P6" s="19">
        <f>SUM(L14:L15)</f>
        <v>21562.5</v>
      </c>
    </row>
    <row r="7" spans="1:18" x14ac:dyDescent="0.2">
      <c r="A7" s="16" t="s">
        <v>84</v>
      </c>
      <c r="B7" s="16" t="s">
        <v>81</v>
      </c>
      <c r="C7" s="19">
        <f>SUM(K3:K7)</f>
        <v>1329.55</v>
      </c>
      <c r="D7" s="19">
        <f>SUM(L8:L11)</f>
        <v>82.259999999999991</v>
      </c>
      <c r="G7" s="20">
        <v>44530</v>
      </c>
      <c r="H7" s="16" t="s">
        <v>75</v>
      </c>
      <c r="K7" s="16">
        <v>154.57</v>
      </c>
      <c r="N7" s="16" t="s">
        <v>85</v>
      </c>
      <c r="O7" s="19"/>
      <c r="P7" s="19"/>
    </row>
    <row r="8" spans="1:18" ht="15" x14ac:dyDescent="0.25">
      <c r="A8" s="16" t="s">
        <v>86</v>
      </c>
      <c r="B8" s="16" t="s">
        <v>78</v>
      </c>
      <c r="C8" s="21">
        <f>K20+K21</f>
        <v>1776040.54</v>
      </c>
      <c r="D8" s="19"/>
      <c r="G8" s="20">
        <v>44561</v>
      </c>
      <c r="H8" s="16" t="s">
        <v>75</v>
      </c>
      <c r="L8" s="16">
        <v>23.13</v>
      </c>
      <c r="N8" s="16" t="s">
        <v>87</v>
      </c>
      <c r="O8" s="16">
        <f>K20+K21</f>
        <v>1776040.54</v>
      </c>
      <c r="P8" s="19"/>
    </row>
    <row r="9" spans="1:18" x14ac:dyDescent="0.2">
      <c r="A9" s="16" t="s">
        <v>88</v>
      </c>
      <c r="C9" s="19">
        <f>SUM(C4:C8)</f>
        <v>3058833.8</v>
      </c>
      <c r="D9" s="19">
        <f>SUM(D4:D8)</f>
        <v>3341637.0700000012</v>
      </c>
      <c r="E9" s="22">
        <f>D9-C9</f>
        <v>282803.27000000142</v>
      </c>
      <c r="F9" s="22">
        <f>SUM(C3:C8)-SUM(D3:D8)</f>
        <v>35765.919999998994</v>
      </c>
      <c r="G9" s="20">
        <v>44592</v>
      </c>
      <c r="H9" s="16" t="s">
        <v>75</v>
      </c>
      <c r="L9" s="16">
        <v>24.91</v>
      </c>
      <c r="N9" s="16" t="s">
        <v>89</v>
      </c>
      <c r="P9" s="19">
        <f>E10</f>
        <v>35765.919999998587</v>
      </c>
    </row>
    <row r="10" spans="1:18" x14ac:dyDescent="0.2">
      <c r="A10" s="16" t="s">
        <v>90</v>
      </c>
      <c r="C10" s="23"/>
      <c r="E10" s="24">
        <f>C3-E9</f>
        <v>35765.919999998587</v>
      </c>
      <c r="G10" s="20">
        <v>44617</v>
      </c>
      <c r="H10" s="16" t="s">
        <v>91</v>
      </c>
      <c r="L10" s="16">
        <v>31.22</v>
      </c>
      <c r="N10" s="16" t="s">
        <v>92</v>
      </c>
      <c r="O10" s="19">
        <f>-(SUM(O3:O9)-SUM(P3:P9))</f>
        <v>318569.18999999994</v>
      </c>
    </row>
    <row r="11" spans="1:18" ht="13.5" thickBot="1" x14ac:dyDescent="0.25">
      <c r="A11" s="25" t="s">
        <v>93</v>
      </c>
      <c r="E11" s="22"/>
      <c r="G11" s="20">
        <v>44631</v>
      </c>
      <c r="H11" s="16" t="s">
        <v>91</v>
      </c>
      <c r="L11" s="16">
        <v>3</v>
      </c>
      <c r="O11" s="26">
        <f>SUM(O4:O10)</f>
        <v>3377320.73</v>
      </c>
      <c r="P11" s="26">
        <f>-SUM(P3:P9)</f>
        <v>-3377320.73</v>
      </c>
    </row>
    <row r="12" spans="1:18" ht="13.5" thickTop="1" x14ac:dyDescent="0.2">
      <c r="E12" s="22"/>
    </row>
    <row r="13" spans="1:18" x14ac:dyDescent="0.2">
      <c r="C13" s="23"/>
      <c r="E13" s="22"/>
      <c r="N13" s="18" t="s">
        <v>94</v>
      </c>
      <c r="O13" s="19"/>
      <c r="P13" s="19"/>
    </row>
    <row r="14" spans="1:18" x14ac:dyDescent="0.2">
      <c r="C14" s="23"/>
      <c r="E14" s="22"/>
      <c r="F14" s="23"/>
      <c r="G14" s="20">
        <v>44435</v>
      </c>
      <c r="H14" s="16" t="s">
        <v>95</v>
      </c>
      <c r="L14" s="16">
        <v>20362.5</v>
      </c>
      <c r="N14" s="16" t="s">
        <v>96</v>
      </c>
      <c r="O14" s="19">
        <v>-318569.19</v>
      </c>
      <c r="P14" s="19"/>
    </row>
    <row r="15" spans="1:18" x14ac:dyDescent="0.2">
      <c r="B15" s="23"/>
      <c r="C15" s="23"/>
      <c r="E15" s="22"/>
      <c r="F15" s="22"/>
      <c r="G15" s="20">
        <v>44512</v>
      </c>
      <c r="H15" s="16" t="s">
        <v>97</v>
      </c>
      <c r="L15" s="16">
        <v>1200</v>
      </c>
      <c r="N15" s="16" t="s">
        <v>98</v>
      </c>
      <c r="O15" s="19">
        <f>O10</f>
        <v>318569.18999999994</v>
      </c>
      <c r="P15" s="19"/>
    </row>
    <row r="16" spans="1:18" x14ac:dyDescent="0.2">
      <c r="B16" s="22"/>
      <c r="C16" s="23"/>
      <c r="E16" s="22"/>
      <c r="N16" s="16" t="s">
        <v>99</v>
      </c>
      <c r="O16" s="19">
        <f>O15+O14</f>
        <v>0</v>
      </c>
      <c r="P16" s="19"/>
    </row>
    <row r="17" spans="1:19" x14ac:dyDescent="0.2">
      <c r="C17" s="23"/>
      <c r="E17" s="22"/>
      <c r="H17" s="16" t="s">
        <v>100</v>
      </c>
      <c r="K17" s="16">
        <v>30000</v>
      </c>
      <c r="N17" s="16" t="s">
        <v>101</v>
      </c>
      <c r="O17" s="19">
        <v>0</v>
      </c>
      <c r="P17" s="19">
        <f>O16-O17</f>
        <v>0</v>
      </c>
    </row>
    <row r="18" spans="1:19" x14ac:dyDescent="0.2">
      <c r="C18" s="23"/>
      <c r="D18" s="22"/>
      <c r="E18" s="22"/>
      <c r="H18" s="27" t="s">
        <v>102</v>
      </c>
      <c r="I18" s="28"/>
      <c r="L18" s="29">
        <v>2550.3000000000002</v>
      </c>
      <c r="P18" s="22"/>
    </row>
    <row r="19" spans="1:19" x14ac:dyDescent="0.2">
      <c r="C19" s="23"/>
      <c r="E19" s="22"/>
      <c r="O19" s="19"/>
      <c r="P19" s="19"/>
    </row>
    <row r="20" spans="1:19" x14ac:dyDescent="0.2">
      <c r="C20" s="23"/>
      <c r="E20" s="22"/>
      <c r="G20" s="20">
        <v>44617</v>
      </c>
      <c r="H20" s="16" t="s">
        <v>103</v>
      </c>
      <c r="K20" s="16">
        <v>1242579.81</v>
      </c>
      <c r="N20" s="18" t="s">
        <v>104</v>
      </c>
      <c r="O20" s="19"/>
      <c r="P20" s="19"/>
    </row>
    <row r="21" spans="1:19" x14ac:dyDescent="0.2">
      <c r="C21" s="23"/>
      <c r="E21" s="22"/>
      <c r="G21" s="20">
        <v>44631</v>
      </c>
      <c r="H21" s="16" t="s">
        <v>103</v>
      </c>
      <c r="K21" s="16">
        <v>533460.73</v>
      </c>
      <c r="N21" s="16" t="s">
        <v>105</v>
      </c>
      <c r="O21" s="19"/>
      <c r="P21" s="19">
        <v>2076007.46</v>
      </c>
    </row>
    <row r="22" spans="1:19" x14ac:dyDescent="0.2">
      <c r="C22" s="23"/>
      <c r="E22" s="22"/>
      <c r="N22" s="16" t="s">
        <v>106</v>
      </c>
      <c r="O22" s="19">
        <f>F636</f>
        <v>837802.11301971693</v>
      </c>
      <c r="P22" s="19"/>
    </row>
    <row r="23" spans="1:19" x14ac:dyDescent="0.2">
      <c r="D23" s="30"/>
      <c r="E23" s="30"/>
      <c r="N23" s="16" t="s">
        <v>107</v>
      </c>
      <c r="O23" s="22">
        <f>P21-O22</f>
        <v>1238205.346980283</v>
      </c>
    </row>
    <row r="24" spans="1:19" x14ac:dyDescent="0.2">
      <c r="D24" s="30"/>
      <c r="E24" s="30"/>
      <c r="O24" s="22"/>
    </row>
    <row r="25" spans="1:19" ht="19.5" x14ac:dyDescent="0.25">
      <c r="A25" s="17"/>
      <c r="B25" s="165" t="s">
        <v>108</v>
      </c>
      <c r="C25" s="166"/>
      <c r="D25" s="166"/>
      <c r="E25" s="166"/>
      <c r="F25" s="167"/>
      <c r="G25" s="31"/>
      <c r="H25" s="31"/>
      <c r="J25" s="165" t="s">
        <v>109</v>
      </c>
      <c r="K25" s="166"/>
      <c r="L25" s="166"/>
      <c r="M25" s="166"/>
      <c r="N25" s="166"/>
      <c r="O25" s="166"/>
      <c r="P25" s="166"/>
      <c r="Q25" s="166"/>
      <c r="R25" s="166"/>
      <c r="S25" s="167"/>
    </row>
    <row r="26" spans="1:19" ht="27" customHeight="1" x14ac:dyDescent="0.2">
      <c r="A26" s="32" t="s">
        <v>110</v>
      </c>
      <c r="B26" s="33" t="s">
        <v>111</v>
      </c>
      <c r="C26" s="34" t="s">
        <v>112</v>
      </c>
      <c r="D26" s="35" t="s">
        <v>113</v>
      </c>
      <c r="E26" s="36" t="s">
        <v>114</v>
      </c>
      <c r="F26" s="36" t="s">
        <v>115</v>
      </c>
      <c r="G26" s="36" t="s">
        <v>116</v>
      </c>
      <c r="H26" s="36" t="s">
        <v>117</v>
      </c>
      <c r="I26" s="37"/>
      <c r="J26" s="37" t="s">
        <v>118</v>
      </c>
      <c r="K26" s="35" t="s">
        <v>119</v>
      </c>
      <c r="L26" s="35" t="s">
        <v>120</v>
      </c>
      <c r="M26" s="35" t="s">
        <v>80</v>
      </c>
      <c r="N26" s="35" t="s">
        <v>121</v>
      </c>
      <c r="O26" s="35" t="s">
        <v>122</v>
      </c>
      <c r="P26" s="35" t="s">
        <v>123</v>
      </c>
      <c r="Q26" s="35" t="s">
        <v>124</v>
      </c>
      <c r="R26" s="35" t="s">
        <v>125</v>
      </c>
      <c r="S26" s="38" t="s">
        <v>126</v>
      </c>
    </row>
    <row r="27" spans="1:19" x14ac:dyDescent="0.2">
      <c r="A27" s="39" t="s">
        <v>127</v>
      </c>
      <c r="B27" s="40"/>
      <c r="C27" s="41"/>
      <c r="D27" s="42"/>
      <c r="E27" s="41"/>
      <c r="F27" s="41"/>
      <c r="G27" s="41"/>
      <c r="H27" s="41"/>
      <c r="I27" s="43"/>
      <c r="J27" s="44"/>
      <c r="K27" s="44"/>
      <c r="L27" s="41"/>
      <c r="M27" s="41"/>
      <c r="N27" s="41"/>
      <c r="O27" s="41"/>
      <c r="P27" s="41"/>
      <c r="Q27" s="41"/>
      <c r="R27" s="41"/>
      <c r="S27" s="45"/>
    </row>
    <row r="28" spans="1:19" x14ac:dyDescent="0.2">
      <c r="A28" s="46" t="s">
        <v>128</v>
      </c>
      <c r="B28" s="47">
        <v>44202</v>
      </c>
      <c r="C28" s="48">
        <v>160000</v>
      </c>
      <c r="D28" s="49">
        <v>48752.81</v>
      </c>
      <c r="E28" s="50"/>
      <c r="F28" s="51">
        <f>SUM(D28:E28)</f>
        <v>48752.81</v>
      </c>
      <c r="G28" s="50"/>
      <c r="H28" s="50"/>
      <c r="I28" s="52"/>
      <c r="J28" s="53"/>
      <c r="K28" s="54"/>
      <c r="L28" s="55"/>
      <c r="M28" s="56"/>
      <c r="N28" s="56"/>
      <c r="O28" s="56"/>
      <c r="P28" s="57">
        <f t="shared" ref="P28:P31" si="0">M28-N28-O28</f>
        <v>0</v>
      </c>
      <c r="Q28" s="58">
        <f t="shared" ref="Q28:Q31" si="1">IF(P28&gt;0,IF(K28="Y",0,P28),0)</f>
        <v>0</v>
      </c>
      <c r="R28" s="57">
        <f t="shared" ref="R28:R31" si="2">IF(P28&gt;0,IF(K28="Y",P28,0),0)</f>
        <v>0</v>
      </c>
      <c r="S28" s="59">
        <f t="shared" ref="S28:S31" si="3">IF(P28&lt;0,P28,0)</f>
        <v>0</v>
      </c>
    </row>
    <row r="29" spans="1:19" x14ac:dyDescent="0.2">
      <c r="A29" s="46" t="s">
        <v>129</v>
      </c>
      <c r="B29" s="47">
        <v>44272</v>
      </c>
      <c r="C29" s="48">
        <v>-60000</v>
      </c>
      <c r="D29" s="49">
        <f>(D28/C28)*C29</f>
        <v>-18282.303749999999</v>
      </c>
      <c r="E29" s="50"/>
      <c r="F29" s="51">
        <f>SUM(D29:E29)</f>
        <v>-18282.303749999999</v>
      </c>
      <c r="G29" s="50"/>
      <c r="H29" s="50"/>
      <c r="I29" s="52"/>
      <c r="J29" s="53"/>
      <c r="K29" s="54"/>
      <c r="L29" s="55"/>
      <c r="M29" s="56"/>
      <c r="N29" s="56"/>
      <c r="O29" s="56"/>
      <c r="P29" s="57">
        <f t="shared" si="0"/>
        <v>0</v>
      </c>
      <c r="Q29" s="58">
        <f t="shared" si="1"/>
        <v>0</v>
      </c>
      <c r="R29" s="57">
        <f t="shared" si="2"/>
        <v>0</v>
      </c>
      <c r="S29" s="59">
        <f t="shared" si="3"/>
        <v>0</v>
      </c>
    </row>
    <row r="30" spans="1:19" x14ac:dyDescent="0.2">
      <c r="A30" s="46" t="s">
        <v>129</v>
      </c>
      <c r="B30" s="47">
        <v>44274</v>
      </c>
      <c r="C30" s="48">
        <v>-100000</v>
      </c>
      <c r="D30" s="49">
        <f>D28/C28*C30</f>
        <v>-30470.506250000002</v>
      </c>
      <c r="E30" s="50"/>
      <c r="F30" s="51">
        <f>SUM(D30:E30)</f>
        <v>-30470.506250000002</v>
      </c>
      <c r="G30" s="50"/>
      <c r="H30" s="50"/>
      <c r="I30" s="52"/>
      <c r="J30" s="53"/>
      <c r="K30" s="54"/>
      <c r="L30" s="55"/>
      <c r="M30" s="56"/>
      <c r="N30" s="56"/>
      <c r="O30" s="56"/>
      <c r="P30" s="57">
        <f t="shared" si="0"/>
        <v>0</v>
      </c>
      <c r="Q30" s="58">
        <f t="shared" si="1"/>
        <v>0</v>
      </c>
      <c r="R30" s="57">
        <f t="shared" si="2"/>
        <v>0</v>
      </c>
      <c r="S30" s="59">
        <f t="shared" si="3"/>
        <v>0</v>
      </c>
    </row>
    <row r="31" spans="1:19" x14ac:dyDescent="0.2">
      <c r="A31" s="60"/>
      <c r="B31" s="47"/>
      <c r="C31" s="61"/>
      <c r="D31" s="49"/>
      <c r="E31" s="62"/>
      <c r="F31" s="51">
        <f>SUM(D31:E31)</f>
        <v>0</v>
      </c>
      <c r="G31" s="50"/>
      <c r="H31" s="62"/>
      <c r="I31" s="52"/>
      <c r="J31" s="53"/>
      <c r="K31" s="54"/>
      <c r="L31" s="55"/>
      <c r="M31" s="56"/>
      <c r="N31" s="56"/>
      <c r="O31" s="56"/>
      <c r="P31" s="57">
        <f t="shared" si="0"/>
        <v>0</v>
      </c>
      <c r="Q31" s="58">
        <f t="shared" si="1"/>
        <v>0</v>
      </c>
      <c r="R31" s="57">
        <f t="shared" si="2"/>
        <v>0</v>
      </c>
      <c r="S31" s="59">
        <f t="shared" si="3"/>
        <v>0</v>
      </c>
    </row>
    <row r="32" spans="1:19" ht="13.5" customHeight="1" thickBot="1" x14ac:dyDescent="0.3">
      <c r="A32" s="63"/>
      <c r="B32" s="64"/>
      <c r="C32" s="65">
        <f>SUBTOTAL(9,C28:C31)</f>
        <v>0</v>
      </c>
      <c r="D32" s="66">
        <f>SUBTOTAL(9,D28:D31)</f>
        <v>0</v>
      </c>
      <c r="E32" s="67">
        <f>SUBTOTAL(9,E28:E31)</f>
        <v>0</v>
      </c>
      <c r="F32" s="65">
        <f>SUBTOTAL(9,F28:F31)</f>
        <v>-3.637978807091713E-12</v>
      </c>
      <c r="G32" s="65">
        <v>0</v>
      </c>
      <c r="H32" s="67">
        <f>C32*G32</f>
        <v>0</v>
      </c>
      <c r="I32" s="68"/>
      <c r="J32" s="68"/>
      <c r="K32" s="68"/>
      <c r="L32" s="69">
        <f t="shared" ref="L32:S32" si="4">SUBTOTAL(9,L28:L31)</f>
        <v>0</v>
      </c>
      <c r="M32" s="70">
        <f t="shared" si="4"/>
        <v>0</v>
      </c>
      <c r="N32" s="70">
        <f t="shared" si="4"/>
        <v>0</v>
      </c>
      <c r="O32" s="70">
        <f t="shared" si="4"/>
        <v>0</v>
      </c>
      <c r="P32" s="70">
        <f t="shared" si="4"/>
        <v>0</v>
      </c>
      <c r="Q32" s="70">
        <f t="shared" si="4"/>
        <v>0</v>
      </c>
      <c r="R32" s="70">
        <f t="shared" si="4"/>
        <v>0</v>
      </c>
      <c r="S32" s="71">
        <f t="shared" si="4"/>
        <v>0</v>
      </c>
    </row>
    <row r="33" spans="1:19" ht="13.5" thickTop="1" x14ac:dyDescent="0.2">
      <c r="A33" s="39" t="s">
        <v>130</v>
      </c>
      <c r="B33" s="40"/>
      <c r="C33" s="41"/>
      <c r="D33" s="42"/>
      <c r="E33" s="41"/>
      <c r="F33" s="41"/>
      <c r="G33" s="41"/>
      <c r="H33" s="41"/>
      <c r="I33" s="43"/>
      <c r="J33" s="44"/>
      <c r="K33" s="44"/>
      <c r="L33" s="41"/>
      <c r="M33" s="41"/>
      <c r="N33" s="41"/>
      <c r="O33" s="41"/>
      <c r="P33" s="41"/>
      <c r="Q33" s="41"/>
      <c r="R33" s="41"/>
      <c r="S33" s="45"/>
    </row>
    <row r="34" spans="1:19" x14ac:dyDescent="0.2">
      <c r="A34" s="46" t="s">
        <v>128</v>
      </c>
      <c r="B34" s="47">
        <v>43754</v>
      </c>
      <c r="C34" s="48">
        <v>5000</v>
      </c>
      <c r="D34" s="49">
        <v>159301.07999999999</v>
      </c>
      <c r="E34" s="50"/>
      <c r="F34" s="51">
        <f t="shared" ref="F34:F39" si="5">SUM(D34:E34)</f>
        <v>159301.07999999999</v>
      </c>
      <c r="G34" s="50"/>
      <c r="H34" s="50"/>
      <c r="I34" s="52"/>
      <c r="J34" s="53"/>
      <c r="K34" s="54"/>
      <c r="L34" s="55"/>
      <c r="M34" s="56"/>
      <c r="N34" s="56"/>
      <c r="O34" s="56"/>
      <c r="P34" s="57">
        <f>M34-N34-O34</f>
        <v>0</v>
      </c>
      <c r="Q34" s="58">
        <f>IF(P34&gt;0,IF(K34="Y",0,P34),0)</f>
        <v>0</v>
      </c>
      <c r="R34" s="57">
        <f>IF(P34&gt;0,IF(K34="Y",P34,0),0)</f>
        <v>0</v>
      </c>
      <c r="S34" s="59">
        <f>IF(P34&lt;0,P34,0)</f>
        <v>0</v>
      </c>
    </row>
    <row r="35" spans="1:19" x14ac:dyDescent="0.2">
      <c r="A35" s="46" t="s">
        <v>129</v>
      </c>
      <c r="B35" s="47">
        <v>43774</v>
      </c>
      <c r="C35" s="48">
        <v>-1000</v>
      </c>
      <c r="D35" s="49">
        <f>-D34/5</f>
        <v>-31860.215999999997</v>
      </c>
      <c r="E35" s="50"/>
      <c r="F35" s="51">
        <f t="shared" si="5"/>
        <v>-31860.215999999997</v>
      </c>
      <c r="G35" s="50"/>
      <c r="H35" s="50"/>
      <c r="I35" s="52"/>
      <c r="J35" s="53"/>
      <c r="K35" s="54"/>
      <c r="L35" s="55"/>
      <c r="M35" s="56"/>
      <c r="N35" s="56"/>
      <c r="O35" s="56"/>
      <c r="P35" s="57">
        <f t="shared" ref="P35:P38" si="6">M35-N35-O35</f>
        <v>0</v>
      </c>
      <c r="Q35" s="58">
        <f t="shared" ref="Q35:Q38" si="7">IF(P35&gt;0,IF(K35="Y",0,P35),0)</f>
        <v>0</v>
      </c>
      <c r="R35" s="57">
        <f t="shared" ref="R35:R38" si="8">IF(P35&gt;0,IF(K35="Y",P35,0),0)</f>
        <v>0</v>
      </c>
      <c r="S35" s="59">
        <f t="shared" ref="S35:S38" si="9">IF(P35&lt;0,P35,0)</f>
        <v>0</v>
      </c>
    </row>
    <row r="36" spans="1:19" x14ac:dyDescent="0.2">
      <c r="A36" s="46" t="s">
        <v>129</v>
      </c>
      <c r="B36" s="47">
        <v>43775</v>
      </c>
      <c r="C36" s="48">
        <v>-4000</v>
      </c>
      <c r="D36" s="49">
        <f>-SUM(D34:D35)</f>
        <v>-127440.86399999999</v>
      </c>
      <c r="E36" s="50"/>
      <c r="F36" s="51">
        <f t="shared" si="5"/>
        <v>-127440.86399999999</v>
      </c>
      <c r="G36" s="50"/>
      <c r="H36" s="50"/>
      <c r="I36" s="52"/>
      <c r="J36" s="53"/>
      <c r="K36" s="54"/>
      <c r="L36" s="55"/>
      <c r="M36" s="56"/>
      <c r="N36" s="56"/>
      <c r="O36" s="56"/>
      <c r="P36" s="57">
        <f t="shared" si="6"/>
        <v>0</v>
      </c>
      <c r="Q36" s="58">
        <f t="shared" si="7"/>
        <v>0</v>
      </c>
      <c r="R36" s="57">
        <f t="shared" si="8"/>
        <v>0</v>
      </c>
      <c r="S36" s="59">
        <f t="shared" si="9"/>
        <v>0</v>
      </c>
    </row>
    <row r="37" spans="1:19" x14ac:dyDescent="0.2">
      <c r="A37" s="46" t="s">
        <v>128</v>
      </c>
      <c r="B37" s="47">
        <v>43937</v>
      </c>
      <c r="C37" s="48">
        <v>3000</v>
      </c>
      <c r="D37" s="49">
        <v>70012.97</v>
      </c>
      <c r="E37" s="50"/>
      <c r="F37" s="51">
        <f>SUM(D37:E37)</f>
        <v>70012.97</v>
      </c>
      <c r="G37" s="50"/>
      <c r="H37" s="50"/>
      <c r="I37" s="52"/>
      <c r="J37" s="53"/>
      <c r="K37" s="54"/>
      <c r="L37" s="55"/>
      <c r="M37" s="56"/>
      <c r="N37" s="56"/>
      <c r="O37" s="56"/>
      <c r="P37" s="57">
        <f t="shared" si="6"/>
        <v>0</v>
      </c>
      <c r="Q37" s="58">
        <f t="shared" si="7"/>
        <v>0</v>
      </c>
      <c r="R37" s="57">
        <f t="shared" si="8"/>
        <v>0</v>
      </c>
      <c r="S37" s="59">
        <f t="shared" si="9"/>
        <v>0</v>
      </c>
    </row>
    <row r="38" spans="1:19" x14ac:dyDescent="0.2">
      <c r="A38" s="60" t="s">
        <v>129</v>
      </c>
      <c r="B38" s="47">
        <v>43969</v>
      </c>
      <c r="C38" s="48">
        <v>-3000</v>
      </c>
      <c r="D38" s="49">
        <f>-D37</f>
        <v>-70012.97</v>
      </c>
      <c r="E38" s="50"/>
      <c r="F38" s="51">
        <f t="shared" si="5"/>
        <v>-70012.97</v>
      </c>
      <c r="G38" s="50"/>
      <c r="H38" s="50"/>
      <c r="I38" s="52"/>
      <c r="J38" s="53"/>
      <c r="K38" s="54"/>
      <c r="L38" s="55"/>
      <c r="M38" s="56"/>
      <c r="N38" s="56"/>
      <c r="O38" s="56"/>
      <c r="P38" s="57">
        <f t="shared" si="6"/>
        <v>0</v>
      </c>
      <c r="Q38" s="58">
        <f t="shared" si="7"/>
        <v>0</v>
      </c>
      <c r="R38" s="57">
        <f t="shared" si="8"/>
        <v>0</v>
      </c>
      <c r="S38" s="59">
        <f t="shared" si="9"/>
        <v>0</v>
      </c>
    </row>
    <row r="39" spans="1:19" x14ac:dyDescent="0.2">
      <c r="A39" s="60"/>
      <c r="B39" s="47"/>
      <c r="C39" s="61"/>
      <c r="D39" s="49"/>
      <c r="E39" s="62"/>
      <c r="F39" s="51">
        <f t="shared" si="5"/>
        <v>0</v>
      </c>
      <c r="G39" s="50"/>
      <c r="H39" s="62"/>
      <c r="I39" s="52"/>
      <c r="J39" s="53"/>
      <c r="K39" s="54"/>
      <c r="L39" s="55"/>
      <c r="M39" s="56"/>
      <c r="N39" s="56"/>
      <c r="O39" s="56"/>
      <c r="P39" s="57">
        <f>M39-N39-O39</f>
        <v>0</v>
      </c>
      <c r="Q39" s="58">
        <f>IF(P39&gt;0,IF(K39="Y",0,P39),0)</f>
        <v>0</v>
      </c>
      <c r="R39" s="57">
        <f>IF(P39&gt;0,IF(K39="Y",P39,0),0)</f>
        <v>0</v>
      </c>
      <c r="S39" s="59">
        <f>IF(P39&lt;0,P39,0)</f>
        <v>0</v>
      </c>
    </row>
    <row r="40" spans="1:19" ht="13.5" customHeight="1" thickBot="1" x14ac:dyDescent="0.3">
      <c r="A40" s="63"/>
      <c r="B40" s="64"/>
      <c r="C40" s="65">
        <f>SUBTOTAL(9,C34:C39)</f>
        <v>0</v>
      </c>
      <c r="D40" s="66">
        <f>SUBTOTAL(9,D34:D39)</f>
        <v>0</v>
      </c>
      <c r="E40" s="67">
        <f>SUBTOTAL(9,E34:E39)</f>
        <v>0</v>
      </c>
      <c r="F40" s="65">
        <f>SUBTOTAL(9,F34:F39)</f>
        <v>0</v>
      </c>
      <c r="G40" s="65">
        <v>0</v>
      </c>
      <c r="H40" s="67">
        <f>C40*G40</f>
        <v>0</v>
      </c>
      <c r="I40" s="68"/>
      <c r="J40" s="68"/>
      <c r="K40" s="68"/>
      <c r="L40" s="69">
        <f t="shared" ref="L40:S40" si="10">SUBTOTAL(9,L34:L39)</f>
        <v>0</v>
      </c>
      <c r="M40" s="70">
        <f t="shared" si="10"/>
        <v>0</v>
      </c>
      <c r="N40" s="70">
        <f t="shared" si="10"/>
        <v>0</v>
      </c>
      <c r="O40" s="70">
        <f t="shared" si="10"/>
        <v>0</v>
      </c>
      <c r="P40" s="70">
        <f t="shared" si="10"/>
        <v>0</v>
      </c>
      <c r="Q40" s="70">
        <f t="shared" si="10"/>
        <v>0</v>
      </c>
      <c r="R40" s="70">
        <f t="shared" si="10"/>
        <v>0</v>
      </c>
      <c r="S40" s="71">
        <f t="shared" si="10"/>
        <v>0</v>
      </c>
    </row>
    <row r="41" spans="1:19" ht="13.5" thickTop="1" x14ac:dyDescent="0.2">
      <c r="A41" s="39" t="s">
        <v>131</v>
      </c>
      <c r="B41" s="40"/>
      <c r="C41" s="41"/>
      <c r="D41" s="42"/>
      <c r="E41" s="41"/>
      <c r="F41" s="41"/>
      <c r="G41" s="41"/>
      <c r="H41" s="41"/>
      <c r="I41" s="43"/>
      <c r="J41" s="44"/>
      <c r="K41" s="44"/>
      <c r="L41" s="41"/>
      <c r="M41" s="41"/>
      <c r="N41" s="41"/>
      <c r="O41" s="41"/>
      <c r="P41" s="41"/>
      <c r="Q41" s="41"/>
      <c r="R41" s="41"/>
      <c r="S41" s="45"/>
    </row>
    <row r="42" spans="1:19" x14ac:dyDescent="0.2">
      <c r="A42" s="46" t="s">
        <v>128</v>
      </c>
      <c r="B42" s="47">
        <v>43927</v>
      </c>
      <c r="C42" s="48">
        <v>2500</v>
      </c>
      <c r="D42" s="49">
        <v>40446.239999999998</v>
      </c>
      <c r="E42" s="50"/>
      <c r="F42" s="51">
        <f>SUM(D42:E42)</f>
        <v>40446.239999999998</v>
      </c>
      <c r="G42" s="50"/>
      <c r="H42" s="50"/>
      <c r="I42" s="52"/>
      <c r="J42" s="53"/>
      <c r="K42" s="54"/>
      <c r="L42" s="55"/>
      <c r="M42" s="56"/>
      <c r="N42" s="56"/>
      <c r="O42" s="56"/>
      <c r="P42" s="57">
        <f>M42-N42-O42</f>
        <v>0</v>
      </c>
      <c r="Q42" s="58">
        <f>IF(P42&gt;0,IF(K42="Y",0,P42),0)</f>
        <v>0</v>
      </c>
      <c r="R42" s="57">
        <f>IF(P42&gt;0,IF(K42="Y",P42,0),0)</f>
        <v>0</v>
      </c>
      <c r="S42" s="59">
        <f>IF(P42&lt;0,P42,0)</f>
        <v>0</v>
      </c>
    </row>
    <row r="43" spans="1:19" x14ac:dyDescent="0.2">
      <c r="A43" s="46" t="s">
        <v>129</v>
      </c>
      <c r="B43" s="47">
        <v>43935</v>
      </c>
      <c r="C43" s="48">
        <v>-2500</v>
      </c>
      <c r="D43" s="49">
        <f>-D42</f>
        <v>-40446.239999999998</v>
      </c>
      <c r="E43" s="50"/>
      <c r="F43" s="51">
        <f>SUM(D43:E43)</f>
        <v>-40446.239999999998</v>
      </c>
      <c r="G43" s="50"/>
      <c r="H43" s="50"/>
      <c r="I43" s="52"/>
      <c r="J43" s="53"/>
      <c r="K43" s="54"/>
      <c r="L43" s="55"/>
      <c r="M43" s="56"/>
      <c r="N43" s="56"/>
      <c r="O43" s="56"/>
      <c r="P43" s="57">
        <f>M43-N43-O43</f>
        <v>0</v>
      </c>
      <c r="Q43" s="58">
        <f>IF(P43&gt;0,IF(K43="Y",0,P43),0)</f>
        <v>0</v>
      </c>
      <c r="R43" s="57">
        <f>IF(P43&gt;0,IF(K43="Y",P43,0),0)</f>
        <v>0</v>
      </c>
      <c r="S43" s="59">
        <f>IF(P43&lt;0,P43,0)</f>
        <v>0</v>
      </c>
    </row>
    <row r="44" spans="1:19" x14ac:dyDescent="0.2">
      <c r="A44" s="60"/>
      <c r="B44" s="47"/>
      <c r="C44" s="61"/>
      <c r="D44" s="49"/>
      <c r="E44" s="62"/>
      <c r="F44" s="51">
        <f>SUM(D44:E44)</f>
        <v>0</v>
      </c>
      <c r="G44" s="50"/>
      <c r="H44" s="62"/>
      <c r="I44" s="52"/>
      <c r="J44" s="53"/>
      <c r="K44" s="54"/>
      <c r="L44" s="55"/>
      <c r="M44" s="56"/>
      <c r="N44" s="56"/>
      <c r="O44" s="56"/>
      <c r="P44" s="57">
        <f>M44-N44-O44</f>
        <v>0</v>
      </c>
      <c r="Q44" s="58">
        <f>IF(P44&gt;0,IF(K44="Y",0,P44),0)</f>
        <v>0</v>
      </c>
      <c r="R44" s="57">
        <f>IF(P44&gt;0,IF(K44="Y",P44,0),0)</f>
        <v>0</v>
      </c>
      <c r="S44" s="59">
        <f>IF(P44&lt;0,P44,0)</f>
        <v>0</v>
      </c>
    </row>
    <row r="45" spans="1:19" ht="13.5" customHeight="1" thickBot="1" x14ac:dyDescent="0.3">
      <c r="A45" s="63"/>
      <c r="B45" s="64"/>
      <c r="C45" s="65">
        <f>SUBTOTAL(9,C42:C44)</f>
        <v>0</v>
      </c>
      <c r="D45" s="66">
        <f>SUBTOTAL(9,D42:D44)</f>
        <v>0</v>
      </c>
      <c r="E45" s="67">
        <f>SUBTOTAL(9,E42:E44)</f>
        <v>0</v>
      </c>
      <c r="F45" s="65">
        <f>SUBTOTAL(9,F42:F44)</f>
        <v>0</v>
      </c>
      <c r="G45" s="65">
        <v>0</v>
      </c>
      <c r="H45" s="67">
        <f>C45*G45</f>
        <v>0</v>
      </c>
      <c r="I45" s="68"/>
      <c r="J45" s="68"/>
      <c r="K45" s="68"/>
      <c r="L45" s="69">
        <f t="shared" ref="L45:S45" si="11">SUBTOTAL(9,L42:L44)</f>
        <v>0</v>
      </c>
      <c r="M45" s="70">
        <f t="shared" si="11"/>
        <v>0</v>
      </c>
      <c r="N45" s="70">
        <f t="shared" si="11"/>
        <v>0</v>
      </c>
      <c r="O45" s="70">
        <f t="shared" si="11"/>
        <v>0</v>
      </c>
      <c r="P45" s="70">
        <f t="shared" si="11"/>
        <v>0</v>
      </c>
      <c r="Q45" s="70">
        <f t="shared" si="11"/>
        <v>0</v>
      </c>
      <c r="R45" s="70">
        <f t="shared" si="11"/>
        <v>0</v>
      </c>
      <c r="S45" s="71">
        <f t="shared" si="11"/>
        <v>0</v>
      </c>
    </row>
    <row r="46" spans="1:19" ht="13.5" thickTop="1" x14ac:dyDescent="0.2">
      <c r="A46" s="39" t="s">
        <v>132</v>
      </c>
      <c r="B46" s="40"/>
      <c r="C46" s="41"/>
      <c r="D46" s="42"/>
      <c r="E46" s="41"/>
      <c r="F46" s="41"/>
      <c r="G46" s="41"/>
      <c r="H46" s="41"/>
      <c r="I46" s="43"/>
      <c r="J46" s="44"/>
      <c r="K46" s="44"/>
      <c r="L46" s="41"/>
      <c r="M46" s="41"/>
      <c r="N46" s="41"/>
      <c r="O46" s="41"/>
      <c r="P46" s="41"/>
      <c r="Q46" s="41"/>
      <c r="R46" s="41"/>
      <c r="S46" s="45"/>
    </row>
    <row r="47" spans="1:19" x14ac:dyDescent="0.2">
      <c r="A47" s="46" t="s">
        <v>128</v>
      </c>
      <c r="B47" s="47">
        <v>43728</v>
      </c>
      <c r="C47" s="48">
        <v>1500</v>
      </c>
      <c r="D47" s="49">
        <v>48173.51</v>
      </c>
      <c r="E47" s="50"/>
      <c r="F47" s="51">
        <f t="shared" ref="F47:F55" si="12">SUM(D47:E47)</f>
        <v>48173.51</v>
      </c>
      <c r="G47" s="50"/>
      <c r="H47" s="50"/>
      <c r="I47" s="52"/>
      <c r="J47" s="72"/>
      <c r="K47" s="54"/>
      <c r="L47" s="55"/>
      <c r="M47" s="56"/>
      <c r="N47" s="56"/>
      <c r="O47" s="56"/>
      <c r="P47" s="57">
        <f>M47-N47-O47</f>
        <v>0</v>
      </c>
      <c r="Q47" s="58">
        <f>IF(P47&gt;0,IF(K47="Y",0,P47),0)</f>
        <v>0</v>
      </c>
      <c r="R47" s="57">
        <f>IF(P47&gt;0,IF(K47="Y",P47,0),0)</f>
        <v>0</v>
      </c>
      <c r="S47" s="59">
        <f>IF(P47&lt;0,P47,0)</f>
        <v>0</v>
      </c>
    </row>
    <row r="48" spans="1:19" x14ac:dyDescent="0.2">
      <c r="A48" s="46" t="s">
        <v>128</v>
      </c>
      <c r="B48" s="47">
        <v>43728</v>
      </c>
      <c r="C48" s="48">
        <v>500</v>
      </c>
      <c r="D48" s="49">
        <v>16304.19</v>
      </c>
      <c r="E48" s="50"/>
      <c r="F48" s="51">
        <f t="shared" si="12"/>
        <v>16304.19</v>
      </c>
      <c r="G48" s="50"/>
      <c r="H48" s="50"/>
      <c r="I48" s="52"/>
      <c r="J48" s="72"/>
      <c r="K48" s="54"/>
      <c r="L48" s="55"/>
      <c r="M48" s="56"/>
      <c r="N48" s="56"/>
      <c r="O48" s="56"/>
      <c r="P48" s="57">
        <f>M48-N48-O48</f>
        <v>0</v>
      </c>
      <c r="Q48" s="58">
        <f>IF(P48&gt;0,IF(K48="Y",0,P48),0)</f>
        <v>0</v>
      </c>
      <c r="R48" s="57">
        <f>IF(P48&gt;0,IF(K48="Y",P48,0),0)</f>
        <v>0</v>
      </c>
      <c r="S48" s="59">
        <f>IF(P48&lt;0,P48,0)</f>
        <v>0</v>
      </c>
    </row>
    <row r="49" spans="1:19" x14ac:dyDescent="0.2">
      <c r="A49" s="46" t="s">
        <v>128</v>
      </c>
      <c r="B49" s="47">
        <v>43731</v>
      </c>
      <c r="C49" s="48">
        <v>1000</v>
      </c>
      <c r="D49" s="49">
        <v>32970.35</v>
      </c>
      <c r="E49" s="50"/>
      <c r="F49" s="51">
        <f t="shared" si="12"/>
        <v>32970.35</v>
      </c>
      <c r="G49" s="50"/>
      <c r="H49" s="50"/>
      <c r="I49" s="52"/>
      <c r="J49" s="72"/>
      <c r="K49" s="54"/>
      <c r="L49" s="55"/>
      <c r="M49" s="56"/>
      <c r="N49" s="56"/>
      <c r="O49" s="56"/>
      <c r="P49" s="57">
        <f>M49-N49-O49</f>
        <v>0</v>
      </c>
      <c r="Q49" s="58">
        <f>IF(P49&gt;0,IF(K49="Y",0,P49),0)</f>
        <v>0</v>
      </c>
      <c r="R49" s="57">
        <f>IF(P49&gt;0,IF(K49="Y",P49,0),0)</f>
        <v>0</v>
      </c>
      <c r="S49" s="59">
        <f>IF(P49&lt;0,P49,0)</f>
        <v>0</v>
      </c>
    </row>
    <row r="50" spans="1:19" x14ac:dyDescent="0.2">
      <c r="A50" s="46" t="s">
        <v>129</v>
      </c>
      <c r="B50" s="47">
        <v>43733</v>
      </c>
      <c r="C50" s="48">
        <v>-3000</v>
      </c>
      <c r="D50" s="49">
        <f>-SUM(D47:D49)</f>
        <v>-97448.05</v>
      </c>
      <c r="E50" s="50"/>
      <c r="F50" s="51">
        <f t="shared" si="12"/>
        <v>-97448.05</v>
      </c>
      <c r="G50" s="50"/>
      <c r="H50" s="50"/>
      <c r="I50" s="52"/>
      <c r="J50" s="72"/>
      <c r="K50" s="54"/>
      <c r="L50" s="55"/>
      <c r="M50" s="56"/>
      <c r="N50" s="56"/>
      <c r="O50" s="56"/>
      <c r="P50" s="57">
        <f t="shared" ref="P50:P54" si="13">M50-N50-O50</f>
        <v>0</v>
      </c>
      <c r="Q50" s="58">
        <f t="shared" ref="Q50:Q54" si="14">IF(P50&gt;0,IF(K50="Y",0,P50),0)</f>
        <v>0</v>
      </c>
      <c r="R50" s="57">
        <f t="shared" ref="R50:R54" si="15">IF(P50&gt;0,IF(K50="Y",P50,0),0)</f>
        <v>0</v>
      </c>
      <c r="S50" s="59">
        <f t="shared" ref="S50:S54" si="16">IF(P50&lt;0,P50,0)</f>
        <v>0</v>
      </c>
    </row>
    <row r="51" spans="1:19" x14ac:dyDescent="0.2">
      <c r="A51" s="60" t="s">
        <v>128</v>
      </c>
      <c r="B51" s="47">
        <v>43843</v>
      </c>
      <c r="C51" s="48">
        <v>3000</v>
      </c>
      <c r="D51" s="49">
        <v>93481.34</v>
      </c>
      <c r="E51" s="50"/>
      <c r="F51" s="51">
        <f t="shared" si="12"/>
        <v>93481.34</v>
      </c>
      <c r="G51" s="50"/>
      <c r="H51" s="50"/>
      <c r="I51" s="52"/>
      <c r="J51" s="72"/>
      <c r="K51" s="54"/>
      <c r="L51" s="55"/>
      <c r="M51" s="56"/>
      <c r="N51" s="56"/>
      <c r="O51" s="56"/>
      <c r="P51" s="57">
        <f t="shared" si="13"/>
        <v>0</v>
      </c>
      <c r="Q51" s="58">
        <f t="shared" si="14"/>
        <v>0</v>
      </c>
      <c r="R51" s="57">
        <f t="shared" si="15"/>
        <v>0</v>
      </c>
      <c r="S51" s="59">
        <f t="shared" si="16"/>
        <v>0</v>
      </c>
    </row>
    <row r="52" spans="1:19" x14ac:dyDescent="0.2">
      <c r="A52" s="60" t="s">
        <v>128</v>
      </c>
      <c r="B52" s="47">
        <v>43851</v>
      </c>
      <c r="C52" s="48">
        <v>1000</v>
      </c>
      <c r="D52" s="49">
        <v>33885.35</v>
      </c>
      <c r="E52" s="50"/>
      <c r="F52" s="51">
        <f t="shared" si="12"/>
        <v>33885.35</v>
      </c>
      <c r="G52" s="50"/>
      <c r="H52" s="50"/>
      <c r="I52" s="52"/>
      <c r="J52" s="72"/>
      <c r="K52" s="54"/>
      <c r="L52" s="55"/>
      <c r="M52" s="56"/>
      <c r="N52" s="56"/>
      <c r="O52" s="56"/>
      <c r="P52" s="57">
        <f t="shared" si="13"/>
        <v>0</v>
      </c>
      <c r="Q52" s="58">
        <f t="shared" si="14"/>
        <v>0</v>
      </c>
      <c r="R52" s="57">
        <f t="shared" si="15"/>
        <v>0</v>
      </c>
      <c r="S52" s="59">
        <f t="shared" si="16"/>
        <v>0</v>
      </c>
    </row>
    <row r="53" spans="1:19" x14ac:dyDescent="0.2">
      <c r="A53" s="60" t="s">
        <v>129</v>
      </c>
      <c r="B53" s="47">
        <v>43868</v>
      </c>
      <c r="C53" s="48">
        <v>-1000</v>
      </c>
      <c r="D53" s="49">
        <f>(D51/C51)*C53</f>
        <v>-31160.446666666667</v>
      </c>
      <c r="E53" s="50"/>
      <c r="F53" s="51">
        <f t="shared" si="12"/>
        <v>-31160.446666666667</v>
      </c>
      <c r="G53" s="50"/>
      <c r="H53" s="50"/>
      <c r="I53" s="52"/>
      <c r="J53" s="72"/>
      <c r="K53" s="54"/>
      <c r="L53" s="55"/>
      <c r="M53" s="56"/>
      <c r="N53" s="56"/>
      <c r="O53" s="56"/>
      <c r="P53" s="57">
        <f t="shared" si="13"/>
        <v>0</v>
      </c>
      <c r="Q53" s="58">
        <f t="shared" si="14"/>
        <v>0</v>
      </c>
      <c r="R53" s="57">
        <f t="shared" si="15"/>
        <v>0</v>
      </c>
      <c r="S53" s="59">
        <f t="shared" si="16"/>
        <v>0</v>
      </c>
    </row>
    <row r="54" spans="1:19" x14ac:dyDescent="0.2">
      <c r="A54" s="60" t="s">
        <v>129</v>
      </c>
      <c r="B54" s="47">
        <v>43887</v>
      </c>
      <c r="C54" s="48">
        <v>-3000</v>
      </c>
      <c r="D54" s="49">
        <f>-((D51/C51)*(C51+C53)+D52)</f>
        <v>-96206.243333333332</v>
      </c>
      <c r="E54" s="50"/>
      <c r="F54" s="51">
        <f t="shared" si="12"/>
        <v>-96206.243333333332</v>
      </c>
      <c r="G54" s="50"/>
      <c r="H54" s="50"/>
      <c r="I54" s="52"/>
      <c r="J54" s="72"/>
      <c r="K54" s="54"/>
      <c r="L54" s="55"/>
      <c r="M54" s="56"/>
      <c r="N54" s="56"/>
      <c r="O54" s="56"/>
      <c r="P54" s="57">
        <f t="shared" si="13"/>
        <v>0</v>
      </c>
      <c r="Q54" s="58">
        <f t="shared" si="14"/>
        <v>0</v>
      </c>
      <c r="R54" s="57">
        <f t="shared" si="15"/>
        <v>0</v>
      </c>
      <c r="S54" s="59">
        <f t="shared" si="16"/>
        <v>0</v>
      </c>
    </row>
    <row r="55" spans="1:19" x14ac:dyDescent="0.2">
      <c r="A55" s="60"/>
      <c r="B55" s="47"/>
      <c r="C55" s="61"/>
      <c r="D55" s="49"/>
      <c r="E55" s="62"/>
      <c r="F55" s="51">
        <f t="shared" si="12"/>
        <v>0</v>
      </c>
      <c r="G55" s="50"/>
      <c r="H55" s="62"/>
      <c r="I55" s="52"/>
      <c r="J55" s="72"/>
      <c r="K55" s="54"/>
      <c r="L55" s="55"/>
      <c r="M55" s="56"/>
      <c r="N55" s="56"/>
      <c r="O55" s="56"/>
      <c r="P55" s="57">
        <f>M55-N55-O55</f>
        <v>0</v>
      </c>
      <c r="Q55" s="58">
        <f>IF(P55&gt;0,IF(K55="Y",0,P55),0)</f>
        <v>0</v>
      </c>
      <c r="R55" s="57">
        <f>IF(P55&gt;0,IF(K55="Y",P55,0),0)</f>
        <v>0</v>
      </c>
      <c r="S55" s="59">
        <f>IF(P55&lt;0,P55,0)</f>
        <v>0</v>
      </c>
    </row>
    <row r="56" spans="1:19" ht="13.5" customHeight="1" thickBot="1" x14ac:dyDescent="0.3">
      <c r="A56" s="63"/>
      <c r="B56" s="64"/>
      <c r="C56" s="73">
        <f>SUBTOTAL(9,C47:C55)</f>
        <v>0</v>
      </c>
      <c r="D56" s="74">
        <f>SUBTOTAL(9,D47:D55)</f>
        <v>0</v>
      </c>
      <c r="E56" s="75">
        <f>SUBTOTAL(9,E47:E55)</f>
        <v>0</v>
      </c>
      <c r="F56" s="65">
        <f>SUBTOTAL(9,F47:F55)</f>
        <v>0</v>
      </c>
      <c r="G56" s="65">
        <v>0</v>
      </c>
      <c r="H56" s="67">
        <f>C56*G56</f>
        <v>0</v>
      </c>
      <c r="I56" s="76"/>
      <c r="J56" s="77"/>
      <c r="K56" s="77"/>
      <c r="L56" s="69">
        <f t="shared" ref="L56:S56" si="17">SUBTOTAL(9,L47:L55)</f>
        <v>0</v>
      </c>
      <c r="M56" s="70">
        <f t="shared" si="17"/>
        <v>0</v>
      </c>
      <c r="N56" s="70">
        <f t="shared" si="17"/>
        <v>0</v>
      </c>
      <c r="O56" s="70">
        <f t="shared" si="17"/>
        <v>0</v>
      </c>
      <c r="P56" s="70">
        <f t="shared" si="17"/>
        <v>0</v>
      </c>
      <c r="Q56" s="70">
        <f t="shared" si="17"/>
        <v>0</v>
      </c>
      <c r="R56" s="70">
        <f t="shared" si="17"/>
        <v>0</v>
      </c>
      <c r="S56" s="71">
        <f t="shared" si="17"/>
        <v>0</v>
      </c>
    </row>
    <row r="57" spans="1:19" ht="13.5" thickTop="1" x14ac:dyDescent="0.2">
      <c r="A57" s="39" t="s">
        <v>133</v>
      </c>
      <c r="B57" s="40"/>
      <c r="C57" s="41"/>
      <c r="D57" s="42"/>
      <c r="E57" s="41"/>
      <c r="F57" s="41"/>
      <c r="G57" s="41"/>
      <c r="H57" s="41"/>
      <c r="I57" s="43"/>
      <c r="J57" s="44"/>
      <c r="K57" s="44"/>
      <c r="L57" s="41"/>
      <c r="M57" s="41"/>
      <c r="N57" s="41"/>
      <c r="O57" s="41"/>
      <c r="P57" s="41"/>
      <c r="Q57" s="41"/>
      <c r="R57" s="41"/>
      <c r="S57" s="45"/>
    </row>
    <row r="58" spans="1:19" x14ac:dyDescent="0.2">
      <c r="A58" s="46" t="s">
        <v>128</v>
      </c>
      <c r="B58" s="47">
        <v>43868</v>
      </c>
      <c r="C58" s="48">
        <v>1400</v>
      </c>
      <c r="D58" s="49">
        <v>37261.82</v>
      </c>
      <c r="E58" s="50"/>
      <c r="F58" s="51">
        <f>SUM(D58:E58)</f>
        <v>37261.82</v>
      </c>
      <c r="G58" s="50"/>
      <c r="H58" s="50"/>
      <c r="I58" s="52"/>
      <c r="J58" s="53"/>
      <c r="K58" s="54"/>
      <c r="L58" s="55"/>
      <c r="M58" s="56"/>
      <c r="N58" s="56"/>
      <c r="O58" s="56"/>
      <c r="P58" s="57">
        <f>M58-N58-O58</f>
        <v>0</v>
      </c>
      <c r="Q58" s="58">
        <f>IF(P58&gt;0,IF(K58="Y",0,P58),0)</f>
        <v>0</v>
      </c>
      <c r="R58" s="57">
        <f>IF(P58&gt;0,IF(K58="Y",P58,0),0)</f>
        <v>0</v>
      </c>
      <c r="S58" s="59">
        <f>IF(P58&lt;0,P58,0)</f>
        <v>0</v>
      </c>
    </row>
    <row r="59" spans="1:19" x14ac:dyDescent="0.2">
      <c r="A59" s="46" t="s">
        <v>129</v>
      </c>
      <c r="B59" s="47">
        <v>43882</v>
      </c>
      <c r="C59" s="48">
        <v>-1400</v>
      </c>
      <c r="D59" s="49">
        <f>-D58</f>
        <v>-37261.82</v>
      </c>
      <c r="E59" s="50"/>
      <c r="F59" s="51">
        <f>SUM(D59:E59)</f>
        <v>-37261.82</v>
      </c>
      <c r="G59" s="50"/>
      <c r="H59" s="50"/>
      <c r="I59" s="52"/>
      <c r="J59" s="53"/>
      <c r="K59" s="54"/>
      <c r="L59" s="55"/>
      <c r="M59" s="56"/>
      <c r="N59" s="56"/>
      <c r="O59" s="56"/>
      <c r="P59" s="57">
        <f>M59-N59-O59</f>
        <v>0</v>
      </c>
      <c r="Q59" s="58">
        <f>IF(P59&gt;0,IF(K59="Y",0,P59),0)</f>
        <v>0</v>
      </c>
      <c r="R59" s="57">
        <f>IF(P59&gt;0,IF(K59="Y",P59,0),0)</f>
        <v>0</v>
      </c>
      <c r="S59" s="59">
        <f>IF(P59&lt;0,P59,0)</f>
        <v>0</v>
      </c>
    </row>
    <row r="60" spans="1:19" x14ac:dyDescent="0.2">
      <c r="A60" s="46" t="s">
        <v>128</v>
      </c>
      <c r="B60" s="47">
        <v>44375</v>
      </c>
      <c r="C60" s="48">
        <v>5000</v>
      </c>
      <c r="D60" s="49">
        <v>72848.479999999996</v>
      </c>
      <c r="E60" s="50"/>
      <c r="F60" s="51">
        <f>SUM(D60:E60)</f>
        <v>72848.479999999996</v>
      </c>
      <c r="G60" s="50"/>
      <c r="H60" s="50"/>
      <c r="I60" s="52"/>
      <c r="J60" s="53"/>
      <c r="K60" s="54"/>
      <c r="L60" s="55"/>
      <c r="M60" s="56"/>
      <c r="N60" s="56"/>
      <c r="O60" s="56"/>
      <c r="P60" s="57">
        <f>M60-N60-O60</f>
        <v>0</v>
      </c>
      <c r="Q60" s="58">
        <f>IF(P60&gt;0,IF(K60="Y",0,P60),0)</f>
        <v>0</v>
      </c>
      <c r="R60" s="57">
        <f>IF(P60&gt;0,IF(K60="Y",P60,0),0)</f>
        <v>0</v>
      </c>
      <c r="S60" s="59">
        <f>IF(P60&lt;0,P60,0)</f>
        <v>0</v>
      </c>
    </row>
    <row r="61" spans="1:19" x14ac:dyDescent="0.2">
      <c r="A61" s="60" t="s">
        <v>129</v>
      </c>
      <c r="B61" s="47">
        <v>44385</v>
      </c>
      <c r="C61" s="48">
        <v>-5000</v>
      </c>
      <c r="D61" s="49">
        <f>-D60</f>
        <v>-72848.479999999996</v>
      </c>
      <c r="E61" s="50"/>
      <c r="F61" s="51">
        <f>SUM(D61:E61)</f>
        <v>-72848.479999999996</v>
      </c>
      <c r="G61" s="50"/>
      <c r="H61" s="50"/>
      <c r="I61" s="52"/>
      <c r="J61" s="53">
        <f>B61</f>
        <v>44385</v>
      </c>
      <c r="K61" s="54"/>
      <c r="L61" s="55">
        <f>C61</f>
        <v>-5000</v>
      </c>
      <c r="M61" s="56">
        <v>61083.5</v>
      </c>
      <c r="N61" s="56"/>
      <c r="O61" s="56">
        <f>-D61</f>
        <v>72848.479999999996</v>
      </c>
      <c r="P61" s="57">
        <f>M61-N61-O61</f>
        <v>-11764.979999999996</v>
      </c>
      <c r="Q61" s="58">
        <f>IF(P61&gt;0,IF(K61="Y",0,P61),0)</f>
        <v>0</v>
      </c>
      <c r="R61" s="57">
        <f>IF(P61&gt;0,IF(K61="Y",P61,0),0)</f>
        <v>0</v>
      </c>
      <c r="S61" s="59">
        <f>IF(P61&lt;0,P61,0)</f>
        <v>-11764.979999999996</v>
      </c>
    </row>
    <row r="62" spans="1:19" x14ac:dyDescent="0.2">
      <c r="A62" s="60"/>
      <c r="B62" s="47"/>
      <c r="C62" s="61"/>
      <c r="D62" s="49"/>
      <c r="E62" s="62"/>
      <c r="F62" s="51">
        <f>SUM(D62:E62)</f>
        <v>0</v>
      </c>
      <c r="G62" s="50"/>
      <c r="H62" s="62"/>
      <c r="I62" s="52"/>
      <c r="J62" s="53"/>
      <c r="K62" s="54"/>
      <c r="L62" s="55"/>
      <c r="M62" s="56"/>
      <c r="N62" s="56"/>
      <c r="O62" s="56"/>
      <c r="P62" s="57">
        <f>M62-N62-O62</f>
        <v>0</v>
      </c>
      <c r="Q62" s="58">
        <f>IF(P62&gt;0,IF(K62="Y",0,P62),0)</f>
        <v>0</v>
      </c>
      <c r="R62" s="57">
        <f>IF(P62&gt;0,IF(K62="Y",P62,0),0)</f>
        <v>0</v>
      </c>
      <c r="S62" s="59">
        <f>IF(P62&lt;0,P62,0)</f>
        <v>0</v>
      </c>
    </row>
    <row r="63" spans="1:19" ht="13.5" customHeight="1" thickBot="1" x14ac:dyDescent="0.3">
      <c r="A63" s="63"/>
      <c r="B63" s="64"/>
      <c r="C63" s="73">
        <f>SUBTOTAL(9,C58:C62)</f>
        <v>0</v>
      </c>
      <c r="D63" s="66">
        <f>SUBTOTAL(9,D58:D62)</f>
        <v>0</v>
      </c>
      <c r="E63" s="67">
        <f>SUBTOTAL(9,E58:E62)</f>
        <v>0</v>
      </c>
      <c r="F63" s="65">
        <f>SUBTOTAL(9,F58:F62)</f>
        <v>0</v>
      </c>
      <c r="G63" s="65">
        <v>0</v>
      </c>
      <c r="H63" s="67">
        <f>C63*G63</f>
        <v>0</v>
      </c>
      <c r="I63" s="68"/>
      <c r="J63" s="68"/>
      <c r="K63" s="68"/>
      <c r="L63" s="69">
        <f t="shared" ref="L63:S63" si="18">SUBTOTAL(9,L58:L62)</f>
        <v>-5000</v>
      </c>
      <c r="M63" s="70">
        <f t="shared" si="18"/>
        <v>61083.5</v>
      </c>
      <c r="N63" s="70">
        <f t="shared" si="18"/>
        <v>0</v>
      </c>
      <c r="O63" s="70">
        <f t="shared" si="18"/>
        <v>72848.479999999996</v>
      </c>
      <c r="P63" s="70">
        <f t="shared" si="18"/>
        <v>-11764.979999999996</v>
      </c>
      <c r="Q63" s="70">
        <f t="shared" si="18"/>
        <v>0</v>
      </c>
      <c r="R63" s="70">
        <f t="shared" si="18"/>
        <v>0</v>
      </c>
      <c r="S63" s="71">
        <f t="shared" si="18"/>
        <v>-11764.979999999996</v>
      </c>
    </row>
    <row r="64" spans="1:19" ht="13.5" thickTop="1" x14ac:dyDescent="0.2">
      <c r="A64" s="39" t="s">
        <v>134</v>
      </c>
      <c r="B64" s="40"/>
      <c r="C64" s="41"/>
      <c r="D64" s="42"/>
      <c r="E64" s="41"/>
      <c r="F64" s="41"/>
      <c r="G64" s="41"/>
      <c r="H64" s="41"/>
      <c r="I64" s="43"/>
      <c r="J64" s="44"/>
      <c r="K64" s="44"/>
      <c r="L64" s="41"/>
      <c r="M64" s="41"/>
      <c r="N64" s="41"/>
      <c r="O64" s="41"/>
      <c r="P64" s="41"/>
      <c r="Q64" s="41"/>
      <c r="R64" s="41"/>
      <c r="S64" s="45"/>
    </row>
    <row r="65" spans="1:19" x14ac:dyDescent="0.2">
      <c r="A65" s="46" t="s">
        <v>128</v>
      </c>
      <c r="B65" s="47">
        <v>44123</v>
      </c>
      <c r="C65" s="48">
        <v>20000</v>
      </c>
      <c r="D65" s="49">
        <v>28656.75</v>
      </c>
      <c r="E65" s="50"/>
      <c r="F65" s="51">
        <f>SUM(D65:E65)</f>
        <v>28656.75</v>
      </c>
      <c r="G65" s="50"/>
      <c r="H65" s="50"/>
      <c r="I65" s="52"/>
      <c r="J65" s="53"/>
      <c r="K65" s="54"/>
      <c r="L65" s="55"/>
      <c r="M65" s="56"/>
      <c r="N65" s="56"/>
      <c r="O65" s="56"/>
      <c r="P65" s="57">
        <f>M65-N65-O65</f>
        <v>0</v>
      </c>
      <c r="Q65" s="58">
        <f>IF(P65&gt;0,IF(K65="Y",0,P65),0)</f>
        <v>0</v>
      </c>
      <c r="R65" s="57">
        <f t="shared" ref="R65:R67" si="19">IF(P65&gt;0,IF(K65="Y",P65,0),0)</f>
        <v>0</v>
      </c>
      <c r="S65" s="59">
        <f>IF(P65&lt;0,P65,0)</f>
        <v>0</v>
      </c>
    </row>
    <row r="66" spans="1:19" x14ac:dyDescent="0.2">
      <c r="A66" s="46" t="s">
        <v>129</v>
      </c>
      <c r="B66" s="47">
        <v>44148</v>
      </c>
      <c r="C66" s="48">
        <v>-20000</v>
      </c>
      <c r="D66" s="49">
        <f>-D65</f>
        <v>-28656.75</v>
      </c>
      <c r="E66" s="50"/>
      <c r="F66" s="51">
        <f>SUM(D66:E66)</f>
        <v>-28656.75</v>
      </c>
      <c r="G66" s="50"/>
      <c r="H66" s="50"/>
      <c r="I66" s="52"/>
      <c r="J66" s="53"/>
      <c r="K66" s="54"/>
      <c r="L66" s="55"/>
      <c r="M66" s="56"/>
      <c r="N66" s="56"/>
      <c r="O66" s="56"/>
      <c r="P66" s="57">
        <f t="shared" ref="P66" si="20">M66-N66-O66</f>
        <v>0</v>
      </c>
      <c r="Q66" s="58">
        <f t="shared" ref="Q66" si="21">IF(P66&gt;0,IF(K66="Y",0,P66),0)</f>
        <v>0</v>
      </c>
      <c r="R66" s="57">
        <f t="shared" si="19"/>
        <v>0</v>
      </c>
      <c r="S66" s="59">
        <f>IF(P66&lt;0,P66,0)</f>
        <v>0</v>
      </c>
    </row>
    <row r="67" spans="1:19" x14ac:dyDescent="0.2">
      <c r="A67" s="60"/>
      <c r="B67" s="47"/>
      <c r="C67" s="61"/>
      <c r="D67" s="49"/>
      <c r="E67" s="62"/>
      <c r="F67" s="51">
        <f>SUM(D67:E67)</f>
        <v>0</v>
      </c>
      <c r="G67" s="50"/>
      <c r="H67" s="62"/>
      <c r="I67" s="52"/>
      <c r="J67" s="53"/>
      <c r="K67" s="54"/>
      <c r="L67" s="55"/>
      <c r="M67" s="56"/>
      <c r="N67" s="56"/>
      <c r="O67" s="56"/>
      <c r="P67" s="57">
        <f>M67-N67-O67</f>
        <v>0</v>
      </c>
      <c r="Q67" s="58">
        <f>IF(P67&gt;0,IF(K67="Y",0,P67),0)</f>
        <v>0</v>
      </c>
      <c r="R67" s="57">
        <f t="shared" si="19"/>
        <v>0</v>
      </c>
      <c r="S67" s="59">
        <f>IF(P67&lt;0,P67,0)</f>
        <v>0</v>
      </c>
    </row>
    <row r="68" spans="1:19" ht="13.5" customHeight="1" thickBot="1" x14ac:dyDescent="0.3">
      <c r="A68" s="63"/>
      <c r="B68" s="64"/>
      <c r="C68" s="65">
        <f>SUBTOTAL(9,C65:C67)</f>
        <v>0</v>
      </c>
      <c r="D68" s="66">
        <f>SUBTOTAL(9,D65:D67)</f>
        <v>0</v>
      </c>
      <c r="E68" s="67">
        <f>SUBTOTAL(9,E65:E67)</f>
        <v>0</v>
      </c>
      <c r="F68" s="65">
        <f>SUBTOTAL(9,F65:F67)</f>
        <v>0</v>
      </c>
      <c r="G68" s="65">
        <v>0</v>
      </c>
      <c r="H68" s="67">
        <f>C68*G68</f>
        <v>0</v>
      </c>
      <c r="I68" s="68"/>
      <c r="J68" s="68"/>
      <c r="K68" s="68"/>
      <c r="L68" s="69">
        <f t="shared" ref="L68:S68" si="22">SUBTOTAL(9,L65:L67)</f>
        <v>0</v>
      </c>
      <c r="M68" s="70">
        <f t="shared" si="22"/>
        <v>0</v>
      </c>
      <c r="N68" s="70">
        <f t="shared" si="22"/>
        <v>0</v>
      </c>
      <c r="O68" s="70">
        <f t="shared" si="22"/>
        <v>0</v>
      </c>
      <c r="P68" s="70">
        <f t="shared" si="22"/>
        <v>0</v>
      </c>
      <c r="Q68" s="70">
        <f t="shared" si="22"/>
        <v>0</v>
      </c>
      <c r="R68" s="70">
        <f t="shared" si="22"/>
        <v>0</v>
      </c>
      <c r="S68" s="71">
        <f t="shared" si="22"/>
        <v>0</v>
      </c>
    </row>
    <row r="69" spans="1:19" ht="13.5" thickTop="1" x14ac:dyDescent="0.2">
      <c r="A69" s="78" t="s">
        <v>135</v>
      </c>
      <c r="B69" s="40"/>
      <c r="C69" s="41"/>
      <c r="D69" s="42"/>
      <c r="E69" s="41"/>
      <c r="F69" s="41"/>
      <c r="G69" s="41"/>
      <c r="H69" s="41"/>
      <c r="I69" s="43"/>
      <c r="J69" s="44"/>
      <c r="K69" s="44"/>
      <c r="L69" s="41"/>
      <c r="M69" s="41"/>
      <c r="N69" s="41"/>
      <c r="O69" s="41"/>
      <c r="P69" s="41"/>
      <c r="Q69" s="41"/>
      <c r="R69" s="41"/>
      <c r="S69" s="45"/>
    </row>
    <row r="70" spans="1:19" x14ac:dyDescent="0.2">
      <c r="A70" s="46" t="s">
        <v>128</v>
      </c>
      <c r="B70" s="79">
        <v>43705</v>
      </c>
      <c r="C70" s="48">
        <v>100000</v>
      </c>
      <c r="D70" s="49">
        <v>45750.25</v>
      </c>
      <c r="E70" s="50"/>
      <c r="F70" s="51">
        <f t="shared" ref="F70:F77" si="23">SUM(D70:E70)</f>
        <v>45750.25</v>
      </c>
      <c r="G70" s="50"/>
      <c r="H70" s="50"/>
      <c r="I70" s="52"/>
      <c r="J70" s="72"/>
      <c r="K70" s="54"/>
      <c r="L70" s="55"/>
      <c r="M70" s="56"/>
      <c r="N70" s="56"/>
      <c r="O70" s="56"/>
      <c r="P70" s="57">
        <f>M70-N70-O70</f>
        <v>0</v>
      </c>
      <c r="Q70" s="58">
        <f>IF(P70&gt;0,IF(K70="Y",0,P70),0)</f>
        <v>0</v>
      </c>
      <c r="R70" s="57">
        <f>IF(P70&gt;0,IF(K70="Y",P70,0),0)</f>
        <v>0</v>
      </c>
      <c r="S70" s="59">
        <f>IF(P70&lt;0,P70,0)</f>
        <v>0</v>
      </c>
    </row>
    <row r="71" spans="1:19" x14ac:dyDescent="0.2">
      <c r="A71" s="46" t="s">
        <v>128</v>
      </c>
      <c r="B71" s="79">
        <v>43753</v>
      </c>
      <c r="C71" s="48">
        <v>100000</v>
      </c>
      <c r="D71" s="49">
        <v>60330</v>
      </c>
      <c r="E71" s="50"/>
      <c r="F71" s="51">
        <f t="shared" si="23"/>
        <v>60330</v>
      </c>
      <c r="G71" s="50"/>
      <c r="H71" s="50"/>
      <c r="I71" s="52"/>
      <c r="J71" s="72"/>
      <c r="K71" s="54"/>
      <c r="L71" s="55"/>
      <c r="M71" s="56"/>
      <c r="N71" s="56"/>
      <c r="O71" s="56"/>
      <c r="P71" s="57">
        <f>M71-N71-O71</f>
        <v>0</v>
      </c>
      <c r="Q71" s="58">
        <f>IF(P71&gt;0,IF(K71="Y",0,P71),0)</f>
        <v>0</v>
      </c>
      <c r="R71" s="57">
        <f>IF(P71&gt;0,IF(K71="Y",P71,0),0)</f>
        <v>0</v>
      </c>
      <c r="S71" s="59">
        <f>IF(P71&lt;0,P71,0)</f>
        <v>0</v>
      </c>
    </row>
    <row r="72" spans="1:19" x14ac:dyDescent="0.2">
      <c r="A72" s="46" t="s">
        <v>129</v>
      </c>
      <c r="B72" s="79">
        <v>43762</v>
      </c>
      <c r="C72" s="48">
        <v>-50000</v>
      </c>
      <c r="D72" s="49">
        <f>-D70/2</f>
        <v>-22875.125</v>
      </c>
      <c r="E72" s="50"/>
      <c r="F72" s="51">
        <f t="shared" si="23"/>
        <v>-22875.125</v>
      </c>
      <c r="G72" s="50"/>
      <c r="H72" s="50"/>
      <c r="I72" s="52"/>
      <c r="J72" s="72"/>
      <c r="K72" s="54"/>
      <c r="L72" s="55"/>
      <c r="M72" s="56"/>
      <c r="N72" s="56"/>
      <c r="O72" s="56"/>
      <c r="P72" s="57">
        <f t="shared" ref="P72:P76" si="24">M72-N72-O72</f>
        <v>0</v>
      </c>
      <c r="Q72" s="58">
        <f t="shared" ref="Q72:Q77" si="25">IF(P72&gt;0,IF(K72="Y",0,P72),0)</f>
        <v>0</v>
      </c>
      <c r="R72" s="57">
        <f t="shared" ref="R72:R76" si="26">IF(P72&gt;0,IF(K72="Y",P72,0),0)</f>
        <v>0</v>
      </c>
      <c r="S72" s="59">
        <f t="shared" ref="S72:S76" si="27">IF(P72&lt;0,P72,0)</f>
        <v>0</v>
      </c>
    </row>
    <row r="73" spans="1:19" x14ac:dyDescent="0.2">
      <c r="A73" s="46" t="s">
        <v>129</v>
      </c>
      <c r="B73" s="79">
        <v>43773</v>
      </c>
      <c r="C73" s="48">
        <v>-50000</v>
      </c>
      <c r="D73" s="49">
        <f>D72</f>
        <v>-22875.125</v>
      </c>
      <c r="E73" s="50"/>
      <c r="F73" s="51">
        <f t="shared" si="23"/>
        <v>-22875.125</v>
      </c>
      <c r="G73" s="50"/>
      <c r="H73" s="50"/>
      <c r="I73" s="52"/>
      <c r="J73" s="72"/>
      <c r="K73" s="54"/>
      <c r="L73" s="55"/>
      <c r="M73" s="56"/>
      <c r="N73" s="56"/>
      <c r="O73" s="56"/>
      <c r="P73" s="57">
        <f t="shared" si="24"/>
        <v>0</v>
      </c>
      <c r="Q73" s="58">
        <f t="shared" si="25"/>
        <v>0</v>
      </c>
      <c r="R73" s="57">
        <f t="shared" si="26"/>
        <v>0</v>
      </c>
      <c r="S73" s="59">
        <f t="shared" si="27"/>
        <v>0</v>
      </c>
    </row>
    <row r="74" spans="1:19" x14ac:dyDescent="0.2">
      <c r="A74" s="60" t="s">
        <v>129</v>
      </c>
      <c r="B74" s="79">
        <v>43784</v>
      </c>
      <c r="C74" s="48">
        <v>-50000</v>
      </c>
      <c r="D74" s="49">
        <f>-D71/2</f>
        <v>-30165</v>
      </c>
      <c r="E74" s="50"/>
      <c r="F74" s="51">
        <f t="shared" si="23"/>
        <v>-30165</v>
      </c>
      <c r="G74" s="50"/>
      <c r="H74" s="50"/>
      <c r="I74" s="52"/>
      <c r="J74" s="72"/>
      <c r="K74" s="54"/>
      <c r="L74" s="55"/>
      <c r="M74" s="56"/>
      <c r="N74" s="56"/>
      <c r="O74" s="56"/>
      <c r="P74" s="57">
        <f t="shared" si="24"/>
        <v>0</v>
      </c>
      <c r="Q74" s="58">
        <f t="shared" si="25"/>
        <v>0</v>
      </c>
      <c r="R74" s="57">
        <f t="shared" si="26"/>
        <v>0</v>
      </c>
      <c r="S74" s="59">
        <f t="shared" si="27"/>
        <v>0</v>
      </c>
    </row>
    <row r="75" spans="1:19" x14ac:dyDescent="0.2">
      <c r="A75" s="46" t="s">
        <v>128</v>
      </c>
      <c r="B75" s="47">
        <v>44155</v>
      </c>
      <c r="C75" s="48">
        <v>50000</v>
      </c>
      <c r="D75" s="49">
        <v>29500</v>
      </c>
      <c r="E75" s="50"/>
      <c r="F75" s="51">
        <f t="shared" si="23"/>
        <v>29500</v>
      </c>
      <c r="G75" s="50"/>
      <c r="H75" s="50"/>
      <c r="I75" s="52"/>
      <c r="J75" s="72"/>
      <c r="K75" s="54"/>
      <c r="L75" s="55"/>
      <c r="M75" s="56"/>
      <c r="N75" s="56"/>
      <c r="O75" s="56"/>
      <c r="P75" s="57">
        <f t="shared" si="24"/>
        <v>0</v>
      </c>
      <c r="Q75" s="58">
        <f t="shared" si="25"/>
        <v>0</v>
      </c>
      <c r="R75" s="57">
        <f t="shared" si="26"/>
        <v>0</v>
      </c>
      <c r="S75" s="59">
        <f t="shared" si="27"/>
        <v>0</v>
      </c>
    </row>
    <row r="76" spans="1:19" x14ac:dyDescent="0.2">
      <c r="A76" s="60" t="s">
        <v>129</v>
      </c>
      <c r="B76" s="79">
        <v>43811</v>
      </c>
      <c r="C76" s="48">
        <v>-100000</v>
      </c>
      <c r="D76" s="49">
        <f>-(D71/2+D75)</f>
        <v>-59665</v>
      </c>
      <c r="E76" s="50"/>
      <c r="F76" s="51">
        <f t="shared" si="23"/>
        <v>-59665</v>
      </c>
      <c r="G76" s="50"/>
      <c r="H76" s="50"/>
      <c r="I76" s="52"/>
      <c r="J76" s="72"/>
      <c r="K76" s="54"/>
      <c r="L76" s="55"/>
      <c r="M76" s="56"/>
      <c r="N76" s="56"/>
      <c r="O76" s="56"/>
      <c r="P76" s="57">
        <f t="shared" si="24"/>
        <v>0</v>
      </c>
      <c r="Q76" s="58">
        <f t="shared" si="25"/>
        <v>0</v>
      </c>
      <c r="R76" s="57">
        <f t="shared" si="26"/>
        <v>0</v>
      </c>
      <c r="S76" s="59">
        <f t="shared" si="27"/>
        <v>0</v>
      </c>
    </row>
    <row r="77" spans="1:19" x14ac:dyDescent="0.2">
      <c r="A77" s="60"/>
      <c r="B77" s="47"/>
      <c r="C77" s="61"/>
      <c r="D77" s="49"/>
      <c r="E77" s="62"/>
      <c r="F77" s="51">
        <f t="shared" si="23"/>
        <v>0</v>
      </c>
      <c r="G77" s="50"/>
      <c r="H77" s="62"/>
      <c r="I77" s="52"/>
      <c r="J77" s="72"/>
      <c r="K77" s="54"/>
      <c r="L77" s="55"/>
      <c r="M77" s="56"/>
      <c r="N77" s="56"/>
      <c r="O77" s="56"/>
      <c r="P77" s="57">
        <f>M77-N77-O77</f>
        <v>0</v>
      </c>
      <c r="Q77" s="58">
        <f t="shared" si="25"/>
        <v>0</v>
      </c>
      <c r="R77" s="57">
        <f>IF(P77&gt;0,IF(K77="Y",P77,0),0)</f>
        <v>0</v>
      </c>
      <c r="S77" s="59">
        <f>IF(P77&lt;0,P77,0)</f>
        <v>0</v>
      </c>
    </row>
    <row r="78" spans="1:19" ht="13.5" customHeight="1" thickBot="1" x14ac:dyDescent="0.3">
      <c r="A78" s="63"/>
      <c r="B78" s="64"/>
      <c r="C78" s="73">
        <f>SUBTOTAL(9,C70:C77)</f>
        <v>0</v>
      </c>
      <c r="D78" s="74">
        <f>SUBTOTAL(9,D70:D77)</f>
        <v>0</v>
      </c>
      <c r="E78" s="75">
        <f>SUBTOTAL(9,E70:E77)</f>
        <v>0</v>
      </c>
      <c r="F78" s="65">
        <f>SUBTOTAL(9,F70:F77)</f>
        <v>0</v>
      </c>
      <c r="G78" s="65">
        <v>0</v>
      </c>
      <c r="H78" s="67">
        <f>C78*G78</f>
        <v>0</v>
      </c>
      <c r="I78" s="76"/>
      <c r="J78" s="77"/>
      <c r="K78" s="77"/>
      <c r="L78" s="69">
        <f t="shared" ref="L78:S78" si="28">SUBTOTAL(9,L70:L77)</f>
        <v>0</v>
      </c>
      <c r="M78" s="80">
        <f t="shared" si="28"/>
        <v>0</v>
      </c>
      <c r="N78" s="80">
        <f t="shared" si="28"/>
        <v>0</v>
      </c>
      <c r="O78" s="80">
        <f t="shared" si="28"/>
        <v>0</v>
      </c>
      <c r="P78" s="80">
        <f t="shared" si="28"/>
        <v>0</v>
      </c>
      <c r="Q78" s="80">
        <f t="shared" si="28"/>
        <v>0</v>
      </c>
      <c r="R78" s="80">
        <f t="shared" si="28"/>
        <v>0</v>
      </c>
      <c r="S78" s="81">
        <f t="shared" si="28"/>
        <v>0</v>
      </c>
    </row>
    <row r="79" spans="1:19" ht="13.5" thickTop="1" x14ac:dyDescent="0.2">
      <c r="A79" s="39" t="s">
        <v>136</v>
      </c>
      <c r="B79" s="82"/>
      <c r="C79" s="44"/>
      <c r="D79" s="83"/>
      <c r="E79" s="44"/>
      <c r="F79" s="44"/>
      <c r="G79" s="44"/>
      <c r="H79" s="44"/>
      <c r="I79" s="84"/>
      <c r="J79" s="44"/>
      <c r="K79" s="44"/>
      <c r="L79" s="44"/>
      <c r="M79" s="44"/>
      <c r="N79" s="44"/>
      <c r="O79" s="44"/>
      <c r="P79" s="44"/>
      <c r="Q79" s="44"/>
      <c r="R79" s="44"/>
      <c r="S79" s="85"/>
    </row>
    <row r="80" spans="1:19" x14ac:dyDescent="0.2">
      <c r="A80" s="46" t="s">
        <v>128</v>
      </c>
      <c r="B80" s="79">
        <v>44428</v>
      </c>
      <c r="C80" s="86">
        <v>20000</v>
      </c>
      <c r="D80" s="87">
        <v>48062.9</v>
      </c>
      <c r="E80" s="50"/>
      <c r="F80" s="51">
        <f>SUM(D80:E80)</f>
        <v>48062.9</v>
      </c>
      <c r="G80" s="50"/>
      <c r="H80" s="88"/>
      <c r="I80" s="84"/>
      <c r="J80" s="89"/>
      <c r="K80" s="90"/>
      <c r="L80" s="91"/>
      <c r="M80" s="92"/>
      <c r="N80" s="92"/>
      <c r="O80" s="92"/>
      <c r="P80" s="57">
        <f>M80-N80-O80</f>
        <v>0</v>
      </c>
      <c r="Q80" s="57">
        <f>IF(P80&gt;0,IF(K80="Y",0,P80),0)</f>
        <v>0</v>
      </c>
      <c r="R80" s="57">
        <f>IF(P80&gt;0,IF(K80="Y",P80,0),0)</f>
        <v>0</v>
      </c>
      <c r="S80" s="93">
        <f>IF(P80&lt;0,P80,0)</f>
        <v>0</v>
      </c>
    </row>
    <row r="81" spans="1:19" x14ac:dyDescent="0.2">
      <c r="A81" s="46" t="s">
        <v>129</v>
      </c>
      <c r="B81" s="79">
        <v>44445</v>
      </c>
      <c r="C81" s="86">
        <v>-20000</v>
      </c>
      <c r="D81" s="87">
        <f>-D80</f>
        <v>-48062.9</v>
      </c>
      <c r="E81" s="50"/>
      <c r="F81" s="51">
        <f>SUM(D81:E81)</f>
        <v>-48062.9</v>
      </c>
      <c r="G81" s="50"/>
      <c r="H81" s="88"/>
      <c r="I81" s="84"/>
      <c r="J81" s="53">
        <f>B81</f>
        <v>44445</v>
      </c>
      <c r="K81" s="54"/>
      <c r="L81" s="55">
        <f>C81</f>
        <v>-20000</v>
      </c>
      <c r="M81" s="92">
        <v>52146.53</v>
      </c>
      <c r="N81" s="92"/>
      <c r="O81" s="56">
        <f>-D81</f>
        <v>48062.9</v>
      </c>
      <c r="P81" s="57">
        <f>M81-N81-O81</f>
        <v>4083.6299999999974</v>
      </c>
      <c r="Q81" s="57">
        <f>IF(P81&gt;0,IF(K81="Y",0,P81),0)</f>
        <v>4083.6299999999974</v>
      </c>
      <c r="R81" s="57">
        <f>IF(P81&gt;0,IF(K81="Y",P81,0),0)</f>
        <v>0</v>
      </c>
      <c r="S81" s="93">
        <f>IF(P81&lt;0,P81,0)</f>
        <v>0</v>
      </c>
    </row>
    <row r="82" spans="1:19" x14ac:dyDescent="0.2">
      <c r="A82" s="60"/>
      <c r="B82" s="47"/>
      <c r="C82" s="48"/>
      <c r="D82" s="49"/>
      <c r="E82" s="50"/>
      <c r="F82" s="51">
        <f>SUM(D82:E82)</f>
        <v>0</v>
      </c>
      <c r="G82" s="50"/>
      <c r="H82" s="50"/>
      <c r="I82" s="84"/>
      <c r="J82" s="89"/>
      <c r="K82" s="54"/>
      <c r="L82" s="55"/>
      <c r="M82" s="56"/>
      <c r="N82" s="56"/>
      <c r="O82" s="56"/>
      <c r="P82" s="57">
        <f>M82-N82-O82</f>
        <v>0</v>
      </c>
      <c r="Q82" s="57">
        <f>IF(P82&gt;0,IF(K82="Y",0,P82),0)</f>
        <v>0</v>
      </c>
      <c r="R82" s="57">
        <f>IF(P82&gt;0,IF(K82="Y",P82,0),0)</f>
        <v>0</v>
      </c>
      <c r="S82" s="93">
        <f>IF(P82&lt;0,P82,0)</f>
        <v>0</v>
      </c>
    </row>
    <row r="83" spans="1:19" ht="13.5" customHeight="1" thickBot="1" x14ac:dyDescent="0.3">
      <c r="A83" s="63"/>
      <c r="B83" s="64"/>
      <c r="C83" s="73">
        <f>SUBTOTAL(9,C80:C82)</f>
        <v>0</v>
      </c>
      <c r="D83" s="74">
        <f>SUBTOTAL(9,D80:D82)</f>
        <v>0</v>
      </c>
      <c r="E83" s="75">
        <f>SUBTOTAL(9,E80:E82)</f>
        <v>0</v>
      </c>
      <c r="F83" s="65">
        <f>SUBTOTAL(9,F80:F82)</f>
        <v>0</v>
      </c>
      <c r="G83" s="65">
        <v>0</v>
      </c>
      <c r="H83" s="67">
        <f>C83*G83</f>
        <v>0</v>
      </c>
      <c r="I83" s="84"/>
      <c r="J83" s="94"/>
      <c r="K83" s="64"/>
      <c r="L83" s="69">
        <f t="shared" ref="L83:S83" si="29">SUBTOTAL(9,L80:L82)</f>
        <v>-20000</v>
      </c>
      <c r="M83" s="95">
        <f t="shared" si="29"/>
        <v>52146.53</v>
      </c>
      <c r="N83" s="69">
        <f t="shared" si="29"/>
        <v>0</v>
      </c>
      <c r="O83" s="95">
        <f t="shared" si="29"/>
        <v>48062.9</v>
      </c>
      <c r="P83" s="80">
        <f t="shared" si="29"/>
        <v>4083.6299999999974</v>
      </c>
      <c r="Q83" s="80">
        <f t="shared" si="29"/>
        <v>4083.6299999999974</v>
      </c>
      <c r="R83" s="80">
        <f t="shared" si="29"/>
        <v>0</v>
      </c>
      <c r="S83" s="80">
        <f t="shared" si="29"/>
        <v>0</v>
      </c>
    </row>
    <row r="84" spans="1:19" ht="13.5" thickTop="1" x14ac:dyDescent="0.2">
      <c r="A84" s="39" t="s">
        <v>137</v>
      </c>
      <c r="B84" s="82"/>
      <c r="C84" s="44"/>
      <c r="D84" s="83"/>
      <c r="E84" s="44"/>
      <c r="F84" s="44"/>
      <c r="G84" s="44"/>
      <c r="H84" s="44"/>
      <c r="I84" s="84"/>
      <c r="J84" s="44"/>
      <c r="K84" s="44"/>
      <c r="L84" s="44"/>
      <c r="M84" s="44"/>
      <c r="N84" s="44"/>
      <c r="O84" s="44"/>
      <c r="P84" s="44"/>
      <c r="Q84" s="44"/>
      <c r="R84" s="44"/>
      <c r="S84" s="85"/>
    </row>
    <row r="85" spans="1:19" x14ac:dyDescent="0.2">
      <c r="A85" s="46" t="s">
        <v>128</v>
      </c>
      <c r="B85" s="79">
        <v>44277</v>
      </c>
      <c r="C85" s="86">
        <v>100000</v>
      </c>
      <c r="D85" s="87">
        <v>100550</v>
      </c>
      <c r="E85" s="50"/>
      <c r="F85" s="51">
        <f>SUM(D85:E85)</f>
        <v>100550</v>
      </c>
      <c r="G85" s="50"/>
      <c r="H85" s="88"/>
      <c r="I85" s="84"/>
      <c r="J85" s="89"/>
      <c r="K85" s="90"/>
      <c r="L85" s="91"/>
      <c r="M85" s="92"/>
      <c r="N85" s="92"/>
      <c r="O85" s="92"/>
      <c r="P85" s="57">
        <f>M85-N85-O85</f>
        <v>0</v>
      </c>
      <c r="Q85" s="57">
        <f>IF(P85&gt;0,IF(K85="Y",0,P85),0)</f>
        <v>0</v>
      </c>
      <c r="R85" s="57">
        <f>IF(P85&gt;0,IF(K85="Y",P85,0),0)</f>
        <v>0</v>
      </c>
      <c r="S85" s="93">
        <f>IF(P85&lt;0,P85,0)</f>
        <v>0</v>
      </c>
    </row>
    <row r="86" spans="1:19" x14ac:dyDescent="0.2">
      <c r="A86" s="46" t="s">
        <v>129</v>
      </c>
      <c r="B86" s="79">
        <v>44314</v>
      </c>
      <c r="C86" s="86">
        <v>-30000</v>
      </c>
      <c r="D86" s="87">
        <f>D85/C85*C86</f>
        <v>-30165</v>
      </c>
      <c r="E86" s="50"/>
      <c r="F86" s="51">
        <f>SUM(D86:E86)</f>
        <v>-30165</v>
      </c>
      <c r="G86" s="50"/>
      <c r="H86" s="88"/>
      <c r="I86" s="84"/>
      <c r="J86" s="96"/>
      <c r="K86" s="90"/>
      <c r="L86" s="91"/>
      <c r="M86" s="92"/>
      <c r="N86" s="92"/>
      <c r="O86" s="92"/>
      <c r="P86" s="57">
        <f>M86-N86-O86</f>
        <v>0</v>
      </c>
      <c r="Q86" s="57">
        <f>IF(P86&gt;0,IF(K86="Y",0,P86),0)</f>
        <v>0</v>
      </c>
      <c r="R86" s="57">
        <f>IF(P86&gt;0,IF(K86="Y",P86,0),0)</f>
        <v>0</v>
      </c>
      <c r="S86" s="93">
        <f>IF(P86&lt;0,P86,0)</f>
        <v>0</v>
      </c>
    </row>
    <row r="87" spans="1:19" x14ac:dyDescent="0.2">
      <c r="A87" s="60" t="s">
        <v>129</v>
      </c>
      <c r="B87" s="47">
        <v>44330</v>
      </c>
      <c r="C87" s="48">
        <v>-70000</v>
      </c>
      <c r="D87" s="49">
        <f>D85/C85*C87</f>
        <v>-70385</v>
      </c>
      <c r="E87" s="50"/>
      <c r="F87" s="51">
        <f>SUM(D87:E87)</f>
        <v>-70385</v>
      </c>
      <c r="G87" s="50"/>
      <c r="H87" s="50"/>
      <c r="I87" s="84"/>
      <c r="J87" s="96"/>
      <c r="K87" s="90"/>
      <c r="L87" s="55"/>
      <c r="M87" s="56"/>
      <c r="N87" s="56"/>
      <c r="O87" s="56"/>
      <c r="P87" s="57">
        <f>M87-N87-O87</f>
        <v>0</v>
      </c>
      <c r="Q87" s="57">
        <f>IF(P87&gt;0,IF(K87="Y",0,P87),0)</f>
        <v>0</v>
      </c>
      <c r="R87" s="57">
        <f>IF(P87&gt;0,IF(K87="Y",P87,0),0)</f>
        <v>0</v>
      </c>
      <c r="S87" s="93">
        <f>IF(P87&lt;0,P87,0)</f>
        <v>0</v>
      </c>
    </row>
    <row r="88" spans="1:19" x14ac:dyDescent="0.2">
      <c r="A88" s="60"/>
      <c r="B88" s="47"/>
      <c r="C88" s="48"/>
      <c r="D88" s="49"/>
      <c r="E88" s="50"/>
      <c r="F88" s="51">
        <f>SUM(D88:E88)</f>
        <v>0</v>
      </c>
      <c r="G88" s="50"/>
      <c r="H88" s="50"/>
      <c r="I88" s="84"/>
      <c r="J88" s="89"/>
      <c r="K88" s="54"/>
      <c r="L88" s="55"/>
      <c r="M88" s="56"/>
      <c r="N88" s="56"/>
      <c r="O88" s="56"/>
      <c r="P88" s="57">
        <f>M88-N88-O88</f>
        <v>0</v>
      </c>
      <c r="Q88" s="57">
        <f>IF(P88&gt;0,IF(K88="Y",0,P88),0)</f>
        <v>0</v>
      </c>
      <c r="R88" s="57">
        <f>IF(P88&gt;0,IF(K88="Y",P88,0),0)</f>
        <v>0</v>
      </c>
      <c r="S88" s="93">
        <f>IF(P88&lt;0,P88,0)</f>
        <v>0</v>
      </c>
    </row>
    <row r="89" spans="1:19" ht="13.5" customHeight="1" thickBot="1" x14ac:dyDescent="0.3">
      <c r="A89" s="63"/>
      <c r="B89" s="64"/>
      <c r="C89" s="73">
        <f>SUBTOTAL(9,C85:C88)</f>
        <v>0</v>
      </c>
      <c r="D89" s="74">
        <f>SUBTOTAL(9,D85:D88)</f>
        <v>0</v>
      </c>
      <c r="E89" s="75">
        <f>SUBTOTAL(9,E85:E88)</f>
        <v>0</v>
      </c>
      <c r="F89" s="65">
        <f>SUBTOTAL(9,F85:F88)</f>
        <v>0</v>
      </c>
      <c r="G89" s="65">
        <v>0</v>
      </c>
      <c r="H89" s="67">
        <f>C89*G89</f>
        <v>0</v>
      </c>
      <c r="I89" s="84"/>
      <c r="J89" s="94"/>
      <c r="K89" s="64"/>
      <c r="L89" s="69">
        <f t="shared" ref="L89:S89" si="30">SUBTOTAL(9,L85:L88)</f>
        <v>0</v>
      </c>
      <c r="M89" s="95">
        <f t="shared" si="30"/>
        <v>0</v>
      </c>
      <c r="N89" s="69">
        <f t="shared" si="30"/>
        <v>0</v>
      </c>
      <c r="O89" s="95">
        <f t="shared" si="30"/>
        <v>0</v>
      </c>
      <c r="P89" s="80">
        <f t="shared" si="30"/>
        <v>0</v>
      </c>
      <c r="Q89" s="80">
        <f t="shared" si="30"/>
        <v>0</v>
      </c>
      <c r="R89" s="80">
        <f t="shared" si="30"/>
        <v>0</v>
      </c>
      <c r="S89" s="80">
        <f t="shared" si="30"/>
        <v>0</v>
      </c>
    </row>
    <row r="90" spans="1:19" ht="13.5" thickTop="1" x14ac:dyDescent="0.2">
      <c r="A90" s="39" t="s">
        <v>138</v>
      </c>
      <c r="B90" s="82"/>
      <c r="C90" s="44"/>
      <c r="D90" s="83"/>
      <c r="E90" s="44"/>
      <c r="F90" s="44"/>
      <c r="G90" s="44"/>
      <c r="H90" s="44"/>
      <c r="I90" s="84"/>
      <c r="J90" s="44"/>
      <c r="K90" s="44"/>
      <c r="L90" s="44"/>
      <c r="M90" s="44"/>
      <c r="N90" s="44"/>
      <c r="O90" s="44"/>
      <c r="P90" s="44"/>
      <c r="Q90" s="44"/>
      <c r="R90" s="44"/>
      <c r="S90" s="85"/>
    </row>
    <row r="91" spans="1:19" x14ac:dyDescent="0.2">
      <c r="A91" s="46" t="s">
        <v>139</v>
      </c>
      <c r="B91" s="79">
        <v>43083</v>
      </c>
      <c r="C91" s="86">
        <v>290164</v>
      </c>
      <c r="D91" s="87">
        <v>183808.74</v>
      </c>
      <c r="E91" s="88"/>
      <c r="F91" s="51">
        <f t="shared" ref="F91:F108" si="31">SUM(D91:E91)</f>
        <v>183808.74</v>
      </c>
      <c r="G91" s="50"/>
      <c r="H91" s="88"/>
      <c r="I91" s="84"/>
      <c r="J91" s="89"/>
      <c r="K91" s="90"/>
      <c r="L91" s="91"/>
      <c r="M91" s="92"/>
      <c r="N91" s="92"/>
      <c r="O91" s="92"/>
      <c r="P91" s="57">
        <f>M91-N91-O91</f>
        <v>0</v>
      </c>
      <c r="Q91" s="57">
        <f>IF(P91&gt;0,IF(K91="Y",0,P91),0)</f>
        <v>0</v>
      </c>
      <c r="R91" s="57">
        <f>IF(P91&gt;0,IF(K91="Y",P91,0),0)</f>
        <v>0</v>
      </c>
      <c r="S91" s="93">
        <f>IF(P91&lt;0,P91,0)</f>
        <v>0</v>
      </c>
    </row>
    <row r="92" spans="1:19" x14ac:dyDescent="0.2">
      <c r="A92" s="46" t="s">
        <v>140</v>
      </c>
      <c r="B92" s="79">
        <v>43284</v>
      </c>
      <c r="C92" s="86">
        <v>58033</v>
      </c>
      <c r="D92" s="87">
        <v>39462.44</v>
      </c>
      <c r="E92" s="88"/>
      <c r="F92" s="51">
        <f t="shared" si="31"/>
        <v>39462.44</v>
      </c>
      <c r="G92" s="50"/>
      <c r="H92" s="88"/>
      <c r="I92" s="84"/>
      <c r="J92" s="89"/>
      <c r="K92" s="90"/>
      <c r="L92" s="91"/>
      <c r="M92" s="92"/>
      <c r="N92" s="92"/>
      <c r="O92" s="92"/>
      <c r="P92" s="57">
        <f>M92-N92-O92</f>
        <v>0</v>
      </c>
      <c r="Q92" s="57">
        <f>IF(P92&gt;0,IF(K92="Y",0,P92),0)</f>
        <v>0</v>
      </c>
      <c r="R92" s="57">
        <f>IF(P92&gt;0,IF(K92="Y",P92,0),0)</f>
        <v>0</v>
      </c>
      <c r="S92" s="93">
        <f>IF(P92&lt;0,P92,0)</f>
        <v>0</v>
      </c>
    </row>
    <row r="93" spans="1:19" x14ac:dyDescent="0.2">
      <c r="A93" s="60" t="s">
        <v>141</v>
      </c>
      <c r="B93" s="47">
        <v>43418</v>
      </c>
      <c r="C93" s="48">
        <v>348197</v>
      </c>
      <c r="D93" s="97">
        <v>348197</v>
      </c>
      <c r="E93" s="50"/>
      <c r="F93" s="51">
        <f t="shared" si="31"/>
        <v>348197</v>
      </c>
      <c r="G93" s="50"/>
      <c r="H93" s="50"/>
      <c r="I93" s="84"/>
      <c r="J93" s="89"/>
      <c r="K93" s="54"/>
      <c r="L93" s="55"/>
      <c r="M93" s="56"/>
      <c r="N93" s="56"/>
      <c r="O93" s="56"/>
      <c r="P93" s="57">
        <f>M93-N93-O93</f>
        <v>0</v>
      </c>
      <c r="Q93" s="57">
        <f>IF(P93&gt;0,IF(K93="Y",0,P93),0)</f>
        <v>0</v>
      </c>
      <c r="R93" s="57">
        <f>IF(P93&gt;0,IF(K93="Y",P93,0),0)</f>
        <v>0</v>
      </c>
      <c r="S93" s="93">
        <f>IF(P93&lt;0,P93,0)</f>
        <v>0</v>
      </c>
    </row>
    <row r="94" spans="1:19" x14ac:dyDescent="0.2">
      <c r="A94" s="60" t="s">
        <v>129</v>
      </c>
      <c r="B94" s="47">
        <v>43951</v>
      </c>
      <c r="C94" s="48">
        <v>-80000</v>
      </c>
      <c r="D94" s="49">
        <f>(D91/C91)*C94</f>
        <v>-50677.200479728708</v>
      </c>
      <c r="E94" s="50"/>
      <c r="F94" s="51">
        <f t="shared" si="31"/>
        <v>-50677.200479728708</v>
      </c>
      <c r="G94" s="50"/>
      <c r="H94" s="50"/>
      <c r="I94" s="84"/>
      <c r="J94" s="89"/>
      <c r="K94" s="54"/>
      <c r="L94" s="55"/>
      <c r="M94" s="56"/>
      <c r="N94" s="56"/>
      <c r="O94" s="56"/>
      <c r="P94" s="57">
        <f t="shared" ref="P94:P107" si="32">M94-N94-O94</f>
        <v>0</v>
      </c>
      <c r="Q94" s="57">
        <f t="shared" ref="Q94:Q107" si="33">IF(P94&gt;0,IF(K94="Y",0,P94),0)</f>
        <v>0</v>
      </c>
      <c r="R94" s="57">
        <f t="shared" ref="R94:R98" si="34">IF(P94&gt;0,IF(K94="Y",P94,0),0)</f>
        <v>0</v>
      </c>
      <c r="S94" s="93">
        <f t="shared" ref="S94:S107" si="35">IF(P94&lt;0,P94,0)</f>
        <v>0</v>
      </c>
    </row>
    <row r="95" spans="1:19" x14ac:dyDescent="0.2">
      <c r="A95" s="60" t="s">
        <v>129</v>
      </c>
      <c r="B95" s="47">
        <v>43952</v>
      </c>
      <c r="C95" s="48">
        <v>-40000</v>
      </c>
      <c r="D95" s="49">
        <f>(D91/C91)*C95</f>
        <v>-25338.600239864354</v>
      </c>
      <c r="E95" s="50"/>
      <c r="F95" s="51">
        <f t="shared" si="31"/>
        <v>-25338.600239864354</v>
      </c>
      <c r="G95" s="50"/>
      <c r="H95" s="50"/>
      <c r="I95" s="84"/>
      <c r="J95" s="89"/>
      <c r="K95" s="54"/>
      <c r="L95" s="55"/>
      <c r="M95" s="56"/>
      <c r="N95" s="56"/>
      <c r="O95" s="56"/>
      <c r="P95" s="57">
        <f t="shared" si="32"/>
        <v>0</v>
      </c>
      <c r="Q95" s="57">
        <f t="shared" si="33"/>
        <v>0</v>
      </c>
      <c r="R95" s="57">
        <f t="shared" si="34"/>
        <v>0</v>
      </c>
      <c r="S95" s="93">
        <f t="shared" si="35"/>
        <v>0</v>
      </c>
    </row>
    <row r="96" spans="1:19" x14ac:dyDescent="0.2">
      <c r="A96" s="60" t="s">
        <v>129</v>
      </c>
      <c r="B96" s="47">
        <v>44251</v>
      </c>
      <c r="C96" s="48">
        <v>-50000</v>
      </c>
      <c r="D96" s="49">
        <f>(D91/C91)*C96</f>
        <v>-31673.250299830441</v>
      </c>
      <c r="E96" s="50"/>
      <c r="F96" s="51">
        <f t="shared" si="31"/>
        <v>-31673.250299830441</v>
      </c>
      <c r="G96" s="50"/>
      <c r="H96" s="50"/>
      <c r="I96" s="84"/>
      <c r="J96" s="96"/>
      <c r="K96" s="54"/>
      <c r="L96" s="55"/>
      <c r="M96" s="56"/>
      <c r="N96" s="56"/>
      <c r="O96" s="56"/>
      <c r="P96" s="57">
        <f t="shared" si="32"/>
        <v>0</v>
      </c>
      <c r="Q96" s="57">
        <f t="shared" si="33"/>
        <v>0</v>
      </c>
      <c r="R96" s="57">
        <f t="shared" si="34"/>
        <v>0</v>
      </c>
      <c r="S96" s="93">
        <f t="shared" si="35"/>
        <v>0</v>
      </c>
    </row>
    <row r="97" spans="1:19" x14ac:dyDescent="0.2">
      <c r="A97" s="60" t="s">
        <v>129</v>
      </c>
      <c r="B97" s="47">
        <v>44377</v>
      </c>
      <c r="C97" s="48">
        <v>-6394</v>
      </c>
      <c r="D97" s="49">
        <f>D91/C91*C97</f>
        <v>-4050.3752483423168</v>
      </c>
      <c r="E97" s="50"/>
      <c r="F97" s="51">
        <f t="shared" si="31"/>
        <v>-4050.3752483423168</v>
      </c>
      <c r="G97" s="50"/>
      <c r="H97" s="50"/>
      <c r="I97" s="84"/>
      <c r="J97" s="96"/>
      <c r="K97" s="54"/>
      <c r="L97" s="55"/>
      <c r="M97" s="56"/>
      <c r="N97" s="56"/>
      <c r="O97" s="56"/>
      <c r="P97" s="57">
        <f t="shared" si="32"/>
        <v>0</v>
      </c>
      <c r="Q97" s="57">
        <f t="shared" si="33"/>
        <v>0</v>
      </c>
      <c r="R97" s="57">
        <f t="shared" si="34"/>
        <v>0</v>
      </c>
      <c r="S97" s="93">
        <f t="shared" si="35"/>
        <v>0</v>
      </c>
    </row>
    <row r="98" spans="1:19" x14ac:dyDescent="0.2">
      <c r="A98" s="60" t="s">
        <v>129</v>
      </c>
      <c r="B98" s="47">
        <v>44377</v>
      </c>
      <c r="C98" s="48">
        <v>-20000</v>
      </c>
      <c r="D98" s="49">
        <f>D91/C91*C98</f>
        <v>-12669.300119932177</v>
      </c>
      <c r="E98" s="50"/>
      <c r="F98" s="51">
        <f t="shared" si="31"/>
        <v>-12669.300119932177</v>
      </c>
      <c r="G98" s="50"/>
      <c r="H98" s="50"/>
      <c r="I98" s="84"/>
      <c r="J98" s="72"/>
      <c r="K98" s="54"/>
      <c r="L98" s="55"/>
      <c r="M98" s="56"/>
      <c r="N98" s="56"/>
      <c r="O98" s="56"/>
      <c r="P98" s="57">
        <f t="shared" si="32"/>
        <v>0</v>
      </c>
      <c r="Q98" s="57">
        <f t="shared" si="33"/>
        <v>0</v>
      </c>
      <c r="R98" s="57">
        <f t="shared" si="34"/>
        <v>0</v>
      </c>
      <c r="S98" s="93">
        <f t="shared" si="35"/>
        <v>0</v>
      </c>
    </row>
    <row r="99" spans="1:19" x14ac:dyDescent="0.2">
      <c r="A99" s="60" t="s">
        <v>129</v>
      </c>
      <c r="B99" s="47">
        <v>44384</v>
      </c>
      <c r="C99" s="48">
        <v>-40000</v>
      </c>
      <c r="D99" s="49">
        <f>D91/C91*C99</f>
        <v>-25338.600239864354</v>
      </c>
      <c r="E99" s="50"/>
      <c r="F99" s="51">
        <f t="shared" si="31"/>
        <v>-25338.600239864354</v>
      </c>
      <c r="G99" s="50"/>
      <c r="H99" s="50"/>
      <c r="I99" s="84"/>
      <c r="J99" s="72">
        <f t="shared" ref="J99:J107" si="36">B99</f>
        <v>44384</v>
      </c>
      <c r="K99" s="54" t="s">
        <v>142</v>
      </c>
      <c r="L99" s="55">
        <f t="shared" ref="L99:L107" si="37">C99</f>
        <v>-40000</v>
      </c>
      <c r="M99" s="49">
        <v>70370.759999999995</v>
      </c>
      <c r="N99" s="56"/>
      <c r="O99" s="56">
        <f t="shared" ref="O99:O107" si="38">-D99</f>
        <v>25338.600239864354</v>
      </c>
      <c r="P99" s="57">
        <f t="shared" si="32"/>
        <v>45032.159760135641</v>
      </c>
      <c r="Q99" s="57">
        <f t="shared" si="33"/>
        <v>0</v>
      </c>
      <c r="R99" s="57">
        <f>IF(P99&gt;0,IF(K99="Y",P99,0),0)</f>
        <v>45032.159760135641</v>
      </c>
      <c r="S99" s="93">
        <f t="shared" si="35"/>
        <v>0</v>
      </c>
    </row>
    <row r="100" spans="1:19" x14ac:dyDescent="0.2">
      <c r="A100" s="60" t="s">
        <v>129</v>
      </c>
      <c r="B100" s="47">
        <v>44385</v>
      </c>
      <c r="C100" s="48">
        <v>-7500</v>
      </c>
      <c r="D100" s="49">
        <f>D91/C91*C100</f>
        <v>-4750.9875449745659</v>
      </c>
      <c r="E100" s="50"/>
      <c r="F100" s="51">
        <f t="shared" si="31"/>
        <v>-4750.9875449745659</v>
      </c>
      <c r="G100" s="50"/>
      <c r="H100" s="50"/>
      <c r="I100" s="84"/>
      <c r="J100" s="72">
        <f t="shared" si="36"/>
        <v>44385</v>
      </c>
      <c r="K100" s="54" t="s">
        <v>142</v>
      </c>
      <c r="L100" s="55">
        <f t="shared" si="37"/>
        <v>-7500</v>
      </c>
      <c r="M100" s="49">
        <v>13247.22</v>
      </c>
      <c r="N100" s="56"/>
      <c r="O100" s="56">
        <f t="shared" si="38"/>
        <v>4750.9875449745659</v>
      </c>
      <c r="P100" s="57">
        <f t="shared" si="32"/>
        <v>8496.2324550254343</v>
      </c>
      <c r="Q100" s="57">
        <f t="shared" si="33"/>
        <v>0</v>
      </c>
      <c r="R100" s="57">
        <f t="shared" ref="R100:R107" si="39">IF(P100&gt;0,IF(K100="Y",P100,0),0)</f>
        <v>8496.2324550254343</v>
      </c>
      <c r="S100" s="93">
        <f t="shared" si="35"/>
        <v>0</v>
      </c>
    </row>
    <row r="101" spans="1:19" x14ac:dyDescent="0.2">
      <c r="A101" s="60" t="s">
        <v>129</v>
      </c>
      <c r="B101" s="47">
        <v>44522</v>
      </c>
      <c r="C101" s="48">
        <v>-192500</v>
      </c>
      <c r="D101" s="49">
        <f>((D91/C91)*-(C91+SUM(C94:C100)))+(-D92)+((D93/C93)*(SUM(C91:C92)+SUM(C94:C101)))</f>
        <v>-156969.8658274631</v>
      </c>
      <c r="E101" s="50"/>
      <c r="F101" s="51">
        <f t="shared" si="31"/>
        <v>-156969.8658274631</v>
      </c>
      <c r="G101" s="50"/>
      <c r="H101" s="50"/>
      <c r="I101" s="84"/>
      <c r="J101" s="72">
        <f t="shared" si="36"/>
        <v>44522</v>
      </c>
      <c r="K101" s="54" t="s">
        <v>142</v>
      </c>
      <c r="L101" s="55">
        <f t="shared" si="37"/>
        <v>-192500</v>
      </c>
      <c r="M101" s="49">
        <v>354365.21</v>
      </c>
      <c r="N101" s="56"/>
      <c r="O101" s="56">
        <f t="shared" si="38"/>
        <v>156969.8658274631</v>
      </c>
      <c r="P101" s="57">
        <f t="shared" si="32"/>
        <v>197395.34417253692</v>
      </c>
      <c r="Q101" s="57">
        <f t="shared" si="33"/>
        <v>0</v>
      </c>
      <c r="R101" s="57">
        <f t="shared" si="39"/>
        <v>197395.34417253692</v>
      </c>
      <c r="S101" s="93">
        <f t="shared" si="35"/>
        <v>0</v>
      </c>
    </row>
    <row r="102" spans="1:19" x14ac:dyDescent="0.2">
      <c r="A102" s="60" t="s">
        <v>129</v>
      </c>
      <c r="B102" s="47">
        <v>44539</v>
      </c>
      <c r="C102" s="48">
        <v>-50000</v>
      </c>
      <c r="D102" s="49">
        <f>(D93/C93)*C102</f>
        <v>-50000</v>
      </c>
      <c r="E102" s="50"/>
      <c r="F102" s="51">
        <f t="shared" si="31"/>
        <v>-50000</v>
      </c>
      <c r="G102" s="50"/>
      <c r="H102" s="50"/>
      <c r="I102" s="84"/>
      <c r="J102" s="72">
        <f t="shared" si="36"/>
        <v>44539</v>
      </c>
      <c r="K102" s="54" t="s">
        <v>142</v>
      </c>
      <c r="L102" s="55">
        <f t="shared" si="37"/>
        <v>-50000</v>
      </c>
      <c r="M102" s="49">
        <v>92239.87</v>
      </c>
      <c r="N102" s="56"/>
      <c r="O102" s="56">
        <f t="shared" si="38"/>
        <v>50000</v>
      </c>
      <c r="P102" s="57">
        <f t="shared" si="32"/>
        <v>42239.869999999995</v>
      </c>
      <c r="Q102" s="57">
        <f t="shared" si="33"/>
        <v>0</v>
      </c>
      <c r="R102" s="57">
        <f t="shared" si="39"/>
        <v>42239.869999999995</v>
      </c>
      <c r="S102" s="93">
        <f t="shared" si="35"/>
        <v>0</v>
      </c>
    </row>
    <row r="103" spans="1:19" x14ac:dyDescent="0.2">
      <c r="A103" s="60" t="s">
        <v>129</v>
      </c>
      <c r="B103" s="47">
        <v>44539</v>
      </c>
      <c r="C103" s="48">
        <v>-60000</v>
      </c>
      <c r="D103" s="49">
        <f>(D93/C93)*C103</f>
        <v>-60000</v>
      </c>
      <c r="E103" s="50"/>
      <c r="F103" s="51">
        <f t="shared" si="31"/>
        <v>-60000</v>
      </c>
      <c r="G103" s="50"/>
      <c r="H103" s="50"/>
      <c r="I103" s="84"/>
      <c r="J103" s="72">
        <f t="shared" si="36"/>
        <v>44539</v>
      </c>
      <c r="K103" s="54" t="s">
        <v>142</v>
      </c>
      <c r="L103" s="55">
        <f t="shared" si="37"/>
        <v>-60000</v>
      </c>
      <c r="M103" s="49">
        <v>110687.83</v>
      </c>
      <c r="N103" s="56"/>
      <c r="O103" s="56">
        <f t="shared" si="38"/>
        <v>60000</v>
      </c>
      <c r="P103" s="57">
        <f t="shared" si="32"/>
        <v>50687.83</v>
      </c>
      <c r="Q103" s="57">
        <f t="shared" si="33"/>
        <v>0</v>
      </c>
      <c r="R103" s="57">
        <f t="shared" si="39"/>
        <v>50687.83</v>
      </c>
      <c r="S103" s="93">
        <f t="shared" si="35"/>
        <v>0</v>
      </c>
    </row>
    <row r="104" spans="1:19" x14ac:dyDescent="0.2">
      <c r="A104" s="60" t="s">
        <v>129</v>
      </c>
      <c r="B104" s="47">
        <v>44594</v>
      </c>
      <c r="C104" s="48">
        <v>-10000</v>
      </c>
      <c r="D104" s="49">
        <f>(D93/C93)*C104</f>
        <v>-10000</v>
      </c>
      <c r="E104" s="50"/>
      <c r="F104" s="51">
        <f t="shared" si="31"/>
        <v>-10000</v>
      </c>
      <c r="G104" s="50"/>
      <c r="H104" s="50"/>
      <c r="I104" s="84"/>
      <c r="J104" s="72">
        <f t="shared" si="36"/>
        <v>44594</v>
      </c>
      <c r="K104" s="54" t="s">
        <v>142</v>
      </c>
      <c r="L104" s="55">
        <f t="shared" si="37"/>
        <v>-10000</v>
      </c>
      <c r="M104" s="49">
        <v>16409.25</v>
      </c>
      <c r="N104" s="56"/>
      <c r="O104" s="56">
        <f t="shared" si="38"/>
        <v>10000</v>
      </c>
      <c r="P104" s="57">
        <f t="shared" si="32"/>
        <v>6409.25</v>
      </c>
      <c r="Q104" s="57">
        <f t="shared" si="33"/>
        <v>0</v>
      </c>
      <c r="R104" s="57">
        <f t="shared" si="39"/>
        <v>6409.25</v>
      </c>
      <c r="S104" s="93">
        <f t="shared" si="35"/>
        <v>0</v>
      </c>
    </row>
    <row r="105" spans="1:19" x14ac:dyDescent="0.2">
      <c r="A105" s="60" t="s">
        <v>129</v>
      </c>
      <c r="B105" s="47">
        <v>44595</v>
      </c>
      <c r="C105" s="48">
        <v>-71500</v>
      </c>
      <c r="D105" s="49">
        <f>(D93/C93)*C105</f>
        <v>-71500</v>
      </c>
      <c r="E105" s="50"/>
      <c r="F105" s="51">
        <f t="shared" si="31"/>
        <v>-71500</v>
      </c>
      <c r="G105" s="50"/>
      <c r="H105" s="50"/>
      <c r="I105" s="84"/>
      <c r="J105" s="72">
        <f t="shared" si="36"/>
        <v>44595</v>
      </c>
      <c r="K105" s="54" t="s">
        <v>142</v>
      </c>
      <c r="L105" s="55">
        <f t="shared" si="37"/>
        <v>-71500</v>
      </c>
      <c r="M105" s="49">
        <v>117123.96</v>
      </c>
      <c r="N105" s="56"/>
      <c r="O105" s="56">
        <f t="shared" si="38"/>
        <v>71500</v>
      </c>
      <c r="P105" s="57">
        <f t="shared" si="32"/>
        <v>45623.960000000006</v>
      </c>
      <c r="Q105" s="57">
        <f t="shared" si="33"/>
        <v>0</v>
      </c>
      <c r="R105" s="57">
        <f t="shared" si="39"/>
        <v>45623.960000000006</v>
      </c>
      <c r="S105" s="93">
        <f t="shared" si="35"/>
        <v>0</v>
      </c>
    </row>
    <row r="106" spans="1:19" x14ac:dyDescent="0.2">
      <c r="A106" s="60" t="s">
        <v>129</v>
      </c>
      <c r="B106" s="47">
        <v>44596</v>
      </c>
      <c r="C106" s="48">
        <v>-53500</v>
      </c>
      <c r="D106" s="49">
        <f>(D93/C93)*C106</f>
        <v>-53500</v>
      </c>
      <c r="E106" s="50"/>
      <c r="F106" s="51">
        <f t="shared" si="31"/>
        <v>-53500</v>
      </c>
      <c r="G106" s="50"/>
      <c r="H106" s="50"/>
      <c r="I106" s="84"/>
      <c r="J106" s="72">
        <f t="shared" si="36"/>
        <v>44596</v>
      </c>
      <c r="K106" s="54" t="s">
        <v>142</v>
      </c>
      <c r="L106" s="55">
        <f t="shared" si="37"/>
        <v>-53500</v>
      </c>
      <c r="M106" s="49">
        <v>87929.75</v>
      </c>
      <c r="N106" s="56"/>
      <c r="O106" s="56">
        <f t="shared" si="38"/>
        <v>53500</v>
      </c>
      <c r="P106" s="57">
        <f t="shared" si="32"/>
        <v>34429.75</v>
      </c>
      <c r="Q106" s="57">
        <f t="shared" si="33"/>
        <v>0</v>
      </c>
      <c r="R106" s="57">
        <f t="shared" si="39"/>
        <v>34429.75</v>
      </c>
      <c r="S106" s="93">
        <f t="shared" si="35"/>
        <v>0</v>
      </c>
    </row>
    <row r="107" spans="1:19" x14ac:dyDescent="0.2">
      <c r="A107" s="60" t="s">
        <v>129</v>
      </c>
      <c r="B107" s="47">
        <v>44606</v>
      </c>
      <c r="C107" s="48">
        <v>-15000</v>
      </c>
      <c r="D107" s="49">
        <f>(D93/C93)*C107</f>
        <v>-15000</v>
      </c>
      <c r="E107" s="50"/>
      <c r="F107" s="51">
        <f t="shared" si="31"/>
        <v>-15000</v>
      </c>
      <c r="G107" s="50"/>
      <c r="H107" s="50"/>
      <c r="I107" s="84"/>
      <c r="J107" s="72">
        <f t="shared" si="36"/>
        <v>44606</v>
      </c>
      <c r="K107" s="54" t="s">
        <v>142</v>
      </c>
      <c r="L107" s="55">
        <f t="shared" si="37"/>
        <v>-15000</v>
      </c>
      <c r="M107" s="49">
        <v>24315.52</v>
      </c>
      <c r="N107" s="56"/>
      <c r="O107" s="56">
        <f t="shared" si="38"/>
        <v>15000</v>
      </c>
      <c r="P107" s="57">
        <f t="shared" si="32"/>
        <v>9315.52</v>
      </c>
      <c r="Q107" s="57">
        <f t="shared" si="33"/>
        <v>0</v>
      </c>
      <c r="R107" s="57">
        <f t="shared" si="39"/>
        <v>9315.52</v>
      </c>
      <c r="S107" s="93">
        <f t="shared" si="35"/>
        <v>0</v>
      </c>
    </row>
    <row r="108" spans="1:19" x14ac:dyDescent="0.2">
      <c r="A108" s="60"/>
      <c r="B108" s="47"/>
      <c r="C108" s="61"/>
      <c r="D108" s="49"/>
      <c r="E108" s="62"/>
      <c r="F108" s="51">
        <f t="shared" si="31"/>
        <v>0</v>
      </c>
      <c r="G108" s="50"/>
      <c r="H108" s="62"/>
      <c r="I108" s="52"/>
      <c r="J108" s="72"/>
      <c r="K108" s="54"/>
      <c r="L108" s="55"/>
      <c r="M108" s="56"/>
      <c r="N108" s="56"/>
      <c r="O108" s="56"/>
      <c r="P108" s="57">
        <f>M108-N108-O108</f>
        <v>0</v>
      </c>
      <c r="Q108" s="58">
        <f>IF(P108&gt;0,IF(K108="Y",0,P108),0)</f>
        <v>0</v>
      </c>
      <c r="R108" s="57">
        <f>IF(P108&gt;0,IF(K108="Y",P108,0),0)</f>
        <v>0</v>
      </c>
      <c r="S108" s="59">
        <f>IF(P108&lt;0,P108,0)</f>
        <v>0</v>
      </c>
    </row>
    <row r="109" spans="1:19" ht="13.5" customHeight="1" thickBot="1" x14ac:dyDescent="0.3">
      <c r="A109" s="63"/>
      <c r="B109" s="64"/>
      <c r="C109" s="73">
        <f>SUBTOTAL(9,C91:C108)</f>
        <v>0</v>
      </c>
      <c r="D109" s="74">
        <f>SUBTOTAL(9,D91:D108)</f>
        <v>-1.1641532182693481E-10</v>
      </c>
      <c r="E109" s="75">
        <f>SUBTOTAL(9,E91:E108)</f>
        <v>0</v>
      </c>
      <c r="F109" s="65">
        <f>SUBTOTAL(9,F91:F108)</f>
        <v>-1.1641532182693481E-10</v>
      </c>
      <c r="G109" s="65">
        <v>0</v>
      </c>
      <c r="H109" s="67">
        <f>C109*G109</f>
        <v>0</v>
      </c>
      <c r="I109" s="76"/>
      <c r="J109" s="77"/>
      <c r="K109" s="77"/>
      <c r="L109" s="69">
        <f t="shared" ref="L109:S109" si="40">SUBTOTAL(9,L91:L108)</f>
        <v>-500000</v>
      </c>
      <c r="M109" s="65">
        <f t="shared" si="40"/>
        <v>886689.37</v>
      </c>
      <c r="N109" s="65">
        <f t="shared" si="40"/>
        <v>0</v>
      </c>
      <c r="O109" s="65">
        <f t="shared" si="40"/>
        <v>447059.45361230202</v>
      </c>
      <c r="P109" s="65">
        <f t="shared" si="40"/>
        <v>439629.91638769803</v>
      </c>
      <c r="Q109" s="65">
        <f t="shared" si="40"/>
        <v>0</v>
      </c>
      <c r="R109" s="65">
        <f t="shared" si="40"/>
        <v>439629.91638769803</v>
      </c>
      <c r="S109" s="65">
        <f t="shared" si="40"/>
        <v>0</v>
      </c>
    </row>
    <row r="110" spans="1:19" ht="13.5" thickTop="1" x14ac:dyDescent="0.2">
      <c r="A110" s="39" t="s">
        <v>143</v>
      </c>
      <c r="B110" s="82"/>
      <c r="C110" s="44"/>
      <c r="D110" s="83"/>
      <c r="E110" s="44"/>
      <c r="F110" s="44"/>
      <c r="G110" s="44"/>
      <c r="H110" s="44"/>
      <c r="I110" s="84"/>
      <c r="J110" s="44"/>
      <c r="K110" s="44"/>
      <c r="L110" s="44"/>
      <c r="M110" s="44"/>
      <c r="N110" s="44"/>
      <c r="O110" s="44"/>
      <c r="P110" s="44"/>
      <c r="Q110" s="44"/>
      <c r="R110" s="44"/>
      <c r="S110" s="85"/>
    </row>
    <row r="111" spans="1:19" x14ac:dyDescent="0.2">
      <c r="A111" s="60" t="s">
        <v>128</v>
      </c>
      <c r="B111" s="98">
        <v>43705</v>
      </c>
      <c r="C111" s="48">
        <v>3000</v>
      </c>
      <c r="D111" s="49">
        <v>104580.58</v>
      </c>
      <c r="E111" s="50"/>
      <c r="F111" s="51">
        <f t="shared" ref="F111:F119" si="41">SUM(D111:E111)</f>
        <v>104580.58</v>
      </c>
      <c r="G111" s="50"/>
      <c r="H111" s="50"/>
      <c r="I111" s="84"/>
      <c r="J111" s="89"/>
      <c r="K111" s="54"/>
      <c r="L111" s="55"/>
      <c r="M111" s="56"/>
      <c r="N111" s="56"/>
      <c r="O111" s="56"/>
      <c r="P111" s="57">
        <f t="shared" ref="P111:R118" si="42">M111-N111-O111</f>
        <v>0</v>
      </c>
      <c r="Q111" s="57">
        <f t="shared" si="42"/>
        <v>0</v>
      </c>
      <c r="R111" s="57">
        <f t="shared" si="42"/>
        <v>0</v>
      </c>
      <c r="S111" s="93">
        <f t="shared" ref="S111:S119" si="43">IF(P111&lt;0,P111,0)</f>
        <v>0</v>
      </c>
    </row>
    <row r="112" spans="1:19" x14ac:dyDescent="0.2">
      <c r="A112" s="60" t="s">
        <v>129</v>
      </c>
      <c r="B112" s="98">
        <v>43712</v>
      </c>
      <c r="C112" s="48">
        <v>-3000</v>
      </c>
      <c r="D112" s="49">
        <f>-D111</f>
        <v>-104580.58</v>
      </c>
      <c r="E112" s="50"/>
      <c r="F112" s="51">
        <f t="shared" si="41"/>
        <v>-104580.58</v>
      </c>
      <c r="G112" s="50"/>
      <c r="H112" s="50"/>
      <c r="I112" s="52"/>
      <c r="J112" s="72"/>
      <c r="K112" s="54"/>
      <c r="L112" s="55"/>
      <c r="M112" s="56"/>
      <c r="N112" s="56"/>
      <c r="O112" s="56"/>
      <c r="P112" s="57">
        <f t="shared" si="42"/>
        <v>0</v>
      </c>
      <c r="Q112" s="57">
        <f t="shared" si="42"/>
        <v>0</v>
      </c>
      <c r="R112" s="57">
        <f t="shared" si="42"/>
        <v>0</v>
      </c>
      <c r="S112" s="59">
        <f t="shared" si="43"/>
        <v>0</v>
      </c>
    </row>
    <row r="113" spans="1:19" x14ac:dyDescent="0.2">
      <c r="A113" s="60" t="s">
        <v>128</v>
      </c>
      <c r="B113" s="98">
        <v>43846</v>
      </c>
      <c r="C113" s="48">
        <v>2500</v>
      </c>
      <c r="D113" s="49">
        <v>100348.64</v>
      </c>
      <c r="E113" s="50"/>
      <c r="F113" s="51">
        <f t="shared" si="41"/>
        <v>100348.64</v>
      </c>
      <c r="G113" s="50"/>
      <c r="H113" s="50"/>
      <c r="I113" s="84"/>
      <c r="J113" s="89"/>
      <c r="K113" s="54"/>
      <c r="L113" s="55"/>
      <c r="M113" s="56"/>
      <c r="N113" s="56"/>
      <c r="O113" s="56"/>
      <c r="P113" s="57">
        <f t="shared" si="42"/>
        <v>0</v>
      </c>
      <c r="Q113" s="57">
        <f t="shared" si="42"/>
        <v>0</v>
      </c>
      <c r="R113" s="57">
        <f t="shared" si="42"/>
        <v>0</v>
      </c>
      <c r="S113" s="93">
        <f t="shared" si="43"/>
        <v>0</v>
      </c>
    </row>
    <row r="114" spans="1:19" x14ac:dyDescent="0.2">
      <c r="A114" s="60" t="s">
        <v>128</v>
      </c>
      <c r="B114" s="98">
        <v>43851</v>
      </c>
      <c r="C114" s="48">
        <v>2500</v>
      </c>
      <c r="D114" s="49">
        <v>101681.19</v>
      </c>
      <c r="E114" s="50"/>
      <c r="F114" s="51">
        <f t="shared" si="41"/>
        <v>101681.19</v>
      </c>
      <c r="G114" s="50"/>
      <c r="H114" s="50"/>
      <c r="I114" s="52"/>
      <c r="J114" s="72"/>
      <c r="K114" s="54"/>
      <c r="L114" s="55"/>
      <c r="M114" s="56"/>
      <c r="N114" s="56"/>
      <c r="O114" s="56"/>
      <c r="P114" s="57">
        <f t="shared" si="42"/>
        <v>0</v>
      </c>
      <c r="Q114" s="57">
        <f t="shared" si="42"/>
        <v>0</v>
      </c>
      <c r="R114" s="57">
        <f t="shared" si="42"/>
        <v>0</v>
      </c>
      <c r="S114" s="59">
        <f t="shared" si="43"/>
        <v>0</v>
      </c>
    </row>
    <row r="115" spans="1:19" x14ac:dyDescent="0.2">
      <c r="A115" s="60" t="s">
        <v>128</v>
      </c>
      <c r="B115" s="98">
        <v>43902</v>
      </c>
      <c r="C115" s="48">
        <v>2500</v>
      </c>
      <c r="D115" s="49">
        <v>70912.89</v>
      </c>
      <c r="E115" s="50"/>
      <c r="F115" s="51">
        <f t="shared" si="41"/>
        <v>70912.89</v>
      </c>
      <c r="G115" s="50"/>
      <c r="H115" s="50"/>
      <c r="I115" s="84"/>
      <c r="J115" s="89"/>
      <c r="K115" s="54"/>
      <c r="L115" s="55"/>
      <c r="M115" s="56"/>
      <c r="N115" s="56"/>
      <c r="O115" s="56"/>
      <c r="P115" s="57">
        <f t="shared" si="42"/>
        <v>0</v>
      </c>
      <c r="Q115" s="57">
        <f t="shared" si="42"/>
        <v>0</v>
      </c>
      <c r="R115" s="57">
        <f t="shared" si="42"/>
        <v>0</v>
      </c>
      <c r="S115" s="93">
        <f t="shared" si="43"/>
        <v>0</v>
      </c>
    </row>
    <row r="116" spans="1:19" x14ac:dyDescent="0.2">
      <c r="A116" s="60" t="s">
        <v>129</v>
      </c>
      <c r="B116" s="98">
        <v>43903</v>
      </c>
      <c r="C116" s="48">
        <v>-2500</v>
      </c>
      <c r="D116" s="49">
        <f>-100348.64</f>
        <v>-100348.64</v>
      </c>
      <c r="E116" s="50"/>
      <c r="F116" s="51">
        <f t="shared" si="41"/>
        <v>-100348.64</v>
      </c>
      <c r="G116" s="50"/>
      <c r="H116" s="50"/>
      <c r="I116" s="52"/>
      <c r="J116" s="72"/>
      <c r="K116" s="54"/>
      <c r="L116" s="55"/>
      <c r="M116" s="56"/>
      <c r="N116" s="56"/>
      <c r="O116" s="56"/>
      <c r="P116" s="57">
        <f t="shared" si="42"/>
        <v>0</v>
      </c>
      <c r="Q116" s="57">
        <f t="shared" si="42"/>
        <v>0</v>
      </c>
      <c r="R116" s="57">
        <f t="shared" si="42"/>
        <v>0</v>
      </c>
      <c r="S116" s="59">
        <f t="shared" si="43"/>
        <v>0</v>
      </c>
    </row>
    <row r="117" spans="1:19" x14ac:dyDescent="0.2">
      <c r="A117" s="60" t="s">
        <v>129</v>
      </c>
      <c r="B117" s="98">
        <v>43913</v>
      </c>
      <c r="C117" s="48">
        <v>-2500</v>
      </c>
      <c r="D117" s="49">
        <v>-101681.19</v>
      </c>
      <c r="E117" s="50"/>
      <c r="F117" s="51">
        <f t="shared" si="41"/>
        <v>-101681.19</v>
      </c>
      <c r="G117" s="50"/>
      <c r="H117" s="50"/>
      <c r="I117" s="84"/>
      <c r="J117" s="89"/>
      <c r="K117" s="54"/>
      <c r="L117" s="55"/>
      <c r="M117" s="56"/>
      <c r="N117" s="56"/>
      <c r="O117" s="56"/>
      <c r="P117" s="57">
        <f t="shared" si="42"/>
        <v>0</v>
      </c>
      <c r="Q117" s="57">
        <f t="shared" si="42"/>
        <v>0</v>
      </c>
      <c r="R117" s="57">
        <f t="shared" si="42"/>
        <v>0</v>
      </c>
      <c r="S117" s="93">
        <f t="shared" si="43"/>
        <v>0</v>
      </c>
    </row>
    <row r="118" spans="1:19" x14ac:dyDescent="0.2">
      <c r="A118" s="60" t="s">
        <v>129</v>
      </c>
      <c r="B118" s="47">
        <v>44179</v>
      </c>
      <c r="C118" s="48">
        <v>-2500</v>
      </c>
      <c r="D118" s="49">
        <f>D115/C115*C118</f>
        <v>-70912.89</v>
      </c>
      <c r="E118" s="50"/>
      <c r="F118" s="51">
        <f t="shared" si="41"/>
        <v>-70912.89</v>
      </c>
      <c r="G118" s="50"/>
      <c r="H118" s="50"/>
      <c r="I118" s="52"/>
      <c r="J118" s="72"/>
      <c r="K118" s="54"/>
      <c r="L118" s="55"/>
      <c r="M118" s="56"/>
      <c r="N118" s="56"/>
      <c r="O118" s="56"/>
      <c r="P118" s="57">
        <f t="shared" si="42"/>
        <v>0</v>
      </c>
      <c r="Q118" s="57">
        <f t="shared" ref="Q118" si="44">IF(P118&gt;0,IF(K118="Y",0,P118),0)</f>
        <v>0</v>
      </c>
      <c r="R118" s="57">
        <f t="shared" ref="R118" si="45">IF(P118&gt;0,IF(K118="Y",P118,0),0)</f>
        <v>0</v>
      </c>
      <c r="S118" s="93">
        <f t="shared" si="43"/>
        <v>0</v>
      </c>
    </row>
    <row r="119" spans="1:19" x14ac:dyDescent="0.2">
      <c r="A119" s="99"/>
      <c r="B119" s="100"/>
      <c r="C119" s="100"/>
      <c r="D119" s="101"/>
      <c r="E119" s="102"/>
      <c r="F119" s="51">
        <f t="shared" si="41"/>
        <v>0</v>
      </c>
      <c r="G119" s="103"/>
      <c r="H119" s="102"/>
      <c r="I119" s="104"/>
      <c r="J119" s="72"/>
      <c r="K119" s="54"/>
      <c r="L119" s="55"/>
      <c r="M119" s="56"/>
      <c r="N119" s="56"/>
      <c r="O119" s="56"/>
      <c r="P119" s="57">
        <f>M119-N119-O119</f>
        <v>0</v>
      </c>
      <c r="Q119" s="58">
        <f>IF(P119&gt;0,IF(K119="Y",0,P119),0)</f>
        <v>0</v>
      </c>
      <c r="R119" s="57">
        <f>IF(P119&gt;0,IF(K119="Y",P119,0),0)</f>
        <v>0</v>
      </c>
      <c r="S119" s="93">
        <f t="shared" si="43"/>
        <v>0</v>
      </c>
    </row>
    <row r="120" spans="1:19" ht="13.5" customHeight="1" thickBot="1" x14ac:dyDescent="0.3">
      <c r="A120" s="105"/>
      <c r="B120" s="106"/>
      <c r="C120" s="73">
        <f>SUM(C111:C119)</f>
        <v>0</v>
      </c>
      <c r="D120" s="107">
        <f>SUM(D111:D119)</f>
        <v>0</v>
      </c>
      <c r="E120" s="108">
        <f>SUM(E111:E119)</f>
        <v>0</v>
      </c>
      <c r="F120" s="65">
        <f>SUM(F111:F119)</f>
        <v>1.4551915228366852E-11</v>
      </c>
      <c r="G120" s="65">
        <v>0</v>
      </c>
      <c r="H120" s="65">
        <v>0</v>
      </c>
      <c r="I120" s="109"/>
      <c r="J120" s="77"/>
      <c r="K120" s="77"/>
      <c r="L120" s="69">
        <f>SUBTOTAL(9,L111:L119)</f>
        <v>0</v>
      </c>
      <c r="M120" s="65">
        <f>SUBTOTAL(9,M111:M119)</f>
        <v>0</v>
      </c>
      <c r="N120" s="65">
        <f t="shared" ref="N120:S120" si="46">SUBTOTAL(9,N111:N119)</f>
        <v>0</v>
      </c>
      <c r="O120" s="65">
        <f t="shared" si="46"/>
        <v>0</v>
      </c>
      <c r="P120" s="65">
        <f t="shared" si="46"/>
        <v>0</v>
      </c>
      <c r="Q120" s="65">
        <f t="shared" si="46"/>
        <v>0</v>
      </c>
      <c r="R120" s="65">
        <f t="shared" si="46"/>
        <v>0</v>
      </c>
      <c r="S120" s="65">
        <f t="shared" si="46"/>
        <v>0</v>
      </c>
    </row>
    <row r="121" spans="1:19" ht="13.5" thickTop="1" x14ac:dyDescent="0.2">
      <c r="A121" s="39" t="s">
        <v>144</v>
      </c>
      <c r="B121" s="82"/>
      <c r="C121" s="44"/>
      <c r="D121" s="83"/>
      <c r="E121" s="44"/>
      <c r="F121" s="44"/>
      <c r="G121" s="44"/>
      <c r="H121" s="44"/>
      <c r="I121" s="43"/>
      <c r="J121" s="44"/>
      <c r="K121" s="44"/>
      <c r="L121" s="44"/>
      <c r="M121" s="44"/>
      <c r="N121" s="44"/>
      <c r="O121" s="44"/>
      <c r="P121" s="44"/>
      <c r="Q121" s="44"/>
      <c r="R121" s="44"/>
      <c r="S121" s="85"/>
    </row>
    <row r="122" spans="1:19" x14ac:dyDescent="0.2">
      <c r="A122" s="46" t="s">
        <v>128</v>
      </c>
      <c r="B122" s="79">
        <v>42815</v>
      </c>
      <c r="C122" s="86">
        <v>560000</v>
      </c>
      <c r="D122" s="49">
        <v>101354.4</v>
      </c>
      <c r="E122" s="88"/>
      <c r="F122" s="51">
        <f>SUM(D122:E122)</f>
        <v>101354.4</v>
      </c>
      <c r="G122" s="50"/>
      <c r="H122" s="88"/>
      <c r="I122" s="52"/>
      <c r="J122" s="89"/>
      <c r="K122" s="90"/>
      <c r="L122" s="91"/>
      <c r="M122" s="92"/>
      <c r="N122" s="92"/>
      <c r="O122" s="92"/>
      <c r="P122" s="57">
        <f>M122-N122-O122</f>
        <v>0</v>
      </c>
      <c r="Q122" s="57">
        <f>IF(P122&gt;0,IF(K122="Y",0,P122),0)</f>
        <v>0</v>
      </c>
      <c r="R122" s="57">
        <f>IF(P122&gt;0,IF(K122="Y",P122,0),0)</f>
        <v>0</v>
      </c>
      <c r="S122" s="93">
        <f>IF(P122&lt;0,P122,0)</f>
        <v>0</v>
      </c>
    </row>
    <row r="123" spans="1:19" x14ac:dyDescent="0.2">
      <c r="A123" s="60" t="s">
        <v>145</v>
      </c>
      <c r="B123" s="47">
        <v>44140</v>
      </c>
      <c r="C123" s="48">
        <f>ROUNDDOWN(-(C122-C122/30),0)</f>
        <v>-541333</v>
      </c>
      <c r="D123" s="49">
        <v>0</v>
      </c>
      <c r="E123" s="50"/>
      <c r="F123" s="51">
        <f>SUM(D123:E123)</f>
        <v>0</v>
      </c>
      <c r="G123" s="50"/>
      <c r="H123" s="88"/>
      <c r="I123" s="52"/>
      <c r="J123" s="89"/>
      <c r="K123" s="90"/>
      <c r="L123" s="91"/>
      <c r="M123" s="92"/>
      <c r="N123" s="92"/>
      <c r="O123" s="92"/>
      <c r="P123" s="57">
        <f>M123-N123-O123</f>
        <v>0</v>
      </c>
      <c r="Q123" s="57">
        <f>IF(P123&gt;0,IF(K123="Y",0,P123),0)</f>
        <v>0</v>
      </c>
      <c r="R123" s="57">
        <f>IF(P123&gt;0,IF(K123="Y",P123,0),0)</f>
        <v>0</v>
      </c>
      <c r="S123" s="93">
        <f>IF(P123&lt;0,P123,0)</f>
        <v>0</v>
      </c>
    </row>
    <row r="124" spans="1:19" x14ac:dyDescent="0.2">
      <c r="A124" s="60" t="s">
        <v>129</v>
      </c>
      <c r="B124" s="47">
        <v>44221</v>
      </c>
      <c r="C124" s="48">
        <v>-4667</v>
      </c>
      <c r="D124" s="49">
        <f>D$122/(SUM(C$122:C$123))*C124</f>
        <v>-25339.957400760701</v>
      </c>
      <c r="E124" s="62"/>
      <c r="F124" s="51">
        <f>SUM(D124:E124)</f>
        <v>-25339.957400760701</v>
      </c>
      <c r="G124" s="50"/>
      <c r="H124" s="88"/>
      <c r="I124" s="52"/>
      <c r="J124" s="96"/>
      <c r="K124" s="90"/>
      <c r="L124" s="91"/>
      <c r="M124" s="92"/>
      <c r="N124" s="92"/>
      <c r="O124" s="92"/>
      <c r="P124" s="57">
        <f>M124-N124-O124</f>
        <v>0</v>
      </c>
      <c r="Q124" s="57">
        <f>IF(P124&gt;0,IF(K124="Y",0,P124),0)</f>
        <v>0</v>
      </c>
      <c r="R124" s="57">
        <f>IF(P124&gt;0,IF(K124="Y",P124,0),0)</f>
        <v>0</v>
      </c>
      <c r="S124" s="93">
        <f>IF(P124&lt;0,P124,0)</f>
        <v>0</v>
      </c>
    </row>
    <row r="125" spans="1:19" x14ac:dyDescent="0.2">
      <c r="A125" s="110" t="s">
        <v>129</v>
      </c>
      <c r="B125" s="47">
        <v>44242</v>
      </c>
      <c r="C125" s="111">
        <v>-14000</v>
      </c>
      <c r="D125" s="49">
        <f>D$122/(SUM(C$122:C$123))*C125</f>
        <v>-76014.442599239293</v>
      </c>
      <c r="E125" s="112"/>
      <c r="F125" s="51">
        <f>SUM(D125:E125)</f>
        <v>-76014.442599239293</v>
      </c>
      <c r="G125" s="112"/>
      <c r="H125" s="113"/>
      <c r="I125" s="52"/>
      <c r="J125" s="114"/>
      <c r="K125" s="115"/>
      <c r="L125" s="116"/>
      <c r="M125" s="117"/>
      <c r="N125" s="92"/>
      <c r="O125" s="117"/>
      <c r="P125" s="57">
        <f>M125-N125-O125</f>
        <v>0</v>
      </c>
      <c r="Q125" s="57">
        <f>IF(P125&gt;0,IF(K125="Y",0,P125),0)</f>
        <v>0</v>
      </c>
      <c r="R125" s="57">
        <f>IF(P125&gt;0,IF(K125="Y",P125,0),0)</f>
        <v>0</v>
      </c>
      <c r="S125" s="93">
        <f>IF(P125&lt;0,P125,0)</f>
        <v>0</v>
      </c>
    </row>
    <row r="126" spans="1:19" x14ac:dyDescent="0.2">
      <c r="A126" s="118"/>
      <c r="B126" s="114"/>
      <c r="C126" s="111"/>
      <c r="D126" s="112"/>
      <c r="E126" s="112"/>
      <c r="F126" s="119"/>
      <c r="G126" s="112"/>
      <c r="H126" s="113"/>
      <c r="I126" s="52"/>
      <c r="J126" s="114"/>
      <c r="K126" s="115"/>
      <c r="L126" s="116"/>
      <c r="M126" s="117"/>
      <c r="N126" s="117"/>
      <c r="O126" s="117"/>
      <c r="P126" s="57">
        <f>M126-N126-O126</f>
        <v>0</v>
      </c>
      <c r="Q126" s="57">
        <f>IF(P126&gt;0,IF(K126="Y",0,P126),0)</f>
        <v>0</v>
      </c>
      <c r="R126" s="57">
        <f>IF(P126&gt;0,IF(K126="Y",P126,0),0)</f>
        <v>0</v>
      </c>
      <c r="S126" s="93">
        <f>IF(P126&lt;0,P126,0)</f>
        <v>0</v>
      </c>
    </row>
    <row r="127" spans="1:19" ht="13.5" customHeight="1" thickBot="1" x14ac:dyDescent="0.3">
      <c r="A127" s="63"/>
      <c r="B127" s="64"/>
      <c r="C127" s="73">
        <f>SUBTOTAL(9,C122:C126)</f>
        <v>0</v>
      </c>
      <c r="D127" s="74">
        <f>SUBTOTAL(9,D122:D126)</f>
        <v>0</v>
      </c>
      <c r="E127" s="75">
        <f>SUBTOTAL(9,E122:E126)</f>
        <v>0</v>
      </c>
      <c r="F127" s="65">
        <f>SUBTOTAL(9,F122:F126)</f>
        <v>0</v>
      </c>
      <c r="G127" s="65">
        <v>0</v>
      </c>
      <c r="H127" s="65">
        <v>0</v>
      </c>
      <c r="I127" s="84"/>
      <c r="J127" s="64"/>
      <c r="K127" s="64"/>
      <c r="L127" s="73">
        <f>SUBTOTAL(9,L122:L126)</f>
        <v>0</v>
      </c>
      <c r="M127" s="65">
        <f t="shared" ref="M127:S127" si="47">SUBTOTAL(9,M122:M126)</f>
        <v>0</v>
      </c>
      <c r="N127" s="65">
        <f t="shared" si="47"/>
        <v>0</v>
      </c>
      <c r="O127" s="65">
        <f t="shared" si="47"/>
        <v>0</v>
      </c>
      <c r="P127" s="65">
        <f t="shared" si="47"/>
        <v>0</v>
      </c>
      <c r="Q127" s="65">
        <f t="shared" si="47"/>
        <v>0</v>
      </c>
      <c r="R127" s="65">
        <f t="shared" si="47"/>
        <v>0</v>
      </c>
      <c r="S127" s="65">
        <f t="shared" si="47"/>
        <v>0</v>
      </c>
    </row>
    <row r="128" spans="1:19" ht="13.5" thickTop="1" x14ac:dyDescent="0.2">
      <c r="A128" s="39" t="s">
        <v>146</v>
      </c>
      <c r="B128" s="82"/>
      <c r="C128" s="44"/>
      <c r="D128" s="83"/>
      <c r="E128" s="44"/>
      <c r="F128" s="44"/>
      <c r="G128" s="44"/>
      <c r="H128" s="44"/>
      <c r="I128" s="43"/>
      <c r="J128" s="44"/>
      <c r="K128" s="44"/>
      <c r="L128" s="44"/>
      <c r="M128" s="44"/>
      <c r="N128" s="44"/>
      <c r="O128" s="44"/>
      <c r="P128" s="44"/>
      <c r="Q128" s="44"/>
      <c r="R128" s="44"/>
      <c r="S128" s="85"/>
    </row>
    <row r="129" spans="1:19" x14ac:dyDescent="0.2">
      <c r="A129" s="60" t="s">
        <v>128</v>
      </c>
      <c r="B129" s="47">
        <v>43601</v>
      </c>
      <c r="C129" s="48">
        <v>7905</v>
      </c>
      <c r="D129" s="49">
        <v>575946.68000000005</v>
      </c>
      <c r="E129" s="62"/>
      <c r="F129" s="51">
        <f t="shared" ref="F129:F134" si="48">SUM(D129:E129)</f>
        <v>575946.68000000005</v>
      </c>
      <c r="G129" s="50"/>
      <c r="H129" s="62"/>
      <c r="I129" s="52"/>
      <c r="J129" s="72"/>
      <c r="K129" s="54"/>
      <c r="L129" s="55"/>
      <c r="M129" s="56"/>
      <c r="N129" s="56"/>
      <c r="O129" s="56"/>
      <c r="P129" s="57">
        <f>M129-N129-O129</f>
        <v>0</v>
      </c>
      <c r="Q129" s="57">
        <f>IF(P129&gt;0,IF(K129="Y",0,P129),0)</f>
        <v>0</v>
      </c>
      <c r="R129" s="57">
        <f t="shared" ref="R129:R134" si="49">IF(P129&gt;0,IF(K129="Y",P129,0),0)</f>
        <v>0</v>
      </c>
      <c r="S129" s="93">
        <f t="shared" ref="S129:S134" si="50">IF(P129&lt;0,P129,0)</f>
        <v>0</v>
      </c>
    </row>
    <row r="130" spans="1:19" x14ac:dyDescent="0.2">
      <c r="A130" s="60" t="s">
        <v>147</v>
      </c>
      <c r="B130" s="47">
        <v>43672</v>
      </c>
      <c r="C130" s="48">
        <v>-1905</v>
      </c>
      <c r="D130" s="49">
        <f>(D129/C129)*C130</f>
        <v>-138795.49973434536</v>
      </c>
      <c r="E130" s="49"/>
      <c r="F130" s="51">
        <f t="shared" si="48"/>
        <v>-138795.49973434536</v>
      </c>
      <c r="G130" s="50"/>
      <c r="H130" s="62"/>
      <c r="I130" s="52"/>
      <c r="J130" s="72"/>
      <c r="K130" s="54"/>
      <c r="L130" s="55"/>
      <c r="M130" s="56"/>
      <c r="N130" s="56"/>
      <c r="O130" s="56"/>
      <c r="P130" s="57">
        <f t="shared" ref="P130:P134" si="51">M130-N130-O130</f>
        <v>0</v>
      </c>
      <c r="Q130" s="57">
        <f t="shared" ref="Q130:Q134" si="52">IF(P130&gt;0,IF(K130="Y",0,P130),0)</f>
        <v>0</v>
      </c>
      <c r="R130" s="57">
        <f t="shared" si="49"/>
        <v>0</v>
      </c>
      <c r="S130" s="93">
        <f t="shared" si="50"/>
        <v>0</v>
      </c>
    </row>
    <row r="131" spans="1:19" x14ac:dyDescent="0.2">
      <c r="A131" s="60" t="s">
        <v>147</v>
      </c>
      <c r="B131" s="47">
        <v>43675</v>
      </c>
      <c r="C131" s="48">
        <v>-2000</v>
      </c>
      <c r="D131" s="49">
        <f>-(D129/C129)*-C131</f>
        <v>-145717.06008855157</v>
      </c>
      <c r="E131" s="49"/>
      <c r="F131" s="51">
        <f t="shared" si="48"/>
        <v>-145717.06008855157</v>
      </c>
      <c r="G131" s="50"/>
      <c r="H131" s="62"/>
      <c r="I131" s="52"/>
      <c r="J131" s="72"/>
      <c r="K131" s="54"/>
      <c r="L131" s="55"/>
      <c r="M131" s="56"/>
      <c r="N131" s="56"/>
      <c r="O131" s="56"/>
      <c r="P131" s="57">
        <f t="shared" si="51"/>
        <v>0</v>
      </c>
      <c r="Q131" s="57">
        <f t="shared" si="52"/>
        <v>0</v>
      </c>
      <c r="R131" s="57">
        <f t="shared" si="49"/>
        <v>0</v>
      </c>
      <c r="S131" s="93">
        <f t="shared" si="50"/>
        <v>0</v>
      </c>
    </row>
    <row r="132" spans="1:19" x14ac:dyDescent="0.2">
      <c r="A132" s="110" t="s">
        <v>147</v>
      </c>
      <c r="B132" s="47">
        <v>43676</v>
      </c>
      <c r="C132" s="48">
        <v>-2000</v>
      </c>
      <c r="D132" s="49">
        <f>(D129/C129)*C132</f>
        <v>-145717.06008855157</v>
      </c>
      <c r="E132" s="49"/>
      <c r="F132" s="51">
        <f t="shared" si="48"/>
        <v>-145717.06008855157</v>
      </c>
      <c r="G132" s="50"/>
      <c r="H132" s="62"/>
      <c r="I132" s="52"/>
      <c r="J132" s="72"/>
      <c r="K132" s="54"/>
      <c r="L132" s="55"/>
      <c r="M132" s="56"/>
      <c r="N132" s="56"/>
      <c r="O132" s="56"/>
      <c r="P132" s="57">
        <f t="shared" si="51"/>
        <v>0</v>
      </c>
      <c r="Q132" s="57">
        <f t="shared" si="52"/>
        <v>0</v>
      </c>
      <c r="R132" s="57">
        <f t="shared" si="49"/>
        <v>0</v>
      </c>
      <c r="S132" s="93">
        <f t="shared" si="50"/>
        <v>0</v>
      </c>
    </row>
    <row r="133" spans="1:19" x14ac:dyDescent="0.2">
      <c r="A133" s="110" t="s">
        <v>147</v>
      </c>
      <c r="B133" s="47">
        <v>43689</v>
      </c>
      <c r="C133" s="48">
        <v>-2000</v>
      </c>
      <c r="D133" s="49">
        <f>(D129/C129)*C133</f>
        <v>-145717.06008855157</v>
      </c>
      <c r="E133" s="49"/>
      <c r="F133" s="51">
        <f t="shared" si="48"/>
        <v>-145717.06008855157</v>
      </c>
      <c r="G133" s="50"/>
      <c r="H133" s="62"/>
      <c r="I133" s="52"/>
      <c r="J133" s="72"/>
      <c r="K133" s="54"/>
      <c r="L133" s="55"/>
      <c r="M133" s="56"/>
      <c r="N133" s="56"/>
      <c r="O133" s="56"/>
      <c r="P133" s="57">
        <f t="shared" si="51"/>
        <v>0</v>
      </c>
      <c r="Q133" s="57">
        <f t="shared" si="52"/>
        <v>0</v>
      </c>
      <c r="R133" s="57">
        <f t="shared" si="49"/>
        <v>0</v>
      </c>
      <c r="S133" s="93">
        <f t="shared" si="50"/>
        <v>0</v>
      </c>
    </row>
    <row r="134" spans="1:19" x14ac:dyDescent="0.2">
      <c r="A134" s="118"/>
      <c r="B134" s="114"/>
      <c r="C134" s="111"/>
      <c r="D134" s="112"/>
      <c r="E134" s="112"/>
      <c r="F134" s="51">
        <f t="shared" si="48"/>
        <v>0</v>
      </c>
      <c r="G134" s="112"/>
      <c r="H134" s="113"/>
      <c r="I134" s="52"/>
      <c r="J134" s="114"/>
      <c r="K134" s="115"/>
      <c r="L134" s="116"/>
      <c r="M134" s="117"/>
      <c r="N134" s="117"/>
      <c r="O134" s="117"/>
      <c r="P134" s="57">
        <f t="shared" si="51"/>
        <v>0</v>
      </c>
      <c r="Q134" s="57">
        <f t="shared" si="52"/>
        <v>0</v>
      </c>
      <c r="R134" s="57">
        <f t="shared" si="49"/>
        <v>0</v>
      </c>
      <c r="S134" s="93">
        <f t="shared" si="50"/>
        <v>0</v>
      </c>
    </row>
    <row r="135" spans="1:19" ht="13.5" customHeight="1" thickBot="1" x14ac:dyDescent="0.3">
      <c r="A135" s="63"/>
      <c r="B135" s="64"/>
      <c r="C135" s="73">
        <f>SUBTOTAL(9,C129:C134)</f>
        <v>0</v>
      </c>
      <c r="D135" s="74">
        <f>SUBTOTAL(9,D129:D134)</f>
        <v>0</v>
      </c>
      <c r="E135" s="75">
        <f>SUBTOTAL(9,E129:E134)</f>
        <v>0</v>
      </c>
      <c r="F135" s="65">
        <f>SUBTOTAL(9,F129:F134)</f>
        <v>-5.8207660913467407E-11</v>
      </c>
      <c r="G135" s="65">
        <v>0</v>
      </c>
      <c r="H135" s="67">
        <f>C135*G135</f>
        <v>0</v>
      </c>
      <c r="I135" s="84"/>
      <c r="J135" s="64"/>
      <c r="K135" s="64"/>
      <c r="L135" s="69">
        <f t="shared" ref="L135" si="53">SUBTOTAL(9,L129:L133)</f>
        <v>0</v>
      </c>
      <c r="M135" s="65">
        <f t="shared" ref="M135:S135" si="54">SUBTOTAL(9,M129:M134)</f>
        <v>0</v>
      </c>
      <c r="N135" s="65">
        <f t="shared" si="54"/>
        <v>0</v>
      </c>
      <c r="O135" s="65">
        <f t="shared" si="54"/>
        <v>0</v>
      </c>
      <c r="P135" s="65">
        <f t="shared" si="54"/>
        <v>0</v>
      </c>
      <c r="Q135" s="65">
        <f t="shared" si="54"/>
        <v>0</v>
      </c>
      <c r="R135" s="65">
        <f t="shared" si="54"/>
        <v>0</v>
      </c>
      <c r="S135" s="65">
        <f t="shared" si="54"/>
        <v>0</v>
      </c>
    </row>
    <row r="136" spans="1:19" ht="13.5" thickTop="1" x14ac:dyDescent="0.2">
      <c r="A136" s="120" t="s">
        <v>148</v>
      </c>
      <c r="B136" s="82"/>
      <c r="C136" s="44"/>
      <c r="D136" s="83"/>
      <c r="E136" s="44"/>
      <c r="F136" s="44">
        <f t="shared" ref="F136:F148" si="55">SUM(D136:E136)</f>
        <v>0</v>
      </c>
      <c r="G136" s="44"/>
      <c r="H136" s="44"/>
      <c r="I136" s="84"/>
      <c r="J136" s="44"/>
      <c r="K136" s="44"/>
      <c r="L136" s="44"/>
      <c r="M136" s="44"/>
      <c r="N136" s="44"/>
      <c r="O136" s="44"/>
      <c r="P136" s="44">
        <f t="shared" ref="P136:P148" si="56">M136-N136-O136</f>
        <v>0</v>
      </c>
      <c r="Q136" s="44">
        <f t="shared" ref="Q136:Q148" si="57">IF(P136&gt;0,IF(K136="Y",0,P136),0)</f>
        <v>0</v>
      </c>
      <c r="R136" s="44">
        <f t="shared" ref="R136:R148" si="58">IF(P136&gt;0,IF(K136="Y",P136,0),0)</f>
        <v>0</v>
      </c>
      <c r="S136" s="85">
        <f t="shared" ref="S136:S148" si="59">IF(P136&lt;0,P136,0)</f>
        <v>0</v>
      </c>
    </row>
    <row r="137" spans="1:19" x14ac:dyDescent="0.2">
      <c r="A137" s="60" t="s">
        <v>128</v>
      </c>
      <c r="B137" s="47">
        <v>44050</v>
      </c>
      <c r="C137" s="48">
        <v>30000</v>
      </c>
      <c r="D137" s="49">
        <v>33181.5</v>
      </c>
      <c r="E137" s="62"/>
      <c r="F137" s="51">
        <f t="shared" si="55"/>
        <v>33181.5</v>
      </c>
      <c r="G137" s="50"/>
      <c r="H137" s="62"/>
      <c r="I137" s="84"/>
      <c r="J137" s="72"/>
      <c r="K137" s="72"/>
      <c r="L137" s="72"/>
      <c r="M137" s="72"/>
      <c r="N137" s="72"/>
      <c r="O137" s="72"/>
      <c r="P137" s="57">
        <f t="shared" si="56"/>
        <v>0</v>
      </c>
      <c r="Q137" s="57">
        <f t="shared" si="57"/>
        <v>0</v>
      </c>
      <c r="R137" s="57">
        <f t="shared" si="58"/>
        <v>0</v>
      </c>
      <c r="S137" s="93">
        <f t="shared" si="59"/>
        <v>0</v>
      </c>
    </row>
    <row r="138" spans="1:19" x14ac:dyDescent="0.2">
      <c r="A138" s="60" t="s">
        <v>128</v>
      </c>
      <c r="B138" s="47">
        <v>44105</v>
      </c>
      <c r="C138" s="48">
        <v>10000</v>
      </c>
      <c r="D138" s="49">
        <v>27299.33</v>
      </c>
      <c r="E138" s="62"/>
      <c r="F138" s="51">
        <f t="shared" si="55"/>
        <v>27299.33</v>
      </c>
      <c r="G138" s="50"/>
      <c r="H138" s="62"/>
      <c r="I138" s="84"/>
      <c r="J138" s="72"/>
      <c r="K138" s="72"/>
      <c r="L138" s="72"/>
      <c r="M138" s="72"/>
      <c r="N138" s="72"/>
      <c r="O138" s="72"/>
      <c r="P138" s="57">
        <f t="shared" si="56"/>
        <v>0</v>
      </c>
      <c r="Q138" s="57">
        <f t="shared" si="57"/>
        <v>0</v>
      </c>
      <c r="R138" s="57">
        <f t="shared" si="58"/>
        <v>0</v>
      </c>
      <c r="S138" s="93">
        <f t="shared" si="59"/>
        <v>0</v>
      </c>
    </row>
    <row r="139" spans="1:19" x14ac:dyDescent="0.2">
      <c r="A139" s="60" t="s">
        <v>128</v>
      </c>
      <c r="B139" s="47">
        <v>44117</v>
      </c>
      <c r="C139" s="48">
        <v>10000</v>
      </c>
      <c r="D139" s="49">
        <v>27751.69</v>
      </c>
      <c r="E139" s="62"/>
      <c r="F139" s="51">
        <f t="shared" si="55"/>
        <v>27751.69</v>
      </c>
      <c r="G139" s="50"/>
      <c r="H139" s="62"/>
      <c r="I139" s="84"/>
      <c r="J139" s="72"/>
      <c r="K139" s="72"/>
      <c r="L139" s="72"/>
      <c r="M139" s="72"/>
      <c r="N139" s="72"/>
      <c r="O139" s="72"/>
      <c r="P139" s="57">
        <f t="shared" si="56"/>
        <v>0</v>
      </c>
      <c r="Q139" s="57">
        <f t="shared" si="57"/>
        <v>0</v>
      </c>
      <c r="R139" s="57">
        <f t="shared" si="58"/>
        <v>0</v>
      </c>
      <c r="S139" s="93">
        <f t="shared" si="59"/>
        <v>0</v>
      </c>
    </row>
    <row r="140" spans="1:19" x14ac:dyDescent="0.2">
      <c r="A140" s="60" t="s">
        <v>149</v>
      </c>
      <c r="B140" s="47">
        <v>44221</v>
      </c>
      <c r="C140" s="48">
        <v>2763</v>
      </c>
      <c r="D140" s="97">
        <f>30000-19638.75</f>
        <v>10361.25</v>
      </c>
      <c r="E140" s="62"/>
      <c r="F140" s="51">
        <f t="shared" si="55"/>
        <v>10361.25</v>
      </c>
      <c r="G140" s="50"/>
      <c r="H140" s="62"/>
      <c r="I140" s="84"/>
      <c r="J140" s="72"/>
      <c r="K140" s="72"/>
      <c r="L140" s="72"/>
      <c r="M140" s="72"/>
      <c r="N140" s="72"/>
      <c r="O140" s="72"/>
      <c r="P140" s="57">
        <f t="shared" si="56"/>
        <v>0</v>
      </c>
      <c r="Q140" s="57">
        <f t="shared" si="57"/>
        <v>0</v>
      </c>
      <c r="R140" s="57">
        <f t="shared" si="58"/>
        <v>0</v>
      </c>
      <c r="S140" s="93">
        <f t="shared" si="59"/>
        <v>0</v>
      </c>
    </row>
    <row r="141" spans="1:19" x14ac:dyDescent="0.2">
      <c r="A141" s="60" t="s">
        <v>128</v>
      </c>
      <c r="B141" s="47">
        <v>44368</v>
      </c>
      <c r="C141" s="48">
        <v>10000</v>
      </c>
      <c r="D141" s="49">
        <v>73401.5</v>
      </c>
      <c r="E141" s="62"/>
      <c r="F141" s="51">
        <f t="shared" si="55"/>
        <v>73401.5</v>
      </c>
      <c r="G141" s="50"/>
      <c r="H141" s="62"/>
      <c r="I141" s="84"/>
      <c r="J141" s="72"/>
      <c r="K141" s="72"/>
      <c r="L141" s="72"/>
      <c r="M141" s="72"/>
      <c r="N141" s="72"/>
      <c r="O141" s="72"/>
      <c r="P141" s="57">
        <f t="shared" si="56"/>
        <v>0</v>
      </c>
      <c r="Q141" s="57">
        <f t="shared" si="57"/>
        <v>0</v>
      </c>
      <c r="R141" s="57">
        <f t="shared" si="58"/>
        <v>0</v>
      </c>
      <c r="S141" s="93">
        <f t="shared" si="59"/>
        <v>0</v>
      </c>
    </row>
    <row r="142" spans="1:19" x14ac:dyDescent="0.2">
      <c r="A142" s="60" t="s">
        <v>128</v>
      </c>
      <c r="B142" s="47">
        <v>44368</v>
      </c>
      <c r="C142" s="48">
        <v>10000</v>
      </c>
      <c r="D142" s="49">
        <v>73904.25</v>
      </c>
      <c r="E142" s="62"/>
      <c r="F142" s="51">
        <f t="shared" si="55"/>
        <v>73904.25</v>
      </c>
      <c r="G142" s="50"/>
      <c r="H142" s="62"/>
      <c r="I142" s="84"/>
      <c r="J142" s="72"/>
      <c r="K142" s="72"/>
      <c r="L142" s="72"/>
      <c r="M142" s="72"/>
      <c r="N142" s="72"/>
      <c r="O142" s="72"/>
      <c r="P142" s="57">
        <f t="shared" si="56"/>
        <v>0</v>
      </c>
      <c r="Q142" s="57">
        <f t="shared" si="57"/>
        <v>0</v>
      </c>
      <c r="R142" s="57">
        <f t="shared" si="58"/>
        <v>0</v>
      </c>
      <c r="S142" s="93">
        <f t="shared" si="59"/>
        <v>0</v>
      </c>
    </row>
    <row r="143" spans="1:19" x14ac:dyDescent="0.2">
      <c r="A143" s="60" t="s">
        <v>128</v>
      </c>
      <c r="B143" s="47">
        <v>44368</v>
      </c>
      <c r="C143" s="48">
        <v>7237</v>
      </c>
      <c r="D143" s="49">
        <v>52687.24</v>
      </c>
      <c r="E143" s="62"/>
      <c r="F143" s="51">
        <f t="shared" si="55"/>
        <v>52687.24</v>
      </c>
      <c r="G143" s="50"/>
      <c r="H143" s="62"/>
      <c r="I143" s="84"/>
      <c r="J143" s="72"/>
      <c r="K143" s="72"/>
      <c r="L143" s="72"/>
      <c r="M143" s="72"/>
      <c r="N143" s="72"/>
      <c r="O143" s="72"/>
      <c r="P143" s="57">
        <f t="shared" si="56"/>
        <v>0</v>
      </c>
      <c r="Q143" s="57">
        <f t="shared" si="57"/>
        <v>0</v>
      </c>
      <c r="R143" s="57">
        <f t="shared" si="58"/>
        <v>0</v>
      </c>
      <c r="S143" s="93">
        <f t="shared" si="59"/>
        <v>0</v>
      </c>
    </row>
    <row r="144" spans="1:19" x14ac:dyDescent="0.2">
      <c r="A144" s="60" t="s">
        <v>150</v>
      </c>
      <c r="B144" s="47">
        <v>44545</v>
      </c>
      <c r="C144" s="48"/>
      <c r="D144" s="49">
        <f>-(SUM(D137:D143)-SUM(D137:D143)*0.9856)</f>
        <v>-4299.6493439999758</v>
      </c>
      <c r="E144" s="62"/>
      <c r="F144" s="51">
        <f t="shared" si="55"/>
        <v>-4299.6493439999758</v>
      </c>
      <c r="G144" s="50"/>
      <c r="H144" s="88"/>
      <c r="I144" s="84"/>
      <c r="J144" s="89"/>
      <c r="K144" s="90"/>
      <c r="L144" s="91"/>
      <c r="M144" s="92"/>
      <c r="N144" s="92"/>
      <c r="O144" s="92"/>
      <c r="P144" s="57">
        <f t="shared" si="56"/>
        <v>0</v>
      </c>
      <c r="Q144" s="57">
        <f t="shared" si="57"/>
        <v>0</v>
      </c>
      <c r="R144" s="57">
        <f t="shared" si="58"/>
        <v>0</v>
      </c>
      <c r="S144" s="93">
        <f t="shared" si="59"/>
        <v>0</v>
      </c>
    </row>
    <row r="145" spans="1:19" x14ac:dyDescent="0.2">
      <c r="A145" s="60" t="s">
        <v>129</v>
      </c>
      <c r="B145" s="47">
        <v>44606</v>
      </c>
      <c r="C145" s="48">
        <v>-10000</v>
      </c>
      <c r="D145" s="49">
        <f>(D137/C137)*C145</f>
        <v>-11060.5</v>
      </c>
      <c r="E145" s="62"/>
      <c r="F145" s="51">
        <f t="shared" si="55"/>
        <v>-11060.5</v>
      </c>
      <c r="G145" s="50"/>
      <c r="H145" s="62"/>
      <c r="I145" s="84"/>
      <c r="J145" s="72">
        <f>B145</f>
        <v>44606</v>
      </c>
      <c r="K145" s="72" t="s">
        <v>142</v>
      </c>
      <c r="L145" s="55">
        <f>C145</f>
        <v>-10000</v>
      </c>
      <c r="M145" s="49">
        <v>80281.03</v>
      </c>
      <c r="N145" s="72"/>
      <c r="O145" s="56">
        <f>-D145</f>
        <v>11060.5</v>
      </c>
      <c r="P145" s="57">
        <f t="shared" si="56"/>
        <v>69220.53</v>
      </c>
      <c r="Q145" s="57">
        <f t="shared" si="57"/>
        <v>0</v>
      </c>
      <c r="R145" s="57">
        <f t="shared" si="58"/>
        <v>69220.53</v>
      </c>
      <c r="S145" s="93">
        <f t="shared" si="59"/>
        <v>0</v>
      </c>
    </row>
    <row r="146" spans="1:19" x14ac:dyDescent="0.2">
      <c r="A146" s="60" t="s">
        <v>129</v>
      </c>
      <c r="B146" s="47">
        <v>44621</v>
      </c>
      <c r="C146" s="48">
        <v>-30000</v>
      </c>
      <c r="D146" s="49">
        <f>((D137/C137)*(C146-C145))-D138</f>
        <v>-49420.33</v>
      </c>
      <c r="E146" s="62"/>
      <c r="F146" s="51">
        <f t="shared" si="55"/>
        <v>-49420.33</v>
      </c>
      <c r="G146" s="50"/>
      <c r="H146" s="62"/>
      <c r="I146" s="84"/>
      <c r="J146" s="72">
        <f t="shared" ref="J146:J147" si="60">B146</f>
        <v>44621</v>
      </c>
      <c r="K146" s="72" t="s">
        <v>142</v>
      </c>
      <c r="L146" s="55">
        <f t="shared" ref="L146:L147" si="61">C146</f>
        <v>-30000</v>
      </c>
      <c r="M146" s="49">
        <v>221138.18</v>
      </c>
      <c r="N146" s="72"/>
      <c r="O146" s="56">
        <f t="shared" ref="O146:O147" si="62">-D146</f>
        <v>49420.33</v>
      </c>
      <c r="P146" s="57">
        <f t="shared" si="56"/>
        <v>171717.84999999998</v>
      </c>
      <c r="Q146" s="57">
        <f t="shared" si="57"/>
        <v>0</v>
      </c>
      <c r="R146" s="57">
        <f t="shared" si="58"/>
        <v>171717.84999999998</v>
      </c>
      <c r="S146" s="93">
        <f t="shared" si="59"/>
        <v>0</v>
      </c>
    </row>
    <row r="147" spans="1:19" x14ac:dyDescent="0.2">
      <c r="A147" s="60" t="s">
        <v>129</v>
      </c>
      <c r="B147" s="47">
        <v>44631</v>
      </c>
      <c r="C147" s="48">
        <v>-40000</v>
      </c>
      <c r="D147" s="49">
        <f>-SUM(D139:D144)</f>
        <v>-233806.28065600002</v>
      </c>
      <c r="E147" s="62"/>
      <c r="F147" s="51">
        <f t="shared" si="55"/>
        <v>-233806.28065600002</v>
      </c>
      <c r="G147" s="50"/>
      <c r="H147" s="62"/>
      <c r="I147" s="84"/>
      <c r="J147" s="72">
        <f t="shared" si="60"/>
        <v>44631</v>
      </c>
      <c r="K147" s="72" t="s">
        <v>151</v>
      </c>
      <c r="L147" s="55">
        <f t="shared" si="61"/>
        <v>-40000</v>
      </c>
      <c r="M147" s="49">
        <v>312319.55</v>
      </c>
      <c r="N147" s="72"/>
      <c r="O147" s="56">
        <f t="shared" si="62"/>
        <v>233806.28065600002</v>
      </c>
      <c r="P147" s="57">
        <f>M147-N147-O147</f>
        <v>78513.269343999971</v>
      </c>
      <c r="Q147" s="57">
        <f t="shared" si="57"/>
        <v>78513.269343999971</v>
      </c>
      <c r="R147" s="57">
        <f t="shared" si="58"/>
        <v>0</v>
      </c>
      <c r="S147" s="93">
        <f t="shared" si="59"/>
        <v>0</v>
      </c>
    </row>
    <row r="148" spans="1:19" x14ac:dyDescent="0.2">
      <c r="A148" s="121"/>
      <c r="B148" s="114"/>
      <c r="C148" s="111"/>
      <c r="D148" s="112"/>
      <c r="E148" s="113"/>
      <c r="F148" s="51">
        <f t="shared" si="55"/>
        <v>0</v>
      </c>
      <c r="G148" s="112"/>
      <c r="H148" s="113"/>
      <c r="I148" s="84"/>
      <c r="J148" s="114"/>
      <c r="K148" s="114"/>
      <c r="L148" s="114"/>
      <c r="M148" s="114"/>
      <c r="N148" s="114"/>
      <c r="O148" s="114"/>
      <c r="P148" s="57">
        <f t="shared" si="56"/>
        <v>0</v>
      </c>
      <c r="Q148" s="57">
        <f t="shared" si="57"/>
        <v>0</v>
      </c>
      <c r="R148" s="57">
        <f t="shared" si="58"/>
        <v>0</v>
      </c>
      <c r="S148" s="93">
        <f t="shared" si="59"/>
        <v>0</v>
      </c>
    </row>
    <row r="149" spans="1:19" ht="13.5" customHeight="1" thickBot="1" x14ac:dyDescent="0.3">
      <c r="A149" s="63"/>
      <c r="B149" s="64"/>
      <c r="C149" s="73">
        <f>SUBTOTAL(9,C137:C148)</f>
        <v>0</v>
      </c>
      <c r="D149" s="74">
        <f>SUBTOTAL(9,D137:D148)</f>
        <v>0</v>
      </c>
      <c r="E149" s="75">
        <f>SUBTOTAL(9,E137:E148)</f>
        <v>0</v>
      </c>
      <c r="F149" s="65">
        <f>SUBTOTAL(9,F137:F148)</f>
        <v>0</v>
      </c>
      <c r="G149" s="65">
        <v>0</v>
      </c>
      <c r="H149" s="65">
        <f>C149*G149</f>
        <v>0</v>
      </c>
      <c r="I149" s="84"/>
      <c r="J149" s="64"/>
      <c r="K149" s="64"/>
      <c r="L149" s="69">
        <f t="shared" ref="L149:S149" si="63">SUBTOTAL(9,L137:L148)</f>
        <v>-80000</v>
      </c>
      <c r="M149" s="65">
        <f t="shared" si="63"/>
        <v>613738.76</v>
      </c>
      <c r="N149" s="65">
        <f t="shared" si="63"/>
        <v>0</v>
      </c>
      <c r="O149" s="65">
        <f t="shared" si="63"/>
        <v>294287.11065600003</v>
      </c>
      <c r="P149" s="65">
        <f t="shared" si="63"/>
        <v>319451.64934399992</v>
      </c>
      <c r="Q149" s="65">
        <f t="shared" si="63"/>
        <v>78513.269343999971</v>
      </c>
      <c r="R149" s="65">
        <f t="shared" si="63"/>
        <v>240938.37999999998</v>
      </c>
      <c r="S149" s="65">
        <f t="shared" si="63"/>
        <v>0</v>
      </c>
    </row>
    <row r="150" spans="1:19" ht="13.5" thickTop="1" x14ac:dyDescent="0.2">
      <c r="A150" s="120" t="s">
        <v>152</v>
      </c>
      <c r="B150" s="82"/>
      <c r="C150" s="44"/>
      <c r="D150" s="83"/>
      <c r="E150" s="44"/>
      <c r="F150" s="44"/>
      <c r="G150" s="44"/>
      <c r="H150" s="44"/>
      <c r="I150" s="84"/>
      <c r="J150" s="44"/>
      <c r="K150" s="44"/>
      <c r="L150" s="44"/>
      <c r="M150" s="44"/>
      <c r="N150" s="44"/>
      <c r="O150" s="44"/>
      <c r="P150" s="44"/>
      <c r="Q150" s="44"/>
      <c r="R150" s="44"/>
      <c r="S150" s="85"/>
    </row>
    <row r="151" spans="1:19" x14ac:dyDescent="0.2">
      <c r="A151" s="60" t="s">
        <v>128</v>
      </c>
      <c r="B151" s="47">
        <v>43265</v>
      </c>
      <c r="C151" s="48">
        <v>4816</v>
      </c>
      <c r="D151" s="49">
        <v>1908.42</v>
      </c>
      <c r="E151" s="62"/>
      <c r="F151" s="51">
        <f t="shared" ref="F151:F163" si="64">SUM(D151:E151)</f>
        <v>1908.42</v>
      </c>
      <c r="G151" s="50"/>
      <c r="H151" s="88"/>
      <c r="I151" s="84"/>
      <c r="J151" s="89"/>
      <c r="K151" s="90"/>
      <c r="L151" s="91"/>
      <c r="M151" s="92"/>
      <c r="N151" s="92"/>
      <c r="O151" s="92"/>
      <c r="P151" s="57">
        <f t="shared" ref="P151:P163" si="65">M151-N151-O151</f>
        <v>0</v>
      </c>
      <c r="Q151" s="57">
        <f t="shared" ref="Q151:Q163" si="66">IF(P151&gt;0,IF(K151="Y",0,P151),0)</f>
        <v>0</v>
      </c>
      <c r="R151" s="57">
        <f t="shared" ref="R151:R163" si="67">IF(P151&gt;0,IF(K151="Y",P151,0),0)</f>
        <v>0</v>
      </c>
      <c r="S151" s="93">
        <f t="shared" ref="S151:S163" si="68">IF(P151&lt;0,P151,0)</f>
        <v>0</v>
      </c>
    </row>
    <row r="152" spans="1:19" x14ac:dyDescent="0.2">
      <c r="A152" s="60" t="s">
        <v>128</v>
      </c>
      <c r="B152" s="47">
        <v>43266</v>
      </c>
      <c r="C152" s="48">
        <v>24000</v>
      </c>
      <c r="D152" s="49">
        <v>8880</v>
      </c>
      <c r="E152" s="62"/>
      <c r="F152" s="51">
        <f t="shared" si="64"/>
        <v>8880</v>
      </c>
      <c r="G152" s="50"/>
      <c r="H152" s="88"/>
      <c r="I152" s="84"/>
      <c r="J152" s="96"/>
      <c r="K152" s="90"/>
      <c r="L152" s="91"/>
      <c r="M152" s="92"/>
      <c r="N152" s="92"/>
      <c r="O152" s="92"/>
      <c r="P152" s="57">
        <f t="shared" si="65"/>
        <v>0</v>
      </c>
      <c r="Q152" s="57">
        <f t="shared" si="66"/>
        <v>0</v>
      </c>
      <c r="R152" s="57">
        <f t="shared" si="67"/>
        <v>0</v>
      </c>
      <c r="S152" s="93">
        <f t="shared" si="68"/>
        <v>0</v>
      </c>
    </row>
    <row r="153" spans="1:19" x14ac:dyDescent="0.2">
      <c r="A153" s="60" t="s">
        <v>128</v>
      </c>
      <c r="B153" s="47">
        <v>43271</v>
      </c>
      <c r="C153" s="48">
        <v>20000</v>
      </c>
      <c r="D153" s="49">
        <v>7400</v>
      </c>
      <c r="E153" s="62"/>
      <c r="F153" s="51">
        <f t="shared" si="64"/>
        <v>7400</v>
      </c>
      <c r="G153" s="50"/>
      <c r="H153" s="122"/>
      <c r="I153" s="84"/>
      <c r="J153" s="96"/>
      <c r="K153" s="90"/>
      <c r="L153" s="91"/>
      <c r="M153" s="92"/>
      <c r="N153" s="92"/>
      <c r="O153" s="92"/>
      <c r="P153" s="57">
        <f t="shared" si="65"/>
        <v>0</v>
      </c>
      <c r="Q153" s="57">
        <f t="shared" si="66"/>
        <v>0</v>
      </c>
      <c r="R153" s="57">
        <f t="shared" si="67"/>
        <v>0</v>
      </c>
      <c r="S153" s="93">
        <f t="shared" si="68"/>
        <v>0</v>
      </c>
    </row>
    <row r="154" spans="1:19" x14ac:dyDescent="0.2">
      <c r="A154" s="60" t="s">
        <v>128</v>
      </c>
      <c r="B154" s="47">
        <v>43272</v>
      </c>
      <c r="C154" s="48">
        <v>1184</v>
      </c>
      <c r="D154" s="49">
        <v>438.08</v>
      </c>
      <c r="E154" s="62"/>
      <c r="F154" s="51">
        <f t="shared" si="64"/>
        <v>438.08</v>
      </c>
      <c r="G154" s="50"/>
      <c r="H154" s="62"/>
      <c r="I154" s="84"/>
      <c r="J154" s="72"/>
      <c r="K154" s="54"/>
      <c r="L154" s="55"/>
      <c r="M154" s="56"/>
      <c r="N154" s="56"/>
      <c r="O154" s="56"/>
      <c r="P154" s="57">
        <f t="shared" si="65"/>
        <v>0</v>
      </c>
      <c r="Q154" s="57">
        <f t="shared" si="66"/>
        <v>0</v>
      </c>
      <c r="R154" s="57">
        <f t="shared" si="67"/>
        <v>0</v>
      </c>
      <c r="S154" s="93">
        <f t="shared" si="68"/>
        <v>0</v>
      </c>
    </row>
    <row r="155" spans="1:19" x14ac:dyDescent="0.2">
      <c r="A155" s="60" t="s">
        <v>128</v>
      </c>
      <c r="B155" s="47">
        <v>43278</v>
      </c>
      <c r="C155" s="48">
        <v>24000</v>
      </c>
      <c r="D155" s="49">
        <v>8662.77</v>
      </c>
      <c r="E155" s="62"/>
      <c r="F155" s="51">
        <f t="shared" si="64"/>
        <v>8662.77</v>
      </c>
      <c r="G155" s="50"/>
      <c r="H155" s="62"/>
      <c r="I155" s="84"/>
      <c r="J155" s="72"/>
      <c r="K155" s="54"/>
      <c r="L155" s="55"/>
      <c r="M155" s="56"/>
      <c r="N155" s="56"/>
      <c r="O155" s="56"/>
      <c r="P155" s="57">
        <f t="shared" si="65"/>
        <v>0</v>
      </c>
      <c r="Q155" s="57">
        <f t="shared" si="66"/>
        <v>0</v>
      </c>
      <c r="R155" s="57">
        <f t="shared" si="67"/>
        <v>0</v>
      </c>
      <c r="S155" s="93">
        <f t="shared" si="68"/>
        <v>0</v>
      </c>
    </row>
    <row r="156" spans="1:19" x14ac:dyDescent="0.2">
      <c r="A156" s="60" t="s">
        <v>128</v>
      </c>
      <c r="B156" s="47">
        <v>43280</v>
      </c>
      <c r="C156" s="48">
        <f>54752</f>
        <v>54752</v>
      </c>
      <c r="D156" s="49">
        <v>19819.13</v>
      </c>
      <c r="E156" s="62"/>
      <c r="F156" s="51">
        <f t="shared" si="64"/>
        <v>19819.13</v>
      </c>
      <c r="G156" s="50"/>
      <c r="H156" s="62"/>
      <c r="I156" s="84"/>
      <c r="J156" s="72"/>
      <c r="K156" s="54"/>
      <c r="L156" s="55"/>
      <c r="M156" s="56"/>
      <c r="N156" s="56"/>
      <c r="O156" s="56"/>
      <c r="P156" s="57">
        <f t="shared" si="65"/>
        <v>0</v>
      </c>
      <c r="Q156" s="57">
        <f t="shared" si="66"/>
        <v>0</v>
      </c>
      <c r="R156" s="57">
        <f t="shared" si="67"/>
        <v>0</v>
      </c>
      <c r="S156" s="93">
        <f t="shared" si="68"/>
        <v>0</v>
      </c>
    </row>
    <row r="157" spans="1:19" x14ac:dyDescent="0.2">
      <c r="A157" s="60" t="s">
        <v>128</v>
      </c>
      <c r="B157" s="47">
        <v>43286</v>
      </c>
      <c r="C157" s="48">
        <v>9000</v>
      </c>
      <c r="D157" s="49">
        <v>3167.33</v>
      </c>
      <c r="E157" s="62"/>
      <c r="F157" s="51">
        <f t="shared" si="64"/>
        <v>3167.33</v>
      </c>
      <c r="G157" s="50"/>
      <c r="H157" s="62"/>
      <c r="I157" s="84"/>
      <c r="J157" s="72"/>
      <c r="K157" s="54"/>
      <c r="L157" s="55"/>
      <c r="M157" s="56"/>
      <c r="N157" s="56"/>
      <c r="O157" s="56"/>
      <c r="P157" s="57">
        <f t="shared" si="65"/>
        <v>0</v>
      </c>
      <c r="Q157" s="57">
        <f t="shared" si="66"/>
        <v>0</v>
      </c>
      <c r="R157" s="57">
        <f t="shared" si="67"/>
        <v>0</v>
      </c>
      <c r="S157" s="93">
        <f t="shared" si="68"/>
        <v>0</v>
      </c>
    </row>
    <row r="158" spans="1:19" x14ac:dyDescent="0.2">
      <c r="A158" s="60" t="s">
        <v>128</v>
      </c>
      <c r="B158" s="47">
        <v>43291</v>
      </c>
      <c r="C158" s="48">
        <v>1776</v>
      </c>
      <c r="D158" s="49">
        <v>625.02</v>
      </c>
      <c r="E158" s="62"/>
      <c r="F158" s="51">
        <f t="shared" si="64"/>
        <v>625.02</v>
      </c>
      <c r="G158" s="50"/>
      <c r="H158" s="62"/>
      <c r="I158" s="84"/>
      <c r="J158" s="72"/>
      <c r="K158" s="54"/>
      <c r="L158" s="55"/>
      <c r="M158" s="56"/>
      <c r="N158" s="56"/>
      <c r="O158" s="56"/>
      <c r="P158" s="57">
        <f t="shared" si="65"/>
        <v>0</v>
      </c>
      <c r="Q158" s="57">
        <f t="shared" si="66"/>
        <v>0</v>
      </c>
      <c r="R158" s="57">
        <f t="shared" si="67"/>
        <v>0</v>
      </c>
      <c r="S158" s="93">
        <f t="shared" si="68"/>
        <v>0</v>
      </c>
    </row>
    <row r="159" spans="1:19" x14ac:dyDescent="0.2">
      <c r="A159" s="60" t="s">
        <v>128</v>
      </c>
      <c r="B159" s="47">
        <v>43297</v>
      </c>
      <c r="C159" s="48">
        <v>11036</v>
      </c>
      <c r="D159" s="49">
        <v>3883.84</v>
      </c>
      <c r="E159" s="62"/>
      <c r="F159" s="51">
        <f t="shared" si="64"/>
        <v>3883.84</v>
      </c>
      <c r="G159" s="50"/>
      <c r="H159" s="62"/>
      <c r="I159" s="84"/>
      <c r="J159" s="72"/>
      <c r="K159" s="54"/>
      <c r="L159" s="55"/>
      <c r="M159" s="56"/>
      <c r="N159" s="56"/>
      <c r="O159" s="56"/>
      <c r="P159" s="57">
        <f t="shared" si="65"/>
        <v>0</v>
      </c>
      <c r="Q159" s="57">
        <f t="shared" si="66"/>
        <v>0</v>
      </c>
      <c r="R159" s="57">
        <f t="shared" si="67"/>
        <v>0</v>
      </c>
      <c r="S159" s="93">
        <f t="shared" si="68"/>
        <v>0</v>
      </c>
    </row>
    <row r="160" spans="1:19" x14ac:dyDescent="0.2">
      <c r="A160" s="60" t="s">
        <v>128</v>
      </c>
      <c r="B160" s="47">
        <v>43300</v>
      </c>
      <c r="C160" s="48">
        <v>49436</v>
      </c>
      <c r="D160" s="49">
        <v>17397.77</v>
      </c>
      <c r="E160" s="62"/>
      <c r="F160" s="51">
        <f t="shared" si="64"/>
        <v>17397.77</v>
      </c>
      <c r="G160" s="50"/>
      <c r="H160" s="62"/>
      <c r="I160" s="84"/>
      <c r="J160" s="72"/>
      <c r="K160" s="72"/>
      <c r="L160" s="72"/>
      <c r="M160" s="72"/>
      <c r="N160" s="72"/>
      <c r="O160" s="72"/>
      <c r="P160" s="57">
        <f t="shared" si="65"/>
        <v>0</v>
      </c>
      <c r="Q160" s="57">
        <f t="shared" si="66"/>
        <v>0</v>
      </c>
      <c r="R160" s="57">
        <f t="shared" si="67"/>
        <v>0</v>
      </c>
      <c r="S160" s="93">
        <f t="shared" si="68"/>
        <v>0</v>
      </c>
    </row>
    <row r="161" spans="1:19" x14ac:dyDescent="0.2">
      <c r="A161" s="60" t="s">
        <v>128</v>
      </c>
      <c r="B161" s="47">
        <v>44250</v>
      </c>
      <c r="C161" s="48">
        <v>200000</v>
      </c>
      <c r="D161" s="49">
        <v>30165</v>
      </c>
      <c r="E161" s="62"/>
      <c r="F161" s="51">
        <f t="shared" si="64"/>
        <v>30165</v>
      </c>
      <c r="G161" s="50"/>
      <c r="H161" s="62"/>
      <c r="I161" s="84"/>
      <c r="J161" s="72"/>
      <c r="K161" s="72"/>
      <c r="L161" s="72"/>
      <c r="M161" s="72"/>
      <c r="N161" s="72"/>
      <c r="O161" s="72"/>
      <c r="P161" s="57">
        <f t="shared" si="65"/>
        <v>0</v>
      </c>
      <c r="Q161" s="57">
        <f t="shared" si="66"/>
        <v>0</v>
      </c>
      <c r="R161" s="57">
        <f t="shared" si="67"/>
        <v>0</v>
      </c>
      <c r="S161" s="93">
        <f t="shared" si="68"/>
        <v>0</v>
      </c>
    </row>
    <row r="162" spans="1:19" x14ac:dyDescent="0.2">
      <c r="A162" s="60" t="s">
        <v>129</v>
      </c>
      <c r="B162" s="47">
        <v>44616</v>
      </c>
      <c r="C162" s="48">
        <v>-400000</v>
      </c>
      <c r="D162" s="49">
        <f>-SUM(D151:D161)</f>
        <v>-102347.36</v>
      </c>
      <c r="E162" s="62"/>
      <c r="F162" s="51">
        <f t="shared" si="64"/>
        <v>-102347.36</v>
      </c>
      <c r="G162" s="50"/>
      <c r="H162" s="62"/>
      <c r="I162" s="84"/>
      <c r="J162" s="72">
        <f>B162</f>
        <v>44616</v>
      </c>
      <c r="K162" s="72" t="s">
        <v>142</v>
      </c>
      <c r="L162" s="55">
        <f>C162</f>
        <v>-400000</v>
      </c>
      <c r="M162" s="49">
        <v>23699.99</v>
      </c>
      <c r="N162" s="72"/>
      <c r="O162" s="49">
        <f>-D162</f>
        <v>102347.36</v>
      </c>
      <c r="P162" s="57">
        <f t="shared" si="65"/>
        <v>-78647.37</v>
      </c>
      <c r="Q162" s="57">
        <f t="shared" si="66"/>
        <v>0</v>
      </c>
      <c r="R162" s="57">
        <f t="shared" si="67"/>
        <v>0</v>
      </c>
      <c r="S162" s="93">
        <f t="shared" si="68"/>
        <v>-78647.37</v>
      </c>
    </row>
    <row r="163" spans="1:19" x14ac:dyDescent="0.2">
      <c r="A163" s="60"/>
      <c r="B163" s="47"/>
      <c r="C163" s="48"/>
      <c r="D163" s="49"/>
      <c r="E163" s="62"/>
      <c r="F163" s="51">
        <f t="shared" si="64"/>
        <v>0</v>
      </c>
      <c r="G163" s="50"/>
      <c r="H163" s="62"/>
      <c r="I163" s="84"/>
      <c r="J163" s="72"/>
      <c r="K163" s="72"/>
      <c r="L163" s="72"/>
      <c r="M163" s="72"/>
      <c r="N163" s="72"/>
      <c r="O163" s="72"/>
      <c r="P163" s="57">
        <f t="shared" si="65"/>
        <v>0</v>
      </c>
      <c r="Q163" s="57">
        <f t="shared" si="66"/>
        <v>0</v>
      </c>
      <c r="R163" s="57">
        <f t="shared" si="67"/>
        <v>0</v>
      </c>
      <c r="S163" s="93">
        <f t="shared" si="68"/>
        <v>0</v>
      </c>
    </row>
    <row r="164" spans="1:19" ht="13.5" customHeight="1" thickBot="1" x14ac:dyDescent="0.3">
      <c r="A164" s="63"/>
      <c r="B164" s="64"/>
      <c r="C164" s="73">
        <f>SUBTOTAL(9,C151:C163)</f>
        <v>0</v>
      </c>
      <c r="D164" s="74">
        <f>SUBTOTAL(9,D151:D163)</f>
        <v>0</v>
      </c>
      <c r="E164" s="75">
        <f>SUBTOTAL(9,E151:E163)</f>
        <v>0</v>
      </c>
      <c r="F164" s="65">
        <f>SUBTOTAL(9,F151:F163)</f>
        <v>0</v>
      </c>
      <c r="G164" s="65">
        <v>0</v>
      </c>
      <c r="H164" s="65">
        <f>C164*G164</f>
        <v>0</v>
      </c>
      <c r="I164" s="84"/>
      <c r="J164" s="64"/>
      <c r="K164" s="64"/>
      <c r="L164" s="69">
        <f t="shared" ref="L164:S164" si="69">SUBTOTAL(9,L151:L163)</f>
        <v>-400000</v>
      </c>
      <c r="M164" s="69">
        <f t="shared" si="69"/>
        <v>23699.99</v>
      </c>
      <c r="N164" s="69">
        <f t="shared" si="69"/>
        <v>0</v>
      </c>
      <c r="O164" s="69">
        <f t="shared" si="69"/>
        <v>102347.36</v>
      </c>
      <c r="P164" s="80">
        <f t="shared" si="69"/>
        <v>-78647.37</v>
      </c>
      <c r="Q164" s="80">
        <f t="shared" si="69"/>
        <v>0</v>
      </c>
      <c r="R164" s="80">
        <f t="shared" si="69"/>
        <v>0</v>
      </c>
      <c r="S164" s="80">
        <f t="shared" si="69"/>
        <v>-78647.37</v>
      </c>
    </row>
    <row r="165" spans="1:19" ht="13.5" thickTop="1" x14ac:dyDescent="0.2">
      <c r="A165" s="39" t="s">
        <v>153</v>
      </c>
      <c r="B165" s="82"/>
      <c r="C165" s="44"/>
      <c r="D165" s="83"/>
      <c r="E165" s="44"/>
      <c r="F165" s="44"/>
      <c r="G165" s="44"/>
      <c r="H165" s="44"/>
      <c r="I165" s="84"/>
      <c r="J165" s="44"/>
      <c r="K165" s="44"/>
      <c r="L165" s="44"/>
      <c r="M165" s="44"/>
      <c r="N165" s="44"/>
      <c r="O165" s="44"/>
      <c r="P165" s="44"/>
      <c r="Q165" s="44"/>
      <c r="R165" s="44"/>
      <c r="S165" s="85"/>
    </row>
    <row r="166" spans="1:19" x14ac:dyDescent="0.2">
      <c r="A166" s="60" t="s">
        <v>128</v>
      </c>
      <c r="B166" s="47">
        <v>43595</v>
      </c>
      <c r="C166" s="48">
        <v>100000</v>
      </c>
      <c r="D166" s="49">
        <v>52286</v>
      </c>
      <c r="E166" s="62"/>
      <c r="F166" s="51">
        <f>SUM(D166:E166)</f>
        <v>52286</v>
      </c>
      <c r="G166" s="50"/>
      <c r="H166" s="88"/>
      <c r="I166" s="84"/>
      <c r="J166" s="89"/>
      <c r="K166" s="90"/>
      <c r="L166" s="91"/>
      <c r="M166" s="92"/>
      <c r="N166" s="92"/>
      <c r="O166" s="92"/>
      <c r="P166" s="57">
        <f>M166-N166-O166</f>
        <v>0</v>
      </c>
      <c r="Q166" s="57">
        <f>IF(P166&gt;0,IF(K166="Y",0,P166),0)</f>
        <v>0</v>
      </c>
      <c r="R166" s="57">
        <f t="shared" ref="R166:R168" si="70">IF(P166&gt;0,IF(K166="Y",P166,0),0)</f>
        <v>0</v>
      </c>
      <c r="S166" s="93">
        <f t="shared" ref="S166:S168" si="71">IF(P166&lt;0,P166,0)</f>
        <v>0</v>
      </c>
    </row>
    <row r="167" spans="1:19" x14ac:dyDescent="0.2">
      <c r="A167" s="46" t="s">
        <v>129</v>
      </c>
      <c r="B167" s="47">
        <v>43774</v>
      </c>
      <c r="C167" s="48">
        <v>-100000</v>
      </c>
      <c r="D167" s="49">
        <f>-D166</f>
        <v>-52286</v>
      </c>
      <c r="E167" s="50"/>
      <c r="F167" s="51">
        <f>SUM(D167:E167)</f>
        <v>-52286</v>
      </c>
      <c r="G167" s="50"/>
      <c r="H167" s="50"/>
      <c r="I167" s="52"/>
      <c r="J167" s="53"/>
      <c r="K167" s="54"/>
      <c r="L167" s="55"/>
      <c r="M167" s="56"/>
      <c r="N167" s="56"/>
      <c r="O167" s="56"/>
      <c r="P167" s="57">
        <f>M167-N167-O167</f>
        <v>0</v>
      </c>
      <c r="Q167" s="57">
        <f>IF(P167&gt;0,IF(K167="Y",0,P167),0)</f>
        <v>0</v>
      </c>
      <c r="R167" s="57">
        <f t="shared" si="70"/>
        <v>0</v>
      </c>
      <c r="S167" s="93">
        <f t="shared" si="71"/>
        <v>0</v>
      </c>
    </row>
    <row r="168" spans="1:19" x14ac:dyDescent="0.2">
      <c r="A168" s="60"/>
      <c r="B168" s="47"/>
      <c r="C168" s="48"/>
      <c r="D168" s="49"/>
      <c r="E168" s="50"/>
      <c r="F168" s="51">
        <f>SUM(D168:E168)</f>
        <v>0</v>
      </c>
      <c r="G168" s="50"/>
      <c r="H168" s="50"/>
      <c r="I168" s="52"/>
      <c r="J168" s="53"/>
      <c r="K168" s="54"/>
      <c r="L168" s="55"/>
      <c r="M168" s="56"/>
      <c r="N168" s="56"/>
      <c r="O168" s="56"/>
      <c r="P168" s="57">
        <f>M168-N168-O168</f>
        <v>0</v>
      </c>
      <c r="Q168" s="58">
        <f>IF(P168&gt;0,IF(K168="Y",0,P168),0)</f>
        <v>0</v>
      </c>
      <c r="R168" s="57">
        <f t="shared" si="70"/>
        <v>0</v>
      </c>
      <c r="S168" s="59">
        <f t="shared" si="71"/>
        <v>0</v>
      </c>
    </row>
    <row r="169" spans="1:19" ht="13.5" customHeight="1" thickBot="1" x14ac:dyDescent="0.3">
      <c r="A169" s="63"/>
      <c r="B169" s="64"/>
      <c r="C169" s="73">
        <f>SUBTOTAL(9,C166:C168)</f>
        <v>0</v>
      </c>
      <c r="D169" s="74">
        <f>SUBTOTAL(9,D166:D168)</f>
        <v>0</v>
      </c>
      <c r="E169" s="75">
        <f>SUBTOTAL(9,E166:E168)</f>
        <v>0</v>
      </c>
      <c r="F169" s="65">
        <f>SUBTOTAL(9,F166:F168)</f>
        <v>0</v>
      </c>
      <c r="G169" s="65">
        <v>0</v>
      </c>
      <c r="H169" s="67">
        <f>C169*G169</f>
        <v>0</v>
      </c>
      <c r="I169" s="84"/>
      <c r="J169" s="64"/>
      <c r="K169" s="64"/>
      <c r="L169" s="69">
        <f t="shared" ref="L169:S169" si="72">SUBTOTAL(9,L166:L168)</f>
        <v>0</v>
      </c>
      <c r="M169" s="69">
        <f t="shared" si="72"/>
        <v>0</v>
      </c>
      <c r="N169" s="69">
        <f t="shared" si="72"/>
        <v>0</v>
      </c>
      <c r="O169" s="69">
        <f t="shared" si="72"/>
        <v>0</v>
      </c>
      <c r="P169" s="69">
        <f t="shared" si="72"/>
        <v>0</v>
      </c>
      <c r="Q169" s="69">
        <f t="shared" si="72"/>
        <v>0</v>
      </c>
      <c r="R169" s="69">
        <f t="shared" si="72"/>
        <v>0</v>
      </c>
      <c r="S169" s="69">
        <f t="shared" si="72"/>
        <v>0</v>
      </c>
    </row>
    <row r="170" spans="1:19" ht="13.5" thickTop="1" x14ac:dyDescent="0.2">
      <c r="A170" s="39" t="s">
        <v>154</v>
      </c>
      <c r="B170" s="82"/>
      <c r="C170" s="44"/>
      <c r="D170" s="83"/>
      <c r="E170" s="44"/>
      <c r="F170" s="44"/>
      <c r="G170" s="44"/>
      <c r="H170" s="44"/>
      <c r="I170" s="84"/>
      <c r="J170" s="44"/>
      <c r="K170" s="44"/>
      <c r="L170" s="44"/>
      <c r="M170" s="44"/>
      <c r="N170" s="44"/>
      <c r="O170" s="44"/>
      <c r="P170" s="44"/>
      <c r="Q170" s="44"/>
      <c r="R170" s="44"/>
      <c r="S170" s="85"/>
    </row>
    <row r="171" spans="1:19" x14ac:dyDescent="0.2">
      <c r="A171" s="60" t="s">
        <v>128</v>
      </c>
      <c r="B171" s="47">
        <v>44523</v>
      </c>
      <c r="C171" s="48">
        <v>100000</v>
      </c>
      <c r="D171" s="49">
        <v>129086.79</v>
      </c>
      <c r="E171" s="62"/>
      <c r="F171" s="51">
        <f>SUM(D171:E171)</f>
        <v>129086.79</v>
      </c>
      <c r="G171" s="50"/>
      <c r="H171" s="88"/>
      <c r="I171" s="84"/>
      <c r="J171" s="89"/>
      <c r="K171" s="90"/>
      <c r="L171" s="91"/>
      <c r="M171" s="92"/>
      <c r="N171" s="92"/>
      <c r="O171" s="92"/>
      <c r="P171" s="57">
        <f>M171-N171-O171</f>
        <v>0</v>
      </c>
      <c r="Q171" s="57">
        <f>IF(P171&gt;0,IF(K171="Y",0,P171),0)</f>
        <v>0</v>
      </c>
      <c r="R171" s="57">
        <f t="shared" ref="R171:R173" si="73">IF(P171&gt;0,IF(K171="Y",P171,0),0)</f>
        <v>0</v>
      </c>
      <c r="S171" s="93">
        <f t="shared" ref="S171:S173" si="74">IF(P171&lt;0,P171,0)</f>
        <v>0</v>
      </c>
    </row>
    <row r="172" spans="1:19" x14ac:dyDescent="0.2">
      <c r="A172" s="46" t="s">
        <v>129</v>
      </c>
      <c r="B172" s="47">
        <v>44538</v>
      </c>
      <c r="C172" s="48">
        <v>-100000</v>
      </c>
      <c r="D172" s="49">
        <f>-D171</f>
        <v>-129086.79</v>
      </c>
      <c r="E172" s="50"/>
      <c r="F172" s="51">
        <f>SUM(D172:E172)</f>
        <v>-129086.79</v>
      </c>
      <c r="G172" s="50"/>
      <c r="H172" s="50"/>
      <c r="I172" s="52"/>
      <c r="J172" s="72">
        <f>B172</f>
        <v>44538</v>
      </c>
      <c r="K172" s="72" t="s">
        <v>151</v>
      </c>
      <c r="L172" s="55">
        <f>C172</f>
        <v>-100000</v>
      </c>
      <c r="M172" s="49">
        <v>112873.5</v>
      </c>
      <c r="N172" s="72"/>
      <c r="O172" s="49">
        <f>-D172</f>
        <v>129086.79</v>
      </c>
      <c r="P172" s="57">
        <f>M172-N172-O172</f>
        <v>-16213.289999999994</v>
      </c>
      <c r="Q172" s="57">
        <f>IF(P172&gt;0,IF(K172="Y",0,P172),0)</f>
        <v>0</v>
      </c>
      <c r="R172" s="57">
        <f t="shared" si="73"/>
        <v>0</v>
      </c>
      <c r="S172" s="93">
        <f t="shared" si="74"/>
        <v>-16213.289999999994</v>
      </c>
    </row>
    <row r="173" spans="1:19" x14ac:dyDescent="0.2">
      <c r="A173" s="60"/>
      <c r="B173" s="47"/>
      <c r="C173" s="48"/>
      <c r="D173" s="49"/>
      <c r="E173" s="50"/>
      <c r="F173" s="51">
        <f>SUM(D173:E173)</f>
        <v>0</v>
      </c>
      <c r="G173" s="50"/>
      <c r="H173" s="50"/>
      <c r="I173" s="52"/>
      <c r="J173" s="53"/>
      <c r="K173" s="54"/>
      <c r="L173" s="55"/>
      <c r="M173" s="56"/>
      <c r="N173" s="56"/>
      <c r="O173" s="56"/>
      <c r="P173" s="57">
        <f>M173-N173-O173</f>
        <v>0</v>
      </c>
      <c r="Q173" s="58">
        <f>IF(P173&gt;0,IF(K173="Y",0,P173),0)</f>
        <v>0</v>
      </c>
      <c r="R173" s="57">
        <f t="shared" si="73"/>
        <v>0</v>
      </c>
      <c r="S173" s="59">
        <f t="shared" si="74"/>
        <v>0</v>
      </c>
    </row>
    <row r="174" spans="1:19" ht="13.5" customHeight="1" thickBot="1" x14ac:dyDescent="0.3">
      <c r="A174" s="63"/>
      <c r="B174" s="64"/>
      <c r="C174" s="73">
        <f>SUBTOTAL(9,C171:C173)</f>
        <v>0</v>
      </c>
      <c r="D174" s="74">
        <f>SUBTOTAL(9,D171:D173)</f>
        <v>0</v>
      </c>
      <c r="E174" s="75">
        <f>SUBTOTAL(9,E171:E173)</f>
        <v>0</v>
      </c>
      <c r="F174" s="65">
        <f>SUBTOTAL(9,F171:F173)</f>
        <v>0</v>
      </c>
      <c r="G174" s="65">
        <v>0</v>
      </c>
      <c r="H174" s="67">
        <f>C174*G174</f>
        <v>0</v>
      </c>
      <c r="I174" s="84"/>
      <c r="J174" s="64"/>
      <c r="K174" s="64"/>
      <c r="L174" s="69">
        <f t="shared" ref="L174:S174" si="75">SUBTOTAL(9,L171:L173)</f>
        <v>-100000</v>
      </c>
      <c r="M174" s="69">
        <f t="shared" si="75"/>
        <v>112873.5</v>
      </c>
      <c r="N174" s="69">
        <f t="shared" si="75"/>
        <v>0</v>
      </c>
      <c r="O174" s="69">
        <f t="shared" si="75"/>
        <v>129086.79</v>
      </c>
      <c r="P174" s="69">
        <f t="shared" si="75"/>
        <v>-16213.289999999994</v>
      </c>
      <c r="Q174" s="69">
        <f t="shared" si="75"/>
        <v>0</v>
      </c>
      <c r="R174" s="69">
        <f t="shared" si="75"/>
        <v>0</v>
      </c>
      <c r="S174" s="69">
        <f t="shared" si="75"/>
        <v>-16213.289999999994</v>
      </c>
    </row>
    <row r="175" spans="1:19" ht="13.5" thickTop="1" x14ac:dyDescent="0.2">
      <c r="A175" s="39" t="s">
        <v>155</v>
      </c>
      <c r="B175" s="82"/>
      <c r="C175" s="44"/>
      <c r="D175" s="83"/>
      <c r="E175" s="44"/>
      <c r="F175" s="44"/>
      <c r="G175" s="44"/>
      <c r="H175" s="44"/>
      <c r="I175" s="84"/>
      <c r="J175" s="44"/>
      <c r="K175" s="44"/>
      <c r="L175" s="44"/>
      <c r="M175" s="44"/>
      <c r="N175" s="44"/>
      <c r="O175" s="44"/>
      <c r="P175" s="44"/>
      <c r="Q175" s="44"/>
      <c r="R175" s="44"/>
      <c r="S175" s="85"/>
    </row>
    <row r="176" spans="1:19" x14ac:dyDescent="0.2">
      <c r="A176" s="60" t="s">
        <v>128</v>
      </c>
      <c r="B176" s="47">
        <v>43595</v>
      </c>
      <c r="C176" s="48">
        <v>100000</v>
      </c>
      <c r="D176" s="49">
        <v>52286</v>
      </c>
      <c r="E176" s="62"/>
      <c r="F176" s="51">
        <f t="shared" ref="F176:F183" si="76">SUM(D176:E176)</f>
        <v>52286</v>
      </c>
      <c r="G176" s="50"/>
      <c r="H176" s="88"/>
      <c r="I176" s="84"/>
      <c r="J176" s="89"/>
      <c r="K176" s="90"/>
      <c r="L176" s="91"/>
      <c r="M176" s="92"/>
      <c r="N176" s="92"/>
      <c r="O176" s="92"/>
      <c r="P176" s="57">
        <f>M176-N176-O176</f>
        <v>0</v>
      </c>
      <c r="Q176" s="57">
        <f>IF(P176&gt;0,IF(K176="Y",0,P176),0)</f>
        <v>0</v>
      </c>
      <c r="R176" s="57">
        <f t="shared" ref="R176:R183" si="77">IF(P176&gt;0,IF(K176="Y",P176,0),0)</f>
        <v>0</v>
      </c>
      <c r="S176" s="93">
        <f t="shared" ref="S176:S183" si="78">IF(P176&lt;0,P176,0)</f>
        <v>0</v>
      </c>
    </row>
    <row r="177" spans="1:19" x14ac:dyDescent="0.2">
      <c r="A177" s="46" t="s">
        <v>129</v>
      </c>
      <c r="B177" s="47">
        <v>43774</v>
      </c>
      <c r="C177" s="48">
        <v>-100000</v>
      </c>
      <c r="D177" s="49">
        <f>-D176</f>
        <v>-52286</v>
      </c>
      <c r="E177" s="50"/>
      <c r="F177" s="51">
        <f t="shared" si="76"/>
        <v>-52286</v>
      </c>
      <c r="G177" s="50"/>
      <c r="H177" s="50"/>
      <c r="I177" s="52"/>
      <c r="J177" s="53"/>
      <c r="K177" s="54"/>
      <c r="L177" s="55"/>
      <c r="M177" s="56"/>
      <c r="N177" s="56"/>
      <c r="O177" s="56"/>
      <c r="P177" s="57"/>
      <c r="Q177" s="58"/>
      <c r="R177" s="57">
        <f t="shared" si="77"/>
        <v>0</v>
      </c>
      <c r="S177" s="59">
        <f t="shared" si="78"/>
        <v>0</v>
      </c>
    </row>
    <row r="178" spans="1:19" x14ac:dyDescent="0.2">
      <c r="A178" s="46" t="s">
        <v>128</v>
      </c>
      <c r="B178" s="47">
        <v>44167</v>
      </c>
      <c r="C178" s="48">
        <v>534326</v>
      </c>
      <c r="D178" s="49">
        <v>122894.98</v>
      </c>
      <c r="E178" s="50"/>
      <c r="F178" s="51">
        <f t="shared" si="76"/>
        <v>122894.98</v>
      </c>
      <c r="G178" s="50"/>
      <c r="H178" s="50"/>
      <c r="I178" s="52"/>
      <c r="J178" s="53"/>
      <c r="K178" s="54"/>
      <c r="L178" s="55"/>
      <c r="M178" s="56"/>
      <c r="N178" s="56"/>
      <c r="O178" s="56"/>
      <c r="P178" s="57">
        <f t="shared" ref="P178:P183" si="79">M178-N178-O178</f>
        <v>0</v>
      </c>
      <c r="Q178" s="58">
        <f t="shared" ref="Q178:Q183" si="80">IF(P178&gt;0,IF(K178="Y",0,P178),0)</f>
        <v>0</v>
      </c>
      <c r="R178" s="57">
        <f t="shared" si="77"/>
        <v>0</v>
      </c>
      <c r="S178" s="59">
        <f t="shared" si="78"/>
        <v>0</v>
      </c>
    </row>
    <row r="179" spans="1:19" x14ac:dyDescent="0.2">
      <c r="A179" s="46" t="s">
        <v>129</v>
      </c>
      <c r="B179" s="47">
        <v>44242</v>
      </c>
      <c r="C179" s="48">
        <v>-164326</v>
      </c>
      <c r="D179" s="49">
        <f>D178/C178*C179</f>
        <v>-37794.979999999996</v>
      </c>
      <c r="E179" s="50"/>
      <c r="F179" s="51">
        <f t="shared" si="76"/>
        <v>-37794.979999999996</v>
      </c>
      <c r="G179" s="50"/>
      <c r="H179" s="50"/>
      <c r="I179" s="52"/>
      <c r="J179" s="53"/>
      <c r="K179" s="54"/>
      <c r="L179" s="55"/>
      <c r="M179" s="56"/>
      <c r="N179" s="56"/>
      <c r="O179" s="56"/>
      <c r="P179" s="57">
        <f t="shared" si="79"/>
        <v>0</v>
      </c>
      <c r="Q179" s="58">
        <f t="shared" si="80"/>
        <v>0</v>
      </c>
      <c r="R179" s="57">
        <f t="shared" si="77"/>
        <v>0</v>
      </c>
      <c r="S179" s="59">
        <f t="shared" si="78"/>
        <v>0</v>
      </c>
    </row>
    <row r="180" spans="1:19" x14ac:dyDescent="0.2">
      <c r="A180" s="46" t="s">
        <v>129</v>
      </c>
      <c r="B180" s="47">
        <v>44245</v>
      </c>
      <c r="C180" s="48">
        <f>-145593</f>
        <v>-145593</v>
      </c>
      <c r="D180" s="49">
        <f>D178/C178*C180</f>
        <v>-33486.39</v>
      </c>
      <c r="E180" s="50"/>
      <c r="F180" s="51">
        <f t="shared" si="76"/>
        <v>-33486.39</v>
      </c>
      <c r="G180" s="50"/>
      <c r="H180" s="50"/>
      <c r="I180" s="52"/>
      <c r="J180" s="53"/>
      <c r="K180" s="54"/>
      <c r="L180" s="55"/>
      <c r="M180" s="56"/>
      <c r="N180" s="56"/>
      <c r="O180" s="56"/>
      <c r="P180" s="57">
        <f t="shared" si="79"/>
        <v>0</v>
      </c>
      <c r="Q180" s="58">
        <f t="shared" si="80"/>
        <v>0</v>
      </c>
      <c r="R180" s="57">
        <f t="shared" si="77"/>
        <v>0</v>
      </c>
      <c r="S180" s="59">
        <f t="shared" si="78"/>
        <v>0</v>
      </c>
    </row>
    <row r="181" spans="1:19" x14ac:dyDescent="0.2">
      <c r="A181" s="60" t="s">
        <v>129</v>
      </c>
      <c r="B181" s="47">
        <v>44253</v>
      </c>
      <c r="C181" s="48">
        <v>-170000</v>
      </c>
      <c r="D181" s="49">
        <f>(D178/C178)*C181</f>
        <v>-39100</v>
      </c>
      <c r="E181" s="50"/>
      <c r="F181" s="51">
        <f t="shared" si="76"/>
        <v>-39100</v>
      </c>
      <c r="G181" s="50"/>
      <c r="H181" s="50"/>
      <c r="I181" s="52"/>
      <c r="J181" s="53"/>
      <c r="K181" s="54"/>
      <c r="L181" s="55"/>
      <c r="M181" s="56"/>
      <c r="N181" s="56"/>
      <c r="O181" s="56"/>
      <c r="P181" s="57">
        <f t="shared" si="79"/>
        <v>0</v>
      </c>
      <c r="Q181" s="58">
        <f t="shared" si="80"/>
        <v>0</v>
      </c>
      <c r="R181" s="57">
        <f t="shared" si="77"/>
        <v>0</v>
      </c>
      <c r="S181" s="59">
        <f t="shared" si="78"/>
        <v>0</v>
      </c>
    </row>
    <row r="182" spans="1:19" x14ac:dyDescent="0.2">
      <c r="A182" s="46" t="s">
        <v>129</v>
      </c>
      <c r="B182" s="47">
        <v>44287</v>
      </c>
      <c r="C182" s="48">
        <v>-54407</v>
      </c>
      <c r="D182" s="49">
        <f>D178/C178*C182</f>
        <v>-12513.609999999999</v>
      </c>
      <c r="E182" s="50"/>
      <c r="F182" s="51">
        <f t="shared" si="76"/>
        <v>-12513.609999999999</v>
      </c>
      <c r="G182" s="50"/>
      <c r="H182" s="50"/>
      <c r="I182" s="52"/>
      <c r="J182" s="53"/>
      <c r="K182" s="54"/>
      <c r="L182" s="55"/>
      <c r="M182" s="56"/>
      <c r="N182" s="56"/>
      <c r="O182" s="56"/>
      <c r="P182" s="57">
        <f t="shared" si="79"/>
        <v>0</v>
      </c>
      <c r="Q182" s="57">
        <f t="shared" si="80"/>
        <v>0</v>
      </c>
      <c r="R182" s="57">
        <f t="shared" si="77"/>
        <v>0</v>
      </c>
      <c r="S182" s="59">
        <f t="shared" si="78"/>
        <v>0</v>
      </c>
    </row>
    <row r="183" spans="1:19" x14ac:dyDescent="0.2">
      <c r="A183" s="121"/>
      <c r="B183" s="114"/>
      <c r="C183" s="111"/>
      <c r="D183" s="112"/>
      <c r="E183" s="112"/>
      <c r="F183" s="51">
        <f t="shared" si="76"/>
        <v>0</v>
      </c>
      <c r="G183" s="112"/>
      <c r="H183" s="112"/>
      <c r="I183" s="52"/>
      <c r="J183" s="114"/>
      <c r="K183" s="115"/>
      <c r="L183" s="116"/>
      <c r="M183" s="117"/>
      <c r="N183" s="117"/>
      <c r="O183" s="117"/>
      <c r="P183" s="57">
        <f t="shared" si="79"/>
        <v>0</v>
      </c>
      <c r="Q183" s="57">
        <f t="shared" si="80"/>
        <v>0</v>
      </c>
      <c r="R183" s="57">
        <f t="shared" si="77"/>
        <v>0</v>
      </c>
      <c r="S183" s="59">
        <f t="shared" si="78"/>
        <v>0</v>
      </c>
    </row>
    <row r="184" spans="1:19" ht="13.5" customHeight="1" thickBot="1" x14ac:dyDescent="0.3">
      <c r="A184" s="63"/>
      <c r="B184" s="64"/>
      <c r="C184" s="73">
        <f>SUBTOTAL(9,C176:C183)</f>
        <v>0</v>
      </c>
      <c r="D184" s="74">
        <f>SUBTOTAL(9,D176:D183)</f>
        <v>0</v>
      </c>
      <c r="E184" s="75">
        <f>SUBTOTAL(9,E176:E183)</f>
        <v>0</v>
      </c>
      <c r="F184" s="65">
        <f>SUBTOTAL(9,F176:F183)</f>
        <v>1.8189894035458565E-12</v>
      </c>
      <c r="G184" s="65">
        <v>0</v>
      </c>
      <c r="H184" s="67">
        <f>C184*G184</f>
        <v>0</v>
      </c>
      <c r="I184" s="84"/>
      <c r="J184" s="64"/>
      <c r="K184" s="64"/>
      <c r="L184" s="69">
        <f>SUBTOTAL(9,L176:L183)</f>
        <v>0</v>
      </c>
      <c r="M184" s="65">
        <f t="shared" ref="M184:S184" si="81">SUBTOTAL(9,M176:M183)</f>
        <v>0</v>
      </c>
      <c r="N184" s="65">
        <f t="shared" si="81"/>
        <v>0</v>
      </c>
      <c r="O184" s="65">
        <f t="shared" si="81"/>
        <v>0</v>
      </c>
      <c r="P184" s="65">
        <f t="shared" si="81"/>
        <v>0</v>
      </c>
      <c r="Q184" s="65">
        <f t="shared" si="81"/>
        <v>0</v>
      </c>
      <c r="R184" s="65">
        <f t="shared" si="81"/>
        <v>0</v>
      </c>
      <c r="S184" s="65">
        <f t="shared" si="81"/>
        <v>0</v>
      </c>
    </row>
    <row r="185" spans="1:19" ht="13.5" thickTop="1" x14ac:dyDescent="0.2">
      <c r="A185" s="39" t="s">
        <v>156</v>
      </c>
      <c r="B185" s="82"/>
      <c r="C185" s="44"/>
      <c r="D185" s="83"/>
      <c r="E185" s="44"/>
      <c r="F185" s="44"/>
      <c r="G185" s="44"/>
      <c r="H185" s="44"/>
      <c r="I185" s="84"/>
      <c r="J185" s="44"/>
      <c r="K185" s="44"/>
      <c r="L185" s="44"/>
      <c r="M185" s="44"/>
      <c r="N185" s="44"/>
      <c r="O185" s="44"/>
      <c r="P185" s="44">
        <f>M185-N185-O185</f>
        <v>0</v>
      </c>
      <c r="Q185" s="44">
        <f>IF(P185&gt;0,IF(K185="Y",0,P185),0)</f>
        <v>0</v>
      </c>
      <c r="R185" s="44">
        <f>IF(P185&gt;0,IF(K185="Y",P185,0),0)</f>
        <v>0</v>
      </c>
      <c r="S185" s="85">
        <f t="shared" ref="S185:S191" si="82">IF(P185&lt;0,P185,0)</f>
        <v>0</v>
      </c>
    </row>
    <row r="186" spans="1:19" x14ac:dyDescent="0.2">
      <c r="A186" s="46" t="s">
        <v>128</v>
      </c>
      <c r="B186" s="47">
        <v>43864</v>
      </c>
      <c r="C186" s="48">
        <v>578733</v>
      </c>
      <c r="D186" s="49">
        <v>7071.29</v>
      </c>
      <c r="E186" s="50"/>
      <c r="F186" s="51">
        <f t="shared" ref="F186:F191" si="83">SUM(D186:E186)</f>
        <v>7071.29</v>
      </c>
      <c r="G186" s="50"/>
      <c r="H186" s="50"/>
      <c r="I186" s="52"/>
      <c r="J186" s="53"/>
      <c r="K186" s="54"/>
      <c r="L186" s="55"/>
      <c r="M186" s="56"/>
      <c r="N186" s="56"/>
      <c r="O186" s="56"/>
      <c r="P186" s="57">
        <f>M186-N186-O186</f>
        <v>0</v>
      </c>
      <c r="Q186" s="58">
        <f>IF(P186&gt;0,IF(K186="Y",0,P186),0)</f>
        <v>0</v>
      </c>
      <c r="R186" s="57">
        <f>IF(P186&gt;0,IF(K186="Y",P186,0),0)</f>
        <v>0</v>
      </c>
      <c r="S186" s="59">
        <f t="shared" si="82"/>
        <v>0</v>
      </c>
    </row>
    <row r="187" spans="1:19" x14ac:dyDescent="0.2">
      <c r="A187" s="46" t="s">
        <v>128</v>
      </c>
      <c r="B187" s="47">
        <v>43865</v>
      </c>
      <c r="C187" s="48">
        <v>421267</v>
      </c>
      <c r="D187" s="49">
        <v>5055.2</v>
      </c>
      <c r="E187" s="50"/>
      <c r="F187" s="51">
        <f t="shared" si="83"/>
        <v>5055.2</v>
      </c>
      <c r="G187" s="50"/>
      <c r="H187" s="50"/>
      <c r="I187" s="52"/>
      <c r="J187" s="53"/>
      <c r="K187" s="54"/>
      <c r="L187" s="55"/>
      <c r="M187" s="56"/>
      <c r="N187" s="56"/>
      <c r="O187" s="56"/>
      <c r="P187" s="57">
        <f>M187-N187-O187</f>
        <v>0</v>
      </c>
      <c r="Q187" s="58">
        <f>IF(P187&gt;0,IF(K187="Y",0,P187),0)</f>
        <v>0</v>
      </c>
      <c r="R187" s="57">
        <f>IF(P187&gt;0,IF(K187="Y",P187,0),0)</f>
        <v>0</v>
      </c>
      <c r="S187" s="59">
        <f t="shared" si="82"/>
        <v>0</v>
      </c>
    </row>
    <row r="188" spans="1:19" x14ac:dyDescent="0.2">
      <c r="A188" s="46" t="s">
        <v>129</v>
      </c>
      <c r="B188" s="47">
        <v>43867</v>
      </c>
      <c r="C188" s="48">
        <v>-2050</v>
      </c>
      <c r="D188" s="49">
        <f>(D186/C186)*C188</f>
        <v>-25.048069662521407</v>
      </c>
      <c r="E188" s="50"/>
      <c r="F188" s="51">
        <f t="shared" si="83"/>
        <v>-25.048069662521407</v>
      </c>
      <c r="G188" s="50"/>
      <c r="H188" s="50"/>
      <c r="I188" s="52"/>
      <c r="J188" s="53"/>
      <c r="K188" s="54"/>
      <c r="L188" s="55"/>
      <c r="M188" s="56"/>
      <c r="N188" s="56"/>
      <c r="O188" s="56"/>
      <c r="P188" s="57">
        <f t="shared" ref="P188:P189" si="84">M188-N188-O188</f>
        <v>0</v>
      </c>
      <c r="Q188" s="58">
        <f t="shared" ref="Q188:Q189" si="85">IF(P188&gt;0,IF(K188="Y",0,P188),0)</f>
        <v>0</v>
      </c>
      <c r="R188" s="57">
        <f t="shared" ref="R188:R189" si="86">IF(P188&gt;0,IF(K188="Y",P188,0),0)</f>
        <v>0</v>
      </c>
      <c r="S188" s="59">
        <f t="shared" si="82"/>
        <v>0</v>
      </c>
    </row>
    <row r="189" spans="1:19" x14ac:dyDescent="0.2">
      <c r="A189" s="46" t="s">
        <v>129</v>
      </c>
      <c r="B189" s="47">
        <v>43994</v>
      </c>
      <c r="C189" s="48">
        <v>-400000</v>
      </c>
      <c r="D189" s="49">
        <f>(D186/C186)*C189</f>
        <v>-4887.4282268334446</v>
      </c>
      <c r="E189" s="50"/>
      <c r="F189" s="51">
        <f t="shared" si="83"/>
        <v>-4887.4282268334446</v>
      </c>
      <c r="G189" s="50"/>
      <c r="H189" s="50"/>
      <c r="I189" s="52"/>
      <c r="J189" s="53"/>
      <c r="K189" s="54"/>
      <c r="L189" s="55"/>
      <c r="M189" s="56"/>
      <c r="N189" s="56"/>
      <c r="O189" s="56"/>
      <c r="P189" s="57">
        <f t="shared" si="84"/>
        <v>0</v>
      </c>
      <c r="Q189" s="58">
        <f t="shared" si="85"/>
        <v>0</v>
      </c>
      <c r="R189" s="57">
        <f t="shared" si="86"/>
        <v>0</v>
      </c>
      <c r="S189" s="59">
        <f t="shared" si="82"/>
        <v>0</v>
      </c>
    </row>
    <row r="190" spans="1:19" x14ac:dyDescent="0.2">
      <c r="A190" s="46" t="s">
        <v>128</v>
      </c>
      <c r="B190" s="47">
        <v>44235</v>
      </c>
      <c r="C190" s="48">
        <v>1302050</v>
      </c>
      <c r="D190" s="49">
        <v>34039.5</v>
      </c>
      <c r="E190" s="50"/>
      <c r="F190" s="51">
        <f t="shared" si="83"/>
        <v>34039.5</v>
      </c>
      <c r="G190" s="50"/>
      <c r="H190" s="50"/>
      <c r="I190" s="52"/>
      <c r="J190" s="53"/>
      <c r="K190" s="54"/>
      <c r="L190" s="55"/>
      <c r="M190" s="56"/>
      <c r="N190" s="56"/>
      <c r="O190" s="56"/>
      <c r="P190" s="57">
        <f>M190-N190-O190</f>
        <v>0</v>
      </c>
      <c r="Q190" s="58">
        <f>IF(P190&gt;0,IF(K190="Y",0,P190),0)</f>
        <v>0</v>
      </c>
      <c r="R190" s="57">
        <f>IF(P190&gt;0,IF(K190="Y",P190,0),0)</f>
        <v>0</v>
      </c>
      <c r="S190" s="59">
        <f t="shared" si="82"/>
        <v>0</v>
      </c>
    </row>
    <row r="191" spans="1:19" x14ac:dyDescent="0.2">
      <c r="A191" s="60"/>
      <c r="B191" s="47"/>
      <c r="C191" s="61"/>
      <c r="D191" s="49"/>
      <c r="E191" s="62"/>
      <c r="F191" s="51">
        <f t="shared" si="83"/>
        <v>0</v>
      </c>
      <c r="G191" s="50"/>
      <c r="H191" s="62"/>
      <c r="I191" s="52"/>
      <c r="J191" s="53"/>
      <c r="K191" s="54"/>
      <c r="L191" s="55"/>
      <c r="M191" s="56"/>
      <c r="N191" s="56"/>
      <c r="O191" s="56"/>
      <c r="P191" s="57">
        <f>M191-N191-O191</f>
        <v>0</v>
      </c>
      <c r="Q191" s="58">
        <f>IF(P191&gt;0,IF(K191="Y",0,P191),0)</f>
        <v>0</v>
      </c>
      <c r="R191" s="57">
        <f>IF(P191&gt;0,IF(K191="Y",P191,0),0)</f>
        <v>0</v>
      </c>
      <c r="S191" s="59">
        <f t="shared" si="82"/>
        <v>0</v>
      </c>
    </row>
    <row r="192" spans="1:19" ht="13.5" customHeight="1" thickBot="1" x14ac:dyDescent="0.3">
      <c r="A192" s="63"/>
      <c r="B192" s="64"/>
      <c r="C192" s="73">
        <f>SUBTOTAL(9,C186:C191)</f>
        <v>1900000</v>
      </c>
      <c r="D192" s="66">
        <f>SUBTOTAL(9,D186:D191)</f>
        <v>41253.513703504032</v>
      </c>
      <c r="E192" s="67">
        <f>SUBTOTAL(9,E186:E191)</f>
        <v>0</v>
      </c>
      <c r="F192" s="65">
        <f>SUBTOTAL(9,F186:F191)</f>
        <v>41253.513703504032</v>
      </c>
      <c r="G192" s="65">
        <v>0</v>
      </c>
      <c r="H192" s="67">
        <f>C192*G192</f>
        <v>0</v>
      </c>
      <c r="I192" s="68"/>
      <c r="J192" s="68"/>
      <c r="K192" s="68"/>
      <c r="L192" s="69">
        <f t="shared" ref="L192:S192" si="87">SUBTOTAL(9,L186:L191)</f>
        <v>0</v>
      </c>
      <c r="M192" s="70">
        <f t="shared" si="87"/>
        <v>0</v>
      </c>
      <c r="N192" s="70">
        <f t="shared" si="87"/>
        <v>0</v>
      </c>
      <c r="O192" s="70">
        <f t="shared" si="87"/>
        <v>0</v>
      </c>
      <c r="P192" s="70">
        <f t="shared" si="87"/>
        <v>0</v>
      </c>
      <c r="Q192" s="70">
        <f t="shared" si="87"/>
        <v>0</v>
      </c>
      <c r="R192" s="70">
        <f t="shared" si="87"/>
        <v>0</v>
      </c>
      <c r="S192" s="71">
        <f t="shared" si="87"/>
        <v>0</v>
      </c>
    </row>
    <row r="193" spans="1:19" ht="13.5" thickTop="1" x14ac:dyDescent="0.2">
      <c r="A193" s="39" t="s">
        <v>156</v>
      </c>
      <c r="B193" s="82"/>
      <c r="C193" s="44"/>
      <c r="D193" s="83"/>
      <c r="E193" s="44"/>
      <c r="F193" s="44"/>
      <c r="G193" s="44"/>
      <c r="H193" s="44"/>
      <c r="I193" s="84"/>
      <c r="J193" s="44"/>
      <c r="K193" s="44"/>
      <c r="L193" s="44"/>
      <c r="M193" s="44"/>
      <c r="N193" s="44"/>
      <c r="O193" s="44"/>
      <c r="P193" s="44">
        <f>M193-N193-O193</f>
        <v>0</v>
      </c>
      <c r="Q193" s="44">
        <f>IF(P193&gt;0,IF(K193="Y",0,P193),0)</f>
        <v>0</v>
      </c>
      <c r="R193" s="44">
        <f>IF(P193&gt;0,IF(K193="Y",P193,0),0)</f>
        <v>0</v>
      </c>
      <c r="S193" s="85">
        <f>IF(P193&lt;0,P193,0)</f>
        <v>0</v>
      </c>
    </row>
    <row r="194" spans="1:19" x14ac:dyDescent="0.2">
      <c r="A194" s="46" t="s">
        <v>128</v>
      </c>
      <c r="B194" s="47">
        <v>43788</v>
      </c>
      <c r="C194" s="48">
        <f>D194/0.01</f>
        <v>3900000</v>
      </c>
      <c r="D194" s="49">
        <v>39000</v>
      </c>
      <c r="E194" s="50"/>
      <c r="F194" s="51">
        <f>SUM(D194:E194)</f>
        <v>39000</v>
      </c>
      <c r="G194" s="50"/>
      <c r="H194" s="50"/>
      <c r="I194" s="43"/>
      <c r="J194" s="53"/>
      <c r="K194" s="54"/>
      <c r="L194" s="55"/>
      <c r="M194" s="56"/>
      <c r="N194" s="56"/>
      <c r="O194" s="56"/>
      <c r="P194" s="57">
        <f t="shared" ref="P194:P204" si="88">M194-N194-O194</f>
        <v>0</v>
      </c>
      <c r="Q194" s="58">
        <f t="shared" ref="Q194:Q204" si="89">IF(P194&gt;0,IF(K194="Y",0,P194),0)</f>
        <v>0</v>
      </c>
      <c r="R194" s="57">
        <f t="shared" ref="R194:R204" si="90">IF(P194&gt;0,IF(K194="Y",P194,0),0)</f>
        <v>0</v>
      </c>
      <c r="S194" s="59">
        <f t="shared" ref="S194:S204" si="91">IF(P194&lt;0,P194,0)</f>
        <v>0</v>
      </c>
    </row>
    <row r="195" spans="1:19" x14ac:dyDescent="0.2">
      <c r="A195" s="46" t="s">
        <v>129</v>
      </c>
      <c r="B195" s="47">
        <v>43845</v>
      </c>
      <c r="C195" s="48">
        <v>-500000</v>
      </c>
      <c r="D195" s="49">
        <f>C195*0.01</f>
        <v>-5000</v>
      </c>
      <c r="E195" s="50"/>
      <c r="F195" s="51">
        <f>SUM(D195:E195)</f>
        <v>-5000</v>
      </c>
      <c r="G195" s="50"/>
      <c r="H195" s="50"/>
      <c r="I195" s="43"/>
      <c r="J195" s="53"/>
      <c r="K195" s="54"/>
      <c r="L195" s="55"/>
      <c r="M195" s="56"/>
      <c r="N195" s="56"/>
      <c r="O195" s="56"/>
      <c r="P195" s="57">
        <f t="shared" si="88"/>
        <v>0</v>
      </c>
      <c r="Q195" s="58">
        <f t="shared" si="89"/>
        <v>0</v>
      </c>
      <c r="R195" s="57">
        <f t="shared" si="90"/>
        <v>0</v>
      </c>
      <c r="S195" s="59">
        <f t="shared" si="91"/>
        <v>0</v>
      </c>
    </row>
    <row r="196" spans="1:19" x14ac:dyDescent="0.2">
      <c r="A196" s="46" t="s">
        <v>129</v>
      </c>
      <c r="B196" s="47">
        <v>43844</v>
      </c>
      <c r="C196" s="48">
        <v>-500000</v>
      </c>
      <c r="D196" s="49">
        <f>C196*0.01</f>
        <v>-5000</v>
      </c>
      <c r="E196" s="50"/>
      <c r="F196" s="51">
        <f>SUM(D196:E196)</f>
        <v>-5000</v>
      </c>
      <c r="G196" s="50"/>
      <c r="H196" s="50"/>
      <c r="I196" s="43">
        <f>(C200+(C194+SUM(C195:C199)-2050-400000))</f>
        <v>-52050</v>
      </c>
      <c r="J196" s="53"/>
      <c r="K196" s="54"/>
      <c r="L196" s="55"/>
      <c r="M196" s="56"/>
      <c r="N196" s="56"/>
      <c r="O196" s="56"/>
      <c r="P196" s="57">
        <f t="shared" si="88"/>
        <v>0</v>
      </c>
      <c r="Q196" s="58">
        <f t="shared" si="89"/>
        <v>0</v>
      </c>
      <c r="R196" s="57">
        <f t="shared" si="90"/>
        <v>0</v>
      </c>
      <c r="S196" s="59">
        <f t="shared" si="91"/>
        <v>0</v>
      </c>
    </row>
    <row r="197" spans="1:19" x14ac:dyDescent="0.2">
      <c r="A197" s="46" t="s">
        <v>129</v>
      </c>
      <c r="B197" s="47">
        <v>43997</v>
      </c>
      <c r="C197" s="48">
        <v>-800000</v>
      </c>
      <c r="D197" s="49">
        <f>C197*0.01</f>
        <v>-8000</v>
      </c>
      <c r="E197" s="50"/>
      <c r="F197" s="51">
        <f>SUM(D197:E197)</f>
        <v>-8000</v>
      </c>
      <c r="G197" s="50"/>
      <c r="H197" s="50"/>
      <c r="I197" s="43"/>
      <c r="J197" s="53"/>
      <c r="K197" s="54"/>
      <c r="L197" s="55"/>
      <c r="M197" s="56"/>
      <c r="N197" s="56"/>
      <c r="O197" s="56"/>
      <c r="P197" s="57">
        <f t="shared" si="88"/>
        <v>0</v>
      </c>
      <c r="Q197" s="58">
        <f t="shared" si="89"/>
        <v>0</v>
      </c>
      <c r="R197" s="57">
        <f t="shared" si="90"/>
        <v>0</v>
      </c>
      <c r="S197" s="59">
        <f t="shared" si="91"/>
        <v>0</v>
      </c>
    </row>
    <row r="198" spans="1:19" x14ac:dyDescent="0.2">
      <c r="A198" s="46" t="s">
        <v>129</v>
      </c>
      <c r="B198" s="47">
        <v>44447</v>
      </c>
      <c r="C198" s="48">
        <v>-1000000</v>
      </c>
      <c r="D198" s="49">
        <f>(D194/C194)*C198</f>
        <v>-10000</v>
      </c>
      <c r="E198" s="50"/>
      <c r="F198" s="51">
        <f t="shared" ref="F198:F204" si="92">SUM(D198:E198)</f>
        <v>-10000</v>
      </c>
      <c r="G198" s="50"/>
      <c r="H198" s="50"/>
      <c r="I198" s="43"/>
      <c r="J198" s="72">
        <f>B198</f>
        <v>44447</v>
      </c>
      <c r="K198" s="72" t="s">
        <v>142</v>
      </c>
      <c r="L198" s="55">
        <f>C198</f>
        <v>-1000000</v>
      </c>
      <c r="M198" s="49">
        <v>23867.99</v>
      </c>
      <c r="N198" s="72"/>
      <c r="O198" s="49">
        <f>-D198</f>
        <v>10000</v>
      </c>
      <c r="P198" s="57">
        <f t="shared" si="88"/>
        <v>13867.990000000002</v>
      </c>
      <c r="Q198" s="58">
        <f t="shared" si="89"/>
        <v>0</v>
      </c>
      <c r="R198" s="57">
        <f t="shared" si="90"/>
        <v>13867.990000000002</v>
      </c>
      <c r="S198" s="59">
        <f t="shared" si="91"/>
        <v>0</v>
      </c>
    </row>
    <row r="199" spans="1:19" x14ac:dyDescent="0.2">
      <c r="A199" s="46" t="s">
        <v>129</v>
      </c>
      <c r="B199" s="47">
        <v>44512</v>
      </c>
      <c r="C199" s="48">
        <v>-500000</v>
      </c>
      <c r="D199" s="49">
        <f>(D194/C194)*C199</f>
        <v>-5000</v>
      </c>
      <c r="E199" s="50"/>
      <c r="F199" s="51">
        <f t="shared" si="92"/>
        <v>-5000</v>
      </c>
      <c r="G199" s="50"/>
      <c r="H199" s="50"/>
      <c r="I199" s="43"/>
      <c r="J199" s="72">
        <f t="shared" ref="J199:J203" si="93">B199</f>
        <v>44512</v>
      </c>
      <c r="K199" s="72" t="s">
        <v>142</v>
      </c>
      <c r="L199" s="55">
        <f t="shared" ref="L199:L203" si="94">C199</f>
        <v>-500000</v>
      </c>
      <c r="M199" s="49">
        <v>11373.5</v>
      </c>
      <c r="N199" s="72"/>
      <c r="O199" s="49">
        <f t="shared" ref="O199:O203" si="95">-D199</f>
        <v>5000</v>
      </c>
      <c r="P199" s="57">
        <f t="shared" si="88"/>
        <v>6373.5</v>
      </c>
      <c r="Q199" s="58">
        <f>IF(P199&gt;0,IF(K199="Y",0,P199),0)</f>
        <v>0</v>
      </c>
      <c r="R199" s="57">
        <f>IF(P199&gt;0,IF(K199="Y",P199,0),0)</f>
        <v>6373.5</v>
      </c>
      <c r="S199" s="59">
        <f t="shared" si="91"/>
        <v>0</v>
      </c>
    </row>
    <row r="200" spans="1:19" x14ac:dyDescent="0.2">
      <c r="A200" s="46" t="s">
        <v>129</v>
      </c>
      <c r="B200" s="47">
        <v>44517</v>
      </c>
      <c r="C200" s="48">
        <v>-250000</v>
      </c>
      <c r="D200" s="49">
        <f>(D194/C194)*-(C194+SUM(C195:C199)-2050-400000)+((D186/C186)*(C200+(C194+SUM(C195:C199)-2050-400000)))</f>
        <v>-2615.4765980167022</v>
      </c>
      <c r="E200" s="50"/>
      <c r="F200" s="51">
        <f t="shared" si="92"/>
        <v>-2615.4765980167022</v>
      </c>
      <c r="G200" s="50"/>
      <c r="H200" s="50"/>
      <c r="I200" s="43"/>
      <c r="J200" s="72">
        <f t="shared" si="93"/>
        <v>44517</v>
      </c>
      <c r="K200" s="72" t="s">
        <v>142</v>
      </c>
      <c r="L200" s="55">
        <f t="shared" si="94"/>
        <v>-250000</v>
      </c>
      <c r="M200" s="49">
        <v>5749.99</v>
      </c>
      <c r="N200" s="72"/>
      <c r="O200" s="49">
        <f t="shared" si="95"/>
        <v>2615.4765980167022</v>
      </c>
      <c r="P200" s="57">
        <f t="shared" si="88"/>
        <v>3134.5134019832976</v>
      </c>
      <c r="Q200" s="58">
        <f>IF(P200&gt;0,IF(K200="Y",0,P200),0)</f>
        <v>0</v>
      </c>
      <c r="R200" s="57">
        <f>IF(P200&gt;0,IF(K200="Y",P200,0),0)</f>
        <v>3134.5134019832976</v>
      </c>
      <c r="S200" s="59">
        <f t="shared" si="91"/>
        <v>0</v>
      </c>
    </row>
    <row r="201" spans="1:19" x14ac:dyDescent="0.2">
      <c r="A201" s="46" t="s">
        <v>129</v>
      </c>
      <c r="B201" s="47">
        <v>44596</v>
      </c>
      <c r="C201" s="48">
        <v>-127601</v>
      </c>
      <c r="D201" s="49">
        <f>(D186/C186)*C201</f>
        <v>-1559.1018229304361</v>
      </c>
      <c r="E201" s="50"/>
      <c r="F201" s="51">
        <f t="shared" si="92"/>
        <v>-1559.1018229304361</v>
      </c>
      <c r="G201" s="50"/>
      <c r="H201" s="50"/>
      <c r="I201" s="123"/>
      <c r="J201" s="72">
        <f t="shared" si="93"/>
        <v>44596</v>
      </c>
      <c r="K201" s="72" t="s">
        <v>142</v>
      </c>
      <c r="L201" s="55">
        <f t="shared" si="94"/>
        <v>-127601</v>
      </c>
      <c r="M201" s="49">
        <v>2553.12</v>
      </c>
      <c r="N201" s="72"/>
      <c r="O201" s="49">
        <f t="shared" si="95"/>
        <v>1559.1018229304361</v>
      </c>
      <c r="P201" s="57">
        <f t="shared" si="88"/>
        <v>994.01817706956376</v>
      </c>
      <c r="Q201" s="58">
        <f t="shared" si="89"/>
        <v>0</v>
      </c>
      <c r="R201" s="57">
        <f t="shared" si="90"/>
        <v>994.01817706956376</v>
      </c>
      <c r="S201" s="59">
        <f t="shared" si="91"/>
        <v>0</v>
      </c>
    </row>
    <row r="202" spans="1:19" x14ac:dyDescent="0.2">
      <c r="A202" s="46" t="s">
        <v>129</v>
      </c>
      <c r="B202" s="47">
        <v>44599</v>
      </c>
      <c r="C202" s="48">
        <v>-36502</v>
      </c>
      <c r="D202" s="49">
        <f>(D186/C186)*C202</f>
        <v>-446.00226283968601</v>
      </c>
      <c r="E202" s="50"/>
      <c r="F202" s="51">
        <f t="shared" si="92"/>
        <v>-446.00226283968601</v>
      </c>
      <c r="G202" s="50"/>
      <c r="H202" s="50"/>
      <c r="I202" s="123">
        <f>SUM(C194:C202)+SUM(C188:C189)+C186</f>
        <v>362580</v>
      </c>
      <c r="J202" s="72">
        <f t="shared" si="93"/>
        <v>44599</v>
      </c>
      <c r="K202" s="72" t="s">
        <v>142</v>
      </c>
      <c r="L202" s="55">
        <f t="shared" si="94"/>
        <v>-36502</v>
      </c>
      <c r="M202" s="49">
        <v>766.54</v>
      </c>
      <c r="N202" s="72"/>
      <c r="O202" s="49">
        <f t="shared" si="95"/>
        <v>446.00226283968601</v>
      </c>
      <c r="P202" s="57">
        <f t="shared" si="88"/>
        <v>320.53773716031395</v>
      </c>
      <c r="Q202" s="58">
        <f t="shared" si="89"/>
        <v>0</v>
      </c>
      <c r="R202" s="57">
        <f t="shared" si="90"/>
        <v>320.53773716031395</v>
      </c>
      <c r="S202" s="59">
        <f t="shared" si="91"/>
        <v>0</v>
      </c>
    </row>
    <row r="203" spans="1:19" x14ac:dyDescent="0.2">
      <c r="A203" s="46" t="s">
        <v>129</v>
      </c>
      <c r="B203" s="47">
        <v>44600</v>
      </c>
      <c r="C203" s="48">
        <v>-2085897</v>
      </c>
      <c r="D203" s="49">
        <v>-42632.93</v>
      </c>
      <c r="E203" s="50"/>
      <c r="F203" s="51">
        <f t="shared" si="92"/>
        <v>-42632.93</v>
      </c>
      <c r="G203" s="50"/>
      <c r="H203" s="50"/>
      <c r="I203" s="123"/>
      <c r="J203" s="72">
        <f t="shared" si="93"/>
        <v>44600</v>
      </c>
      <c r="K203" s="72" t="s">
        <v>142</v>
      </c>
      <c r="L203" s="55">
        <f t="shared" si="94"/>
        <v>-2085897</v>
      </c>
      <c r="M203" s="49">
        <v>43670.45</v>
      </c>
      <c r="N203" s="72"/>
      <c r="O203" s="49">
        <f t="shared" si="95"/>
        <v>42632.93</v>
      </c>
      <c r="P203" s="57">
        <f t="shared" si="88"/>
        <v>1037.5199999999968</v>
      </c>
      <c r="Q203" s="58">
        <f t="shared" si="89"/>
        <v>0</v>
      </c>
      <c r="R203" s="57">
        <f t="shared" si="90"/>
        <v>1037.5199999999968</v>
      </c>
      <c r="S203" s="59">
        <f t="shared" si="91"/>
        <v>0</v>
      </c>
    </row>
    <row r="204" spans="1:19" x14ac:dyDescent="0.2">
      <c r="A204" s="46"/>
      <c r="B204" s="47"/>
      <c r="C204" s="48"/>
      <c r="D204" s="49"/>
      <c r="E204" s="50"/>
      <c r="F204" s="51">
        <f t="shared" si="92"/>
        <v>0</v>
      </c>
      <c r="G204" s="50"/>
      <c r="H204" s="50"/>
      <c r="I204" s="123"/>
      <c r="J204" s="53"/>
      <c r="K204" s="54"/>
      <c r="L204" s="55"/>
      <c r="M204" s="56"/>
      <c r="N204" s="56"/>
      <c r="O204" s="56"/>
      <c r="P204" s="57">
        <f t="shared" si="88"/>
        <v>0</v>
      </c>
      <c r="Q204" s="58">
        <f t="shared" si="89"/>
        <v>0</v>
      </c>
      <c r="R204" s="57">
        <f t="shared" si="90"/>
        <v>0</v>
      </c>
      <c r="S204" s="59">
        <f t="shared" si="91"/>
        <v>0</v>
      </c>
    </row>
    <row r="205" spans="1:19" ht="13.5" customHeight="1" thickBot="1" x14ac:dyDescent="0.3">
      <c r="A205" s="63"/>
      <c r="B205" s="64"/>
      <c r="C205" s="73">
        <f>SUBTOTAL(9,C193:C204)</f>
        <v>-1900000</v>
      </c>
      <c r="D205" s="66">
        <f>SUBTOTAL(9,D193:D204)</f>
        <v>-41253.510683786822</v>
      </c>
      <c r="E205" s="67">
        <f>SUBTOTAL(9,E193:E204)</f>
        <v>0</v>
      </c>
      <c r="F205" s="65">
        <f>SUBTOTAL(9,F193:F204)</f>
        <v>-41253.510683786822</v>
      </c>
      <c r="G205" s="65">
        <v>0</v>
      </c>
      <c r="H205" s="67">
        <f>C205*G205</f>
        <v>0</v>
      </c>
      <c r="I205" s="123"/>
      <c r="J205" s="123"/>
      <c r="K205" s="123"/>
      <c r="L205" s="69">
        <f t="shared" ref="L205:S205" si="96">SUBTOTAL(9,L193:L204)</f>
        <v>-4000000</v>
      </c>
      <c r="M205" s="70">
        <f t="shared" si="96"/>
        <v>87981.59</v>
      </c>
      <c r="N205" s="70">
        <f t="shared" si="96"/>
        <v>0</v>
      </c>
      <c r="O205" s="70">
        <f t="shared" si="96"/>
        <v>62253.510683786822</v>
      </c>
      <c r="P205" s="70">
        <f t="shared" si="96"/>
        <v>25728.079316213174</v>
      </c>
      <c r="Q205" s="70">
        <f t="shared" si="96"/>
        <v>0</v>
      </c>
      <c r="R205" s="70">
        <f t="shared" si="96"/>
        <v>25728.079316213174</v>
      </c>
      <c r="S205" s="71">
        <f t="shared" si="96"/>
        <v>0</v>
      </c>
    </row>
    <row r="206" spans="1:19" ht="13.5" thickTop="1" x14ac:dyDescent="0.2">
      <c r="A206" s="39" t="s">
        <v>157</v>
      </c>
      <c r="B206" s="40"/>
      <c r="C206" s="41"/>
      <c r="D206" s="42"/>
      <c r="E206" s="41"/>
      <c r="F206" s="41"/>
      <c r="G206" s="41"/>
      <c r="H206" s="41"/>
      <c r="I206" s="43"/>
      <c r="J206" s="44"/>
      <c r="K206" s="44"/>
      <c r="L206" s="41"/>
      <c r="M206" s="41"/>
      <c r="N206" s="41"/>
      <c r="O206" s="41"/>
      <c r="P206" s="41"/>
      <c r="Q206" s="41"/>
      <c r="R206" s="41"/>
      <c r="S206" s="45"/>
    </row>
    <row r="207" spans="1:19" x14ac:dyDescent="0.2">
      <c r="A207" s="46" t="s">
        <v>128</v>
      </c>
      <c r="B207" s="47">
        <v>44516</v>
      </c>
      <c r="C207" s="48">
        <v>207000</v>
      </c>
      <c r="D207" s="49">
        <v>43638.7</v>
      </c>
      <c r="E207" s="50"/>
      <c r="F207" s="51">
        <f>SUM(D207:E207)</f>
        <v>43638.7</v>
      </c>
      <c r="G207" s="50"/>
      <c r="H207" s="50"/>
      <c r="I207" s="52"/>
      <c r="J207" s="53"/>
      <c r="K207" s="54"/>
      <c r="L207" s="55"/>
      <c r="M207" s="56"/>
      <c r="N207" s="56"/>
      <c r="O207" s="56"/>
      <c r="P207" s="57">
        <f>M207-N207-O207</f>
        <v>0</v>
      </c>
      <c r="Q207" s="58">
        <f>IF(P207&gt;0,IF(K207="Y",0,P207),0)</f>
        <v>0</v>
      </c>
      <c r="R207" s="57">
        <f t="shared" ref="R207:R209" si="97">IF(P207&gt;0,IF(K207="Y",P207,0),0)</f>
        <v>0</v>
      </c>
      <c r="S207" s="59">
        <f t="shared" ref="S207:S209" si="98">IF(P207&lt;0,P207,0)</f>
        <v>0</v>
      </c>
    </row>
    <row r="208" spans="1:19" x14ac:dyDescent="0.2">
      <c r="A208" s="46" t="s">
        <v>128</v>
      </c>
      <c r="B208" s="47">
        <v>44484</v>
      </c>
      <c r="C208" s="48">
        <v>1000000</v>
      </c>
      <c r="D208" s="49">
        <v>200000</v>
      </c>
      <c r="E208" s="50"/>
      <c r="F208" s="51">
        <f>SUM(D208:E208)</f>
        <v>200000</v>
      </c>
      <c r="G208" s="50"/>
      <c r="H208" s="50"/>
      <c r="I208" s="52"/>
      <c r="J208" s="53"/>
      <c r="K208" s="54"/>
      <c r="L208" s="55"/>
      <c r="M208" s="56"/>
      <c r="N208" s="56"/>
      <c r="O208" s="56"/>
      <c r="P208" s="57"/>
      <c r="Q208" s="58"/>
      <c r="R208" s="57"/>
      <c r="S208" s="59"/>
    </row>
    <row r="209" spans="1:19" x14ac:dyDescent="0.2">
      <c r="A209" s="60"/>
      <c r="B209" s="47"/>
      <c r="C209" s="61"/>
      <c r="D209" s="49"/>
      <c r="E209" s="62"/>
      <c r="F209" s="51">
        <f>SUM(D209:E209)</f>
        <v>0</v>
      </c>
      <c r="G209" s="50"/>
      <c r="H209" s="62"/>
      <c r="I209" s="52"/>
      <c r="J209" s="53"/>
      <c r="K209" s="54"/>
      <c r="L209" s="55"/>
      <c r="M209" s="56"/>
      <c r="N209" s="56"/>
      <c r="O209" s="56"/>
      <c r="P209" s="57">
        <f>M209-N209-O209</f>
        <v>0</v>
      </c>
      <c r="Q209" s="58">
        <f>IF(P209&gt;0,IF(K209="Y",0,P209),0)</f>
        <v>0</v>
      </c>
      <c r="R209" s="57">
        <f t="shared" si="97"/>
        <v>0</v>
      </c>
      <c r="S209" s="59">
        <f t="shared" si="98"/>
        <v>0</v>
      </c>
    </row>
    <row r="210" spans="1:19" ht="13.5" customHeight="1" thickBot="1" x14ac:dyDescent="0.3">
      <c r="A210" s="63"/>
      <c r="B210" s="64"/>
      <c r="C210" s="73">
        <f>SUBTOTAL(9,C207:C209)</f>
        <v>1207000</v>
      </c>
      <c r="D210" s="66">
        <f>SUBTOTAL(9,D207:D209)</f>
        <v>243638.7</v>
      </c>
      <c r="E210" s="67">
        <f>SUBTOTAL(9,E207:E209)</f>
        <v>0</v>
      </c>
      <c r="F210" s="65">
        <f>SUBTOTAL(9,F207:F209)</f>
        <v>243638.7</v>
      </c>
      <c r="G210" s="65">
        <f>112251/C210</f>
        <v>9.2999999999999999E-2</v>
      </c>
      <c r="H210" s="67">
        <f>C210*G210</f>
        <v>112251</v>
      </c>
      <c r="I210" s="68"/>
      <c r="J210" s="68"/>
      <c r="K210" s="68"/>
      <c r="L210" s="69">
        <f t="shared" ref="L210:S210" si="99">SUBTOTAL(9,L207:L209)</f>
        <v>0</v>
      </c>
      <c r="M210" s="70">
        <f t="shared" si="99"/>
        <v>0</v>
      </c>
      <c r="N210" s="70">
        <f t="shared" si="99"/>
        <v>0</v>
      </c>
      <c r="O210" s="70">
        <f t="shared" si="99"/>
        <v>0</v>
      </c>
      <c r="P210" s="70">
        <f t="shared" si="99"/>
        <v>0</v>
      </c>
      <c r="Q210" s="70">
        <f t="shared" si="99"/>
        <v>0</v>
      </c>
      <c r="R210" s="70">
        <f t="shared" si="99"/>
        <v>0</v>
      </c>
      <c r="S210" s="71">
        <f t="shared" si="99"/>
        <v>0</v>
      </c>
    </row>
    <row r="211" spans="1:19" ht="13.5" thickTop="1" x14ac:dyDescent="0.2">
      <c r="A211" s="39" t="s">
        <v>158</v>
      </c>
      <c r="B211" s="40"/>
      <c r="C211" s="41"/>
      <c r="D211" s="42"/>
      <c r="E211" s="41"/>
      <c r="F211" s="41"/>
      <c r="G211" s="41"/>
      <c r="H211" s="41"/>
      <c r="I211" s="43"/>
      <c r="J211" s="44"/>
      <c r="K211" s="44"/>
      <c r="L211" s="41"/>
      <c r="M211" s="41"/>
      <c r="N211" s="41"/>
      <c r="O211" s="41"/>
      <c r="P211" s="41"/>
      <c r="Q211" s="41"/>
      <c r="R211" s="41"/>
      <c r="S211" s="45"/>
    </row>
    <row r="212" spans="1:19" x14ac:dyDescent="0.2">
      <c r="A212" s="46" t="s">
        <v>128</v>
      </c>
      <c r="B212" s="47">
        <v>44614</v>
      </c>
      <c r="C212" s="48">
        <v>603500</v>
      </c>
      <c r="D212" s="49">
        <v>0</v>
      </c>
      <c r="E212" s="50"/>
      <c r="F212" s="51">
        <f>SUM(D212:E212)</f>
        <v>0</v>
      </c>
      <c r="G212" s="50"/>
      <c r="H212" s="50"/>
      <c r="I212" s="52"/>
      <c r="J212" s="53"/>
      <c r="K212" s="54"/>
      <c r="L212" s="55"/>
      <c r="M212" s="56"/>
      <c r="N212" s="56"/>
      <c r="O212" s="56"/>
      <c r="P212" s="57">
        <f>M212-N212-O212</f>
        <v>0</v>
      </c>
      <c r="Q212" s="58">
        <f>IF(P212&gt;0,IF(K212="Y",0,P212),0)</f>
        <v>0</v>
      </c>
      <c r="R212" s="57">
        <f t="shared" ref="R212:R213" si="100">IF(P212&gt;0,IF(K212="Y",P212,0),0)</f>
        <v>0</v>
      </c>
      <c r="S212" s="59">
        <f t="shared" ref="S212:S213" si="101">IF(P212&lt;0,P212,0)</f>
        <v>0</v>
      </c>
    </row>
    <row r="213" spans="1:19" x14ac:dyDescent="0.2">
      <c r="A213" s="60"/>
      <c r="B213" s="47"/>
      <c r="C213" s="61"/>
      <c r="D213" s="49"/>
      <c r="E213" s="62"/>
      <c r="F213" s="51">
        <f>SUM(D213:E213)</f>
        <v>0</v>
      </c>
      <c r="G213" s="50"/>
      <c r="H213" s="62"/>
      <c r="I213" s="52"/>
      <c r="J213" s="53"/>
      <c r="K213" s="54"/>
      <c r="L213" s="55"/>
      <c r="M213" s="56"/>
      <c r="N213" s="56"/>
      <c r="O213" s="56"/>
      <c r="P213" s="57">
        <f>M213-N213-O213</f>
        <v>0</v>
      </c>
      <c r="Q213" s="58">
        <f>IF(P213&gt;0,IF(K213="Y",0,P213),0)</f>
        <v>0</v>
      </c>
      <c r="R213" s="57">
        <f t="shared" si="100"/>
        <v>0</v>
      </c>
      <c r="S213" s="59">
        <f t="shared" si="101"/>
        <v>0</v>
      </c>
    </row>
    <row r="214" spans="1:19" ht="13.5" customHeight="1" thickBot="1" x14ac:dyDescent="0.3">
      <c r="A214" s="63"/>
      <c r="B214" s="64"/>
      <c r="C214" s="73">
        <f>SUBTOTAL(9,C212:C213)</f>
        <v>603500</v>
      </c>
      <c r="D214" s="66">
        <f>SUBTOTAL(9,D212:D213)</f>
        <v>0</v>
      </c>
      <c r="E214" s="67">
        <f>SUBTOTAL(9,E212:E213)</f>
        <v>0</v>
      </c>
      <c r="F214" s="65">
        <f>SUBTOTAL(9,F212:F213)</f>
        <v>0</v>
      </c>
      <c r="G214" s="65">
        <f>16294.5/C214</f>
        <v>2.7E-2</v>
      </c>
      <c r="H214" s="67">
        <f>C214*G214</f>
        <v>16294.5</v>
      </c>
      <c r="I214" s="68"/>
      <c r="J214" s="68"/>
      <c r="K214" s="68"/>
      <c r="L214" s="69">
        <f t="shared" ref="L214:S214" si="102">SUBTOTAL(9,L212:L213)</f>
        <v>0</v>
      </c>
      <c r="M214" s="70">
        <f t="shared" si="102"/>
        <v>0</v>
      </c>
      <c r="N214" s="70">
        <f t="shared" si="102"/>
        <v>0</v>
      </c>
      <c r="O214" s="70">
        <f t="shared" si="102"/>
        <v>0</v>
      </c>
      <c r="P214" s="70">
        <f t="shared" si="102"/>
        <v>0</v>
      </c>
      <c r="Q214" s="70">
        <f t="shared" si="102"/>
        <v>0</v>
      </c>
      <c r="R214" s="70">
        <f t="shared" si="102"/>
        <v>0</v>
      </c>
      <c r="S214" s="71">
        <f t="shared" si="102"/>
        <v>0</v>
      </c>
    </row>
    <row r="215" spans="1:19" ht="13.5" thickTop="1" x14ac:dyDescent="0.2">
      <c r="A215" s="39" t="s">
        <v>159</v>
      </c>
      <c r="B215" s="40"/>
      <c r="C215" s="41"/>
      <c r="D215" s="42"/>
      <c r="E215" s="41"/>
      <c r="F215" s="41"/>
      <c r="G215" s="41"/>
      <c r="H215" s="41"/>
      <c r="I215" s="43"/>
      <c r="J215" s="44"/>
      <c r="K215" s="44"/>
      <c r="L215" s="41"/>
      <c r="M215" s="41"/>
      <c r="N215" s="41"/>
      <c r="O215" s="41"/>
      <c r="P215" s="41"/>
      <c r="Q215" s="41"/>
      <c r="R215" s="41"/>
      <c r="S215" s="45"/>
    </row>
    <row r="216" spans="1:19" x14ac:dyDescent="0.2">
      <c r="A216" s="46"/>
      <c r="B216" s="47"/>
      <c r="C216" s="48"/>
      <c r="D216" s="49"/>
      <c r="E216" s="50"/>
      <c r="F216" s="51">
        <f>SUM(D216:E216)</f>
        <v>0</v>
      </c>
      <c r="G216" s="50"/>
      <c r="H216" s="50"/>
      <c r="I216" s="52"/>
      <c r="J216" s="53"/>
      <c r="K216" s="54"/>
      <c r="L216" s="55"/>
      <c r="M216" s="56"/>
      <c r="N216" s="56"/>
      <c r="O216" s="56"/>
      <c r="P216" s="57">
        <f>M216-N216-O216</f>
        <v>0</v>
      </c>
      <c r="Q216" s="58">
        <f>IF(P216&gt;0,IF(K216="Y",0,P216),0)</f>
        <v>0</v>
      </c>
      <c r="R216" s="57">
        <f t="shared" ref="R216:R217" si="103">IF(P216&gt;0,IF(K216="Y",P216,0),0)</f>
        <v>0</v>
      </c>
      <c r="S216" s="59">
        <f t="shared" ref="S216:S217" si="104">IF(P216&lt;0,P216,0)</f>
        <v>0</v>
      </c>
    </row>
    <row r="217" spans="1:19" x14ac:dyDescent="0.2">
      <c r="A217" s="60"/>
      <c r="B217" s="47"/>
      <c r="C217" s="61"/>
      <c r="D217" s="49"/>
      <c r="E217" s="62"/>
      <c r="F217" s="51">
        <f>SUM(D217:E217)</f>
        <v>0</v>
      </c>
      <c r="G217" s="50"/>
      <c r="H217" s="62"/>
      <c r="I217" s="52"/>
      <c r="J217" s="53"/>
      <c r="K217" s="54"/>
      <c r="L217" s="55"/>
      <c r="M217" s="56"/>
      <c r="N217" s="56"/>
      <c r="O217" s="56"/>
      <c r="P217" s="57">
        <f>M217-N217-O217</f>
        <v>0</v>
      </c>
      <c r="Q217" s="58">
        <f>IF(P217&gt;0,IF(K217="Y",0,P217),0)</f>
        <v>0</v>
      </c>
      <c r="R217" s="57">
        <f t="shared" si="103"/>
        <v>0</v>
      </c>
      <c r="S217" s="59">
        <f t="shared" si="104"/>
        <v>0</v>
      </c>
    </row>
    <row r="218" spans="1:19" ht="13.5" customHeight="1" thickBot="1" x14ac:dyDescent="0.3">
      <c r="A218" s="63"/>
      <c r="B218" s="64"/>
      <c r="C218" s="65">
        <f>SUBTOTAL(9,C216:C217)</f>
        <v>0</v>
      </c>
      <c r="D218" s="66">
        <f>SUBTOTAL(9,D216:D217)</f>
        <v>0</v>
      </c>
      <c r="E218" s="67">
        <f>SUBTOTAL(9,E216:E217)</f>
        <v>0</v>
      </c>
      <c r="F218" s="65">
        <f>SUBTOTAL(9,F216:F217)</f>
        <v>0</v>
      </c>
      <c r="G218" s="65">
        <v>0</v>
      </c>
      <c r="H218" s="67">
        <f>C218*G218</f>
        <v>0</v>
      </c>
      <c r="I218" s="68"/>
      <c r="J218" s="68"/>
      <c r="K218" s="68"/>
      <c r="L218" s="69">
        <f t="shared" ref="L218:S218" si="105">SUBTOTAL(9,L216:L217)</f>
        <v>0</v>
      </c>
      <c r="M218" s="70">
        <f t="shared" si="105"/>
        <v>0</v>
      </c>
      <c r="N218" s="70">
        <f t="shared" si="105"/>
        <v>0</v>
      </c>
      <c r="O218" s="70">
        <f t="shared" si="105"/>
        <v>0</v>
      </c>
      <c r="P218" s="70">
        <f t="shared" si="105"/>
        <v>0</v>
      </c>
      <c r="Q218" s="70">
        <f t="shared" si="105"/>
        <v>0</v>
      </c>
      <c r="R218" s="70">
        <f t="shared" si="105"/>
        <v>0</v>
      </c>
      <c r="S218" s="71">
        <f t="shared" si="105"/>
        <v>0</v>
      </c>
    </row>
    <row r="219" spans="1:19" ht="13.5" thickTop="1" x14ac:dyDescent="0.2">
      <c r="A219" s="39" t="s">
        <v>160</v>
      </c>
      <c r="B219" s="40"/>
      <c r="C219" s="41"/>
      <c r="D219" s="42"/>
      <c r="E219" s="41"/>
      <c r="F219" s="41"/>
      <c r="G219" s="41"/>
      <c r="H219" s="41"/>
      <c r="I219" s="43"/>
      <c r="J219" s="44"/>
      <c r="K219" s="44"/>
      <c r="L219" s="41"/>
      <c r="M219" s="41"/>
      <c r="N219" s="41"/>
      <c r="O219" s="41"/>
      <c r="P219" s="41"/>
      <c r="Q219" s="41"/>
      <c r="R219" s="41"/>
      <c r="S219" s="45"/>
    </row>
    <row r="220" spans="1:19" x14ac:dyDescent="0.2">
      <c r="A220" s="46" t="s">
        <v>128</v>
      </c>
      <c r="B220" s="47">
        <v>43942</v>
      </c>
      <c r="C220" s="48">
        <v>7000</v>
      </c>
      <c r="D220" s="49">
        <v>33250</v>
      </c>
      <c r="E220" s="50"/>
      <c r="F220" s="51">
        <f>SUM(D220:E220)</f>
        <v>33250</v>
      </c>
      <c r="G220" s="50"/>
      <c r="H220" s="50"/>
      <c r="I220" s="52"/>
      <c r="J220" s="53"/>
      <c r="K220" s="54"/>
      <c r="L220" s="55"/>
      <c r="M220" s="56"/>
      <c r="N220" s="56"/>
      <c r="O220" s="56"/>
      <c r="P220" s="57">
        <f>M220-N220-O220</f>
        <v>0</v>
      </c>
      <c r="Q220" s="58">
        <f>IF(P220&gt;0,IF(K220="Y",0,P220),0)</f>
        <v>0</v>
      </c>
      <c r="R220" s="57">
        <f t="shared" ref="R220:R222" si="106">IF(P220&gt;0,IF(K220="Y",P220,0),0)</f>
        <v>0</v>
      </c>
      <c r="S220" s="59">
        <f t="shared" ref="S220:S222" si="107">IF(P220&lt;0,P220,0)</f>
        <v>0</v>
      </c>
    </row>
    <row r="221" spans="1:19" x14ac:dyDescent="0.2">
      <c r="A221" s="46" t="s">
        <v>129</v>
      </c>
      <c r="B221" s="47">
        <v>43971</v>
      </c>
      <c r="C221" s="48">
        <v>-7000</v>
      </c>
      <c r="D221" s="49">
        <f>-D220</f>
        <v>-33250</v>
      </c>
      <c r="E221" s="50"/>
      <c r="F221" s="51">
        <f>SUM(D221:E221)</f>
        <v>-33250</v>
      </c>
      <c r="G221" s="50"/>
      <c r="H221" s="50"/>
      <c r="I221" s="52"/>
      <c r="J221" s="53"/>
      <c r="K221" s="54"/>
      <c r="L221" s="55"/>
      <c r="M221" s="56"/>
      <c r="N221" s="56"/>
      <c r="O221" s="56"/>
      <c r="P221" s="57"/>
      <c r="Q221" s="58"/>
      <c r="R221" s="57">
        <f t="shared" si="106"/>
        <v>0</v>
      </c>
      <c r="S221" s="59">
        <f t="shared" si="107"/>
        <v>0</v>
      </c>
    </row>
    <row r="222" spans="1:19" x14ac:dyDescent="0.2">
      <c r="A222" s="60"/>
      <c r="B222" s="47"/>
      <c r="C222" s="61"/>
      <c r="D222" s="49"/>
      <c r="E222" s="62"/>
      <c r="F222" s="51">
        <f>SUM(D222:E222)</f>
        <v>0</v>
      </c>
      <c r="G222" s="50"/>
      <c r="H222" s="62"/>
      <c r="I222" s="52"/>
      <c r="J222" s="53"/>
      <c r="K222" s="54"/>
      <c r="L222" s="55"/>
      <c r="M222" s="56"/>
      <c r="N222" s="56"/>
      <c r="O222" s="56"/>
      <c r="P222" s="57">
        <f>M222-N222-O222</f>
        <v>0</v>
      </c>
      <c r="Q222" s="58">
        <f>IF(P222&gt;0,IF(K222="Y",0,P222),0)</f>
        <v>0</v>
      </c>
      <c r="R222" s="57">
        <f t="shared" si="106"/>
        <v>0</v>
      </c>
      <c r="S222" s="59">
        <f t="shared" si="107"/>
        <v>0</v>
      </c>
    </row>
    <row r="223" spans="1:19" ht="13.5" customHeight="1" thickBot="1" x14ac:dyDescent="0.3">
      <c r="A223" s="63"/>
      <c r="B223" s="64"/>
      <c r="C223" s="65">
        <f>SUBTOTAL(9,C220:C222)</f>
        <v>0</v>
      </c>
      <c r="D223" s="66">
        <f>SUBTOTAL(9,D220:D222)</f>
        <v>0</v>
      </c>
      <c r="E223" s="67">
        <f>SUBTOTAL(9,E220:E222)</f>
        <v>0</v>
      </c>
      <c r="F223" s="65">
        <f>SUBTOTAL(9,F220:F222)</f>
        <v>0</v>
      </c>
      <c r="G223" s="65">
        <v>0</v>
      </c>
      <c r="H223" s="67">
        <f>C223*G223</f>
        <v>0</v>
      </c>
      <c r="I223" s="68"/>
      <c r="J223" s="68"/>
      <c r="K223" s="68"/>
      <c r="L223" s="69">
        <f t="shared" ref="L223:S223" si="108">SUBTOTAL(9,L220:L222)</f>
        <v>0</v>
      </c>
      <c r="M223" s="70">
        <f t="shared" si="108"/>
        <v>0</v>
      </c>
      <c r="N223" s="70">
        <f t="shared" si="108"/>
        <v>0</v>
      </c>
      <c r="O223" s="70">
        <f t="shared" si="108"/>
        <v>0</v>
      </c>
      <c r="P223" s="70">
        <f t="shared" si="108"/>
        <v>0</v>
      </c>
      <c r="Q223" s="70">
        <f t="shared" si="108"/>
        <v>0</v>
      </c>
      <c r="R223" s="70">
        <f t="shared" si="108"/>
        <v>0</v>
      </c>
      <c r="S223" s="71">
        <f t="shared" si="108"/>
        <v>0</v>
      </c>
    </row>
    <row r="224" spans="1:19" ht="13.5" thickTop="1" x14ac:dyDescent="0.2">
      <c r="A224" s="39" t="s">
        <v>161</v>
      </c>
      <c r="B224" s="40"/>
      <c r="C224" s="41"/>
      <c r="D224" s="42"/>
      <c r="E224" s="41"/>
      <c r="F224" s="41"/>
      <c r="G224" s="41"/>
      <c r="H224" s="41"/>
      <c r="I224" s="43"/>
      <c r="J224" s="44"/>
      <c r="K224" s="44"/>
      <c r="L224" s="41"/>
      <c r="M224" s="41"/>
      <c r="N224" s="41"/>
      <c r="O224" s="41"/>
      <c r="P224" s="41"/>
      <c r="Q224" s="41"/>
      <c r="R224" s="41"/>
      <c r="S224" s="45"/>
    </row>
    <row r="225" spans="1:19" x14ac:dyDescent="0.2">
      <c r="A225" s="46" t="s">
        <v>128</v>
      </c>
      <c r="B225" s="47">
        <v>43878</v>
      </c>
      <c r="C225" s="48">
        <v>25000</v>
      </c>
      <c r="D225" s="49">
        <v>102057.25</v>
      </c>
      <c r="E225" s="50"/>
      <c r="F225" s="51">
        <f>SUM(D225:E225)</f>
        <v>102057.25</v>
      </c>
      <c r="G225" s="50"/>
      <c r="H225" s="50"/>
      <c r="I225" s="52"/>
      <c r="J225" s="53"/>
      <c r="K225" s="54"/>
      <c r="L225" s="55"/>
      <c r="M225" s="56"/>
      <c r="N225" s="56"/>
      <c r="O225" s="56"/>
      <c r="P225" s="57">
        <f>M225-N225-O225</f>
        <v>0</v>
      </c>
      <c r="Q225" s="58">
        <f>IF(P225&gt;0,IF(K225="Y",0,P225),0)</f>
        <v>0</v>
      </c>
      <c r="R225" s="57">
        <f t="shared" ref="R225:R227" si="109">IF(P225&gt;0,IF(K225="Y",P225,0),0)</f>
        <v>0</v>
      </c>
      <c r="S225" s="59">
        <f t="shared" ref="S225:S227" si="110">IF(P225&lt;0,P225,0)</f>
        <v>0</v>
      </c>
    </row>
    <row r="226" spans="1:19" x14ac:dyDescent="0.2">
      <c r="A226" s="46" t="s">
        <v>129</v>
      </c>
      <c r="B226" s="47">
        <v>43892</v>
      </c>
      <c r="C226" s="48">
        <v>-25000</v>
      </c>
      <c r="D226" s="49">
        <f>-D225</f>
        <v>-102057.25</v>
      </c>
      <c r="E226" s="50"/>
      <c r="F226" s="51">
        <f>SUM(D226:E226)</f>
        <v>-102057.25</v>
      </c>
      <c r="G226" s="50"/>
      <c r="H226" s="50"/>
      <c r="I226" s="52"/>
      <c r="J226" s="53"/>
      <c r="K226" s="54"/>
      <c r="L226" s="55"/>
      <c r="M226" s="56"/>
      <c r="N226" s="56"/>
      <c r="O226" s="56"/>
      <c r="P226" s="57">
        <f t="shared" ref="P226:P227" si="111">M226-N226-O226</f>
        <v>0</v>
      </c>
      <c r="Q226" s="58">
        <f t="shared" ref="Q226:Q227" si="112">IF(P226&gt;0,IF(K226="Y",0,P226),0)</f>
        <v>0</v>
      </c>
      <c r="R226" s="57">
        <f t="shared" si="109"/>
        <v>0</v>
      </c>
      <c r="S226" s="59">
        <f t="shared" si="110"/>
        <v>0</v>
      </c>
    </row>
    <row r="227" spans="1:19" x14ac:dyDescent="0.2">
      <c r="A227" s="60"/>
      <c r="B227" s="47"/>
      <c r="C227" s="61"/>
      <c r="D227" s="49"/>
      <c r="E227" s="62"/>
      <c r="F227" s="51">
        <f>SUM(D227:E227)</f>
        <v>0</v>
      </c>
      <c r="G227" s="50"/>
      <c r="H227" s="62"/>
      <c r="I227" s="52"/>
      <c r="J227" s="53"/>
      <c r="K227" s="54"/>
      <c r="L227" s="55"/>
      <c r="M227" s="56"/>
      <c r="N227" s="56"/>
      <c r="O227" s="56"/>
      <c r="P227" s="57">
        <f t="shared" si="111"/>
        <v>0</v>
      </c>
      <c r="Q227" s="58">
        <f t="shared" si="112"/>
        <v>0</v>
      </c>
      <c r="R227" s="57">
        <f t="shared" si="109"/>
        <v>0</v>
      </c>
      <c r="S227" s="59">
        <f t="shared" si="110"/>
        <v>0</v>
      </c>
    </row>
    <row r="228" spans="1:19" ht="13.5" customHeight="1" thickBot="1" x14ac:dyDescent="0.3">
      <c r="A228" s="63"/>
      <c r="B228" s="64"/>
      <c r="C228" s="65">
        <f>SUBTOTAL(9,C225:C227)</f>
        <v>0</v>
      </c>
      <c r="D228" s="66">
        <f>SUBTOTAL(9,D225:D227)</f>
        <v>0</v>
      </c>
      <c r="E228" s="67">
        <f>SUBTOTAL(9,E225:E227)</f>
        <v>0</v>
      </c>
      <c r="F228" s="65">
        <f>SUBTOTAL(9,F225:F227)</f>
        <v>0</v>
      </c>
      <c r="G228" s="65">
        <v>0</v>
      </c>
      <c r="H228" s="67">
        <f>C228*G228</f>
        <v>0</v>
      </c>
      <c r="I228" s="68"/>
      <c r="J228" s="68"/>
      <c r="K228" s="68"/>
      <c r="L228" s="69">
        <f t="shared" ref="L228:S228" si="113">SUBTOTAL(9,L225:L227)</f>
        <v>0</v>
      </c>
      <c r="M228" s="70">
        <f t="shared" si="113"/>
        <v>0</v>
      </c>
      <c r="N228" s="70">
        <f t="shared" si="113"/>
        <v>0</v>
      </c>
      <c r="O228" s="70">
        <f t="shared" si="113"/>
        <v>0</v>
      </c>
      <c r="P228" s="70">
        <f t="shared" si="113"/>
        <v>0</v>
      </c>
      <c r="Q228" s="70">
        <f t="shared" si="113"/>
        <v>0</v>
      </c>
      <c r="R228" s="70">
        <f t="shared" si="113"/>
        <v>0</v>
      </c>
      <c r="S228" s="71">
        <f t="shared" si="113"/>
        <v>0</v>
      </c>
    </row>
    <row r="229" spans="1:19" ht="13.5" thickTop="1" x14ac:dyDescent="0.2">
      <c r="A229" s="78" t="s">
        <v>162</v>
      </c>
      <c r="B229" s="40"/>
      <c r="C229" s="41"/>
      <c r="D229" s="42"/>
      <c r="E229" s="41"/>
      <c r="F229" s="41"/>
      <c r="G229" s="41"/>
      <c r="H229" s="41"/>
      <c r="I229" s="43"/>
      <c r="J229" s="44"/>
      <c r="K229" s="44"/>
      <c r="L229" s="41"/>
      <c r="M229" s="41"/>
      <c r="N229" s="41"/>
      <c r="O229" s="41"/>
      <c r="P229" s="41"/>
      <c r="Q229" s="41"/>
      <c r="R229" s="41"/>
      <c r="S229" s="45"/>
    </row>
    <row r="230" spans="1:19" x14ac:dyDescent="0.2">
      <c r="A230" s="46" t="s">
        <v>128</v>
      </c>
      <c r="B230" s="47">
        <v>43741</v>
      </c>
      <c r="C230" s="48">
        <v>100000</v>
      </c>
      <c r="D230" s="49">
        <v>30165</v>
      </c>
      <c r="E230" s="50"/>
      <c r="F230" s="51">
        <f>SUM(D230:E230)</f>
        <v>30165</v>
      </c>
      <c r="G230" s="50"/>
      <c r="H230" s="50"/>
      <c r="I230" s="52"/>
      <c r="J230" s="72"/>
      <c r="K230" s="54"/>
      <c r="L230" s="55"/>
      <c r="M230" s="56"/>
      <c r="N230" s="56"/>
      <c r="O230" s="56"/>
      <c r="P230" s="57">
        <f>M230-N230-O230</f>
        <v>0</v>
      </c>
      <c r="Q230" s="58">
        <f>IF(P230&gt;0,IF(K230="Y",0,P230),0)</f>
        <v>0</v>
      </c>
      <c r="R230" s="57">
        <f t="shared" ref="R230:R234" si="114">IF(P230&gt;0,IF(K230="Y",P230,0),0)</f>
        <v>0</v>
      </c>
      <c r="S230" s="59">
        <f t="shared" ref="S230:S234" si="115">IF(P230&lt;0,P230,0)</f>
        <v>0</v>
      </c>
    </row>
    <row r="231" spans="1:19" x14ac:dyDescent="0.2">
      <c r="A231" s="46" t="s">
        <v>129</v>
      </c>
      <c r="B231" s="47">
        <v>43746</v>
      </c>
      <c r="C231" s="48">
        <v>-50000</v>
      </c>
      <c r="D231" s="49">
        <f>-D230/2</f>
        <v>-15082.5</v>
      </c>
      <c r="E231" s="50"/>
      <c r="F231" s="51">
        <f>SUM(D231:E231)</f>
        <v>-15082.5</v>
      </c>
      <c r="G231" s="50"/>
      <c r="H231" s="50"/>
      <c r="I231" s="52"/>
      <c r="J231" s="72"/>
      <c r="K231" s="54"/>
      <c r="L231" s="55"/>
      <c r="M231" s="56"/>
      <c r="N231" s="56"/>
      <c r="O231" s="56"/>
      <c r="P231" s="57"/>
      <c r="Q231" s="58"/>
      <c r="R231" s="57">
        <f t="shared" si="114"/>
        <v>0</v>
      </c>
      <c r="S231" s="59">
        <f t="shared" si="115"/>
        <v>0</v>
      </c>
    </row>
    <row r="232" spans="1:19" x14ac:dyDescent="0.2">
      <c r="A232" s="46" t="s">
        <v>128</v>
      </c>
      <c r="B232" s="47">
        <v>43783</v>
      </c>
      <c r="C232" s="48">
        <v>100000</v>
      </c>
      <c r="D232" s="49">
        <v>30165</v>
      </c>
      <c r="E232" s="50"/>
      <c r="F232" s="51">
        <f>SUM(D232:E232)</f>
        <v>30165</v>
      </c>
      <c r="G232" s="50"/>
      <c r="H232" s="50"/>
      <c r="I232" s="52"/>
      <c r="J232" s="72"/>
      <c r="K232" s="54"/>
      <c r="L232" s="55"/>
      <c r="M232" s="56"/>
      <c r="N232" s="56"/>
      <c r="O232" s="56"/>
      <c r="P232" s="57">
        <f>M232-N232-O232</f>
        <v>0</v>
      </c>
      <c r="Q232" s="58">
        <f>IF(P232&gt;0,IF(K232="Y",0,P232),0)</f>
        <v>0</v>
      </c>
      <c r="R232" s="57">
        <f t="shared" si="114"/>
        <v>0</v>
      </c>
      <c r="S232" s="59">
        <f t="shared" si="115"/>
        <v>0</v>
      </c>
    </row>
    <row r="233" spans="1:19" x14ac:dyDescent="0.2">
      <c r="A233" s="60" t="s">
        <v>129</v>
      </c>
      <c r="B233" s="47">
        <v>44610</v>
      </c>
      <c r="C233" s="48">
        <v>-150000</v>
      </c>
      <c r="D233" s="49">
        <f>-SUM(D230:D232)</f>
        <v>-45247.5</v>
      </c>
      <c r="E233" s="50"/>
      <c r="F233" s="51">
        <f>SUM(D233:E233)</f>
        <v>-45247.5</v>
      </c>
      <c r="G233" s="50"/>
      <c r="H233" s="50"/>
      <c r="I233" s="52"/>
      <c r="J233" s="72">
        <f t="shared" ref="J233" si="116">B233</f>
        <v>44610</v>
      </c>
      <c r="K233" s="72" t="s">
        <v>142</v>
      </c>
      <c r="L233" s="55">
        <f t="shared" ref="L233" si="117">C233</f>
        <v>-150000</v>
      </c>
      <c r="M233" s="49">
        <v>27000</v>
      </c>
      <c r="N233" s="72"/>
      <c r="O233" s="49">
        <f t="shared" ref="O233" si="118">-D233</f>
        <v>45247.5</v>
      </c>
      <c r="P233" s="57">
        <f>M233-N233-O233</f>
        <v>-18247.5</v>
      </c>
      <c r="Q233" s="58">
        <f>IF(P233&gt;0,IF(K233="Y",0,P233),0)</f>
        <v>0</v>
      </c>
      <c r="R233" s="57">
        <f t="shared" si="114"/>
        <v>0</v>
      </c>
      <c r="S233" s="59">
        <f t="shared" si="115"/>
        <v>-18247.5</v>
      </c>
    </row>
    <row r="234" spans="1:19" x14ac:dyDescent="0.2">
      <c r="A234" s="60"/>
      <c r="B234" s="47"/>
      <c r="C234" s="61"/>
      <c r="D234" s="49"/>
      <c r="E234" s="62"/>
      <c r="F234" s="51">
        <f>SUM(D234:E234)</f>
        <v>0</v>
      </c>
      <c r="G234" s="50"/>
      <c r="H234" s="62"/>
      <c r="I234" s="52"/>
      <c r="J234" s="72"/>
      <c r="K234" s="54"/>
      <c r="L234" s="55"/>
      <c r="M234" s="56"/>
      <c r="N234" s="56"/>
      <c r="O234" s="56"/>
      <c r="P234" s="57">
        <f>M234-N234-O234</f>
        <v>0</v>
      </c>
      <c r="Q234" s="58">
        <f>IF(P234&gt;0,IF(K234="Y",0,P234),0)</f>
        <v>0</v>
      </c>
      <c r="R234" s="57">
        <f t="shared" si="114"/>
        <v>0</v>
      </c>
      <c r="S234" s="59">
        <f t="shared" si="115"/>
        <v>0</v>
      </c>
    </row>
    <row r="235" spans="1:19" ht="13.5" customHeight="1" thickBot="1" x14ac:dyDescent="0.3">
      <c r="A235" s="63"/>
      <c r="B235" s="64"/>
      <c r="C235" s="124">
        <f>SUBTOTAL(9,C230:C234)</f>
        <v>0</v>
      </c>
      <c r="D235" s="66">
        <f>SUBTOTAL(9,D230:D234)</f>
        <v>0</v>
      </c>
      <c r="E235" s="67">
        <f>SUBTOTAL(9,E230:E234)</f>
        <v>0</v>
      </c>
      <c r="F235" s="65">
        <f>SUBTOTAL(9,F230:F234)</f>
        <v>0</v>
      </c>
      <c r="G235" s="65">
        <v>0</v>
      </c>
      <c r="H235" s="67">
        <f>C235*G235</f>
        <v>0</v>
      </c>
      <c r="I235" s="68"/>
      <c r="J235" s="68"/>
      <c r="K235" s="68"/>
      <c r="L235" s="69">
        <f t="shared" ref="L235:S235" si="119">SUBTOTAL(9,L230:L234)</f>
        <v>-150000</v>
      </c>
      <c r="M235" s="70">
        <f t="shared" si="119"/>
        <v>27000</v>
      </c>
      <c r="N235" s="70">
        <f t="shared" si="119"/>
        <v>0</v>
      </c>
      <c r="O235" s="70">
        <f t="shared" si="119"/>
        <v>45247.5</v>
      </c>
      <c r="P235" s="70">
        <f t="shared" si="119"/>
        <v>-18247.5</v>
      </c>
      <c r="Q235" s="70">
        <f t="shared" si="119"/>
        <v>0</v>
      </c>
      <c r="R235" s="70">
        <f t="shared" si="119"/>
        <v>0</v>
      </c>
      <c r="S235" s="71">
        <f t="shared" si="119"/>
        <v>-18247.5</v>
      </c>
    </row>
    <row r="236" spans="1:19" ht="13.5" customHeight="1" thickTop="1" x14ac:dyDescent="0.2">
      <c r="A236" s="39" t="s">
        <v>163</v>
      </c>
      <c r="B236" s="40"/>
      <c r="C236" s="41"/>
      <c r="D236" s="42"/>
      <c r="E236" s="41"/>
      <c r="F236" s="41"/>
      <c r="G236" s="41"/>
      <c r="H236" s="41"/>
      <c r="I236" s="43"/>
      <c r="J236" s="44"/>
      <c r="K236" s="44"/>
      <c r="L236" s="41"/>
      <c r="M236" s="41"/>
      <c r="N236" s="41"/>
      <c r="O236" s="41"/>
      <c r="P236" s="41"/>
      <c r="Q236" s="41"/>
      <c r="R236" s="41"/>
      <c r="S236" s="45"/>
    </row>
    <row r="237" spans="1:19" x14ac:dyDescent="0.2">
      <c r="A237" s="46" t="s">
        <v>164</v>
      </c>
      <c r="B237" s="47">
        <v>44546</v>
      </c>
      <c r="C237" s="48">
        <v>26367</v>
      </c>
      <c r="D237" s="49">
        <f>SUM(D137:D143)*0.0144</f>
        <v>4299.6493440000004</v>
      </c>
      <c r="E237" s="50"/>
      <c r="F237" s="51">
        <f>SUM(D237:E237)</f>
        <v>4299.6493440000004</v>
      </c>
      <c r="G237" s="50"/>
      <c r="H237" s="50"/>
      <c r="I237" s="52"/>
      <c r="J237" s="53"/>
      <c r="K237" s="54"/>
      <c r="L237" s="55"/>
      <c r="M237" s="56"/>
      <c r="N237" s="56"/>
      <c r="O237" s="56"/>
      <c r="P237" s="57">
        <f t="shared" ref="P237" si="120">M237-N237-O237</f>
        <v>0</v>
      </c>
      <c r="Q237" s="58">
        <f t="shared" ref="Q237" si="121">IF(P237&gt;0,IF(K237="Y",0,P237),0)</f>
        <v>0</v>
      </c>
      <c r="R237" s="57">
        <f t="shared" ref="R237:R239" si="122">IF(P237&gt;0,IF(K237="Y",P237,0),0)</f>
        <v>0</v>
      </c>
      <c r="S237" s="59">
        <f t="shared" ref="S237:S239" si="123">IF(P237&lt;0,P237,0)</f>
        <v>0</v>
      </c>
    </row>
    <row r="238" spans="1:19" ht="13.5" customHeight="1" x14ac:dyDescent="0.2">
      <c r="A238" s="46" t="s">
        <v>129</v>
      </c>
      <c r="B238" s="79">
        <v>44575</v>
      </c>
      <c r="C238" s="86">
        <v>-26367</v>
      </c>
      <c r="D238" s="87">
        <f>-D237</f>
        <v>-4299.6493440000004</v>
      </c>
      <c r="E238" s="50"/>
      <c r="F238" s="51">
        <f>SUM(D238:E238)</f>
        <v>-4299.6493440000004</v>
      </c>
      <c r="G238" s="50"/>
      <c r="H238" s="50"/>
      <c r="I238" s="52"/>
      <c r="J238" s="72">
        <f t="shared" ref="J238" si="124">B238</f>
        <v>44575</v>
      </c>
      <c r="K238" s="72" t="s">
        <v>151</v>
      </c>
      <c r="L238" s="55">
        <f t="shared" ref="L238" si="125">C238</f>
        <v>-26367</v>
      </c>
      <c r="M238" s="49">
        <v>17671.2</v>
      </c>
      <c r="N238" s="72"/>
      <c r="O238" s="49">
        <f t="shared" ref="O238" si="126">-D238</f>
        <v>4299.6493440000004</v>
      </c>
      <c r="P238" s="57">
        <f>M238-N238-O238</f>
        <v>13371.550655999999</v>
      </c>
      <c r="Q238" s="58">
        <f>IF(P238&gt;0,IF(K238="Y",0,P238),0)</f>
        <v>13371.550655999999</v>
      </c>
      <c r="R238" s="57">
        <f t="shared" si="122"/>
        <v>0</v>
      </c>
      <c r="S238" s="59">
        <f t="shared" si="123"/>
        <v>0</v>
      </c>
    </row>
    <row r="239" spans="1:19" ht="13.5" customHeight="1" x14ac:dyDescent="0.2">
      <c r="A239" s="60"/>
      <c r="B239" s="47"/>
      <c r="C239" s="61"/>
      <c r="D239" s="49"/>
      <c r="E239" s="62"/>
      <c r="F239" s="51">
        <f>SUM(D239:E239)</f>
        <v>0</v>
      </c>
      <c r="G239" s="50"/>
      <c r="H239" s="62"/>
      <c r="I239" s="52"/>
      <c r="J239" s="53"/>
      <c r="K239" s="54"/>
      <c r="L239" s="55"/>
      <c r="M239" s="56"/>
      <c r="N239" s="56"/>
      <c r="O239" s="56"/>
      <c r="P239" s="57">
        <f>M239-N239-O239</f>
        <v>0</v>
      </c>
      <c r="Q239" s="58">
        <f t="shared" ref="Q239" si="127">IF(P239&gt;0,IF(K239="Y",0,P239),0)</f>
        <v>0</v>
      </c>
      <c r="R239" s="57">
        <f t="shared" si="122"/>
        <v>0</v>
      </c>
      <c r="S239" s="59">
        <f t="shared" si="123"/>
        <v>0</v>
      </c>
    </row>
    <row r="240" spans="1:19" ht="13.5" customHeight="1" thickBot="1" x14ac:dyDescent="0.3">
      <c r="A240" s="63"/>
      <c r="B240" s="64"/>
      <c r="C240" s="73">
        <f>SUBTOTAL(9,C237:C239)</f>
        <v>0</v>
      </c>
      <c r="D240" s="66">
        <f t="shared" ref="D240:H240" si="128">SUBTOTAL(9,D237:D239)</f>
        <v>0</v>
      </c>
      <c r="E240" s="67">
        <f t="shared" si="128"/>
        <v>0</v>
      </c>
      <c r="F240" s="65">
        <f t="shared" si="128"/>
        <v>0</v>
      </c>
      <c r="G240" s="65">
        <f t="shared" si="128"/>
        <v>0</v>
      </c>
      <c r="H240" s="67">
        <f t="shared" si="128"/>
        <v>0</v>
      </c>
      <c r="I240" s="68"/>
      <c r="J240" s="68"/>
      <c r="K240" s="68"/>
      <c r="L240" s="69">
        <f t="shared" ref="L240:S240" si="129">SUBTOTAL(9,L237:L239)</f>
        <v>-26367</v>
      </c>
      <c r="M240" s="70">
        <f t="shared" si="129"/>
        <v>17671.2</v>
      </c>
      <c r="N240" s="70">
        <f t="shared" si="129"/>
        <v>0</v>
      </c>
      <c r="O240" s="70">
        <f t="shared" si="129"/>
        <v>4299.6493440000004</v>
      </c>
      <c r="P240" s="70">
        <f t="shared" si="129"/>
        <v>13371.550655999999</v>
      </c>
      <c r="Q240" s="70">
        <f t="shared" si="129"/>
        <v>13371.550655999999</v>
      </c>
      <c r="R240" s="70">
        <f t="shared" si="129"/>
        <v>0</v>
      </c>
      <c r="S240" s="71">
        <f t="shared" si="129"/>
        <v>0</v>
      </c>
    </row>
    <row r="241" spans="1:19" ht="13.5" thickTop="1" x14ac:dyDescent="0.2">
      <c r="A241" s="39" t="s">
        <v>165</v>
      </c>
      <c r="B241" s="40"/>
      <c r="C241" s="41"/>
      <c r="D241" s="42"/>
      <c r="E241" s="41"/>
      <c r="F241" s="41"/>
      <c r="G241" s="41"/>
      <c r="H241" s="41"/>
      <c r="I241" s="43"/>
      <c r="J241" s="44"/>
      <c r="K241" s="44"/>
      <c r="L241" s="41"/>
      <c r="M241" s="41"/>
      <c r="N241" s="41"/>
      <c r="O241" s="41"/>
      <c r="P241" s="41"/>
      <c r="Q241" s="41"/>
      <c r="R241" s="41"/>
      <c r="S241" s="45"/>
    </row>
    <row r="242" spans="1:19" x14ac:dyDescent="0.2">
      <c r="A242" s="46" t="s">
        <v>128</v>
      </c>
      <c r="B242" s="47">
        <v>43710</v>
      </c>
      <c r="C242" s="48">
        <v>18000</v>
      </c>
      <c r="D242" s="49">
        <v>49480.66</v>
      </c>
      <c r="E242" s="50"/>
      <c r="F242" s="51">
        <f t="shared" ref="F242:F247" si="130">SUM(D242:E242)</f>
        <v>49480.66</v>
      </c>
      <c r="G242" s="50"/>
      <c r="H242" s="50"/>
      <c r="I242" s="52"/>
      <c r="J242" s="72"/>
      <c r="K242" s="54"/>
      <c r="L242" s="55"/>
      <c r="M242" s="56"/>
      <c r="N242" s="56"/>
      <c r="O242" s="56"/>
      <c r="P242" s="57">
        <f>M242-N242-O242</f>
        <v>0</v>
      </c>
      <c r="Q242" s="58">
        <f>IF(P242&gt;0,IF(K242="Y",0,P242),0)</f>
        <v>0</v>
      </c>
      <c r="R242" s="57">
        <f t="shared" ref="R242:R247" si="131">IF(P242&gt;0,IF(K242="Y",P242,0),0)</f>
        <v>0</v>
      </c>
      <c r="S242" s="59">
        <f t="shared" ref="S242:S247" si="132">IF(P242&lt;0,P242,0)</f>
        <v>0</v>
      </c>
    </row>
    <row r="243" spans="1:19" x14ac:dyDescent="0.2">
      <c r="A243" s="46" t="s">
        <v>129</v>
      </c>
      <c r="B243" s="47">
        <v>43718</v>
      </c>
      <c r="C243" s="48">
        <f>-9000</f>
        <v>-9000</v>
      </c>
      <c r="D243" s="49">
        <f>(D242/C242)*C243</f>
        <v>-24740.33</v>
      </c>
      <c r="E243" s="50"/>
      <c r="F243" s="51">
        <f t="shared" si="130"/>
        <v>-24740.33</v>
      </c>
      <c r="G243" s="50"/>
      <c r="H243" s="50"/>
      <c r="I243" s="52"/>
      <c r="J243" s="72"/>
      <c r="K243" s="56"/>
      <c r="L243" s="55"/>
      <c r="M243" s="56"/>
      <c r="N243" s="56"/>
      <c r="O243" s="56"/>
      <c r="P243" s="57">
        <f t="shared" ref="P243:P247" si="133">M243-N243-O243</f>
        <v>0</v>
      </c>
      <c r="Q243" s="58">
        <f t="shared" ref="Q243:Q247" si="134">IF(P243&gt;0,IF(K243="Y",0,P243),0)</f>
        <v>0</v>
      </c>
      <c r="R243" s="57">
        <f t="shared" si="131"/>
        <v>0</v>
      </c>
      <c r="S243" s="59">
        <f t="shared" si="132"/>
        <v>0</v>
      </c>
    </row>
    <row r="244" spans="1:19" x14ac:dyDescent="0.2">
      <c r="A244" s="46" t="s">
        <v>128</v>
      </c>
      <c r="B244" s="47">
        <v>43739</v>
      </c>
      <c r="C244" s="48">
        <v>10000</v>
      </c>
      <c r="D244" s="49">
        <v>31170.5</v>
      </c>
      <c r="E244" s="50"/>
      <c r="F244" s="51">
        <f t="shared" si="130"/>
        <v>31170.5</v>
      </c>
      <c r="G244" s="50"/>
      <c r="H244" s="50"/>
      <c r="I244" s="52"/>
      <c r="J244" s="72"/>
      <c r="K244" s="54"/>
      <c r="L244" s="55"/>
      <c r="M244" s="56"/>
      <c r="N244" s="56"/>
      <c r="O244" s="56"/>
      <c r="P244" s="57">
        <f t="shared" si="133"/>
        <v>0</v>
      </c>
      <c r="Q244" s="58">
        <f t="shared" si="134"/>
        <v>0</v>
      </c>
      <c r="R244" s="57">
        <f t="shared" si="131"/>
        <v>0</v>
      </c>
      <c r="S244" s="59">
        <f t="shared" si="132"/>
        <v>0</v>
      </c>
    </row>
    <row r="245" spans="1:19" x14ac:dyDescent="0.2">
      <c r="A245" s="46" t="s">
        <v>129</v>
      </c>
      <c r="B245" s="47">
        <v>43873</v>
      </c>
      <c r="C245" s="48">
        <v>-9000</v>
      </c>
      <c r="D245" s="49">
        <f>D243</f>
        <v>-24740.33</v>
      </c>
      <c r="E245" s="50"/>
      <c r="F245" s="51">
        <f t="shared" si="130"/>
        <v>-24740.33</v>
      </c>
      <c r="G245" s="50"/>
      <c r="H245" s="50"/>
      <c r="I245" s="52"/>
      <c r="J245" s="72"/>
      <c r="K245" s="56"/>
      <c r="L245" s="55"/>
      <c r="M245" s="56"/>
      <c r="N245" s="56"/>
      <c r="O245" s="56"/>
      <c r="P245" s="57">
        <f t="shared" si="133"/>
        <v>0</v>
      </c>
      <c r="Q245" s="58">
        <f t="shared" si="134"/>
        <v>0</v>
      </c>
      <c r="R245" s="57">
        <f t="shared" si="131"/>
        <v>0</v>
      </c>
      <c r="S245" s="59">
        <f t="shared" si="132"/>
        <v>0</v>
      </c>
    </row>
    <row r="246" spans="1:19" x14ac:dyDescent="0.2">
      <c r="A246" s="46" t="s">
        <v>129</v>
      </c>
      <c r="B246" s="47">
        <v>43893</v>
      </c>
      <c r="C246" s="48">
        <v>-10000</v>
      </c>
      <c r="D246" s="49">
        <f>-D244</f>
        <v>-31170.5</v>
      </c>
      <c r="E246" s="50"/>
      <c r="F246" s="51">
        <f t="shared" si="130"/>
        <v>-31170.5</v>
      </c>
      <c r="G246" s="50"/>
      <c r="H246" s="50"/>
      <c r="I246" s="52"/>
      <c r="J246" s="72"/>
      <c r="K246" s="56"/>
      <c r="L246" s="55"/>
      <c r="M246" s="56"/>
      <c r="N246" s="56"/>
      <c r="O246" s="56"/>
      <c r="P246" s="57">
        <f t="shared" si="133"/>
        <v>0</v>
      </c>
      <c r="Q246" s="58">
        <f t="shared" si="134"/>
        <v>0</v>
      </c>
      <c r="R246" s="57">
        <f t="shared" si="131"/>
        <v>0</v>
      </c>
      <c r="S246" s="59">
        <f t="shared" si="132"/>
        <v>0</v>
      </c>
    </row>
    <row r="247" spans="1:19" x14ac:dyDescent="0.2">
      <c r="A247" s="60"/>
      <c r="B247" s="47"/>
      <c r="C247" s="61"/>
      <c r="D247" s="49"/>
      <c r="E247" s="62"/>
      <c r="F247" s="51">
        <f t="shared" si="130"/>
        <v>0</v>
      </c>
      <c r="G247" s="50"/>
      <c r="H247" s="62"/>
      <c r="I247" s="52"/>
      <c r="J247" s="72"/>
      <c r="K247" s="54"/>
      <c r="L247" s="55"/>
      <c r="M247" s="56"/>
      <c r="N247" s="56"/>
      <c r="O247" s="56"/>
      <c r="P247" s="57">
        <f t="shared" si="133"/>
        <v>0</v>
      </c>
      <c r="Q247" s="58">
        <f t="shared" si="134"/>
        <v>0</v>
      </c>
      <c r="R247" s="57">
        <f t="shared" si="131"/>
        <v>0</v>
      </c>
      <c r="S247" s="59">
        <f t="shared" si="132"/>
        <v>0</v>
      </c>
    </row>
    <row r="248" spans="1:19" ht="13.5" customHeight="1" thickBot="1" x14ac:dyDescent="0.3">
      <c r="A248" s="63"/>
      <c r="B248" s="64"/>
      <c r="C248" s="73">
        <f>SUBTOTAL(9,C242:C247)</f>
        <v>0</v>
      </c>
      <c r="D248" s="74">
        <f>SUBTOTAL(9,D242:D247)</f>
        <v>0</v>
      </c>
      <c r="E248" s="75">
        <f>SUBTOTAL(9,E242:E247)</f>
        <v>0</v>
      </c>
      <c r="F248" s="65">
        <f>SUBTOTAL(9,F242:F247)</f>
        <v>0</v>
      </c>
      <c r="G248" s="65">
        <v>0</v>
      </c>
      <c r="H248" s="67">
        <f>C248*G248</f>
        <v>0</v>
      </c>
      <c r="I248" s="76"/>
      <c r="J248" s="77"/>
      <c r="K248" s="77"/>
      <c r="L248" s="69">
        <f t="shared" ref="L248:S248" si="135">SUBTOTAL(9,L242:L247)</f>
        <v>0</v>
      </c>
      <c r="M248" s="80">
        <f t="shared" si="135"/>
        <v>0</v>
      </c>
      <c r="N248" s="80">
        <f t="shared" si="135"/>
        <v>0</v>
      </c>
      <c r="O248" s="80">
        <f t="shared" si="135"/>
        <v>0</v>
      </c>
      <c r="P248" s="80">
        <f t="shared" si="135"/>
        <v>0</v>
      </c>
      <c r="Q248" s="80">
        <f t="shared" si="135"/>
        <v>0</v>
      </c>
      <c r="R248" s="80">
        <f t="shared" si="135"/>
        <v>0</v>
      </c>
      <c r="S248" s="81">
        <f t="shared" si="135"/>
        <v>0</v>
      </c>
    </row>
    <row r="249" spans="1:19" ht="13.5" customHeight="1" thickTop="1" x14ac:dyDescent="0.2">
      <c r="A249" s="39" t="s">
        <v>166</v>
      </c>
      <c r="B249" s="40"/>
      <c r="C249" s="41"/>
      <c r="D249" s="42"/>
      <c r="E249" s="41"/>
      <c r="F249" s="41"/>
      <c r="G249" s="41"/>
      <c r="H249" s="41"/>
      <c r="I249" s="43"/>
      <c r="J249" s="44"/>
      <c r="K249" s="44"/>
      <c r="L249" s="41"/>
      <c r="M249" s="41"/>
      <c r="N249" s="41"/>
      <c r="O249" s="41"/>
      <c r="P249" s="41"/>
      <c r="Q249" s="41"/>
      <c r="R249" s="41"/>
      <c r="S249" s="45"/>
    </row>
    <row r="250" spans="1:19" ht="13.5" customHeight="1" x14ac:dyDescent="0.2">
      <c r="A250" s="46" t="s">
        <v>128</v>
      </c>
      <c r="B250" s="79">
        <v>42753</v>
      </c>
      <c r="C250" s="86">
        <v>64000</v>
      </c>
      <c r="D250" s="87">
        <v>50194.559999999998</v>
      </c>
      <c r="E250" s="50"/>
      <c r="F250" s="51">
        <f>SUM(D250:E250)</f>
        <v>50194.559999999998</v>
      </c>
      <c r="G250" s="50"/>
      <c r="H250" s="50"/>
      <c r="I250" s="52"/>
      <c r="J250" s="53"/>
      <c r="K250" s="54"/>
      <c r="L250" s="55"/>
      <c r="M250" s="56"/>
      <c r="N250" s="56"/>
      <c r="O250" s="56"/>
      <c r="P250" s="57">
        <f>M250-N250-O250</f>
        <v>0</v>
      </c>
      <c r="Q250" s="58">
        <f t="shared" ref="Q250:Q252" si="136">IF(P250&gt;0,IF(K250="Y",0,P250),0)</f>
        <v>0</v>
      </c>
      <c r="R250" s="57">
        <f t="shared" ref="R250:R252" si="137">IF(P250&gt;0,IF(K250="Y",P250,0),0)</f>
        <v>0</v>
      </c>
      <c r="S250" s="59">
        <f t="shared" ref="S250:S252" si="138">IF(P250&lt;0,P250,0)</f>
        <v>0</v>
      </c>
    </row>
    <row r="251" spans="1:19" ht="13.5" customHeight="1" x14ac:dyDescent="0.2">
      <c r="A251" s="60" t="s">
        <v>129</v>
      </c>
      <c r="B251" s="47">
        <v>44596</v>
      </c>
      <c r="C251" s="48">
        <v>-64000</v>
      </c>
      <c r="D251" s="49">
        <f>-D250</f>
        <v>-50194.559999999998</v>
      </c>
      <c r="E251" s="50"/>
      <c r="F251" s="51">
        <f>SUM(D251:E251)</f>
        <v>-50194.559999999998</v>
      </c>
      <c r="G251" s="50"/>
      <c r="H251" s="50"/>
      <c r="I251" s="52"/>
      <c r="J251" s="72">
        <f t="shared" ref="J251" si="139">B251</f>
        <v>44596</v>
      </c>
      <c r="K251" s="72" t="s">
        <v>142</v>
      </c>
      <c r="L251" s="55">
        <f t="shared" ref="L251" si="140">C251</f>
        <v>-64000</v>
      </c>
      <c r="M251" s="49">
        <v>42873.919999999998</v>
      </c>
      <c r="N251" s="72"/>
      <c r="O251" s="49">
        <f t="shared" ref="O251" si="141">-D251</f>
        <v>50194.559999999998</v>
      </c>
      <c r="P251" s="57">
        <f>M251-N251-O251</f>
        <v>-7320.6399999999994</v>
      </c>
      <c r="Q251" s="58">
        <f>IF(P251&gt;0,IF(K251="Y",0,P251),0)</f>
        <v>0</v>
      </c>
      <c r="R251" s="57">
        <f t="shared" si="137"/>
        <v>0</v>
      </c>
      <c r="S251" s="59">
        <f t="shared" si="138"/>
        <v>-7320.6399999999994</v>
      </c>
    </row>
    <row r="252" spans="1:19" ht="13.5" customHeight="1" x14ac:dyDescent="0.2">
      <c r="A252" s="60"/>
      <c r="B252" s="47"/>
      <c r="C252" s="61"/>
      <c r="D252" s="49"/>
      <c r="E252" s="62"/>
      <c r="F252" s="51">
        <f>SUM(D252:E252)</f>
        <v>0</v>
      </c>
      <c r="G252" s="50"/>
      <c r="H252" s="62"/>
      <c r="I252" s="52"/>
      <c r="J252" s="53"/>
      <c r="K252" s="54"/>
      <c r="L252" s="55"/>
      <c r="M252" s="56"/>
      <c r="N252" s="56"/>
      <c r="O252" s="56"/>
      <c r="P252" s="57">
        <f>M252-N252-O252</f>
        <v>0</v>
      </c>
      <c r="Q252" s="58">
        <f t="shared" si="136"/>
        <v>0</v>
      </c>
      <c r="R252" s="57">
        <f t="shared" si="137"/>
        <v>0</v>
      </c>
      <c r="S252" s="59">
        <f t="shared" si="138"/>
        <v>0</v>
      </c>
    </row>
    <row r="253" spans="1:19" ht="13.5" customHeight="1" thickBot="1" x14ac:dyDescent="0.3">
      <c r="A253" s="63"/>
      <c r="B253" s="64"/>
      <c r="C253" s="73">
        <f>SUBTOTAL(9,C250:C252)</f>
        <v>0</v>
      </c>
      <c r="D253" s="66">
        <f>SUBTOTAL(9,D250:D252)</f>
        <v>0</v>
      </c>
      <c r="E253" s="67">
        <f>SUBTOTAL(9,E250:E252)</f>
        <v>0</v>
      </c>
      <c r="F253" s="65">
        <f>SUBTOTAL(9,F250:F252)</f>
        <v>0</v>
      </c>
      <c r="G253" s="65">
        <v>0</v>
      </c>
      <c r="H253" s="67">
        <f>C253*G253</f>
        <v>0</v>
      </c>
      <c r="I253" s="68"/>
      <c r="J253" s="68"/>
      <c r="K253" s="68"/>
      <c r="L253" s="69">
        <f t="shared" ref="L253:S253" si="142">SUBTOTAL(9,L250:L252)</f>
        <v>-64000</v>
      </c>
      <c r="M253" s="70">
        <f t="shared" si="142"/>
        <v>42873.919999999998</v>
      </c>
      <c r="N253" s="70">
        <f t="shared" si="142"/>
        <v>0</v>
      </c>
      <c r="O253" s="70">
        <f t="shared" si="142"/>
        <v>50194.559999999998</v>
      </c>
      <c r="P253" s="70">
        <f t="shared" si="142"/>
        <v>-7320.6399999999994</v>
      </c>
      <c r="Q253" s="70">
        <f t="shared" si="142"/>
        <v>0</v>
      </c>
      <c r="R253" s="70">
        <f t="shared" si="142"/>
        <v>0</v>
      </c>
      <c r="S253" s="71">
        <f t="shared" si="142"/>
        <v>-7320.6399999999994</v>
      </c>
    </row>
    <row r="254" spans="1:19" ht="13.5" thickTop="1" x14ac:dyDescent="0.2">
      <c r="A254" s="39" t="s">
        <v>167</v>
      </c>
      <c r="B254" s="40"/>
      <c r="C254" s="41"/>
      <c r="D254" s="42"/>
      <c r="E254" s="41"/>
      <c r="F254" s="41"/>
      <c r="G254" s="41"/>
      <c r="H254" s="41"/>
      <c r="I254" s="43"/>
      <c r="J254" s="44"/>
      <c r="K254" s="44"/>
      <c r="L254" s="41"/>
      <c r="M254" s="41"/>
      <c r="N254" s="41"/>
      <c r="O254" s="41"/>
      <c r="P254" s="41"/>
      <c r="Q254" s="41"/>
      <c r="R254" s="41"/>
      <c r="S254" s="45"/>
    </row>
    <row r="255" spans="1:19" x14ac:dyDescent="0.2">
      <c r="A255" s="46" t="s">
        <v>168</v>
      </c>
      <c r="B255" s="47">
        <v>44237</v>
      </c>
      <c r="C255" s="48">
        <v>40000</v>
      </c>
      <c r="D255" s="49">
        <v>51582.16</v>
      </c>
      <c r="E255" s="50"/>
      <c r="F255" s="51">
        <f>SUM(D255:E255)</f>
        <v>51582.16</v>
      </c>
      <c r="G255" s="50"/>
      <c r="H255" s="50"/>
      <c r="I255" s="52"/>
      <c r="J255" s="53"/>
      <c r="K255" s="54"/>
      <c r="L255" s="55"/>
      <c r="M255" s="56"/>
      <c r="N255" s="56"/>
      <c r="O255" s="56"/>
      <c r="P255" s="57">
        <f>M255-N255-O255</f>
        <v>0</v>
      </c>
      <c r="Q255" s="58">
        <f t="shared" ref="Q255:Q258" si="143">IF(P255&gt;0,IF(K255="Y",0,P255),0)</f>
        <v>0</v>
      </c>
      <c r="R255" s="57">
        <f t="shared" ref="R255:R258" si="144">IF(P255&gt;0,IF(K255="Y",P255,0),0)</f>
        <v>0</v>
      </c>
      <c r="S255" s="59">
        <f t="shared" ref="S255:S258" si="145">IF(P255&lt;0,P255,0)</f>
        <v>0</v>
      </c>
    </row>
    <row r="256" spans="1:19" x14ac:dyDescent="0.2">
      <c r="A256" s="46" t="s">
        <v>139</v>
      </c>
      <c r="B256" s="47">
        <v>44238</v>
      </c>
      <c r="C256" s="48">
        <v>60000</v>
      </c>
      <c r="D256" s="49">
        <v>76015.8</v>
      </c>
      <c r="E256" s="50"/>
      <c r="F256" s="51">
        <f>SUM(D256:E256)</f>
        <v>76015.8</v>
      </c>
      <c r="G256" s="50"/>
      <c r="H256" s="50"/>
      <c r="I256" s="52"/>
      <c r="J256" s="53"/>
      <c r="K256" s="54"/>
      <c r="L256" s="55"/>
      <c r="M256" s="56"/>
      <c r="N256" s="56"/>
      <c r="O256" s="56"/>
      <c r="P256" s="57">
        <f t="shared" ref="P256:P257" si="146">M256-N256-O256</f>
        <v>0</v>
      </c>
      <c r="Q256" s="58">
        <f t="shared" si="143"/>
        <v>0</v>
      </c>
      <c r="R256" s="57">
        <f t="shared" si="144"/>
        <v>0</v>
      </c>
      <c r="S256" s="59">
        <f t="shared" si="145"/>
        <v>0</v>
      </c>
    </row>
    <row r="257" spans="1:19" x14ac:dyDescent="0.2">
      <c r="A257" s="46" t="s">
        <v>129</v>
      </c>
      <c r="B257" s="47">
        <v>44253</v>
      </c>
      <c r="C257" s="48">
        <v>-100000</v>
      </c>
      <c r="D257" s="49">
        <f>((D255/C255)*-C255)+((D256/C256)*-C256)</f>
        <v>-127597.96</v>
      </c>
      <c r="E257" s="50"/>
      <c r="F257" s="51">
        <f>SUM(D257:E257)</f>
        <v>-127597.96</v>
      </c>
      <c r="G257" s="50"/>
      <c r="H257" s="50"/>
      <c r="I257" s="52"/>
      <c r="J257" s="53"/>
      <c r="K257" s="54"/>
      <c r="L257" s="55"/>
      <c r="M257" s="56"/>
      <c r="N257" s="56"/>
      <c r="O257" s="56"/>
      <c r="P257" s="57">
        <f t="shared" si="146"/>
        <v>0</v>
      </c>
      <c r="Q257" s="58">
        <f t="shared" si="143"/>
        <v>0</v>
      </c>
      <c r="R257" s="57">
        <f t="shared" si="144"/>
        <v>0</v>
      </c>
      <c r="S257" s="59">
        <f t="shared" si="145"/>
        <v>0</v>
      </c>
    </row>
    <row r="258" spans="1:19" x14ac:dyDescent="0.2">
      <c r="A258" s="60"/>
      <c r="B258" s="47"/>
      <c r="C258" s="61"/>
      <c r="D258" s="49"/>
      <c r="E258" s="62"/>
      <c r="F258" s="51">
        <f>SUM(D258:E258)</f>
        <v>0</v>
      </c>
      <c r="G258" s="50"/>
      <c r="H258" s="62"/>
      <c r="I258" s="52"/>
      <c r="J258" s="53"/>
      <c r="K258" s="54"/>
      <c r="L258" s="55"/>
      <c r="M258" s="56"/>
      <c r="N258" s="56"/>
      <c r="O258" s="56"/>
      <c r="P258" s="57">
        <f>M258-N258-O258</f>
        <v>0</v>
      </c>
      <c r="Q258" s="58">
        <f t="shared" si="143"/>
        <v>0</v>
      </c>
      <c r="R258" s="57">
        <f t="shared" si="144"/>
        <v>0</v>
      </c>
      <c r="S258" s="59">
        <f t="shared" si="145"/>
        <v>0</v>
      </c>
    </row>
    <row r="259" spans="1:19" ht="13.5" customHeight="1" thickBot="1" x14ac:dyDescent="0.3">
      <c r="A259" s="63"/>
      <c r="B259" s="64"/>
      <c r="C259" s="65">
        <f>SUBTOTAL(9,C255:C258)</f>
        <v>0</v>
      </c>
      <c r="D259" s="66">
        <f>SUBTOTAL(9,D255:D258)</f>
        <v>0</v>
      </c>
      <c r="E259" s="67">
        <f>SUBTOTAL(9,E255:E258)</f>
        <v>0</v>
      </c>
      <c r="F259" s="65">
        <f>SUBTOTAL(9,F255:F258)</f>
        <v>0</v>
      </c>
      <c r="G259" s="65">
        <v>0</v>
      </c>
      <c r="H259" s="67">
        <f>C259*G259</f>
        <v>0</v>
      </c>
      <c r="I259" s="68"/>
      <c r="J259" s="68"/>
      <c r="K259" s="68"/>
      <c r="L259" s="69">
        <f t="shared" ref="L259:S259" si="147">SUBTOTAL(9,L255:L258)</f>
        <v>0</v>
      </c>
      <c r="M259" s="70">
        <f t="shared" si="147"/>
        <v>0</v>
      </c>
      <c r="N259" s="70">
        <f t="shared" si="147"/>
        <v>0</v>
      </c>
      <c r="O259" s="70">
        <f t="shared" si="147"/>
        <v>0</v>
      </c>
      <c r="P259" s="70">
        <f t="shared" si="147"/>
        <v>0</v>
      </c>
      <c r="Q259" s="70">
        <f t="shared" si="147"/>
        <v>0</v>
      </c>
      <c r="R259" s="70">
        <f t="shared" si="147"/>
        <v>0</v>
      </c>
      <c r="S259" s="71">
        <f t="shared" si="147"/>
        <v>0</v>
      </c>
    </row>
    <row r="260" spans="1:19" ht="13.5" thickTop="1" x14ac:dyDescent="0.2">
      <c r="A260" s="39" t="s">
        <v>169</v>
      </c>
      <c r="B260" s="40"/>
      <c r="C260" s="41"/>
      <c r="D260" s="42"/>
      <c r="E260" s="41"/>
      <c r="F260" s="41"/>
      <c r="G260" s="41"/>
      <c r="H260" s="41"/>
      <c r="I260" s="43"/>
      <c r="J260" s="44"/>
      <c r="K260" s="44"/>
      <c r="L260" s="41"/>
      <c r="M260" s="41"/>
      <c r="N260" s="41"/>
      <c r="O260" s="41"/>
      <c r="P260" s="41"/>
      <c r="Q260" s="41"/>
      <c r="R260" s="41"/>
      <c r="S260" s="45"/>
    </row>
    <row r="261" spans="1:19" x14ac:dyDescent="0.2">
      <c r="A261" s="46" t="s">
        <v>128</v>
      </c>
      <c r="B261" s="47">
        <v>44460</v>
      </c>
      <c r="C261" s="48">
        <v>200000</v>
      </c>
      <c r="D261" s="49">
        <v>83456.490000000005</v>
      </c>
      <c r="E261" s="50"/>
      <c r="F261" s="51">
        <f>SUM(D261:E261)</f>
        <v>83456.490000000005</v>
      </c>
      <c r="G261" s="50"/>
      <c r="H261" s="50"/>
      <c r="I261" s="52"/>
      <c r="J261" s="53"/>
      <c r="K261" s="54"/>
      <c r="L261" s="55"/>
      <c r="M261" s="56"/>
      <c r="N261" s="56"/>
      <c r="O261" s="56"/>
      <c r="P261" s="57">
        <f>M261-N261-O261</f>
        <v>0</v>
      </c>
      <c r="Q261" s="58">
        <f t="shared" ref="Q261:Q263" si="148">IF(P261&gt;0,IF(K261="Y",0,P261),0)</f>
        <v>0</v>
      </c>
      <c r="R261" s="57">
        <f t="shared" ref="R261:R263" si="149">IF(P261&gt;0,IF(K261="Y",P261,0),0)</f>
        <v>0</v>
      </c>
      <c r="S261" s="59">
        <f t="shared" ref="S261:S263" si="150">IF(P261&lt;0,P261,0)</f>
        <v>0</v>
      </c>
    </row>
    <row r="262" spans="1:19" x14ac:dyDescent="0.2">
      <c r="A262" s="46" t="s">
        <v>129</v>
      </c>
      <c r="B262" s="47">
        <v>44461</v>
      </c>
      <c r="C262" s="48">
        <v>-200000</v>
      </c>
      <c r="D262" s="49">
        <f>-D261</f>
        <v>-83456.490000000005</v>
      </c>
      <c r="E262" s="50"/>
      <c r="F262" s="51">
        <f>SUM(D262:E262)</f>
        <v>-83456.490000000005</v>
      </c>
      <c r="G262" s="50"/>
      <c r="H262" s="50"/>
      <c r="I262" s="52"/>
      <c r="J262" s="72">
        <f t="shared" ref="J262" si="151">B262</f>
        <v>44461</v>
      </c>
      <c r="K262" s="72" t="s">
        <v>151</v>
      </c>
      <c r="L262" s="55">
        <f t="shared" ref="L262" si="152">C262</f>
        <v>-200000</v>
      </c>
      <c r="M262" s="49">
        <v>71873.5</v>
      </c>
      <c r="N262" s="72"/>
      <c r="O262" s="49">
        <f t="shared" ref="O262" si="153">-D262</f>
        <v>83456.490000000005</v>
      </c>
      <c r="P262" s="57">
        <f>M262-N262-O262</f>
        <v>-11582.990000000005</v>
      </c>
      <c r="Q262" s="58">
        <f>IF(P262&gt;0,IF(K262="Y",0,P262),0)</f>
        <v>0</v>
      </c>
      <c r="R262" s="57">
        <f t="shared" si="149"/>
        <v>0</v>
      </c>
      <c r="S262" s="59">
        <f t="shared" si="150"/>
        <v>-11582.990000000005</v>
      </c>
    </row>
    <row r="263" spans="1:19" x14ac:dyDescent="0.2">
      <c r="A263" s="60"/>
      <c r="B263" s="47"/>
      <c r="C263" s="61"/>
      <c r="D263" s="49"/>
      <c r="E263" s="62"/>
      <c r="F263" s="51">
        <f>SUM(D263:E263)</f>
        <v>0</v>
      </c>
      <c r="G263" s="50"/>
      <c r="H263" s="62"/>
      <c r="I263" s="52"/>
      <c r="J263" s="53"/>
      <c r="K263" s="54"/>
      <c r="L263" s="55"/>
      <c r="M263" s="56"/>
      <c r="N263" s="56"/>
      <c r="O263" s="56"/>
      <c r="P263" s="57">
        <f>M263-N263-O263</f>
        <v>0</v>
      </c>
      <c r="Q263" s="58">
        <f t="shared" si="148"/>
        <v>0</v>
      </c>
      <c r="R263" s="57">
        <f t="shared" si="149"/>
        <v>0</v>
      </c>
      <c r="S263" s="59">
        <f t="shared" si="150"/>
        <v>0</v>
      </c>
    </row>
    <row r="264" spans="1:19" ht="13.5" customHeight="1" thickBot="1" x14ac:dyDescent="0.3">
      <c r="A264" s="63"/>
      <c r="B264" s="64"/>
      <c r="C264" s="65">
        <f>SUBTOTAL(9,C261:C263)</f>
        <v>0</v>
      </c>
      <c r="D264" s="66">
        <f>SUBTOTAL(9,D261:D263)</f>
        <v>0</v>
      </c>
      <c r="E264" s="67">
        <f>SUBTOTAL(9,E261:E263)</f>
        <v>0</v>
      </c>
      <c r="F264" s="65">
        <f>SUBTOTAL(9,F261:F263)</f>
        <v>0</v>
      </c>
      <c r="G264" s="65">
        <v>0</v>
      </c>
      <c r="H264" s="67">
        <f>C264*G264</f>
        <v>0</v>
      </c>
      <c r="I264" s="68"/>
      <c r="J264" s="68"/>
      <c r="K264" s="68"/>
      <c r="L264" s="69">
        <f t="shared" ref="L264:S264" si="154">SUBTOTAL(9,L261:L263)</f>
        <v>-200000</v>
      </c>
      <c r="M264" s="70">
        <f t="shared" si="154"/>
        <v>71873.5</v>
      </c>
      <c r="N264" s="70">
        <f t="shared" si="154"/>
        <v>0</v>
      </c>
      <c r="O264" s="70">
        <f t="shared" si="154"/>
        <v>83456.490000000005</v>
      </c>
      <c r="P264" s="70">
        <f t="shared" si="154"/>
        <v>-11582.990000000005</v>
      </c>
      <c r="Q264" s="70">
        <f t="shared" si="154"/>
        <v>0</v>
      </c>
      <c r="R264" s="70">
        <f t="shared" si="154"/>
        <v>0</v>
      </c>
      <c r="S264" s="71">
        <f t="shared" si="154"/>
        <v>-11582.990000000005</v>
      </c>
    </row>
    <row r="265" spans="1:19" ht="13.5" thickTop="1" x14ac:dyDescent="0.2">
      <c r="A265" s="39" t="s">
        <v>170</v>
      </c>
      <c r="B265" s="40"/>
      <c r="C265" s="41"/>
      <c r="D265" s="42"/>
      <c r="E265" s="41"/>
      <c r="F265" s="41"/>
      <c r="G265" s="41"/>
      <c r="H265" s="41"/>
      <c r="I265" s="43"/>
      <c r="J265" s="44"/>
      <c r="K265" s="44"/>
      <c r="L265" s="41"/>
      <c r="M265" s="41"/>
      <c r="N265" s="41"/>
      <c r="O265" s="41"/>
      <c r="P265" s="41"/>
      <c r="Q265" s="41"/>
      <c r="R265" s="41"/>
      <c r="S265" s="45"/>
    </row>
    <row r="266" spans="1:19" x14ac:dyDescent="0.2">
      <c r="A266" s="46" t="s">
        <v>128</v>
      </c>
      <c r="B266" s="47">
        <v>43805</v>
      </c>
      <c r="C266" s="48">
        <v>1000000</v>
      </c>
      <c r="D266" s="49">
        <v>36000</v>
      </c>
      <c r="E266" s="50"/>
      <c r="F266" s="51">
        <f>SUM(D266:E266)</f>
        <v>36000</v>
      </c>
      <c r="G266" s="50"/>
      <c r="H266" s="50"/>
      <c r="I266" s="52"/>
      <c r="J266" s="53"/>
      <c r="K266" s="54"/>
      <c r="L266" s="55"/>
      <c r="M266" s="56"/>
      <c r="N266" s="56"/>
      <c r="O266" s="56"/>
      <c r="P266" s="57">
        <f>M266-N266-O266</f>
        <v>0</v>
      </c>
      <c r="Q266" s="58">
        <f t="shared" ref="Q266:Q268" si="155">IF(P266&gt;0,IF(K266="Y",0,P266),0)</f>
        <v>0</v>
      </c>
      <c r="R266" s="57">
        <f t="shared" ref="R266:R268" si="156">IF(P266&gt;0,IF(K266="Y",P266,0),0)</f>
        <v>0</v>
      </c>
      <c r="S266" s="59">
        <f t="shared" ref="S266:S268" si="157">IF(P266&lt;0,P266,0)</f>
        <v>0</v>
      </c>
    </row>
    <row r="267" spans="1:19" x14ac:dyDescent="0.2">
      <c r="A267" s="46" t="s">
        <v>129</v>
      </c>
      <c r="B267" s="47">
        <v>43994</v>
      </c>
      <c r="C267" s="48">
        <v>-1000000</v>
      </c>
      <c r="D267" s="49">
        <v>-36000</v>
      </c>
      <c r="E267" s="50"/>
      <c r="F267" s="51">
        <f>SUM(D267:E267)</f>
        <v>-36000</v>
      </c>
      <c r="G267" s="50"/>
      <c r="H267" s="50"/>
      <c r="I267" s="52"/>
      <c r="J267" s="53"/>
      <c r="K267" s="54"/>
      <c r="L267" s="55"/>
      <c r="M267" s="56"/>
      <c r="N267" s="56"/>
      <c r="O267" s="56"/>
      <c r="P267" s="57"/>
      <c r="Q267" s="58">
        <f t="shared" si="155"/>
        <v>0</v>
      </c>
      <c r="R267" s="57">
        <f t="shared" si="156"/>
        <v>0</v>
      </c>
      <c r="S267" s="59">
        <f t="shared" si="157"/>
        <v>0</v>
      </c>
    </row>
    <row r="268" spans="1:19" x14ac:dyDescent="0.2">
      <c r="A268" s="60"/>
      <c r="B268" s="47"/>
      <c r="C268" s="61"/>
      <c r="D268" s="49"/>
      <c r="E268" s="62"/>
      <c r="F268" s="51">
        <f>SUM(D268:E268)</f>
        <v>0</v>
      </c>
      <c r="G268" s="50"/>
      <c r="H268" s="62"/>
      <c r="I268" s="52"/>
      <c r="J268" s="53"/>
      <c r="K268" s="54"/>
      <c r="L268" s="55"/>
      <c r="M268" s="56"/>
      <c r="N268" s="56"/>
      <c r="O268" s="56"/>
      <c r="P268" s="57">
        <f>M268-N268-O268</f>
        <v>0</v>
      </c>
      <c r="Q268" s="58">
        <f t="shared" si="155"/>
        <v>0</v>
      </c>
      <c r="R268" s="57">
        <f t="shared" si="156"/>
        <v>0</v>
      </c>
      <c r="S268" s="59">
        <f t="shared" si="157"/>
        <v>0</v>
      </c>
    </row>
    <row r="269" spans="1:19" ht="13.5" customHeight="1" thickBot="1" x14ac:dyDescent="0.3">
      <c r="A269" s="63"/>
      <c r="B269" s="64"/>
      <c r="C269" s="65">
        <f>SUBTOTAL(9,C266:C268)</f>
        <v>0</v>
      </c>
      <c r="D269" s="66">
        <f>SUBTOTAL(9,D266:D268)</f>
        <v>0</v>
      </c>
      <c r="E269" s="67">
        <f>SUBTOTAL(9,E266:E268)</f>
        <v>0</v>
      </c>
      <c r="F269" s="65">
        <f>SUBTOTAL(9,F266:F268)</f>
        <v>0</v>
      </c>
      <c r="G269" s="65">
        <v>0</v>
      </c>
      <c r="H269" s="67">
        <f>C269*G269</f>
        <v>0</v>
      </c>
      <c r="I269" s="68"/>
      <c r="J269" s="68"/>
      <c r="K269" s="68"/>
      <c r="L269" s="69">
        <f t="shared" ref="L269:S269" si="158">SUBTOTAL(9,L266:L268)</f>
        <v>0</v>
      </c>
      <c r="M269" s="70">
        <f t="shared" si="158"/>
        <v>0</v>
      </c>
      <c r="N269" s="70">
        <f t="shared" si="158"/>
        <v>0</v>
      </c>
      <c r="O269" s="70">
        <f t="shared" si="158"/>
        <v>0</v>
      </c>
      <c r="P269" s="70">
        <f t="shared" si="158"/>
        <v>0</v>
      </c>
      <c r="Q269" s="70">
        <f t="shared" si="158"/>
        <v>0</v>
      </c>
      <c r="R269" s="70">
        <f t="shared" si="158"/>
        <v>0</v>
      </c>
      <c r="S269" s="71">
        <f t="shared" si="158"/>
        <v>0</v>
      </c>
    </row>
    <row r="270" spans="1:19" ht="13.5" thickTop="1" x14ac:dyDescent="0.2">
      <c r="A270" s="78" t="s">
        <v>171</v>
      </c>
      <c r="B270" s="40"/>
      <c r="C270" s="41"/>
      <c r="D270" s="42"/>
      <c r="E270" s="41"/>
      <c r="F270" s="41"/>
      <c r="G270" s="41"/>
      <c r="H270" s="41"/>
      <c r="I270" s="43"/>
      <c r="J270" s="44"/>
      <c r="K270" s="44"/>
      <c r="L270" s="41"/>
      <c r="M270" s="41"/>
      <c r="N270" s="41"/>
      <c r="O270" s="41"/>
      <c r="P270" s="41"/>
      <c r="Q270" s="41"/>
      <c r="R270" s="41"/>
      <c r="S270" s="45"/>
    </row>
    <row r="271" spans="1:19" x14ac:dyDescent="0.2">
      <c r="A271" s="46" t="s">
        <v>172</v>
      </c>
      <c r="B271" s="47">
        <v>43808</v>
      </c>
      <c r="C271" s="48">
        <v>333333</v>
      </c>
      <c r="D271" s="49"/>
      <c r="E271" s="50"/>
      <c r="F271" s="51">
        <f>SUM(D271:E271)</f>
        <v>0</v>
      </c>
      <c r="G271" s="50"/>
      <c r="H271" s="50"/>
      <c r="I271" s="52"/>
      <c r="J271" s="53"/>
      <c r="K271" s="54"/>
      <c r="L271" s="55"/>
      <c r="M271" s="56"/>
      <c r="N271" s="56"/>
      <c r="O271" s="56"/>
      <c r="P271" s="57">
        <f t="shared" ref="P271:P275" si="159">M271-N271-O271</f>
        <v>0</v>
      </c>
      <c r="Q271" s="58">
        <f t="shared" ref="Q271:Q275" si="160">IF(P271&gt;0,IF(K271="Y",0,P271),0)</f>
        <v>0</v>
      </c>
      <c r="R271" s="57">
        <f t="shared" ref="R271:R275" si="161">IF(P271&gt;0,IF(K271="Y",P271,0),0)</f>
        <v>0</v>
      </c>
      <c r="S271" s="59">
        <f t="shared" ref="S271:S275" si="162">IF(P271&lt;0,P271,0)</f>
        <v>0</v>
      </c>
    </row>
    <row r="272" spans="1:19" x14ac:dyDescent="0.2">
      <c r="A272" s="46" t="s">
        <v>129</v>
      </c>
      <c r="B272" s="47">
        <v>44340</v>
      </c>
      <c r="C272" s="48">
        <v>-133333</v>
      </c>
      <c r="D272" s="49">
        <v>0</v>
      </c>
      <c r="E272" s="50"/>
      <c r="F272" s="51">
        <f>SUM(D272:E272)</f>
        <v>0</v>
      </c>
      <c r="G272" s="50"/>
      <c r="H272" s="50"/>
      <c r="I272" s="52"/>
      <c r="J272" s="53"/>
      <c r="K272" s="54"/>
      <c r="L272" s="55"/>
      <c r="M272" s="56"/>
      <c r="N272" s="56"/>
      <c r="O272" s="56"/>
      <c r="P272" s="57">
        <f t="shared" si="159"/>
        <v>0</v>
      </c>
      <c r="Q272" s="58">
        <f t="shared" si="160"/>
        <v>0</v>
      </c>
      <c r="R272" s="57">
        <f t="shared" si="161"/>
        <v>0</v>
      </c>
      <c r="S272" s="59">
        <f t="shared" si="162"/>
        <v>0</v>
      </c>
    </row>
    <row r="273" spans="1:19" x14ac:dyDescent="0.2">
      <c r="A273" s="60" t="s">
        <v>129</v>
      </c>
      <c r="B273" s="47">
        <v>44340</v>
      </c>
      <c r="C273" s="48">
        <v>-100000</v>
      </c>
      <c r="D273" s="49">
        <v>0</v>
      </c>
      <c r="E273" s="50"/>
      <c r="F273" s="51">
        <f>SUM(D273:E273)</f>
        <v>0</v>
      </c>
      <c r="G273" s="50"/>
      <c r="H273" s="50"/>
      <c r="I273" s="52"/>
      <c r="J273" s="53"/>
      <c r="K273" s="54"/>
      <c r="L273" s="55"/>
      <c r="M273" s="56"/>
      <c r="N273" s="56"/>
      <c r="O273" s="56"/>
      <c r="P273" s="57">
        <f t="shared" si="159"/>
        <v>0</v>
      </c>
      <c r="Q273" s="58">
        <f t="shared" si="160"/>
        <v>0</v>
      </c>
      <c r="R273" s="57">
        <f t="shared" si="161"/>
        <v>0</v>
      </c>
      <c r="S273" s="59">
        <f t="shared" si="162"/>
        <v>0</v>
      </c>
    </row>
    <row r="274" spans="1:19" x14ac:dyDescent="0.2">
      <c r="A274" s="60" t="s">
        <v>129</v>
      </c>
      <c r="B274" s="47">
        <v>44509</v>
      </c>
      <c r="C274" s="48">
        <v>-100000</v>
      </c>
      <c r="D274" s="49">
        <v>0</v>
      </c>
      <c r="E274" s="50"/>
      <c r="F274" s="51">
        <f>SUM(D274:E274)</f>
        <v>0</v>
      </c>
      <c r="G274" s="50"/>
      <c r="H274" s="50"/>
      <c r="I274" s="52"/>
      <c r="J274" s="72">
        <f t="shared" ref="J274" si="163">B274</f>
        <v>44509</v>
      </c>
      <c r="K274" s="72" t="s">
        <v>142</v>
      </c>
      <c r="L274" s="55">
        <f t="shared" ref="L274" si="164">C274</f>
        <v>-100000</v>
      </c>
      <c r="M274" s="49">
        <v>52211.25</v>
      </c>
      <c r="N274" s="72"/>
      <c r="O274" s="49">
        <f t="shared" ref="O274" si="165">-D274</f>
        <v>0</v>
      </c>
      <c r="P274" s="57">
        <f>M274-N274-O274</f>
        <v>52211.25</v>
      </c>
      <c r="Q274" s="58">
        <f>IF(P274&gt;0,IF(K274="Y",0,P274),0)</f>
        <v>0</v>
      </c>
      <c r="R274" s="57">
        <f t="shared" si="161"/>
        <v>52211.25</v>
      </c>
      <c r="S274" s="59">
        <f t="shared" si="162"/>
        <v>0</v>
      </c>
    </row>
    <row r="275" spans="1:19" x14ac:dyDescent="0.2">
      <c r="A275" s="60"/>
      <c r="B275" s="47"/>
      <c r="C275" s="61"/>
      <c r="D275" s="49"/>
      <c r="E275" s="62"/>
      <c r="F275" s="51">
        <f>SUM(D275:E275)</f>
        <v>0</v>
      </c>
      <c r="G275" s="50"/>
      <c r="H275" s="62"/>
      <c r="I275" s="52"/>
      <c r="J275" s="53"/>
      <c r="K275" s="54"/>
      <c r="L275" s="55"/>
      <c r="M275" s="56"/>
      <c r="N275" s="56"/>
      <c r="O275" s="56"/>
      <c r="P275" s="57">
        <f t="shared" si="159"/>
        <v>0</v>
      </c>
      <c r="Q275" s="58">
        <f t="shared" si="160"/>
        <v>0</v>
      </c>
      <c r="R275" s="57">
        <f t="shared" si="161"/>
        <v>0</v>
      </c>
      <c r="S275" s="59">
        <f t="shared" si="162"/>
        <v>0</v>
      </c>
    </row>
    <row r="276" spans="1:19" ht="13.5" customHeight="1" thickBot="1" x14ac:dyDescent="0.3">
      <c r="A276" s="63"/>
      <c r="B276" s="64"/>
      <c r="C276" s="73">
        <f>SUBTOTAL(9,C271:C275)</f>
        <v>0</v>
      </c>
      <c r="D276" s="66">
        <f>SUBTOTAL(9,D271:D275)</f>
        <v>0</v>
      </c>
      <c r="E276" s="67">
        <f>SUBTOTAL(9,E271:E275)</f>
        <v>0</v>
      </c>
      <c r="F276" s="65">
        <f>SUBTOTAL(9,F271:F275)</f>
        <v>0</v>
      </c>
      <c r="G276" s="65">
        <v>0</v>
      </c>
      <c r="H276" s="67">
        <f>C276*G276</f>
        <v>0</v>
      </c>
      <c r="I276" s="68"/>
      <c r="J276" s="68"/>
      <c r="K276" s="68"/>
      <c r="L276" s="125">
        <f t="shared" ref="L276:S276" si="166">SUBTOTAL(9,L271:L275)</f>
        <v>-100000</v>
      </c>
      <c r="M276" s="70">
        <f t="shared" si="166"/>
        <v>52211.25</v>
      </c>
      <c r="N276" s="70">
        <f t="shared" si="166"/>
        <v>0</v>
      </c>
      <c r="O276" s="70">
        <f t="shared" si="166"/>
        <v>0</v>
      </c>
      <c r="P276" s="70">
        <f t="shared" si="166"/>
        <v>52211.25</v>
      </c>
      <c r="Q276" s="70">
        <f t="shared" si="166"/>
        <v>0</v>
      </c>
      <c r="R276" s="70">
        <f t="shared" si="166"/>
        <v>52211.25</v>
      </c>
      <c r="S276" s="71">
        <f t="shared" si="166"/>
        <v>0</v>
      </c>
    </row>
    <row r="277" spans="1:19" ht="13.5" thickTop="1" x14ac:dyDescent="0.2">
      <c r="A277" s="78" t="s">
        <v>173</v>
      </c>
      <c r="B277" s="40"/>
      <c r="C277" s="41"/>
      <c r="D277" s="42"/>
      <c r="E277" s="41"/>
      <c r="F277" s="41"/>
      <c r="G277" s="41"/>
      <c r="H277" s="41"/>
      <c r="I277" s="43"/>
      <c r="J277" s="44"/>
      <c r="K277" s="44"/>
      <c r="L277" s="41"/>
      <c r="M277" s="41"/>
      <c r="N277" s="41"/>
      <c r="O277" s="41"/>
      <c r="P277" s="41"/>
      <c r="Q277" s="41"/>
      <c r="R277" s="41"/>
      <c r="S277" s="45"/>
    </row>
    <row r="278" spans="1:19" x14ac:dyDescent="0.2">
      <c r="A278" s="46" t="s">
        <v>128</v>
      </c>
      <c r="B278" s="47">
        <v>43977</v>
      </c>
      <c r="C278" s="48">
        <v>400750</v>
      </c>
      <c r="D278" s="49">
        <v>22633.59</v>
      </c>
      <c r="E278" s="50"/>
      <c r="F278" s="51">
        <f t="shared" ref="F278:F287" si="167">SUM(D278:E278)</f>
        <v>22633.59</v>
      </c>
      <c r="G278" s="50"/>
      <c r="H278" s="50"/>
      <c r="I278" s="52"/>
      <c r="J278" s="53"/>
      <c r="K278" s="54"/>
      <c r="L278" s="55"/>
      <c r="M278" s="56"/>
      <c r="N278" s="56"/>
      <c r="O278" s="56"/>
      <c r="P278" s="57">
        <f>M278-N278-O278</f>
        <v>0</v>
      </c>
      <c r="Q278" s="58">
        <f>IF(P278&gt;0,IF(K278="Y",0,P278),0)</f>
        <v>0</v>
      </c>
      <c r="R278" s="57">
        <f>IF(P278&gt;0,IF(K278="Y",P278,0),0)</f>
        <v>0</v>
      </c>
      <c r="S278" s="59">
        <f>IF(P278&lt;0,P278,0)</f>
        <v>0</v>
      </c>
    </row>
    <row r="279" spans="1:19" x14ac:dyDescent="0.2">
      <c r="A279" s="46" t="s">
        <v>128</v>
      </c>
      <c r="B279" s="47">
        <v>43978</v>
      </c>
      <c r="C279" s="48">
        <v>307001</v>
      </c>
      <c r="D279" s="49">
        <v>20988.18</v>
      </c>
      <c r="E279" s="50"/>
      <c r="F279" s="51">
        <f t="shared" si="167"/>
        <v>20988.18</v>
      </c>
      <c r="G279" s="50"/>
      <c r="H279" s="50"/>
      <c r="I279" s="52"/>
      <c r="J279" s="53"/>
      <c r="K279" s="54"/>
      <c r="L279" s="55"/>
      <c r="M279" s="56"/>
      <c r="N279" s="56"/>
      <c r="O279" s="56"/>
      <c r="P279" s="57">
        <f>M279-N279-O279</f>
        <v>0</v>
      </c>
      <c r="Q279" s="58">
        <f>IF(P279&gt;0,IF(K279="Y",0,P279),0)</f>
        <v>0</v>
      </c>
      <c r="R279" s="57">
        <f>IF(P279&gt;0,IF(K279="Y",P279,0),0)</f>
        <v>0</v>
      </c>
      <c r="S279" s="59">
        <f>IF(P279&lt;0,P279,0)</f>
        <v>0</v>
      </c>
    </row>
    <row r="280" spans="1:19" x14ac:dyDescent="0.2">
      <c r="A280" s="46" t="s">
        <v>128</v>
      </c>
      <c r="B280" s="47">
        <v>43980</v>
      </c>
      <c r="C280" s="48">
        <v>200000</v>
      </c>
      <c r="D280" s="49">
        <v>15886.9</v>
      </c>
      <c r="E280" s="50"/>
      <c r="F280" s="51">
        <f t="shared" si="167"/>
        <v>15886.9</v>
      </c>
      <c r="G280" s="50"/>
      <c r="H280" s="50"/>
      <c r="I280" s="52"/>
      <c r="J280" s="53"/>
      <c r="K280" s="54"/>
      <c r="L280" s="55"/>
      <c r="M280" s="56"/>
      <c r="N280" s="56"/>
      <c r="O280" s="56"/>
      <c r="P280" s="57">
        <f>M280-N280-O280</f>
        <v>0</v>
      </c>
      <c r="Q280" s="58">
        <f>IF(P280&gt;0,IF(K280="Y",0,P280),0)</f>
        <v>0</v>
      </c>
      <c r="R280" s="57">
        <f>IF(P280&gt;0,IF(K280="Y",P280,0),0)</f>
        <v>0</v>
      </c>
      <c r="S280" s="59">
        <f>IF(P280&lt;0,P280,0)</f>
        <v>0</v>
      </c>
    </row>
    <row r="281" spans="1:19" x14ac:dyDescent="0.2">
      <c r="A281" s="46" t="s">
        <v>128</v>
      </c>
      <c r="B281" s="47">
        <v>43983</v>
      </c>
      <c r="C281" s="48">
        <v>92249</v>
      </c>
      <c r="D281" s="49">
        <v>7142.23</v>
      </c>
      <c r="E281" s="50"/>
      <c r="F281" s="51">
        <f t="shared" si="167"/>
        <v>7142.23</v>
      </c>
      <c r="G281" s="50"/>
      <c r="H281" s="50"/>
      <c r="I281" s="52"/>
      <c r="J281" s="53"/>
      <c r="K281" s="54"/>
      <c r="L281" s="55"/>
      <c r="M281" s="56"/>
      <c r="N281" s="56"/>
      <c r="O281" s="56"/>
      <c r="P281" s="57">
        <f>M281-N281-O281</f>
        <v>0</v>
      </c>
      <c r="Q281" s="58">
        <f>IF(P281&gt;0,IF(K281="Y",0,P281),0)</f>
        <v>0</v>
      </c>
      <c r="R281" s="57">
        <f>IF(P281&gt;0,IF(K281="Y",P281,0),0)</f>
        <v>0</v>
      </c>
      <c r="S281" s="59">
        <f>IF(P281&lt;0,P281,0)</f>
        <v>0</v>
      </c>
    </row>
    <row r="282" spans="1:19" x14ac:dyDescent="0.2">
      <c r="A282" s="46" t="s">
        <v>128</v>
      </c>
      <c r="B282" s="47">
        <v>44160</v>
      </c>
      <c r="C282" s="48">
        <v>500000</v>
      </c>
      <c r="D282" s="49">
        <v>62843.76</v>
      </c>
      <c r="E282" s="50"/>
      <c r="F282" s="51">
        <f t="shared" si="167"/>
        <v>62843.76</v>
      </c>
      <c r="G282" s="50"/>
      <c r="H282" s="50"/>
      <c r="I282" s="52"/>
      <c r="J282" s="53"/>
      <c r="K282" s="54"/>
      <c r="L282" s="55"/>
      <c r="M282" s="56"/>
      <c r="N282" s="56"/>
      <c r="O282" s="56"/>
      <c r="P282" s="57">
        <f>M282-N282-O282</f>
        <v>0</v>
      </c>
      <c r="Q282" s="58">
        <f>IF(P282&gt;0,IF(K282="Y",0,P282),0)</f>
        <v>0</v>
      </c>
      <c r="R282" s="57">
        <f>IF(P282&gt;0,IF(K282="Y",P282,0),0)</f>
        <v>0</v>
      </c>
      <c r="S282" s="59">
        <f>IF(P282&lt;0,P282,0)</f>
        <v>0</v>
      </c>
    </row>
    <row r="283" spans="1:19" x14ac:dyDescent="0.2">
      <c r="A283" s="60" t="s">
        <v>139</v>
      </c>
      <c r="B283" s="47">
        <v>44196</v>
      </c>
      <c r="C283" s="48">
        <v>385240</v>
      </c>
      <c r="D283" s="49">
        <v>44546.28</v>
      </c>
      <c r="E283" s="50"/>
      <c r="F283" s="51">
        <f t="shared" si="167"/>
        <v>44546.28</v>
      </c>
      <c r="G283" s="50"/>
      <c r="H283" s="50"/>
      <c r="I283" s="52"/>
      <c r="J283" s="53"/>
      <c r="K283" s="54"/>
      <c r="L283" s="55"/>
      <c r="M283" s="56"/>
      <c r="N283" s="56"/>
      <c r="O283" s="56"/>
      <c r="P283" s="57">
        <f t="shared" ref="P283:P284" si="168">M283-N283-O283</f>
        <v>0</v>
      </c>
      <c r="Q283" s="58">
        <f t="shared" ref="Q283:Q284" si="169">IF(P283&gt;0,IF(K283="Y",0,P283),0)</f>
        <v>0</v>
      </c>
      <c r="R283" s="57">
        <f t="shared" ref="R283:R284" si="170">IF(P283&gt;0,IF(K283="Y",P283,0),0)</f>
        <v>0</v>
      </c>
      <c r="S283" s="59">
        <f t="shared" ref="S283:S284" si="171">IF(P283&lt;0,P283,0)</f>
        <v>0</v>
      </c>
    </row>
    <row r="284" spans="1:19" x14ac:dyDescent="0.2">
      <c r="A284" s="60" t="s">
        <v>139</v>
      </c>
      <c r="B284" s="47">
        <v>44200</v>
      </c>
      <c r="C284" s="48">
        <v>114760</v>
      </c>
      <c r="D284" s="49">
        <v>13269.99</v>
      </c>
      <c r="E284" s="50"/>
      <c r="F284" s="51">
        <f t="shared" si="167"/>
        <v>13269.99</v>
      </c>
      <c r="G284" s="50"/>
      <c r="H284" s="50"/>
      <c r="I284" s="52"/>
      <c r="J284" s="53"/>
      <c r="K284" s="54"/>
      <c r="L284" s="55"/>
      <c r="M284" s="56"/>
      <c r="N284" s="56"/>
      <c r="O284" s="56"/>
      <c r="P284" s="57">
        <f t="shared" si="168"/>
        <v>0</v>
      </c>
      <c r="Q284" s="58">
        <f t="shared" si="169"/>
        <v>0</v>
      </c>
      <c r="R284" s="57">
        <f t="shared" si="170"/>
        <v>0</v>
      </c>
      <c r="S284" s="59">
        <f t="shared" si="171"/>
        <v>0</v>
      </c>
    </row>
    <row r="285" spans="1:19" x14ac:dyDescent="0.2">
      <c r="A285" s="60" t="s">
        <v>174</v>
      </c>
      <c r="B285" s="47">
        <v>44504</v>
      </c>
      <c r="C285" s="48">
        <v>179998</v>
      </c>
      <c r="D285" s="49">
        <f>30000</f>
        <v>30000</v>
      </c>
      <c r="E285" s="50"/>
      <c r="F285" s="51">
        <f t="shared" si="167"/>
        <v>30000</v>
      </c>
      <c r="G285" s="50"/>
      <c r="H285" s="50"/>
      <c r="I285" s="52"/>
      <c r="J285" s="53"/>
      <c r="K285" s="54"/>
      <c r="L285" s="55"/>
      <c r="M285" s="56"/>
      <c r="N285" s="56"/>
      <c r="O285" s="56"/>
      <c r="P285" s="57"/>
      <c r="Q285" s="58"/>
      <c r="R285" s="57"/>
      <c r="S285" s="59"/>
    </row>
    <row r="286" spans="1:19" x14ac:dyDescent="0.2">
      <c r="A286" s="60" t="s">
        <v>175</v>
      </c>
      <c r="B286" s="47">
        <v>44522</v>
      </c>
      <c r="C286" s="48">
        <v>0</v>
      </c>
      <c r="D286" s="49">
        <v>-2550.3000000000002</v>
      </c>
      <c r="E286" s="50"/>
      <c r="F286" s="51">
        <f t="shared" si="167"/>
        <v>-2550.3000000000002</v>
      </c>
      <c r="G286" s="50"/>
      <c r="H286" s="50"/>
      <c r="I286" s="52"/>
      <c r="J286" s="53"/>
      <c r="K286" s="54"/>
      <c r="L286" s="55"/>
      <c r="M286" s="56"/>
      <c r="N286" s="56"/>
      <c r="O286" s="56"/>
      <c r="P286" s="57"/>
      <c r="Q286" s="58"/>
      <c r="R286" s="57"/>
      <c r="S286" s="59"/>
    </row>
    <row r="287" spans="1:19" x14ac:dyDescent="0.2">
      <c r="A287" s="60"/>
      <c r="B287" s="47"/>
      <c r="C287" s="61"/>
      <c r="D287" s="49"/>
      <c r="E287" s="62"/>
      <c r="F287" s="51">
        <f t="shared" si="167"/>
        <v>0</v>
      </c>
      <c r="G287" s="50"/>
      <c r="H287" s="62"/>
      <c r="I287" s="52"/>
      <c r="J287" s="53"/>
      <c r="K287" s="54"/>
      <c r="L287" s="55"/>
      <c r="M287" s="56"/>
      <c r="N287" s="56"/>
      <c r="O287" s="56"/>
      <c r="P287" s="57">
        <f>M287-N287-O287</f>
        <v>0</v>
      </c>
      <c r="Q287" s="58">
        <f>IF(P287&gt;0,IF(K287="Y",0,P287),0)</f>
        <v>0</v>
      </c>
      <c r="R287" s="57">
        <f>IF(P287&gt;0,IF(K287="Y",P287,0),0)</f>
        <v>0</v>
      </c>
      <c r="S287" s="59">
        <f>IF(P287&lt;0,P287,0)</f>
        <v>0</v>
      </c>
    </row>
    <row r="288" spans="1:19" ht="13.5" customHeight="1" thickBot="1" x14ac:dyDescent="0.3">
      <c r="A288" s="63"/>
      <c r="B288" s="64"/>
      <c r="C288" s="73">
        <f>SUBTOTAL(9,C278:C287)</f>
        <v>2179998</v>
      </c>
      <c r="D288" s="66">
        <f>SUBTOTAL(9,D278:D287)</f>
        <v>214760.63</v>
      </c>
      <c r="E288" s="67">
        <f>SUBTOTAL(9,E278:E287)</f>
        <v>0</v>
      </c>
      <c r="F288" s="65">
        <f>SUBTOTAL(9,F278:F287)</f>
        <v>214760.63</v>
      </c>
      <c r="G288" s="65">
        <f>132980/C288</f>
        <v>6.1000055963354095E-2</v>
      </c>
      <c r="H288" s="67">
        <f>C288*G288</f>
        <v>132980</v>
      </c>
      <c r="I288" s="68"/>
      <c r="J288" s="68"/>
      <c r="K288" s="68"/>
      <c r="L288" s="126">
        <f t="shared" ref="L288:S288" si="172">SUBTOTAL(9,L278:L287)</f>
        <v>0</v>
      </c>
      <c r="M288" s="70">
        <f t="shared" si="172"/>
        <v>0</v>
      </c>
      <c r="N288" s="70">
        <f t="shared" si="172"/>
        <v>0</v>
      </c>
      <c r="O288" s="70">
        <f t="shared" si="172"/>
        <v>0</v>
      </c>
      <c r="P288" s="70">
        <f t="shared" si="172"/>
        <v>0</v>
      </c>
      <c r="Q288" s="70">
        <f t="shared" si="172"/>
        <v>0</v>
      </c>
      <c r="R288" s="70">
        <f t="shared" si="172"/>
        <v>0</v>
      </c>
      <c r="S288" s="71">
        <f t="shared" si="172"/>
        <v>0</v>
      </c>
    </row>
    <row r="289" spans="1:19" ht="13.5" thickTop="1" x14ac:dyDescent="0.2">
      <c r="A289" s="39" t="s">
        <v>176</v>
      </c>
      <c r="B289" s="40"/>
      <c r="C289" s="41"/>
      <c r="D289" s="42"/>
      <c r="E289" s="41"/>
      <c r="F289" s="41"/>
      <c r="G289" s="41"/>
      <c r="H289" s="41"/>
      <c r="I289" s="43"/>
      <c r="J289" s="44"/>
      <c r="K289" s="44"/>
      <c r="L289" s="41"/>
      <c r="M289" s="41"/>
      <c r="N289" s="41"/>
      <c r="O289" s="41"/>
      <c r="P289" s="41"/>
      <c r="Q289" s="41"/>
      <c r="R289" s="41"/>
      <c r="S289" s="45"/>
    </row>
    <row r="290" spans="1:19" x14ac:dyDescent="0.2">
      <c r="A290" s="46" t="s">
        <v>128</v>
      </c>
      <c r="B290" s="47">
        <v>43783</v>
      </c>
      <c r="C290" s="48">
        <v>17000</v>
      </c>
      <c r="D290" s="49">
        <v>123618.49</v>
      </c>
      <c r="E290" s="50"/>
      <c r="F290" s="51">
        <f>SUM(D290:E290)</f>
        <v>123618.49</v>
      </c>
      <c r="G290" s="50"/>
      <c r="H290" s="50"/>
      <c r="I290" s="52"/>
      <c r="J290" s="53"/>
      <c r="K290" s="54"/>
      <c r="L290" s="55"/>
      <c r="M290" s="56"/>
      <c r="N290" s="56"/>
      <c r="O290" s="56"/>
      <c r="P290" s="57">
        <f>M290-N290-O290</f>
        <v>0</v>
      </c>
      <c r="Q290" s="58">
        <f>IF(P290&gt;0,IF(K290="Y",0,P290),0)</f>
        <v>0</v>
      </c>
      <c r="R290" s="57">
        <f>IF(P290&gt;0,IF(K290="Y",P290,0),0)</f>
        <v>0</v>
      </c>
      <c r="S290" s="59">
        <f>IF(P290&lt;0,P290,0)</f>
        <v>0</v>
      </c>
    </row>
    <row r="291" spans="1:19" x14ac:dyDescent="0.2">
      <c r="A291" s="46" t="s">
        <v>128</v>
      </c>
      <c r="B291" s="47">
        <v>43783</v>
      </c>
      <c r="C291" s="48">
        <v>3000</v>
      </c>
      <c r="D291" s="49">
        <v>21636.5</v>
      </c>
      <c r="E291" s="50"/>
      <c r="F291" s="51">
        <f>SUM(D291:E291)</f>
        <v>21636.5</v>
      </c>
      <c r="G291" s="50"/>
      <c r="H291" s="50"/>
      <c r="I291" s="52"/>
      <c r="J291" s="53"/>
      <c r="K291" s="54"/>
      <c r="L291" s="55"/>
      <c r="M291" s="56"/>
      <c r="N291" s="56"/>
      <c r="O291" s="56"/>
      <c r="P291" s="57">
        <f>M291-N291-O291</f>
        <v>0</v>
      </c>
      <c r="Q291" s="58">
        <f>IF(P291&gt;0,IF(K291="Y",0,P291),0)</f>
        <v>0</v>
      </c>
      <c r="R291" s="57">
        <f>IF(P291&gt;0,IF(K291="Y",P291,0),0)</f>
        <v>0</v>
      </c>
      <c r="S291" s="59">
        <f>IF(P291&lt;0,P291,0)</f>
        <v>0</v>
      </c>
    </row>
    <row r="292" spans="1:19" x14ac:dyDescent="0.2">
      <c r="A292" s="46" t="s">
        <v>129</v>
      </c>
      <c r="B292" s="47">
        <v>43790</v>
      </c>
      <c r="C292" s="48">
        <v>-5000</v>
      </c>
      <c r="D292" s="49">
        <f>(D290/C290)*C292</f>
        <v>-36358.379411764705</v>
      </c>
      <c r="E292" s="50"/>
      <c r="F292" s="51">
        <f>SUM(D292:E292)</f>
        <v>-36358.379411764705</v>
      </c>
      <c r="G292" s="50"/>
      <c r="H292" s="50"/>
      <c r="I292" s="52"/>
      <c r="J292" s="53"/>
      <c r="K292" s="54"/>
      <c r="L292" s="55"/>
      <c r="M292" s="56"/>
      <c r="N292" s="56"/>
      <c r="O292" s="56"/>
      <c r="P292" s="57">
        <f t="shared" ref="P292:P293" si="173">M292-N292-O292</f>
        <v>0</v>
      </c>
      <c r="Q292" s="58">
        <f t="shared" ref="Q292:Q293" si="174">IF(P292&gt;0,IF(K292="Y",0,P292),0)</f>
        <v>0</v>
      </c>
      <c r="R292" s="57">
        <f t="shared" ref="R292:R293" si="175">IF(P292&gt;0,IF(K292="Y",P292,0),0)</f>
        <v>0</v>
      </c>
      <c r="S292" s="59">
        <f t="shared" ref="S292:S293" si="176">IF(P292&lt;0,P292,0)</f>
        <v>0</v>
      </c>
    </row>
    <row r="293" spans="1:19" x14ac:dyDescent="0.2">
      <c r="A293" s="46" t="s">
        <v>129</v>
      </c>
      <c r="B293" s="47">
        <v>43790</v>
      </c>
      <c r="C293" s="48">
        <v>-15000</v>
      </c>
      <c r="D293" s="49">
        <f>-SUM(D290,D292)-D291</f>
        <v>-108896.6105882353</v>
      </c>
      <c r="E293" s="50"/>
      <c r="F293" s="51">
        <f>SUM(D293:E293)</f>
        <v>-108896.6105882353</v>
      </c>
      <c r="G293" s="50"/>
      <c r="H293" s="50"/>
      <c r="I293" s="52"/>
      <c r="J293" s="53"/>
      <c r="K293" s="54"/>
      <c r="L293" s="55"/>
      <c r="M293" s="56"/>
      <c r="N293" s="56"/>
      <c r="O293" s="56"/>
      <c r="P293" s="57">
        <f t="shared" si="173"/>
        <v>0</v>
      </c>
      <c r="Q293" s="58">
        <f t="shared" si="174"/>
        <v>0</v>
      </c>
      <c r="R293" s="57">
        <f t="shared" si="175"/>
        <v>0</v>
      </c>
      <c r="S293" s="59">
        <f t="shared" si="176"/>
        <v>0</v>
      </c>
    </row>
    <row r="294" spans="1:19" x14ac:dyDescent="0.2">
      <c r="A294" s="60"/>
      <c r="B294" s="47"/>
      <c r="C294" s="61"/>
      <c r="D294" s="49"/>
      <c r="E294" s="62"/>
      <c r="F294" s="51">
        <f>SUM(D294:E294)</f>
        <v>0</v>
      </c>
      <c r="G294" s="50"/>
      <c r="H294" s="62"/>
      <c r="I294" s="52"/>
      <c r="J294" s="53"/>
      <c r="K294" s="54"/>
      <c r="L294" s="55"/>
      <c r="M294" s="56"/>
      <c r="N294" s="56"/>
      <c r="O294" s="56"/>
      <c r="P294" s="57">
        <f>M294-N294-O294</f>
        <v>0</v>
      </c>
      <c r="Q294" s="58">
        <f>IF(P294&gt;0,IF(K294="Y",0,P294),0)</f>
        <v>0</v>
      </c>
      <c r="R294" s="57">
        <f>IF(P294&gt;0,IF(K294="Y",P294,0),0)</f>
        <v>0</v>
      </c>
      <c r="S294" s="59">
        <f>IF(P294&lt;0,P294,0)</f>
        <v>0</v>
      </c>
    </row>
    <row r="295" spans="1:19" ht="13.5" customHeight="1" thickBot="1" x14ac:dyDescent="0.3">
      <c r="A295" s="63"/>
      <c r="B295" s="64"/>
      <c r="C295" s="65">
        <f>SUBTOTAL(9,C290:C294)</f>
        <v>0</v>
      </c>
      <c r="D295" s="66">
        <f>SUBTOTAL(9,D290:D294)</f>
        <v>0</v>
      </c>
      <c r="E295" s="67">
        <f>SUBTOTAL(9,E290:E294)</f>
        <v>0</v>
      </c>
      <c r="F295" s="65">
        <f>SUBTOTAL(9,F290:F294)</f>
        <v>-1.4551915228366852E-11</v>
      </c>
      <c r="G295" s="65">
        <v>0</v>
      </c>
      <c r="H295" s="67">
        <f>C295*G295</f>
        <v>0</v>
      </c>
      <c r="I295" s="68"/>
      <c r="J295" s="68"/>
      <c r="K295" s="68"/>
      <c r="L295" s="69">
        <f t="shared" ref="L295:S295" si="177">SUBTOTAL(9,L290:L294)</f>
        <v>0</v>
      </c>
      <c r="M295" s="70">
        <f t="shared" si="177"/>
        <v>0</v>
      </c>
      <c r="N295" s="70">
        <f t="shared" si="177"/>
        <v>0</v>
      </c>
      <c r="O295" s="70">
        <f t="shared" si="177"/>
        <v>0</v>
      </c>
      <c r="P295" s="70">
        <f t="shared" si="177"/>
        <v>0</v>
      </c>
      <c r="Q295" s="70">
        <f t="shared" si="177"/>
        <v>0</v>
      </c>
      <c r="R295" s="70">
        <f t="shared" si="177"/>
        <v>0</v>
      </c>
      <c r="S295" s="71">
        <f t="shared" si="177"/>
        <v>0</v>
      </c>
    </row>
    <row r="296" spans="1:19" ht="13.5" thickTop="1" x14ac:dyDescent="0.2">
      <c r="A296" s="39" t="s">
        <v>177</v>
      </c>
      <c r="B296" s="40"/>
      <c r="C296" s="41"/>
      <c r="D296" s="42"/>
      <c r="E296" s="41"/>
      <c r="F296" s="41"/>
      <c r="G296" s="41"/>
      <c r="H296" s="41"/>
      <c r="I296" s="43"/>
      <c r="J296" s="44"/>
      <c r="K296" s="44"/>
      <c r="L296" s="41"/>
      <c r="M296" s="41"/>
      <c r="N296" s="41"/>
      <c r="O296" s="41"/>
      <c r="P296" s="41"/>
      <c r="Q296" s="41"/>
      <c r="R296" s="41"/>
      <c r="S296" s="45"/>
    </row>
    <row r="297" spans="1:19" x14ac:dyDescent="0.2">
      <c r="A297" s="46" t="s">
        <v>128</v>
      </c>
      <c r="B297" s="47">
        <v>43878</v>
      </c>
      <c r="C297" s="48">
        <v>80000</v>
      </c>
      <c r="D297" s="49">
        <v>56106.9</v>
      </c>
      <c r="E297" s="50"/>
      <c r="F297" s="51">
        <f>SUM(D297:E297)</f>
        <v>56106.9</v>
      </c>
      <c r="G297" s="50"/>
      <c r="H297" s="50"/>
      <c r="I297" s="52"/>
      <c r="J297" s="53"/>
      <c r="K297" s="54"/>
      <c r="L297" s="55"/>
      <c r="M297" s="56"/>
      <c r="N297" s="56"/>
      <c r="O297" s="56"/>
      <c r="P297" s="57">
        <f>M297-N297-O297</f>
        <v>0</v>
      </c>
      <c r="Q297" s="58">
        <f>IF(P297&gt;0,IF(K297="Y",0,P297),0)</f>
        <v>0</v>
      </c>
      <c r="R297" s="57">
        <f>IF(P297&gt;0,IF(K297="Y",P297,0),0)</f>
        <v>0</v>
      </c>
      <c r="S297" s="59">
        <f>IF(P297&lt;0,P297,0)</f>
        <v>0</v>
      </c>
    </row>
    <row r="298" spans="1:19" x14ac:dyDescent="0.2">
      <c r="A298" s="46" t="s">
        <v>129</v>
      </c>
      <c r="B298" s="47">
        <v>43979</v>
      </c>
      <c r="C298" s="48">
        <v>-52255</v>
      </c>
      <c r="D298" s="49">
        <f>(D297/C297)*C298</f>
        <v>-36648.32574375</v>
      </c>
      <c r="E298" s="50"/>
      <c r="F298" s="51">
        <f>SUM(D298:E298)</f>
        <v>-36648.32574375</v>
      </c>
      <c r="G298" s="50"/>
      <c r="H298" s="50"/>
      <c r="I298" s="52"/>
      <c r="J298" s="53"/>
      <c r="K298" s="54"/>
      <c r="L298" s="55"/>
      <c r="M298" s="56"/>
      <c r="N298" s="56"/>
      <c r="O298" s="56"/>
      <c r="P298" s="57">
        <f t="shared" ref="P298:P299" si="178">M298-N298-O298</f>
        <v>0</v>
      </c>
      <c r="Q298" s="58">
        <f t="shared" ref="Q298:Q299" si="179">IF(P298&gt;0,IF(K298="Y",0,P298),0)</f>
        <v>0</v>
      </c>
      <c r="R298" s="57">
        <f t="shared" ref="R298:R299" si="180">IF(P298&gt;0,IF(K298="Y",P298,0),0)</f>
        <v>0</v>
      </c>
      <c r="S298" s="59">
        <f t="shared" ref="S298:S299" si="181">IF(P298&lt;0,P298,0)</f>
        <v>0</v>
      </c>
    </row>
    <row r="299" spans="1:19" x14ac:dyDescent="0.2">
      <c r="A299" s="46" t="s">
        <v>129</v>
      </c>
      <c r="B299" s="47">
        <v>44007</v>
      </c>
      <c r="C299" s="48">
        <v>-27745</v>
      </c>
      <c r="D299" s="49">
        <f>(D297/C297)*C299</f>
        <v>-19458.574256249998</v>
      </c>
      <c r="E299" s="50"/>
      <c r="F299" s="51">
        <f>SUM(D299:E299)</f>
        <v>-19458.574256249998</v>
      </c>
      <c r="G299" s="50"/>
      <c r="H299" s="50"/>
      <c r="I299" s="52"/>
      <c r="J299" s="53"/>
      <c r="K299" s="54"/>
      <c r="L299" s="55"/>
      <c r="M299" s="56"/>
      <c r="N299" s="56"/>
      <c r="O299" s="56"/>
      <c r="P299" s="57">
        <f t="shared" si="178"/>
        <v>0</v>
      </c>
      <c r="Q299" s="58">
        <f t="shared" si="179"/>
        <v>0</v>
      </c>
      <c r="R299" s="57">
        <f t="shared" si="180"/>
        <v>0</v>
      </c>
      <c r="S299" s="59">
        <f t="shared" si="181"/>
        <v>0</v>
      </c>
    </row>
    <row r="300" spans="1:19" x14ac:dyDescent="0.2">
      <c r="A300" s="60"/>
      <c r="B300" s="47"/>
      <c r="C300" s="61"/>
      <c r="D300" s="49"/>
      <c r="E300" s="62"/>
      <c r="F300" s="51">
        <f>SUM(D300:E300)</f>
        <v>0</v>
      </c>
      <c r="G300" s="50"/>
      <c r="H300" s="62"/>
      <c r="I300" s="52"/>
      <c r="J300" s="53"/>
      <c r="K300" s="54"/>
      <c r="L300" s="55"/>
      <c r="M300" s="56"/>
      <c r="N300" s="56"/>
      <c r="O300" s="56"/>
      <c r="P300" s="57">
        <f>M300-N300-O300</f>
        <v>0</v>
      </c>
      <c r="Q300" s="58">
        <f>IF(P300&gt;0,IF(K300="Y",0,P300),0)</f>
        <v>0</v>
      </c>
      <c r="R300" s="57">
        <f>IF(P300&gt;0,IF(K300="Y",P300,0),0)</f>
        <v>0</v>
      </c>
      <c r="S300" s="59">
        <f>IF(P300&lt;0,P300,0)</f>
        <v>0</v>
      </c>
    </row>
    <row r="301" spans="1:19" ht="13.5" customHeight="1" thickBot="1" x14ac:dyDescent="0.3">
      <c r="A301" s="63"/>
      <c r="B301" s="64"/>
      <c r="C301" s="65">
        <f>SUBTOTAL(9,C297:C300)</f>
        <v>0</v>
      </c>
      <c r="D301" s="66">
        <f>SUBTOTAL(9,D297:D300)</f>
        <v>0</v>
      </c>
      <c r="E301" s="67">
        <f>SUBTOTAL(9,E297:E300)</f>
        <v>0</v>
      </c>
      <c r="F301" s="65">
        <f>SUBTOTAL(9,F297:F300)</f>
        <v>3.637978807091713E-12</v>
      </c>
      <c r="G301" s="65">
        <v>0</v>
      </c>
      <c r="H301" s="67">
        <f>C301*G301</f>
        <v>0</v>
      </c>
      <c r="I301" s="68"/>
      <c r="J301" s="68"/>
      <c r="K301" s="68"/>
      <c r="L301" s="69">
        <f t="shared" ref="L301:S301" si="182">SUBTOTAL(9,L297:L300)</f>
        <v>0</v>
      </c>
      <c r="M301" s="70">
        <f t="shared" si="182"/>
        <v>0</v>
      </c>
      <c r="N301" s="70">
        <f t="shared" si="182"/>
        <v>0</v>
      </c>
      <c r="O301" s="70">
        <f t="shared" si="182"/>
        <v>0</v>
      </c>
      <c r="P301" s="70">
        <f t="shared" si="182"/>
        <v>0</v>
      </c>
      <c r="Q301" s="70">
        <f t="shared" si="182"/>
        <v>0</v>
      </c>
      <c r="R301" s="70">
        <f t="shared" si="182"/>
        <v>0</v>
      </c>
      <c r="S301" s="71">
        <f t="shared" si="182"/>
        <v>0</v>
      </c>
    </row>
    <row r="302" spans="1:19" ht="13.5" thickTop="1" x14ac:dyDescent="0.2">
      <c r="A302" s="39" t="s">
        <v>178</v>
      </c>
      <c r="B302" s="40"/>
      <c r="C302" s="41"/>
      <c r="D302" s="42"/>
      <c r="E302" s="41"/>
      <c r="F302" s="41"/>
      <c r="G302" s="41"/>
      <c r="H302" s="41"/>
      <c r="I302" s="43"/>
      <c r="J302" s="44"/>
      <c r="K302" s="44"/>
      <c r="L302" s="41"/>
      <c r="M302" s="41"/>
      <c r="N302" s="41"/>
      <c r="O302" s="41"/>
      <c r="P302" s="41"/>
      <c r="Q302" s="41"/>
      <c r="R302" s="41"/>
      <c r="S302" s="45"/>
    </row>
    <row r="303" spans="1:19" x14ac:dyDescent="0.2">
      <c r="A303" s="46" t="s">
        <v>128</v>
      </c>
      <c r="B303" s="47">
        <v>44076</v>
      </c>
      <c r="C303" s="48">
        <v>5800</v>
      </c>
      <c r="D303" s="49">
        <v>8178</v>
      </c>
      <c r="E303" s="50"/>
      <c r="F303" s="51">
        <f>SUM(D303:E303)</f>
        <v>8178</v>
      </c>
      <c r="G303" s="50"/>
      <c r="H303" s="50"/>
      <c r="I303" s="52"/>
      <c r="J303" s="53"/>
      <c r="K303" s="54"/>
      <c r="L303" s="55"/>
      <c r="M303" s="56"/>
      <c r="N303" s="56"/>
      <c r="O303" s="56"/>
      <c r="P303" s="57">
        <f t="shared" ref="P303:P305" si="183">M303-N303-O303</f>
        <v>0</v>
      </c>
      <c r="Q303" s="58">
        <f t="shared" ref="Q303:Q305" si="184">IF(P303&gt;0,IF(K303="Y",0,P303),0)</f>
        <v>0</v>
      </c>
      <c r="R303" s="57">
        <f t="shared" ref="R303:R305" si="185">IF(P303&gt;0,IF(K303="Y",P303,0),0)</f>
        <v>0</v>
      </c>
      <c r="S303" s="59">
        <f t="shared" ref="S303:S305" si="186">IF(P303&lt;0,P303,0)</f>
        <v>0</v>
      </c>
    </row>
    <row r="304" spans="1:19" ht="13.5" customHeight="1" x14ac:dyDescent="0.2">
      <c r="A304" s="46" t="s">
        <v>129</v>
      </c>
      <c r="B304" s="47">
        <v>44085</v>
      </c>
      <c r="C304" s="48">
        <v>-5800</v>
      </c>
      <c r="D304" s="49">
        <f>D303/C303*C304</f>
        <v>-8177.9999999999991</v>
      </c>
      <c r="E304" s="50"/>
      <c r="F304" s="51">
        <f>SUM(D304:E304)</f>
        <v>-8177.9999999999991</v>
      </c>
      <c r="G304" s="50"/>
      <c r="H304" s="50"/>
      <c r="I304" s="52"/>
      <c r="J304" s="53"/>
      <c r="K304" s="54"/>
      <c r="L304" s="55"/>
      <c r="M304" s="56"/>
      <c r="N304" s="56"/>
      <c r="O304" s="56"/>
      <c r="P304" s="57">
        <f t="shared" si="183"/>
        <v>0</v>
      </c>
      <c r="Q304" s="58">
        <f t="shared" si="184"/>
        <v>0</v>
      </c>
      <c r="R304" s="57">
        <f t="shared" si="185"/>
        <v>0</v>
      </c>
      <c r="S304" s="59">
        <f t="shared" si="186"/>
        <v>0</v>
      </c>
    </row>
    <row r="305" spans="1:19" ht="13.5" customHeight="1" x14ac:dyDescent="0.2">
      <c r="A305" s="60"/>
      <c r="B305" s="47"/>
      <c r="C305" s="61"/>
      <c r="D305" s="49"/>
      <c r="E305" s="62"/>
      <c r="F305" s="51">
        <f>SUM(D305:E305)</f>
        <v>0</v>
      </c>
      <c r="G305" s="50"/>
      <c r="H305" s="62"/>
      <c r="I305" s="52"/>
      <c r="J305" s="53"/>
      <c r="K305" s="54"/>
      <c r="L305" s="55"/>
      <c r="M305" s="56"/>
      <c r="N305" s="56"/>
      <c r="O305" s="56"/>
      <c r="P305" s="57">
        <f t="shared" si="183"/>
        <v>0</v>
      </c>
      <c r="Q305" s="58">
        <f t="shared" si="184"/>
        <v>0</v>
      </c>
      <c r="R305" s="57">
        <f t="shared" si="185"/>
        <v>0</v>
      </c>
      <c r="S305" s="59">
        <f t="shared" si="186"/>
        <v>0</v>
      </c>
    </row>
    <row r="306" spans="1:19" ht="13.5" customHeight="1" thickBot="1" x14ac:dyDescent="0.3">
      <c r="A306" s="63"/>
      <c r="B306" s="64"/>
      <c r="C306" s="65">
        <f>SUBTOTAL(9,C303:C305)</f>
        <v>0</v>
      </c>
      <c r="D306" s="66">
        <f>SUBTOTAL(9,D303:D305)</f>
        <v>0</v>
      </c>
      <c r="E306" s="67">
        <f>SUBTOTAL(9,E303:E305)</f>
        <v>0</v>
      </c>
      <c r="F306" s="65">
        <f>SUBTOTAL(9,F303:F305)</f>
        <v>9.0949470177292824E-13</v>
      </c>
      <c r="G306" s="65">
        <v>0</v>
      </c>
      <c r="H306" s="67">
        <f>C306*G306</f>
        <v>0</v>
      </c>
      <c r="I306" s="68"/>
      <c r="J306" s="68"/>
      <c r="K306" s="68"/>
      <c r="L306" s="69">
        <f t="shared" ref="L306:S306" si="187">SUBTOTAL(9,L303:L305)</f>
        <v>0</v>
      </c>
      <c r="M306" s="70">
        <f t="shared" si="187"/>
        <v>0</v>
      </c>
      <c r="N306" s="70">
        <f t="shared" si="187"/>
        <v>0</v>
      </c>
      <c r="O306" s="70">
        <f t="shared" si="187"/>
        <v>0</v>
      </c>
      <c r="P306" s="70">
        <f t="shared" si="187"/>
        <v>0</v>
      </c>
      <c r="Q306" s="70">
        <f t="shared" si="187"/>
        <v>0</v>
      </c>
      <c r="R306" s="70">
        <f t="shared" si="187"/>
        <v>0</v>
      </c>
      <c r="S306" s="71">
        <f t="shared" si="187"/>
        <v>0</v>
      </c>
    </row>
    <row r="307" spans="1:19" ht="13.5" thickTop="1" x14ac:dyDescent="0.2">
      <c r="A307" s="39" t="s">
        <v>179</v>
      </c>
      <c r="B307" s="40"/>
      <c r="C307" s="41"/>
      <c r="D307" s="42"/>
      <c r="E307" s="41"/>
      <c r="F307" s="41"/>
      <c r="G307" s="41"/>
      <c r="H307" s="41"/>
      <c r="I307" s="43"/>
      <c r="J307" s="44"/>
      <c r="K307" s="44"/>
      <c r="L307" s="41"/>
      <c r="M307" s="41"/>
      <c r="N307" s="41"/>
      <c r="O307" s="41"/>
      <c r="P307" s="41"/>
      <c r="Q307" s="41"/>
      <c r="R307" s="41"/>
      <c r="S307" s="45"/>
    </row>
    <row r="308" spans="1:19" x14ac:dyDescent="0.2">
      <c r="A308" s="46" t="s">
        <v>128</v>
      </c>
      <c r="B308" s="47">
        <v>44580</v>
      </c>
      <c r="C308" s="48">
        <v>100000</v>
      </c>
      <c r="D308" s="49">
        <v>106583</v>
      </c>
      <c r="E308" s="50"/>
      <c r="F308" s="51">
        <f>SUM(D308:E308)</f>
        <v>106583</v>
      </c>
      <c r="G308" s="50"/>
      <c r="H308" s="50"/>
      <c r="I308" s="52"/>
      <c r="J308" s="72"/>
      <c r="K308" s="72"/>
      <c r="L308" s="55"/>
      <c r="M308" s="49"/>
      <c r="N308" s="72"/>
      <c r="O308" s="49"/>
      <c r="P308" s="57">
        <f t="shared" ref="P308:P309" si="188">M308-N308-O308</f>
        <v>0</v>
      </c>
      <c r="Q308" s="58">
        <f t="shared" ref="Q308:Q309" si="189">IF(P308&gt;0,IF(K308="Y",0,P308),0)</f>
        <v>0</v>
      </c>
      <c r="R308" s="57">
        <f t="shared" ref="R308:R309" si="190">IF(P308&gt;0,IF(K308="Y",P308,0),0)</f>
        <v>0</v>
      </c>
      <c r="S308" s="59">
        <f t="shared" ref="S308:S309" si="191">IF(P308&lt;0,P308,0)</f>
        <v>0</v>
      </c>
    </row>
    <row r="309" spans="1:19" x14ac:dyDescent="0.2">
      <c r="A309" s="46" t="s">
        <v>129</v>
      </c>
      <c r="B309" s="47">
        <v>44580</v>
      </c>
      <c r="C309" s="48">
        <v>-100000</v>
      </c>
      <c r="D309" s="49">
        <f>-D308</f>
        <v>-106583</v>
      </c>
      <c r="E309" s="50"/>
      <c r="F309" s="51">
        <f>SUM(D309:E309)</f>
        <v>-106583</v>
      </c>
      <c r="G309" s="50"/>
      <c r="H309" s="50"/>
      <c r="I309" s="52"/>
      <c r="J309" s="72">
        <f t="shared" ref="J309" si="192">B309</f>
        <v>44580</v>
      </c>
      <c r="K309" s="72" t="s">
        <v>151</v>
      </c>
      <c r="L309" s="55">
        <f t="shared" ref="L309" si="193">C309</f>
        <v>-100000</v>
      </c>
      <c r="M309" s="49">
        <v>95749.99</v>
      </c>
      <c r="N309" s="72"/>
      <c r="O309" s="49">
        <f t="shared" ref="O309" si="194">-D309</f>
        <v>106583</v>
      </c>
      <c r="P309" s="57">
        <f t="shared" si="188"/>
        <v>-10833.009999999995</v>
      </c>
      <c r="Q309" s="58">
        <f t="shared" si="189"/>
        <v>0</v>
      </c>
      <c r="R309" s="57">
        <f t="shared" si="190"/>
        <v>0</v>
      </c>
      <c r="S309" s="59">
        <f t="shared" si="191"/>
        <v>-10833.009999999995</v>
      </c>
    </row>
    <row r="310" spans="1:19" x14ac:dyDescent="0.2">
      <c r="A310" s="60"/>
      <c r="B310" s="47"/>
      <c r="C310" s="61"/>
      <c r="D310" s="49"/>
      <c r="E310" s="62"/>
      <c r="F310" s="51">
        <f>SUM(D310:E310)</f>
        <v>0</v>
      </c>
      <c r="G310" s="50"/>
      <c r="H310" s="62"/>
      <c r="I310" s="52"/>
      <c r="J310" s="53"/>
      <c r="K310" s="54"/>
      <c r="L310" s="55"/>
      <c r="M310" s="56"/>
      <c r="N310" s="56"/>
      <c r="O310" s="56"/>
      <c r="P310" s="57">
        <f>M310-N310-O310</f>
        <v>0</v>
      </c>
      <c r="Q310" s="58">
        <f>IF(P310&gt;0,IF(K310="Y",0,P310),0)</f>
        <v>0</v>
      </c>
      <c r="R310" s="57">
        <f>IF(P310&gt;0,IF(K310="Y",P310,0),0)</f>
        <v>0</v>
      </c>
      <c r="S310" s="59">
        <f>IF(P310&lt;0,P310,0)</f>
        <v>0</v>
      </c>
    </row>
    <row r="311" spans="1:19" ht="13.5" customHeight="1" thickBot="1" x14ac:dyDescent="0.3">
      <c r="A311" s="63"/>
      <c r="B311" s="64"/>
      <c r="C311" s="65">
        <f>SUBTOTAL(9,C308:C310)</f>
        <v>0</v>
      </c>
      <c r="D311" s="66">
        <f>SUBTOTAL(9,D308:D310)</f>
        <v>0</v>
      </c>
      <c r="E311" s="67">
        <f>SUBTOTAL(9,E308:E310)</f>
        <v>0</v>
      </c>
      <c r="F311" s="65">
        <f>SUBTOTAL(9,F308:F310)</f>
        <v>0</v>
      </c>
      <c r="G311" s="65">
        <v>0</v>
      </c>
      <c r="H311" s="67">
        <f>C311*G311</f>
        <v>0</v>
      </c>
      <c r="I311" s="68"/>
      <c r="J311" s="68"/>
      <c r="K311" s="68"/>
      <c r="L311" s="69">
        <f t="shared" ref="L311:S311" si="195">SUBTOTAL(9,L308:L310)</f>
        <v>-100000</v>
      </c>
      <c r="M311" s="70">
        <f t="shared" si="195"/>
        <v>95749.99</v>
      </c>
      <c r="N311" s="70">
        <f t="shared" si="195"/>
        <v>0</v>
      </c>
      <c r="O311" s="70">
        <f t="shared" si="195"/>
        <v>106583</v>
      </c>
      <c r="P311" s="70">
        <f t="shared" si="195"/>
        <v>-10833.009999999995</v>
      </c>
      <c r="Q311" s="70">
        <f t="shared" si="195"/>
        <v>0</v>
      </c>
      <c r="R311" s="70">
        <f t="shared" si="195"/>
        <v>0</v>
      </c>
      <c r="S311" s="71">
        <f t="shared" si="195"/>
        <v>-10833.009999999995</v>
      </c>
    </row>
    <row r="312" spans="1:19" ht="13.5" thickTop="1" x14ac:dyDescent="0.2">
      <c r="A312" s="39" t="s">
        <v>180</v>
      </c>
      <c r="B312" s="40"/>
      <c r="C312" s="41"/>
      <c r="D312" s="42"/>
      <c r="E312" s="41"/>
      <c r="F312" s="41"/>
      <c r="G312" s="41"/>
      <c r="H312" s="41"/>
      <c r="I312" s="43"/>
      <c r="J312" s="44"/>
      <c r="K312" s="44"/>
      <c r="L312" s="41"/>
      <c r="M312" s="41"/>
      <c r="N312" s="41"/>
      <c r="O312" s="41"/>
      <c r="P312" s="41"/>
      <c r="Q312" s="41"/>
      <c r="R312" s="41"/>
      <c r="S312" s="45"/>
    </row>
    <row r="313" spans="1:19" x14ac:dyDescent="0.2">
      <c r="A313" s="46" t="s">
        <v>128</v>
      </c>
      <c r="B313" s="47">
        <v>43756</v>
      </c>
      <c r="C313" s="48">
        <v>10000</v>
      </c>
      <c r="D313" s="49">
        <v>58916.04</v>
      </c>
      <c r="E313" s="50"/>
      <c r="F313" s="51">
        <f>SUM(D313:E313)</f>
        <v>58916.04</v>
      </c>
      <c r="G313" s="50"/>
      <c r="H313" s="50"/>
      <c r="I313" s="52"/>
      <c r="J313" s="53"/>
      <c r="K313" s="54"/>
      <c r="L313" s="55"/>
      <c r="M313" s="56"/>
      <c r="N313" s="56"/>
      <c r="O313" s="56"/>
      <c r="P313" s="57">
        <f>M313-N313-O313</f>
        <v>0</v>
      </c>
      <c r="Q313" s="58">
        <f>IF(P313&gt;0,IF(K313="Y",0,P313),0)</f>
        <v>0</v>
      </c>
      <c r="R313" s="57">
        <f>IF(P313&gt;0,IF(K313="Y",P313,0),0)</f>
        <v>0</v>
      </c>
      <c r="S313" s="59">
        <f>IF(P313&lt;0,P313,0)</f>
        <v>0</v>
      </c>
    </row>
    <row r="314" spans="1:19" x14ac:dyDescent="0.2">
      <c r="A314" s="46" t="s">
        <v>129</v>
      </c>
      <c r="B314" s="47">
        <v>43811</v>
      </c>
      <c r="C314" s="48">
        <v>-10000</v>
      </c>
      <c r="D314" s="49">
        <f>-D313</f>
        <v>-58916.04</v>
      </c>
      <c r="E314" s="50"/>
      <c r="F314" s="51">
        <f>SUM(D314:E314)</f>
        <v>-58916.04</v>
      </c>
      <c r="G314" s="50"/>
      <c r="H314" s="50"/>
      <c r="I314" s="52"/>
      <c r="J314" s="53"/>
      <c r="K314" s="54"/>
      <c r="L314" s="55"/>
      <c r="M314" s="56"/>
      <c r="N314" s="56"/>
      <c r="O314" s="56"/>
      <c r="P314" s="57"/>
      <c r="Q314" s="58"/>
      <c r="R314" s="57"/>
      <c r="S314" s="59"/>
    </row>
    <row r="315" spans="1:19" x14ac:dyDescent="0.2">
      <c r="A315" s="60"/>
      <c r="B315" s="47"/>
      <c r="C315" s="61"/>
      <c r="D315" s="49"/>
      <c r="E315" s="62"/>
      <c r="F315" s="51">
        <f>SUM(D315:E315)</f>
        <v>0</v>
      </c>
      <c r="G315" s="50"/>
      <c r="H315" s="62"/>
      <c r="I315" s="52"/>
      <c r="J315" s="53"/>
      <c r="K315" s="54"/>
      <c r="L315" s="55"/>
      <c r="M315" s="56"/>
      <c r="N315" s="56"/>
      <c r="O315" s="56"/>
      <c r="P315" s="57">
        <f>M315-N315-O315</f>
        <v>0</v>
      </c>
      <c r="Q315" s="58">
        <f>IF(P315&gt;0,IF(K315="Y",0,P315),0)</f>
        <v>0</v>
      </c>
      <c r="R315" s="57">
        <f>IF(P315&gt;0,IF(K315="Y",P315,0),0)</f>
        <v>0</v>
      </c>
      <c r="S315" s="59">
        <f>IF(P315&lt;0,P315,0)</f>
        <v>0</v>
      </c>
    </row>
    <row r="316" spans="1:19" ht="13.5" customHeight="1" thickBot="1" x14ac:dyDescent="0.3">
      <c r="A316" s="63"/>
      <c r="B316" s="64"/>
      <c r="C316" s="65">
        <f>SUBTOTAL(9,C313:C315)</f>
        <v>0</v>
      </c>
      <c r="D316" s="66">
        <f>SUBTOTAL(9,D313:D315)</f>
        <v>0</v>
      </c>
      <c r="E316" s="67">
        <f>SUBTOTAL(9,E313:E315)</f>
        <v>0</v>
      </c>
      <c r="F316" s="65">
        <f>SUBTOTAL(9,F313:F315)</f>
        <v>0</v>
      </c>
      <c r="G316" s="65">
        <v>0</v>
      </c>
      <c r="H316" s="67">
        <f>C316*G316</f>
        <v>0</v>
      </c>
      <c r="I316" s="68"/>
      <c r="J316" s="68"/>
      <c r="K316" s="68"/>
      <c r="L316" s="69">
        <f t="shared" ref="L316:S316" si="196">SUBTOTAL(9,L313:L315)</f>
        <v>0</v>
      </c>
      <c r="M316" s="70">
        <f t="shared" si="196"/>
        <v>0</v>
      </c>
      <c r="N316" s="70">
        <f t="shared" si="196"/>
        <v>0</v>
      </c>
      <c r="O316" s="70">
        <f t="shared" si="196"/>
        <v>0</v>
      </c>
      <c r="P316" s="70">
        <f t="shared" si="196"/>
        <v>0</v>
      </c>
      <c r="Q316" s="70">
        <f t="shared" si="196"/>
        <v>0</v>
      </c>
      <c r="R316" s="70">
        <f t="shared" si="196"/>
        <v>0</v>
      </c>
      <c r="S316" s="71">
        <f t="shared" si="196"/>
        <v>0</v>
      </c>
    </row>
    <row r="317" spans="1:19" ht="13.5" thickTop="1" x14ac:dyDescent="0.2">
      <c r="A317" s="39" t="s">
        <v>181</v>
      </c>
      <c r="B317" s="40"/>
      <c r="C317" s="41"/>
      <c r="D317" s="42"/>
      <c r="E317" s="41"/>
      <c r="F317" s="41"/>
      <c r="G317" s="41"/>
      <c r="H317" s="41"/>
      <c r="I317" s="43"/>
      <c r="J317" s="44"/>
      <c r="K317" s="44"/>
      <c r="L317" s="41"/>
      <c r="M317" s="41"/>
      <c r="N317" s="41"/>
      <c r="O317" s="41"/>
      <c r="P317" s="41"/>
      <c r="Q317" s="41"/>
      <c r="R317" s="41"/>
      <c r="S317" s="45"/>
    </row>
    <row r="318" spans="1:19" x14ac:dyDescent="0.2">
      <c r="A318" s="46" t="s">
        <v>128</v>
      </c>
      <c r="B318" s="47">
        <v>44327</v>
      </c>
      <c r="C318" s="48">
        <v>100000</v>
      </c>
      <c r="D318" s="49">
        <v>45247.5</v>
      </c>
      <c r="E318" s="50"/>
      <c r="F318" s="51">
        <f>SUM(D318:E318)</f>
        <v>45247.5</v>
      </c>
      <c r="G318" s="50"/>
      <c r="H318" s="50"/>
      <c r="I318" s="52"/>
      <c r="J318" s="53"/>
      <c r="K318" s="54"/>
      <c r="L318" s="55"/>
      <c r="M318" s="56"/>
      <c r="N318" s="56"/>
      <c r="O318" s="56"/>
      <c r="P318" s="57">
        <f>M318-N318-O318</f>
        <v>0</v>
      </c>
      <c r="Q318" s="58">
        <f>IF(P318&gt;0,IF(K318="Y",0,P318),0)</f>
        <v>0</v>
      </c>
      <c r="R318" s="57">
        <f t="shared" ref="R318:R326" si="197">IF(P318&gt;0,IF(K318="Y",P318,0),0)</f>
        <v>0</v>
      </c>
      <c r="S318" s="59">
        <f>IF(P318&lt;0,P318,0)</f>
        <v>0</v>
      </c>
    </row>
    <row r="319" spans="1:19" x14ac:dyDescent="0.2">
      <c r="A319" s="46" t="s">
        <v>128</v>
      </c>
      <c r="B319" s="47">
        <v>44349</v>
      </c>
      <c r="C319" s="48">
        <v>50000</v>
      </c>
      <c r="D319" s="49">
        <v>26897.14</v>
      </c>
      <c r="E319" s="50"/>
      <c r="F319" s="51">
        <f>SUM(D319:E319)</f>
        <v>26897.14</v>
      </c>
      <c r="G319" s="50"/>
      <c r="H319" s="50"/>
      <c r="I319" s="52"/>
      <c r="J319" s="53"/>
      <c r="K319" s="54"/>
      <c r="L319" s="55"/>
      <c r="M319" s="56"/>
      <c r="N319" s="56"/>
      <c r="O319" s="56"/>
      <c r="P319" s="57">
        <f t="shared" ref="P319:P326" si="198">M319-N319-O319</f>
        <v>0</v>
      </c>
      <c r="Q319" s="58">
        <f t="shared" ref="Q319:Q326" si="199">IF(P319&gt;0,IF(K319="Y",0,P319),0)</f>
        <v>0</v>
      </c>
      <c r="R319" s="57">
        <f t="shared" si="197"/>
        <v>0</v>
      </c>
      <c r="S319" s="59"/>
    </row>
    <row r="320" spans="1:19" x14ac:dyDescent="0.2">
      <c r="A320" s="60" t="s">
        <v>129</v>
      </c>
      <c r="B320" s="47">
        <v>44382</v>
      </c>
      <c r="C320" s="48">
        <v>-75000</v>
      </c>
      <c r="D320" s="49">
        <f>(D318/C318)*C320</f>
        <v>-33935.625</v>
      </c>
      <c r="E320" s="50"/>
      <c r="F320" s="51">
        <f t="shared" ref="F320:F326" si="200">SUM(D320:E320)</f>
        <v>-33935.625</v>
      </c>
      <c r="G320" s="50"/>
      <c r="H320" s="50"/>
      <c r="I320" s="52"/>
      <c r="J320" s="72">
        <f t="shared" ref="J320:J322" si="201">B320</f>
        <v>44382</v>
      </c>
      <c r="K320" s="72" t="s">
        <v>151</v>
      </c>
      <c r="L320" s="55">
        <f t="shared" ref="L320:L322" si="202">C320</f>
        <v>-75000</v>
      </c>
      <c r="M320" s="49">
        <v>60216.98</v>
      </c>
      <c r="N320" s="72"/>
      <c r="O320" s="49">
        <f t="shared" ref="O320:O322" si="203">-D320</f>
        <v>33935.625</v>
      </c>
      <c r="P320" s="57">
        <f t="shared" si="198"/>
        <v>26281.355000000003</v>
      </c>
      <c r="Q320" s="58">
        <f t="shared" si="199"/>
        <v>26281.355000000003</v>
      </c>
      <c r="R320" s="57">
        <f t="shared" si="197"/>
        <v>0</v>
      </c>
      <c r="S320" s="59">
        <f t="shared" ref="S320:S326" si="204">IF(P320&lt;0,P320,0)</f>
        <v>0</v>
      </c>
    </row>
    <row r="321" spans="1:19" x14ac:dyDescent="0.2">
      <c r="A321" s="60" t="s">
        <v>129</v>
      </c>
      <c r="B321" s="47">
        <v>44383</v>
      </c>
      <c r="C321" s="48">
        <v>-55000</v>
      </c>
      <c r="D321" s="49">
        <f>((D318/C318)*-(C318+C320))+((D319/C319)*(C318+C320+C321))</f>
        <v>-27450.159</v>
      </c>
      <c r="E321" s="50"/>
      <c r="F321" s="51">
        <f t="shared" si="200"/>
        <v>-27450.159</v>
      </c>
      <c r="G321" s="50"/>
      <c r="H321" s="50"/>
      <c r="I321" s="52"/>
      <c r="J321" s="72">
        <f t="shared" si="201"/>
        <v>44383</v>
      </c>
      <c r="K321" s="72" t="s">
        <v>151</v>
      </c>
      <c r="L321" s="55">
        <f t="shared" si="202"/>
        <v>-55000</v>
      </c>
      <c r="M321" s="49">
        <v>43807.66</v>
      </c>
      <c r="N321" s="72"/>
      <c r="O321" s="49">
        <f t="shared" si="203"/>
        <v>27450.159</v>
      </c>
      <c r="P321" s="57">
        <f t="shared" si="198"/>
        <v>16357.501000000004</v>
      </c>
      <c r="Q321" s="58">
        <f t="shared" si="199"/>
        <v>16357.501000000004</v>
      </c>
      <c r="R321" s="57">
        <f t="shared" si="197"/>
        <v>0</v>
      </c>
      <c r="S321" s="59">
        <f t="shared" si="204"/>
        <v>0</v>
      </c>
    </row>
    <row r="322" spans="1:19" x14ac:dyDescent="0.2">
      <c r="A322" s="60" t="s">
        <v>129</v>
      </c>
      <c r="B322" s="47">
        <v>44393</v>
      </c>
      <c r="C322" s="48">
        <v>-20000</v>
      </c>
      <c r="D322" s="49">
        <f>(D319/C319)*C322</f>
        <v>-10758.856</v>
      </c>
      <c r="E322" s="50"/>
      <c r="F322" s="51">
        <f t="shared" si="200"/>
        <v>-10758.856</v>
      </c>
      <c r="G322" s="50"/>
      <c r="H322" s="50"/>
      <c r="I322" s="52"/>
      <c r="J322" s="72">
        <f t="shared" si="201"/>
        <v>44393</v>
      </c>
      <c r="K322" s="72" t="s">
        <v>151</v>
      </c>
      <c r="L322" s="55">
        <f t="shared" si="202"/>
        <v>-20000</v>
      </c>
      <c r="M322" s="49">
        <v>15973.49</v>
      </c>
      <c r="N322" s="72"/>
      <c r="O322" s="49">
        <f t="shared" si="203"/>
        <v>10758.856</v>
      </c>
      <c r="P322" s="57">
        <f t="shared" si="198"/>
        <v>5214.634</v>
      </c>
      <c r="Q322" s="58">
        <f t="shared" si="199"/>
        <v>5214.634</v>
      </c>
      <c r="R322" s="57">
        <f t="shared" si="197"/>
        <v>0</v>
      </c>
      <c r="S322" s="59">
        <f t="shared" si="204"/>
        <v>0</v>
      </c>
    </row>
    <row r="323" spans="1:19" x14ac:dyDescent="0.2">
      <c r="A323" s="60" t="s">
        <v>128</v>
      </c>
      <c r="B323" s="47">
        <v>44446</v>
      </c>
      <c r="C323" s="48">
        <v>80000</v>
      </c>
      <c r="D323" s="49">
        <v>80037.789999999994</v>
      </c>
      <c r="E323" s="50"/>
      <c r="F323" s="51">
        <f t="shared" si="200"/>
        <v>80037.789999999994</v>
      </c>
      <c r="G323" s="50"/>
      <c r="H323" s="50"/>
      <c r="I323" s="52"/>
      <c r="J323" s="53"/>
      <c r="K323" s="54"/>
      <c r="L323" s="55"/>
      <c r="M323" s="49"/>
      <c r="N323" s="56"/>
      <c r="O323" s="56"/>
      <c r="P323" s="57">
        <f t="shared" si="198"/>
        <v>0</v>
      </c>
      <c r="Q323" s="58">
        <f t="shared" si="199"/>
        <v>0</v>
      </c>
      <c r="R323" s="57">
        <f t="shared" si="197"/>
        <v>0</v>
      </c>
      <c r="S323" s="59">
        <f t="shared" si="204"/>
        <v>0</v>
      </c>
    </row>
    <row r="324" spans="1:19" x14ac:dyDescent="0.2">
      <c r="A324" s="60" t="s">
        <v>129</v>
      </c>
      <c r="B324" s="47">
        <v>44454</v>
      </c>
      <c r="C324" s="48">
        <v>-30000</v>
      </c>
      <c r="D324" s="49">
        <f>(D323/C323)*C324</f>
        <v>-30014.171249999999</v>
      </c>
      <c r="E324" s="50"/>
      <c r="F324" s="51">
        <f t="shared" si="200"/>
        <v>-30014.171249999999</v>
      </c>
      <c r="G324" s="50"/>
      <c r="H324" s="50"/>
      <c r="I324" s="52"/>
      <c r="J324" s="72">
        <f t="shared" ref="J324:J326" si="205">B324</f>
        <v>44454</v>
      </c>
      <c r="K324" s="72" t="s">
        <v>151</v>
      </c>
      <c r="L324" s="55">
        <f t="shared" ref="L324:L326" si="206">C324</f>
        <v>-30000</v>
      </c>
      <c r="M324" s="49">
        <v>40128.07</v>
      </c>
      <c r="N324" s="72"/>
      <c r="O324" s="49">
        <f t="shared" ref="O324:O326" si="207">-D324</f>
        <v>30014.171249999999</v>
      </c>
      <c r="P324" s="57">
        <f t="shared" si="198"/>
        <v>10113.89875</v>
      </c>
      <c r="Q324" s="58">
        <f t="shared" si="199"/>
        <v>10113.89875</v>
      </c>
      <c r="R324" s="57">
        <f t="shared" si="197"/>
        <v>0</v>
      </c>
      <c r="S324" s="59">
        <f t="shared" si="204"/>
        <v>0</v>
      </c>
    </row>
    <row r="325" spans="1:19" x14ac:dyDescent="0.2">
      <c r="A325" s="60" t="s">
        <v>129</v>
      </c>
      <c r="B325" s="47">
        <v>44456</v>
      </c>
      <c r="C325" s="48">
        <v>-25000</v>
      </c>
      <c r="D325" s="49">
        <f>(D323/C323)*C325</f>
        <v>-25011.809375000001</v>
      </c>
      <c r="E325" s="50"/>
      <c r="F325" s="51">
        <f t="shared" si="200"/>
        <v>-25011.809375000001</v>
      </c>
      <c r="G325" s="50"/>
      <c r="H325" s="50"/>
      <c r="I325" s="52"/>
      <c r="J325" s="72">
        <f t="shared" si="205"/>
        <v>44456</v>
      </c>
      <c r="K325" s="72" t="s">
        <v>151</v>
      </c>
      <c r="L325" s="55">
        <f t="shared" si="206"/>
        <v>-25000</v>
      </c>
      <c r="M325" s="49">
        <v>38536.870000000003</v>
      </c>
      <c r="N325" s="72"/>
      <c r="O325" s="49">
        <f t="shared" si="207"/>
        <v>25011.809375000001</v>
      </c>
      <c r="P325" s="57">
        <f t="shared" si="198"/>
        <v>13525.060625000002</v>
      </c>
      <c r="Q325" s="58">
        <f t="shared" si="199"/>
        <v>13525.060625000002</v>
      </c>
      <c r="R325" s="57">
        <f t="shared" si="197"/>
        <v>0</v>
      </c>
      <c r="S325" s="59">
        <f t="shared" si="204"/>
        <v>0</v>
      </c>
    </row>
    <row r="326" spans="1:19" x14ac:dyDescent="0.2">
      <c r="A326" s="60" t="s">
        <v>129</v>
      </c>
      <c r="B326" s="47">
        <v>44502</v>
      </c>
      <c r="C326" s="48">
        <v>-25000</v>
      </c>
      <c r="D326" s="49">
        <f>(D323/C323)*C326</f>
        <v>-25011.809375000001</v>
      </c>
      <c r="E326" s="50"/>
      <c r="F326" s="51">
        <f t="shared" si="200"/>
        <v>-25011.809375000001</v>
      </c>
      <c r="G326" s="50"/>
      <c r="H326" s="50"/>
      <c r="I326" s="52"/>
      <c r="J326" s="72">
        <f t="shared" si="205"/>
        <v>44502</v>
      </c>
      <c r="K326" s="72" t="s">
        <v>151</v>
      </c>
      <c r="L326" s="55">
        <f t="shared" si="206"/>
        <v>-25000</v>
      </c>
      <c r="M326" s="49">
        <v>47238.75</v>
      </c>
      <c r="N326" s="72"/>
      <c r="O326" s="49">
        <f t="shared" si="207"/>
        <v>25011.809375000001</v>
      </c>
      <c r="P326" s="57">
        <f t="shared" si="198"/>
        <v>22226.940624999999</v>
      </c>
      <c r="Q326" s="58">
        <f t="shared" si="199"/>
        <v>22226.940624999999</v>
      </c>
      <c r="R326" s="57">
        <f t="shared" si="197"/>
        <v>0</v>
      </c>
      <c r="S326" s="59">
        <f t="shared" si="204"/>
        <v>0</v>
      </c>
    </row>
    <row r="327" spans="1:19" x14ac:dyDescent="0.2">
      <c r="A327" s="60"/>
      <c r="B327" s="47"/>
      <c r="C327" s="61"/>
      <c r="D327" s="49"/>
      <c r="E327" s="62"/>
      <c r="F327" s="51">
        <f>SUM(D327:E327)</f>
        <v>0</v>
      </c>
      <c r="G327" s="50"/>
      <c r="H327" s="62"/>
      <c r="I327" s="52"/>
      <c r="J327" s="53"/>
      <c r="K327" s="54"/>
      <c r="L327" s="55"/>
      <c r="M327" s="56"/>
      <c r="N327" s="56"/>
      <c r="O327" s="56"/>
      <c r="P327" s="57">
        <f>M327-N327-O327</f>
        <v>0</v>
      </c>
      <c r="Q327" s="58">
        <f>IF(P327&gt;0,IF(K327="Y",0,P327),0)</f>
        <v>0</v>
      </c>
      <c r="R327" s="57">
        <f>IF(P327&gt;0,IF(K327="Y",P327,0),0)</f>
        <v>0</v>
      </c>
      <c r="S327" s="59">
        <f>IF(P327&lt;0,P327,0)</f>
        <v>0</v>
      </c>
    </row>
    <row r="328" spans="1:19" ht="13.5" customHeight="1" thickBot="1" x14ac:dyDescent="0.3">
      <c r="A328" s="63"/>
      <c r="B328" s="64"/>
      <c r="C328" s="73">
        <f>SUBTOTAL(9,C318:C327)</f>
        <v>0</v>
      </c>
      <c r="D328" s="66">
        <f>SUBTOTAL(9,D318:D327)</f>
        <v>0</v>
      </c>
      <c r="E328" s="67">
        <f>SUBTOTAL(9,E318:E327)</f>
        <v>0</v>
      </c>
      <c r="F328" s="65">
        <f>SUBTOTAL(9,F318:F327)</f>
        <v>-7.2759576141834259E-12</v>
      </c>
      <c r="G328" s="65">
        <v>0.85</v>
      </c>
      <c r="H328" s="67">
        <f>C328*G328</f>
        <v>0</v>
      </c>
      <c r="I328" s="68"/>
      <c r="J328" s="68"/>
      <c r="K328" s="68"/>
      <c r="L328" s="69">
        <f t="shared" ref="L328:S328" si="208">SUBTOTAL(9,L318:L327)</f>
        <v>-230000</v>
      </c>
      <c r="M328" s="70">
        <f t="shared" si="208"/>
        <v>245901.82</v>
      </c>
      <c r="N328" s="70">
        <f t="shared" si="208"/>
        <v>0</v>
      </c>
      <c r="O328" s="70">
        <f t="shared" si="208"/>
        <v>152182.43</v>
      </c>
      <c r="P328" s="70">
        <f t="shared" si="208"/>
        <v>93719.390000000014</v>
      </c>
      <c r="Q328" s="70">
        <f t="shared" si="208"/>
        <v>93719.390000000014</v>
      </c>
      <c r="R328" s="70">
        <f t="shared" si="208"/>
        <v>0</v>
      </c>
      <c r="S328" s="71">
        <f t="shared" si="208"/>
        <v>0</v>
      </c>
    </row>
    <row r="329" spans="1:19" ht="13.5" thickTop="1" x14ac:dyDescent="0.2">
      <c r="A329" s="39" t="s">
        <v>182</v>
      </c>
      <c r="B329" s="40"/>
      <c r="C329" s="41"/>
      <c r="D329" s="42"/>
      <c r="E329" s="41"/>
      <c r="F329" s="41"/>
      <c r="G329" s="41"/>
      <c r="H329" s="41"/>
      <c r="I329" s="43"/>
      <c r="J329" s="44"/>
      <c r="K329" s="44"/>
      <c r="L329" s="41"/>
      <c r="M329" s="41"/>
      <c r="N329" s="41"/>
      <c r="O329" s="41"/>
      <c r="P329" s="41"/>
      <c r="Q329" s="41"/>
      <c r="R329" s="41"/>
      <c r="S329" s="45"/>
    </row>
    <row r="330" spans="1:19" x14ac:dyDescent="0.2">
      <c r="A330" s="46" t="s">
        <v>128</v>
      </c>
      <c r="B330" s="47">
        <v>43777</v>
      </c>
      <c r="C330" s="48">
        <v>20000</v>
      </c>
      <c r="D330" s="49">
        <v>49872.800000000003</v>
      </c>
      <c r="E330" s="50"/>
      <c r="F330" s="51">
        <f>SUM(D330:E330)</f>
        <v>49872.800000000003</v>
      </c>
      <c r="G330" s="50"/>
      <c r="H330" s="50"/>
      <c r="I330" s="52"/>
      <c r="J330" s="53"/>
      <c r="K330" s="54"/>
      <c r="L330" s="55"/>
      <c r="M330" s="56"/>
      <c r="N330" s="56"/>
      <c r="O330" s="56"/>
      <c r="P330" s="57">
        <f>M330-N330-O330</f>
        <v>0</v>
      </c>
      <c r="Q330" s="58">
        <f>IF(P330&gt;0,IF(K330="Y",0,P330),0)</f>
        <v>0</v>
      </c>
      <c r="R330" s="57">
        <f>IF(P330&gt;0,IF(K330="Y",P330,0),0)</f>
        <v>0</v>
      </c>
      <c r="S330" s="59">
        <f t="shared" ref="S330:S333" si="209">IF(P330&lt;0,P330,0)</f>
        <v>0</v>
      </c>
    </row>
    <row r="331" spans="1:19" x14ac:dyDescent="0.2">
      <c r="A331" s="46" t="s">
        <v>129</v>
      </c>
      <c r="B331" s="47">
        <v>43783</v>
      </c>
      <c r="C331" s="48">
        <v>-11500</v>
      </c>
      <c r="D331" s="49">
        <f>(D330/C330)*C331</f>
        <v>-28676.86</v>
      </c>
      <c r="E331" s="50"/>
      <c r="F331" s="51">
        <f>SUM(D331:E331)</f>
        <v>-28676.86</v>
      </c>
      <c r="G331" s="50"/>
      <c r="H331" s="50"/>
      <c r="I331" s="52"/>
      <c r="J331" s="53"/>
      <c r="K331" s="54"/>
      <c r="L331" s="55"/>
      <c r="M331" s="56"/>
      <c r="N331" s="56"/>
      <c r="O331" s="56"/>
      <c r="P331" s="57">
        <f t="shared" ref="P331:P332" si="210">M331-N331-O331</f>
        <v>0</v>
      </c>
      <c r="Q331" s="58">
        <f t="shared" ref="Q331:Q332" si="211">IF(P331&gt;0,IF(K331="Y",0,P331),0)</f>
        <v>0</v>
      </c>
      <c r="R331" s="57">
        <f t="shared" ref="R331:R332" si="212">IF(P331&gt;0,IF(K331="Y",P331,0),0)</f>
        <v>0</v>
      </c>
      <c r="S331" s="59">
        <f t="shared" si="209"/>
        <v>0</v>
      </c>
    </row>
    <row r="332" spans="1:19" x14ac:dyDescent="0.2">
      <c r="A332" s="46" t="s">
        <v>129</v>
      </c>
      <c r="B332" s="47">
        <v>43784</v>
      </c>
      <c r="C332" s="48">
        <v>-8500</v>
      </c>
      <c r="D332" s="49">
        <f>(D330/C330)*C332</f>
        <v>-21195.940000000002</v>
      </c>
      <c r="E332" s="50"/>
      <c r="F332" s="51">
        <f>SUM(D332:E332)</f>
        <v>-21195.940000000002</v>
      </c>
      <c r="G332" s="50"/>
      <c r="H332" s="50"/>
      <c r="I332" s="52"/>
      <c r="J332" s="53"/>
      <c r="K332" s="54"/>
      <c r="L332" s="55"/>
      <c r="M332" s="56"/>
      <c r="N332" s="56"/>
      <c r="O332" s="56"/>
      <c r="P332" s="57">
        <f t="shared" si="210"/>
        <v>0</v>
      </c>
      <c r="Q332" s="58">
        <f t="shared" si="211"/>
        <v>0</v>
      </c>
      <c r="R332" s="57">
        <f t="shared" si="212"/>
        <v>0</v>
      </c>
      <c r="S332" s="59">
        <f t="shared" si="209"/>
        <v>0</v>
      </c>
    </row>
    <row r="333" spans="1:19" x14ac:dyDescent="0.2">
      <c r="A333" s="60"/>
      <c r="B333" s="47"/>
      <c r="C333" s="61"/>
      <c r="D333" s="49"/>
      <c r="E333" s="62"/>
      <c r="F333" s="51">
        <f>SUM(D333:E333)</f>
        <v>0</v>
      </c>
      <c r="G333" s="50"/>
      <c r="H333" s="62"/>
      <c r="I333" s="52"/>
      <c r="J333" s="53"/>
      <c r="K333" s="54"/>
      <c r="L333" s="55"/>
      <c r="M333" s="56"/>
      <c r="N333" s="56"/>
      <c r="O333" s="56"/>
      <c r="P333" s="57">
        <f>M333-N333-O333</f>
        <v>0</v>
      </c>
      <c r="Q333" s="58">
        <f>IF(P333&gt;0,IF(K333="Y",0,P333),0)</f>
        <v>0</v>
      </c>
      <c r="R333" s="57">
        <f>IF(P333&gt;0,IF(K333="Y",P333,0),0)</f>
        <v>0</v>
      </c>
      <c r="S333" s="59">
        <f t="shared" si="209"/>
        <v>0</v>
      </c>
    </row>
    <row r="334" spans="1:19" ht="13.5" customHeight="1" thickBot="1" x14ac:dyDescent="0.3">
      <c r="A334" s="63"/>
      <c r="B334" s="64"/>
      <c r="C334" s="65">
        <f>SUBTOTAL(9,C330:C333)</f>
        <v>0</v>
      </c>
      <c r="D334" s="66">
        <f>SUBTOTAL(9,D330:D333)</f>
        <v>0</v>
      </c>
      <c r="E334" s="67">
        <f>SUBTOTAL(9,E330:E333)</f>
        <v>0</v>
      </c>
      <c r="F334" s="65">
        <f>SUBTOTAL(9,F330:F333)</f>
        <v>0</v>
      </c>
      <c r="G334" s="65">
        <v>0</v>
      </c>
      <c r="H334" s="67">
        <f>C334*G334</f>
        <v>0</v>
      </c>
      <c r="I334" s="68"/>
      <c r="J334" s="68"/>
      <c r="K334" s="68"/>
      <c r="L334" s="69">
        <f t="shared" ref="L334:S334" si="213">SUBTOTAL(9,L330:L333)</f>
        <v>0</v>
      </c>
      <c r="M334" s="70">
        <f t="shared" si="213"/>
        <v>0</v>
      </c>
      <c r="N334" s="70">
        <f t="shared" si="213"/>
        <v>0</v>
      </c>
      <c r="O334" s="70">
        <f t="shared" si="213"/>
        <v>0</v>
      </c>
      <c r="P334" s="70">
        <f t="shared" si="213"/>
        <v>0</v>
      </c>
      <c r="Q334" s="70">
        <f t="shared" si="213"/>
        <v>0</v>
      </c>
      <c r="R334" s="70">
        <f t="shared" si="213"/>
        <v>0</v>
      </c>
      <c r="S334" s="71">
        <f t="shared" si="213"/>
        <v>0</v>
      </c>
    </row>
    <row r="335" spans="1:19" ht="13.5" thickTop="1" x14ac:dyDescent="0.2">
      <c r="A335" s="78" t="s">
        <v>183</v>
      </c>
      <c r="B335" s="40"/>
      <c r="C335" s="41"/>
      <c r="D335" s="42"/>
      <c r="E335" s="41"/>
      <c r="F335" s="41"/>
      <c r="G335" s="41"/>
      <c r="H335" s="41"/>
      <c r="I335" s="43"/>
      <c r="J335" s="44"/>
      <c r="K335" s="44"/>
      <c r="L335" s="41"/>
      <c r="M335" s="41"/>
      <c r="N335" s="41"/>
      <c r="O335" s="41"/>
      <c r="P335" s="41"/>
      <c r="Q335" s="41"/>
      <c r="R335" s="41"/>
      <c r="S335" s="45"/>
    </row>
    <row r="336" spans="1:19" x14ac:dyDescent="0.2">
      <c r="A336" s="46" t="s">
        <v>128</v>
      </c>
      <c r="B336" s="47">
        <v>43762</v>
      </c>
      <c r="C336" s="48">
        <v>500000</v>
      </c>
      <c r="D336" s="49">
        <v>33181.5</v>
      </c>
      <c r="E336" s="50"/>
      <c r="F336" s="51">
        <f>SUM(D336:E336)</f>
        <v>33181.5</v>
      </c>
      <c r="G336" s="50"/>
      <c r="H336" s="50"/>
      <c r="I336" s="52"/>
      <c r="J336" s="53"/>
      <c r="K336" s="54"/>
      <c r="L336" s="55"/>
      <c r="M336" s="56"/>
      <c r="N336" s="56"/>
      <c r="O336" s="56"/>
      <c r="P336" s="57">
        <f t="shared" ref="P336:P338" si="214">M336-N336-O336</f>
        <v>0</v>
      </c>
      <c r="Q336" s="58">
        <f t="shared" ref="Q336:Q338" si="215">IF(P336&gt;0,IF(K336="Y",0,P336),0)</f>
        <v>0</v>
      </c>
      <c r="R336" s="57">
        <f t="shared" ref="R336:R338" si="216">IF(P336&gt;0,IF(K336="Y",P336,0),0)</f>
        <v>0</v>
      </c>
      <c r="S336" s="59">
        <f t="shared" ref="S336:S338" si="217">IF(P336&lt;0,P336,0)</f>
        <v>0</v>
      </c>
    </row>
    <row r="337" spans="1:19" x14ac:dyDescent="0.2">
      <c r="A337" s="46" t="s">
        <v>129</v>
      </c>
      <c r="B337" s="47">
        <v>44204</v>
      </c>
      <c r="C337" s="48">
        <v>-500000</v>
      </c>
      <c r="D337" s="49">
        <f>-D336</f>
        <v>-33181.5</v>
      </c>
      <c r="E337" s="50"/>
      <c r="F337" s="51">
        <f>SUM(D337:E337)</f>
        <v>-33181.5</v>
      </c>
      <c r="G337" s="50"/>
      <c r="H337" s="50"/>
      <c r="I337" s="52"/>
      <c r="J337" s="53"/>
      <c r="K337" s="54"/>
      <c r="L337" s="55"/>
      <c r="M337" s="56"/>
      <c r="N337" s="56"/>
      <c r="O337" s="56"/>
      <c r="P337" s="57">
        <f t="shared" si="214"/>
        <v>0</v>
      </c>
      <c r="Q337" s="58">
        <f t="shared" si="215"/>
        <v>0</v>
      </c>
      <c r="R337" s="57">
        <f t="shared" si="216"/>
        <v>0</v>
      </c>
      <c r="S337" s="59">
        <f t="shared" si="217"/>
        <v>0</v>
      </c>
    </row>
    <row r="338" spans="1:19" x14ac:dyDescent="0.2">
      <c r="A338" s="60"/>
      <c r="B338" s="47"/>
      <c r="C338" s="61"/>
      <c r="D338" s="49"/>
      <c r="E338" s="62"/>
      <c r="F338" s="51">
        <f>SUM(D338:E338)</f>
        <v>0</v>
      </c>
      <c r="G338" s="50"/>
      <c r="H338" s="62"/>
      <c r="I338" s="52"/>
      <c r="J338" s="53"/>
      <c r="K338" s="54"/>
      <c r="L338" s="55"/>
      <c r="M338" s="56"/>
      <c r="N338" s="56"/>
      <c r="O338" s="56"/>
      <c r="P338" s="57">
        <f t="shared" si="214"/>
        <v>0</v>
      </c>
      <c r="Q338" s="58">
        <f t="shared" si="215"/>
        <v>0</v>
      </c>
      <c r="R338" s="57">
        <f t="shared" si="216"/>
        <v>0</v>
      </c>
      <c r="S338" s="59">
        <f t="shared" si="217"/>
        <v>0</v>
      </c>
    </row>
    <row r="339" spans="1:19" ht="13.5" customHeight="1" thickBot="1" x14ac:dyDescent="0.3">
      <c r="A339" s="63"/>
      <c r="B339" s="64"/>
      <c r="C339" s="65">
        <f>SUBTOTAL(9,C336:C338)</f>
        <v>0</v>
      </c>
      <c r="D339" s="66">
        <f>SUBTOTAL(9,D336:D338)</f>
        <v>0</v>
      </c>
      <c r="E339" s="67">
        <f>SUBTOTAL(9,E336:E338)</f>
        <v>0</v>
      </c>
      <c r="F339" s="65">
        <f>SUBTOTAL(9,F336:F338)</f>
        <v>0</v>
      </c>
      <c r="G339" s="65">
        <v>0</v>
      </c>
      <c r="H339" s="67">
        <f>C339*G339</f>
        <v>0</v>
      </c>
      <c r="I339" s="68"/>
      <c r="J339" s="68"/>
      <c r="K339" s="68"/>
      <c r="L339" s="125">
        <f t="shared" ref="L339:S339" si="218">SUBTOTAL(9,L336:L338)</f>
        <v>0</v>
      </c>
      <c r="M339" s="70">
        <f t="shared" si="218"/>
        <v>0</v>
      </c>
      <c r="N339" s="70">
        <f t="shared" si="218"/>
        <v>0</v>
      </c>
      <c r="O339" s="70">
        <f t="shared" si="218"/>
        <v>0</v>
      </c>
      <c r="P339" s="70">
        <f t="shared" si="218"/>
        <v>0</v>
      </c>
      <c r="Q339" s="70">
        <f t="shared" si="218"/>
        <v>0</v>
      </c>
      <c r="R339" s="70">
        <f t="shared" si="218"/>
        <v>0</v>
      </c>
      <c r="S339" s="71">
        <f t="shared" si="218"/>
        <v>0</v>
      </c>
    </row>
    <row r="340" spans="1:19" ht="13.5" thickTop="1" x14ac:dyDescent="0.2">
      <c r="A340" s="39" t="s">
        <v>184</v>
      </c>
      <c r="B340" s="40"/>
      <c r="C340" s="41"/>
      <c r="D340" s="42"/>
      <c r="E340" s="41"/>
      <c r="F340" s="41"/>
      <c r="G340" s="41"/>
      <c r="H340" s="41"/>
      <c r="I340" s="43"/>
      <c r="J340" s="44"/>
      <c r="K340" s="44"/>
      <c r="L340" s="41"/>
      <c r="M340" s="41"/>
      <c r="N340" s="41"/>
      <c r="O340" s="41"/>
      <c r="P340" s="41"/>
      <c r="Q340" s="41"/>
      <c r="R340" s="41"/>
      <c r="S340" s="45"/>
    </row>
    <row r="341" spans="1:19" x14ac:dyDescent="0.2">
      <c r="A341" s="46" t="s">
        <v>128</v>
      </c>
      <c r="B341" s="47">
        <v>43811</v>
      </c>
      <c r="C341" s="48">
        <v>50000</v>
      </c>
      <c r="D341" s="49">
        <v>43236.5</v>
      </c>
      <c r="E341" s="50"/>
      <c r="F341" s="51">
        <f>SUM(D341:E341)</f>
        <v>43236.5</v>
      </c>
      <c r="G341" s="50"/>
      <c r="H341" s="50"/>
      <c r="I341" s="52"/>
      <c r="J341" s="53"/>
      <c r="K341" s="54"/>
      <c r="L341" s="55"/>
      <c r="M341" s="56"/>
      <c r="N341" s="56"/>
      <c r="O341" s="56"/>
      <c r="P341" s="57">
        <f>M341-N341-O341</f>
        <v>0</v>
      </c>
      <c r="Q341" s="58">
        <f>IF(P341&gt;0,IF(K341="Y",0,P341),0)</f>
        <v>0</v>
      </c>
      <c r="R341" s="57">
        <f t="shared" ref="R341:R343" si="219">IF(P341&gt;0,IF(K341="Y",P341,0),0)</f>
        <v>0</v>
      </c>
      <c r="S341" s="59">
        <f t="shared" ref="S341:S343" si="220">IF(P341&lt;0,P341,0)</f>
        <v>0</v>
      </c>
    </row>
    <row r="342" spans="1:19" x14ac:dyDescent="0.2">
      <c r="A342" s="46" t="s">
        <v>129</v>
      </c>
      <c r="B342" s="47">
        <v>43819</v>
      </c>
      <c r="C342" s="48">
        <v>-50000</v>
      </c>
      <c r="D342" s="49">
        <f>-D341</f>
        <v>-43236.5</v>
      </c>
      <c r="E342" s="50"/>
      <c r="F342" s="51">
        <f>SUM(D342:E342)</f>
        <v>-43236.5</v>
      </c>
      <c r="G342" s="50"/>
      <c r="H342" s="50"/>
      <c r="I342" s="52"/>
      <c r="J342" s="53"/>
      <c r="K342" s="54"/>
      <c r="L342" s="55"/>
      <c r="M342" s="56"/>
      <c r="N342" s="56"/>
      <c r="O342" s="56"/>
      <c r="P342" s="57">
        <f>M342-N342-O342</f>
        <v>0</v>
      </c>
      <c r="Q342" s="58">
        <f>IF(P342&gt;0,IF(K342="Y",0,P342),0)</f>
        <v>0</v>
      </c>
      <c r="R342" s="57">
        <f t="shared" si="219"/>
        <v>0</v>
      </c>
      <c r="S342" s="59">
        <f t="shared" si="220"/>
        <v>0</v>
      </c>
    </row>
    <row r="343" spans="1:19" x14ac:dyDescent="0.2">
      <c r="A343" s="60"/>
      <c r="B343" s="47"/>
      <c r="C343" s="61"/>
      <c r="D343" s="49"/>
      <c r="E343" s="62"/>
      <c r="F343" s="51">
        <f>SUM(D343:E343)</f>
        <v>0</v>
      </c>
      <c r="G343" s="50"/>
      <c r="H343" s="62"/>
      <c r="I343" s="52"/>
      <c r="J343" s="53"/>
      <c r="K343" s="54"/>
      <c r="L343" s="55"/>
      <c r="M343" s="56"/>
      <c r="N343" s="56"/>
      <c r="O343" s="56"/>
      <c r="P343" s="57">
        <f>M343-N343-O343</f>
        <v>0</v>
      </c>
      <c r="Q343" s="58">
        <f>IF(P343&gt;0,IF(K343="Y",0,P343),0)</f>
        <v>0</v>
      </c>
      <c r="R343" s="57">
        <f t="shared" si="219"/>
        <v>0</v>
      </c>
      <c r="S343" s="59">
        <f t="shared" si="220"/>
        <v>0</v>
      </c>
    </row>
    <row r="344" spans="1:19" ht="13.5" customHeight="1" thickBot="1" x14ac:dyDescent="0.3">
      <c r="A344" s="63"/>
      <c r="B344" s="64"/>
      <c r="C344" s="65">
        <f>SUBTOTAL(9,C341:C343)</f>
        <v>0</v>
      </c>
      <c r="D344" s="66">
        <f>SUBTOTAL(9,D341:D343)</f>
        <v>0</v>
      </c>
      <c r="E344" s="67">
        <f>SUBTOTAL(9,E341:E343)</f>
        <v>0</v>
      </c>
      <c r="F344" s="65">
        <f>SUBTOTAL(9,F341:F343)</f>
        <v>0</v>
      </c>
      <c r="G344" s="65">
        <v>0</v>
      </c>
      <c r="H344" s="67">
        <f>C344*G344</f>
        <v>0</v>
      </c>
      <c r="I344" s="68"/>
      <c r="J344" s="68"/>
      <c r="K344" s="68"/>
      <c r="L344" s="69">
        <f t="shared" ref="L344:S344" si="221">SUBTOTAL(9,L341:L343)</f>
        <v>0</v>
      </c>
      <c r="M344" s="70">
        <f t="shared" si="221"/>
        <v>0</v>
      </c>
      <c r="N344" s="70">
        <f t="shared" si="221"/>
        <v>0</v>
      </c>
      <c r="O344" s="70">
        <f t="shared" si="221"/>
        <v>0</v>
      </c>
      <c r="P344" s="70">
        <f t="shared" si="221"/>
        <v>0</v>
      </c>
      <c r="Q344" s="70">
        <f t="shared" si="221"/>
        <v>0</v>
      </c>
      <c r="R344" s="70">
        <f t="shared" si="221"/>
        <v>0</v>
      </c>
      <c r="S344" s="71">
        <f t="shared" si="221"/>
        <v>0</v>
      </c>
    </row>
    <row r="345" spans="1:19" ht="13.5" thickTop="1" x14ac:dyDescent="0.2">
      <c r="A345" s="39" t="s">
        <v>185</v>
      </c>
      <c r="B345" s="40"/>
      <c r="C345" s="41"/>
      <c r="D345" s="42"/>
      <c r="E345" s="41"/>
      <c r="F345" s="41"/>
      <c r="G345" s="41"/>
      <c r="H345" s="41"/>
      <c r="I345" s="43"/>
      <c r="J345" s="44"/>
      <c r="K345" s="44"/>
      <c r="L345" s="41"/>
      <c r="M345" s="41"/>
      <c r="N345" s="41"/>
      <c r="O345" s="41"/>
      <c r="P345" s="41"/>
      <c r="Q345" s="41"/>
      <c r="R345" s="41"/>
      <c r="S345" s="45"/>
    </row>
    <row r="346" spans="1:19" x14ac:dyDescent="0.2">
      <c r="A346" s="46" t="s">
        <v>172</v>
      </c>
      <c r="B346" s="47">
        <v>44473</v>
      </c>
      <c r="C346" s="48">
        <v>2092</v>
      </c>
      <c r="D346" s="49"/>
      <c r="E346" s="50"/>
      <c r="F346" s="51">
        <f>SUM(D346:E346)</f>
        <v>0</v>
      </c>
      <c r="G346" s="50"/>
      <c r="H346" s="88"/>
      <c r="I346" s="52" t="s">
        <v>186</v>
      </c>
      <c r="J346" s="72"/>
      <c r="K346" s="54"/>
      <c r="L346" s="55"/>
      <c r="M346" s="56"/>
      <c r="N346" s="56"/>
      <c r="O346" s="56"/>
      <c r="P346" s="57">
        <f>M346-N346-O346</f>
        <v>0</v>
      </c>
      <c r="Q346" s="57">
        <f>IF(P346&gt;0,IF(K346="Y",0,P346),0)</f>
        <v>0</v>
      </c>
      <c r="R346" s="57">
        <f t="shared" ref="R346:R349" si="222">IF(P346&gt;0,IF(K346="Y",P346,0),0)</f>
        <v>0</v>
      </c>
      <c r="S346" s="93">
        <f t="shared" ref="S346:S349" si="223">IF(P346&lt;0,P346,0)</f>
        <v>0</v>
      </c>
    </row>
    <row r="347" spans="1:19" x14ac:dyDescent="0.2">
      <c r="A347" s="46" t="s">
        <v>129</v>
      </c>
      <c r="B347" s="47">
        <v>44511</v>
      </c>
      <c r="C347" s="48">
        <v>-2092</v>
      </c>
      <c r="D347" s="49">
        <v>0</v>
      </c>
      <c r="E347" s="50"/>
      <c r="F347" s="51">
        <f>SUM(D347:E347)</f>
        <v>0</v>
      </c>
      <c r="G347" s="50"/>
      <c r="H347" s="50"/>
      <c r="I347" s="52"/>
      <c r="J347" s="72">
        <f>B347</f>
        <v>44511</v>
      </c>
      <c r="K347" s="72" t="s">
        <v>151</v>
      </c>
      <c r="L347" s="55">
        <f t="shared" ref="L347" si="224">C347</f>
        <v>-2092</v>
      </c>
      <c r="M347" s="49">
        <v>983.24</v>
      </c>
      <c r="N347" s="72"/>
      <c r="O347" s="49">
        <f t="shared" ref="O347" si="225">-D347</f>
        <v>0</v>
      </c>
      <c r="P347" s="57">
        <f>M347-N347-O347</f>
        <v>983.24</v>
      </c>
      <c r="Q347" s="58">
        <f>IF(P347&gt;0,IF(K347="Y",0,P347),0)</f>
        <v>983.24</v>
      </c>
      <c r="R347" s="57">
        <f t="shared" si="222"/>
        <v>0</v>
      </c>
      <c r="S347" s="59">
        <f t="shared" si="223"/>
        <v>0</v>
      </c>
    </row>
    <row r="348" spans="1:19" x14ac:dyDescent="0.2">
      <c r="A348" s="46"/>
      <c r="B348" s="47"/>
      <c r="C348" s="48"/>
      <c r="D348" s="49"/>
      <c r="E348" s="50"/>
      <c r="F348" s="51">
        <f>SUM(D348:E348)</f>
        <v>0</v>
      </c>
      <c r="G348" s="50"/>
      <c r="H348" s="50"/>
      <c r="I348" s="52"/>
      <c r="J348" s="72"/>
      <c r="K348" s="72"/>
      <c r="L348" s="55"/>
      <c r="M348" s="49"/>
      <c r="N348" s="72"/>
      <c r="O348" s="49"/>
      <c r="P348" s="57">
        <f>M348-N348-O348</f>
        <v>0</v>
      </c>
      <c r="Q348" s="58">
        <f>IF(P348&gt;0,IF(K348="Y",0,P348),0)</f>
        <v>0</v>
      </c>
      <c r="R348" s="57">
        <f t="shared" si="222"/>
        <v>0</v>
      </c>
      <c r="S348" s="59">
        <f t="shared" si="223"/>
        <v>0</v>
      </c>
    </row>
    <row r="349" spans="1:19" x14ac:dyDescent="0.2">
      <c r="A349" s="60"/>
      <c r="B349" s="47"/>
      <c r="C349" s="61"/>
      <c r="D349" s="49"/>
      <c r="E349" s="62"/>
      <c r="F349" s="51">
        <f>SUM(D349:E349)</f>
        <v>0</v>
      </c>
      <c r="G349" s="50"/>
      <c r="H349" s="62"/>
      <c r="I349" s="52"/>
      <c r="J349" s="53"/>
      <c r="K349" s="54"/>
      <c r="L349" s="55"/>
      <c r="M349" s="56"/>
      <c r="N349" s="56"/>
      <c r="O349" s="56"/>
      <c r="P349" s="57">
        <f>M349-N349-O349</f>
        <v>0</v>
      </c>
      <c r="Q349" s="58">
        <f>IF(P349&gt;0,IF(K349="Y",0,P349),0)</f>
        <v>0</v>
      </c>
      <c r="R349" s="57">
        <f t="shared" si="222"/>
        <v>0</v>
      </c>
      <c r="S349" s="59">
        <f t="shared" si="223"/>
        <v>0</v>
      </c>
    </row>
    <row r="350" spans="1:19" ht="13.5" customHeight="1" thickBot="1" x14ac:dyDescent="0.3">
      <c r="A350" s="63"/>
      <c r="B350" s="64"/>
      <c r="C350" s="65">
        <f>SUBTOTAL(9,C346:C349)</f>
        <v>0</v>
      </c>
      <c r="D350" s="66">
        <f>SUBTOTAL(9,D347:D349)</f>
        <v>0</v>
      </c>
      <c r="E350" s="67">
        <f>SUBTOTAL(9,E347:E349)</f>
        <v>0</v>
      </c>
      <c r="F350" s="65">
        <f>SUBTOTAL(9,F347:F349)</f>
        <v>0</v>
      </c>
      <c r="G350" s="65">
        <v>0</v>
      </c>
      <c r="H350" s="67">
        <f>C350*G350</f>
        <v>0</v>
      </c>
      <c r="I350" s="68"/>
      <c r="J350" s="68"/>
      <c r="K350" s="68"/>
      <c r="L350" s="69">
        <f t="shared" ref="L350:S350" si="226">SUBTOTAL(9,L347:L349)</f>
        <v>-2092</v>
      </c>
      <c r="M350" s="70">
        <f t="shared" si="226"/>
        <v>983.24</v>
      </c>
      <c r="N350" s="70">
        <f t="shared" si="226"/>
        <v>0</v>
      </c>
      <c r="O350" s="70">
        <f t="shared" si="226"/>
        <v>0</v>
      </c>
      <c r="P350" s="70">
        <f t="shared" si="226"/>
        <v>983.24</v>
      </c>
      <c r="Q350" s="70">
        <f t="shared" si="226"/>
        <v>983.24</v>
      </c>
      <c r="R350" s="70">
        <f t="shared" si="226"/>
        <v>0</v>
      </c>
      <c r="S350" s="71">
        <f t="shared" si="226"/>
        <v>0</v>
      </c>
    </row>
    <row r="351" spans="1:19" ht="13.5" thickTop="1" x14ac:dyDescent="0.2">
      <c r="A351" s="39" t="s">
        <v>187</v>
      </c>
      <c r="B351" s="40"/>
      <c r="C351" s="41"/>
      <c r="D351" s="42"/>
      <c r="E351" s="41"/>
      <c r="F351" s="41"/>
      <c r="G351" s="41"/>
      <c r="H351" s="41"/>
      <c r="I351" s="43"/>
      <c r="J351" s="44"/>
      <c r="K351" s="44"/>
      <c r="L351" s="41"/>
      <c r="M351" s="41"/>
      <c r="N351" s="41"/>
      <c r="O351" s="41"/>
      <c r="P351" s="41"/>
      <c r="Q351" s="41"/>
      <c r="R351" s="41"/>
      <c r="S351" s="45"/>
    </row>
    <row r="352" spans="1:19" x14ac:dyDescent="0.2">
      <c r="A352" s="46" t="s">
        <v>128</v>
      </c>
      <c r="B352" s="47">
        <v>43689</v>
      </c>
      <c r="C352" s="48">
        <v>1300</v>
      </c>
      <c r="D352" s="49">
        <v>159460.23000000001</v>
      </c>
      <c r="E352" s="50"/>
      <c r="F352" s="51">
        <f>SUM(D352:E352)</f>
        <v>159460.23000000001</v>
      </c>
      <c r="G352" s="50"/>
      <c r="H352" s="88"/>
      <c r="I352" s="52"/>
      <c r="J352" s="72"/>
      <c r="K352" s="54"/>
      <c r="L352" s="55"/>
      <c r="M352" s="56"/>
      <c r="N352" s="56"/>
      <c r="O352" s="56"/>
      <c r="P352" s="57">
        <f>M352-N352-O352</f>
        <v>0</v>
      </c>
      <c r="Q352" s="57">
        <f>IF(P352&gt;0,IF(K352="Y",0,P352),0)</f>
        <v>0</v>
      </c>
      <c r="R352" s="57">
        <f t="shared" ref="R352:R356" si="227">IF(P352&gt;0,IF(K352="Y",P352,0),0)</f>
        <v>0</v>
      </c>
      <c r="S352" s="93">
        <f t="shared" ref="S352:S356" si="228">IF(P352&lt;0,P352,0)</f>
        <v>0</v>
      </c>
    </row>
    <row r="353" spans="1:19" x14ac:dyDescent="0.2">
      <c r="A353" s="46" t="s">
        <v>128</v>
      </c>
      <c r="B353" s="79">
        <v>43705</v>
      </c>
      <c r="C353" s="86">
        <v>650</v>
      </c>
      <c r="D353" s="87">
        <v>79245.97</v>
      </c>
      <c r="E353" s="88"/>
      <c r="F353" s="51">
        <f>SUM(D353:E353)</f>
        <v>79245.97</v>
      </c>
      <c r="G353" s="88"/>
      <c r="H353" s="50"/>
      <c r="I353" s="52"/>
      <c r="J353" s="96"/>
      <c r="K353" s="90"/>
      <c r="L353" s="91"/>
      <c r="M353" s="92"/>
      <c r="N353" s="92"/>
      <c r="O353" s="92"/>
      <c r="P353" s="57">
        <f>M353-N353-O353</f>
        <v>0</v>
      </c>
      <c r="Q353" s="57">
        <f>IF(P353&gt;0,IF(K353="Y",0,P353),0)</f>
        <v>0</v>
      </c>
      <c r="R353" s="57">
        <f t="shared" si="227"/>
        <v>0</v>
      </c>
      <c r="S353" s="93">
        <f t="shared" si="228"/>
        <v>0</v>
      </c>
    </row>
    <row r="354" spans="1:19" x14ac:dyDescent="0.2">
      <c r="A354" s="46" t="s">
        <v>188</v>
      </c>
      <c r="B354" s="47">
        <v>43738</v>
      </c>
      <c r="C354" s="48">
        <v>125</v>
      </c>
      <c r="D354" s="50">
        <f>C354*120</f>
        <v>15000</v>
      </c>
      <c r="E354" s="50"/>
      <c r="F354" s="51">
        <f>SUM(D354:E354)</f>
        <v>15000</v>
      </c>
      <c r="G354" s="50"/>
      <c r="H354" s="50"/>
      <c r="I354" s="52"/>
      <c r="J354" s="72"/>
      <c r="K354" s="54"/>
      <c r="L354" s="55"/>
      <c r="M354" s="56"/>
      <c r="N354" s="56"/>
      <c r="O354" s="56"/>
      <c r="P354" s="57">
        <f t="shared" ref="P354:P355" si="229">M354-N354-O354</f>
        <v>0</v>
      </c>
      <c r="Q354" s="57">
        <f t="shared" ref="Q354:Q355" si="230">IF(P354&gt;0,IF(K354="Y",0,P354),0)</f>
        <v>0</v>
      </c>
      <c r="R354" s="57">
        <f t="shared" si="227"/>
        <v>0</v>
      </c>
      <c r="S354" s="93">
        <f t="shared" si="228"/>
        <v>0</v>
      </c>
    </row>
    <row r="355" spans="1:19" x14ac:dyDescent="0.2">
      <c r="A355" s="46" t="s">
        <v>129</v>
      </c>
      <c r="B355" s="47">
        <v>43742</v>
      </c>
      <c r="C355" s="48">
        <v>-2075</v>
      </c>
      <c r="D355" s="50">
        <f>-SUM(D352:D354)</f>
        <v>-253706.2</v>
      </c>
      <c r="E355" s="50"/>
      <c r="F355" s="51">
        <f>SUM(D355:E355)</f>
        <v>-253706.2</v>
      </c>
      <c r="G355" s="50"/>
      <c r="H355" s="50"/>
      <c r="I355" s="52"/>
      <c r="J355" s="72"/>
      <c r="K355" s="54"/>
      <c r="L355" s="55"/>
      <c r="M355" s="56"/>
      <c r="N355" s="56"/>
      <c r="O355" s="56"/>
      <c r="P355" s="57">
        <f t="shared" si="229"/>
        <v>0</v>
      </c>
      <c r="Q355" s="57">
        <f t="shared" si="230"/>
        <v>0</v>
      </c>
      <c r="R355" s="57">
        <f t="shared" si="227"/>
        <v>0</v>
      </c>
      <c r="S355" s="93">
        <f t="shared" si="228"/>
        <v>0</v>
      </c>
    </row>
    <row r="356" spans="1:19" x14ac:dyDescent="0.2">
      <c r="A356" s="60"/>
      <c r="B356" s="47"/>
      <c r="C356" s="48"/>
      <c r="D356" s="49"/>
      <c r="E356" s="50"/>
      <c r="F356" s="51">
        <f>SUM(D356:E356)</f>
        <v>0</v>
      </c>
      <c r="G356" s="50"/>
      <c r="H356" s="50"/>
      <c r="I356" s="52"/>
      <c r="J356" s="72"/>
      <c r="K356" s="54"/>
      <c r="L356" s="55"/>
      <c r="M356" s="56"/>
      <c r="N356" s="56"/>
      <c r="O356" s="56"/>
      <c r="P356" s="57">
        <f>M356-N356-O356</f>
        <v>0</v>
      </c>
      <c r="Q356" s="58">
        <f>IF(P356&gt;0,IF(K356="Y",0,P356),0)</f>
        <v>0</v>
      </c>
      <c r="R356" s="57">
        <f t="shared" si="227"/>
        <v>0</v>
      </c>
      <c r="S356" s="59">
        <f t="shared" si="228"/>
        <v>0</v>
      </c>
    </row>
    <row r="357" spans="1:19" ht="13.5" customHeight="1" thickBot="1" x14ac:dyDescent="0.3">
      <c r="A357" s="63"/>
      <c r="B357" s="64"/>
      <c r="C357" s="73">
        <f>SUBTOTAL(9,C352:C356)</f>
        <v>0</v>
      </c>
      <c r="D357" s="74">
        <f>SUBTOTAL(9,D352:D356)</f>
        <v>0</v>
      </c>
      <c r="E357" s="75">
        <f>SUBTOTAL(9,E352:E356)</f>
        <v>0</v>
      </c>
      <c r="F357" s="65">
        <f>SUBTOTAL(9,F352:F356)</f>
        <v>0</v>
      </c>
      <c r="G357" s="65">
        <v>0</v>
      </c>
      <c r="H357" s="67">
        <f>C357*G357</f>
        <v>0</v>
      </c>
      <c r="I357" s="76"/>
      <c r="J357" s="77"/>
      <c r="K357" s="77"/>
      <c r="L357" s="69">
        <f t="shared" ref="L357:S357" si="231">SUBTOTAL(9,L352:L356)</f>
        <v>0</v>
      </c>
      <c r="M357" s="69">
        <f t="shared" si="231"/>
        <v>0</v>
      </c>
      <c r="N357" s="69">
        <f t="shared" si="231"/>
        <v>0</v>
      </c>
      <c r="O357" s="69">
        <f t="shared" si="231"/>
        <v>0</v>
      </c>
      <c r="P357" s="80">
        <f t="shared" si="231"/>
        <v>0</v>
      </c>
      <c r="Q357" s="80">
        <f t="shared" si="231"/>
        <v>0</v>
      </c>
      <c r="R357" s="80">
        <f t="shared" si="231"/>
        <v>0</v>
      </c>
      <c r="S357" s="80">
        <f t="shared" si="231"/>
        <v>0</v>
      </c>
    </row>
    <row r="358" spans="1:19" ht="13.5" thickTop="1" x14ac:dyDescent="0.2">
      <c r="A358" s="39" t="s">
        <v>189</v>
      </c>
      <c r="B358" s="82"/>
      <c r="C358" s="44"/>
      <c r="D358" s="83"/>
      <c r="E358" s="44"/>
      <c r="F358" s="44"/>
      <c r="G358" s="44"/>
      <c r="H358" s="44"/>
      <c r="I358" s="43"/>
      <c r="J358" s="44"/>
      <c r="K358" s="44"/>
      <c r="L358" s="44"/>
      <c r="M358" s="44"/>
      <c r="N358" s="44"/>
      <c r="O358" s="44"/>
      <c r="P358" s="44"/>
      <c r="Q358" s="44"/>
      <c r="R358" s="44"/>
      <c r="S358" s="85"/>
    </row>
    <row r="359" spans="1:19" x14ac:dyDescent="0.2">
      <c r="A359" s="46" t="s">
        <v>128</v>
      </c>
      <c r="B359" s="79">
        <v>42528</v>
      </c>
      <c r="C359" s="86">
        <v>267001</v>
      </c>
      <c r="D359" s="87">
        <v>18792.87</v>
      </c>
      <c r="E359" s="88"/>
      <c r="F359" s="51">
        <f t="shared" ref="F359:F365" si="232">SUM(D359:E359)</f>
        <v>18792.87</v>
      </c>
      <c r="G359" s="50"/>
      <c r="H359" s="88"/>
      <c r="I359" s="52"/>
      <c r="J359" s="89"/>
      <c r="K359" s="90"/>
      <c r="L359" s="91"/>
      <c r="M359" s="92"/>
      <c r="N359" s="92"/>
      <c r="O359" s="92"/>
      <c r="P359" s="57">
        <f t="shared" ref="P359:P366" si="233">M359-N359-O359</f>
        <v>0</v>
      </c>
      <c r="Q359" s="57">
        <f t="shared" ref="Q359:Q366" si="234">IF(P359&gt;0,IF(K359="Y",0,P359),0)</f>
        <v>0</v>
      </c>
      <c r="R359" s="57">
        <f t="shared" ref="R359:R366" si="235">IF(P359&gt;0,IF(K359="Y",P359,0),0)</f>
        <v>0</v>
      </c>
      <c r="S359" s="93">
        <f t="shared" ref="S359:S366" si="236">IF(P359&lt;0,P359,0)</f>
        <v>0</v>
      </c>
    </row>
    <row r="360" spans="1:19" x14ac:dyDescent="0.2">
      <c r="A360" s="46" t="s">
        <v>128</v>
      </c>
      <c r="B360" s="79">
        <v>42529</v>
      </c>
      <c r="C360" s="86">
        <v>732999</v>
      </c>
      <c r="D360" s="87">
        <v>52971.37</v>
      </c>
      <c r="E360" s="88"/>
      <c r="F360" s="51">
        <f t="shared" si="232"/>
        <v>52971.37</v>
      </c>
      <c r="G360" s="50"/>
      <c r="H360" s="88"/>
      <c r="I360" s="52"/>
      <c r="J360" s="96"/>
      <c r="K360" s="90"/>
      <c r="L360" s="91"/>
      <c r="M360" s="92"/>
      <c r="N360" s="92"/>
      <c r="O360" s="92"/>
      <c r="P360" s="57">
        <f t="shared" si="233"/>
        <v>0</v>
      </c>
      <c r="Q360" s="57">
        <f t="shared" si="234"/>
        <v>0</v>
      </c>
      <c r="R360" s="57">
        <f t="shared" si="235"/>
        <v>0</v>
      </c>
      <c r="S360" s="93">
        <f t="shared" si="236"/>
        <v>0</v>
      </c>
    </row>
    <row r="361" spans="1:19" x14ac:dyDescent="0.2">
      <c r="A361" s="46" t="s">
        <v>128</v>
      </c>
      <c r="B361" s="79">
        <v>42535</v>
      </c>
      <c r="C361" s="86">
        <v>1000000</v>
      </c>
      <c r="D361" s="87">
        <v>70365.77</v>
      </c>
      <c r="E361" s="122"/>
      <c r="F361" s="51">
        <f t="shared" si="232"/>
        <v>70365.77</v>
      </c>
      <c r="G361" s="50"/>
      <c r="H361" s="122"/>
      <c r="I361" s="52"/>
      <c r="J361" s="96"/>
      <c r="K361" s="90"/>
      <c r="L361" s="91"/>
      <c r="M361" s="92"/>
      <c r="N361" s="92"/>
      <c r="O361" s="92"/>
      <c r="P361" s="57">
        <f t="shared" si="233"/>
        <v>0</v>
      </c>
      <c r="Q361" s="57">
        <f t="shared" si="234"/>
        <v>0</v>
      </c>
      <c r="R361" s="57">
        <f t="shared" si="235"/>
        <v>0</v>
      </c>
      <c r="S361" s="93">
        <f t="shared" si="236"/>
        <v>0</v>
      </c>
    </row>
    <row r="362" spans="1:19" x14ac:dyDescent="0.2">
      <c r="A362" s="46" t="s">
        <v>128</v>
      </c>
      <c r="B362" s="47">
        <v>42619</v>
      </c>
      <c r="C362" s="48">
        <v>94016</v>
      </c>
      <c r="D362" s="49">
        <v>4075.17</v>
      </c>
      <c r="E362" s="62"/>
      <c r="F362" s="51">
        <f t="shared" si="232"/>
        <v>4075.17</v>
      </c>
      <c r="G362" s="50"/>
      <c r="H362" s="62"/>
      <c r="I362" s="52"/>
      <c r="J362" s="72"/>
      <c r="K362" s="54"/>
      <c r="L362" s="55"/>
      <c r="M362" s="56"/>
      <c r="N362" s="56"/>
      <c r="O362" s="56"/>
      <c r="P362" s="57">
        <f t="shared" si="233"/>
        <v>0</v>
      </c>
      <c r="Q362" s="57">
        <f t="shared" si="234"/>
        <v>0</v>
      </c>
      <c r="R362" s="57">
        <f t="shared" si="235"/>
        <v>0</v>
      </c>
      <c r="S362" s="93">
        <f t="shared" si="236"/>
        <v>0</v>
      </c>
    </row>
    <row r="363" spans="1:19" x14ac:dyDescent="0.2">
      <c r="A363" s="60" t="s">
        <v>128</v>
      </c>
      <c r="B363" s="47">
        <v>42620</v>
      </c>
      <c r="C363" s="48">
        <v>205984</v>
      </c>
      <c r="D363" s="49">
        <v>8651.33</v>
      </c>
      <c r="E363" s="62"/>
      <c r="F363" s="51">
        <f t="shared" si="232"/>
        <v>8651.33</v>
      </c>
      <c r="G363" s="50"/>
      <c r="H363" s="62"/>
      <c r="I363" s="52"/>
      <c r="J363" s="72"/>
      <c r="K363" s="54"/>
      <c r="L363" s="55"/>
      <c r="M363" s="56"/>
      <c r="N363" s="56"/>
      <c r="O363" s="56"/>
      <c r="P363" s="57">
        <f t="shared" si="233"/>
        <v>0</v>
      </c>
      <c r="Q363" s="57">
        <f t="shared" si="234"/>
        <v>0</v>
      </c>
      <c r="R363" s="57">
        <f t="shared" si="235"/>
        <v>0</v>
      </c>
      <c r="S363" s="93">
        <f t="shared" si="236"/>
        <v>0</v>
      </c>
    </row>
    <row r="364" spans="1:19" x14ac:dyDescent="0.2">
      <c r="A364" s="60" t="s">
        <v>128</v>
      </c>
      <c r="B364" s="47">
        <v>42621</v>
      </c>
      <c r="C364" s="48">
        <v>500000</v>
      </c>
      <c r="D364" s="49">
        <v>21058.3</v>
      </c>
      <c r="E364" s="62"/>
      <c r="F364" s="51">
        <f t="shared" si="232"/>
        <v>21058.3</v>
      </c>
      <c r="G364" s="50"/>
      <c r="H364" s="62"/>
      <c r="I364" s="52"/>
      <c r="J364" s="72"/>
      <c r="K364" s="54"/>
      <c r="L364" s="55"/>
      <c r="M364" s="56"/>
      <c r="N364" s="56"/>
      <c r="O364" s="56"/>
      <c r="P364" s="57">
        <f t="shared" si="233"/>
        <v>0</v>
      </c>
      <c r="Q364" s="57">
        <f t="shared" si="234"/>
        <v>0</v>
      </c>
      <c r="R364" s="57">
        <f t="shared" si="235"/>
        <v>0</v>
      </c>
      <c r="S364" s="93">
        <f t="shared" si="236"/>
        <v>0</v>
      </c>
    </row>
    <row r="365" spans="1:19" x14ac:dyDescent="0.2">
      <c r="A365" s="60" t="s">
        <v>128</v>
      </c>
      <c r="B365" s="47">
        <v>42625</v>
      </c>
      <c r="C365" s="48">
        <v>200000</v>
      </c>
      <c r="D365" s="49">
        <v>8245.1</v>
      </c>
      <c r="E365" s="62"/>
      <c r="F365" s="51">
        <f t="shared" si="232"/>
        <v>8245.1</v>
      </c>
      <c r="G365" s="50"/>
      <c r="H365" s="62"/>
      <c r="I365" s="52"/>
      <c r="J365" s="72"/>
      <c r="K365" s="54"/>
      <c r="L365" s="55"/>
      <c r="M365" s="56"/>
      <c r="N365" s="56"/>
      <c r="O365" s="56"/>
      <c r="P365" s="57">
        <f t="shared" si="233"/>
        <v>0</v>
      </c>
      <c r="Q365" s="57">
        <f t="shared" si="234"/>
        <v>0</v>
      </c>
      <c r="R365" s="57">
        <f t="shared" si="235"/>
        <v>0</v>
      </c>
      <c r="S365" s="93">
        <f t="shared" si="236"/>
        <v>0</v>
      </c>
    </row>
    <row r="366" spans="1:19" x14ac:dyDescent="0.2">
      <c r="A366" s="121"/>
      <c r="B366" s="114"/>
      <c r="C366" s="111"/>
      <c r="D366" s="112"/>
      <c r="E366" s="113"/>
      <c r="F366" s="119"/>
      <c r="G366" s="112"/>
      <c r="H366" s="113"/>
      <c r="I366" s="52"/>
      <c r="J366" s="114"/>
      <c r="K366" s="115"/>
      <c r="L366" s="116"/>
      <c r="M366" s="117"/>
      <c r="N366" s="117"/>
      <c r="O366" s="117"/>
      <c r="P366" s="57">
        <f t="shared" si="233"/>
        <v>0</v>
      </c>
      <c r="Q366" s="57">
        <f t="shared" si="234"/>
        <v>0</v>
      </c>
      <c r="R366" s="57">
        <f t="shared" si="235"/>
        <v>0</v>
      </c>
      <c r="S366" s="93">
        <f t="shared" si="236"/>
        <v>0</v>
      </c>
    </row>
    <row r="367" spans="1:19" ht="13.5" customHeight="1" thickBot="1" x14ac:dyDescent="0.3">
      <c r="A367" s="63"/>
      <c r="B367" s="64"/>
      <c r="C367" s="73">
        <f>SUBTOTAL(9,C359:C366)</f>
        <v>3000000</v>
      </c>
      <c r="D367" s="74">
        <f>SUBTOTAL(9,D359:D366)</f>
        <v>184159.91</v>
      </c>
      <c r="E367" s="75">
        <f>SUBTOTAL(9,E359:E366)</f>
        <v>0</v>
      </c>
      <c r="F367" s="65">
        <f>SUBTOTAL(9,F359:F366)</f>
        <v>184159.91</v>
      </c>
      <c r="G367" s="75">
        <v>0</v>
      </c>
      <c r="H367" s="67">
        <f>C367*G367</f>
        <v>0</v>
      </c>
      <c r="I367" s="84"/>
      <c r="J367" s="64"/>
      <c r="K367" s="64"/>
      <c r="L367" s="69">
        <f>SUBTOTAL(9,L359:L366)</f>
        <v>0</v>
      </c>
      <c r="M367" s="65">
        <f t="shared" ref="M367:S367" si="237">SUBTOTAL(9,M359:M366)</f>
        <v>0</v>
      </c>
      <c r="N367" s="65">
        <f t="shared" si="237"/>
        <v>0</v>
      </c>
      <c r="O367" s="65">
        <f t="shared" si="237"/>
        <v>0</v>
      </c>
      <c r="P367" s="65">
        <f t="shared" si="237"/>
        <v>0</v>
      </c>
      <c r="Q367" s="65">
        <f t="shared" si="237"/>
        <v>0</v>
      </c>
      <c r="R367" s="65">
        <f t="shared" si="237"/>
        <v>0</v>
      </c>
      <c r="S367" s="65">
        <f t="shared" si="237"/>
        <v>0</v>
      </c>
    </row>
    <row r="368" spans="1:19" ht="13.5" thickTop="1" x14ac:dyDescent="0.2">
      <c r="A368" s="39" t="s">
        <v>190</v>
      </c>
      <c r="B368" s="40"/>
      <c r="C368" s="41"/>
      <c r="D368" s="42"/>
      <c r="E368" s="41"/>
      <c r="F368" s="41"/>
      <c r="G368" s="41"/>
      <c r="H368" s="41"/>
      <c r="I368" s="43"/>
      <c r="J368" s="44"/>
      <c r="K368" s="44"/>
      <c r="L368" s="41"/>
      <c r="M368" s="41"/>
      <c r="N368" s="41"/>
      <c r="O368" s="41"/>
      <c r="P368" s="41"/>
      <c r="Q368" s="41"/>
      <c r="R368" s="41"/>
      <c r="S368" s="45"/>
    </row>
    <row r="369" spans="1:19" x14ac:dyDescent="0.2">
      <c r="A369" s="46" t="s">
        <v>128</v>
      </c>
      <c r="B369" s="47">
        <v>43859</v>
      </c>
      <c r="C369" s="48">
        <v>120000</v>
      </c>
      <c r="D369" s="49">
        <v>102561</v>
      </c>
      <c r="E369" s="50"/>
      <c r="F369" s="51">
        <f t="shared" ref="F369:F374" si="238">SUM(D369:E369)</f>
        <v>102561</v>
      </c>
      <c r="G369" s="50"/>
      <c r="H369" s="50"/>
      <c r="I369" s="52"/>
      <c r="J369" s="53"/>
      <c r="K369" s="54"/>
      <c r="L369" s="55"/>
      <c r="M369" s="56"/>
      <c r="N369" s="56"/>
      <c r="O369" s="56"/>
      <c r="P369" s="57">
        <f>M369-N369-O369</f>
        <v>0</v>
      </c>
      <c r="Q369" s="58">
        <f>IF(P369&gt;0,IF(K369="Y",0,P369),0)</f>
        <v>0</v>
      </c>
      <c r="R369" s="57">
        <f>IF(P369&gt;0,IF(K369="Y",P369,0),0)</f>
        <v>0</v>
      </c>
      <c r="S369" s="59">
        <f>IF(P369&lt;0,P369,0)</f>
        <v>0</v>
      </c>
    </row>
    <row r="370" spans="1:19" x14ac:dyDescent="0.2">
      <c r="A370" s="46" t="s">
        <v>129</v>
      </c>
      <c r="B370" s="47">
        <v>43882</v>
      </c>
      <c r="C370" s="48">
        <v>-20000</v>
      </c>
      <c r="D370" s="49">
        <f>(D369/C369)*C370</f>
        <v>-17093.5</v>
      </c>
      <c r="E370" s="50"/>
      <c r="F370" s="51">
        <f t="shared" si="238"/>
        <v>-17093.5</v>
      </c>
      <c r="G370" s="50"/>
      <c r="H370" s="50"/>
      <c r="I370" s="52"/>
      <c r="J370" s="53"/>
      <c r="K370" s="54"/>
      <c r="L370" s="55"/>
      <c r="M370" s="56"/>
      <c r="N370" s="56"/>
      <c r="O370" s="56"/>
      <c r="P370" s="57">
        <f t="shared" ref="P370:P373" si="239">M370-N370-O370</f>
        <v>0</v>
      </c>
      <c r="Q370" s="58">
        <f t="shared" ref="Q370:Q373" si="240">IF(P370&gt;0,IF(K370="Y",0,P370),0)</f>
        <v>0</v>
      </c>
      <c r="R370" s="57">
        <f t="shared" ref="R370:R373" si="241">IF(P370&gt;0,IF(K370="Y",P370,0),0)</f>
        <v>0</v>
      </c>
      <c r="S370" s="59">
        <f t="shared" ref="S370:S373" si="242">IF(P370&lt;0,P370,0)</f>
        <v>0</v>
      </c>
    </row>
    <row r="371" spans="1:19" x14ac:dyDescent="0.2">
      <c r="A371" s="46" t="s">
        <v>129</v>
      </c>
      <c r="B371" s="47">
        <v>43886</v>
      </c>
      <c r="C371" s="48">
        <v>-30000</v>
      </c>
      <c r="D371" s="49">
        <f>(D369/C369)*C371</f>
        <v>-25640.25</v>
      </c>
      <c r="E371" s="50"/>
      <c r="F371" s="51">
        <f t="shared" si="238"/>
        <v>-25640.25</v>
      </c>
      <c r="G371" s="50"/>
      <c r="H371" s="50"/>
      <c r="I371" s="52"/>
      <c r="J371" s="53"/>
      <c r="K371" s="54"/>
      <c r="L371" s="55"/>
      <c r="M371" s="56"/>
      <c r="N371" s="56"/>
      <c r="O371" s="56"/>
      <c r="P371" s="57">
        <f t="shared" si="239"/>
        <v>0</v>
      </c>
      <c r="Q371" s="58">
        <f t="shared" si="240"/>
        <v>0</v>
      </c>
      <c r="R371" s="57">
        <f t="shared" si="241"/>
        <v>0</v>
      </c>
      <c r="S371" s="59">
        <f t="shared" si="242"/>
        <v>0</v>
      </c>
    </row>
    <row r="372" spans="1:19" x14ac:dyDescent="0.2">
      <c r="A372" s="46" t="s">
        <v>129</v>
      </c>
      <c r="B372" s="47">
        <v>43888</v>
      </c>
      <c r="C372" s="48">
        <v>-50000</v>
      </c>
      <c r="D372" s="49">
        <f>(D369/C369)*C372</f>
        <v>-42733.75</v>
      </c>
      <c r="E372" s="50"/>
      <c r="F372" s="51">
        <f t="shared" si="238"/>
        <v>-42733.75</v>
      </c>
      <c r="G372" s="50"/>
      <c r="H372" s="50"/>
      <c r="I372" s="52"/>
      <c r="J372" s="53"/>
      <c r="K372" s="54"/>
      <c r="L372" s="55"/>
      <c r="M372" s="56"/>
      <c r="N372" s="56"/>
      <c r="O372" s="56"/>
      <c r="P372" s="57">
        <f t="shared" si="239"/>
        <v>0</v>
      </c>
      <c r="Q372" s="58">
        <f t="shared" si="240"/>
        <v>0</v>
      </c>
      <c r="R372" s="57">
        <f t="shared" si="241"/>
        <v>0</v>
      </c>
      <c r="S372" s="59">
        <f t="shared" si="242"/>
        <v>0</v>
      </c>
    </row>
    <row r="373" spans="1:19" x14ac:dyDescent="0.2">
      <c r="A373" s="46" t="s">
        <v>129</v>
      </c>
      <c r="B373" s="47">
        <v>43892</v>
      </c>
      <c r="C373" s="48">
        <v>-20000</v>
      </c>
      <c r="D373" s="49">
        <f>(D369/C369)*C373</f>
        <v>-17093.5</v>
      </c>
      <c r="E373" s="50"/>
      <c r="F373" s="51">
        <f t="shared" si="238"/>
        <v>-17093.5</v>
      </c>
      <c r="G373" s="50"/>
      <c r="H373" s="50"/>
      <c r="I373" s="52"/>
      <c r="J373" s="53"/>
      <c r="K373" s="54"/>
      <c r="L373" s="55"/>
      <c r="M373" s="56"/>
      <c r="N373" s="56"/>
      <c r="O373" s="56"/>
      <c r="P373" s="57">
        <f t="shared" si="239"/>
        <v>0</v>
      </c>
      <c r="Q373" s="58">
        <f t="shared" si="240"/>
        <v>0</v>
      </c>
      <c r="R373" s="57">
        <f t="shared" si="241"/>
        <v>0</v>
      </c>
      <c r="S373" s="59">
        <f t="shared" si="242"/>
        <v>0</v>
      </c>
    </row>
    <row r="374" spans="1:19" x14ac:dyDescent="0.2">
      <c r="A374" s="60"/>
      <c r="B374" s="47"/>
      <c r="C374" s="61"/>
      <c r="D374" s="49"/>
      <c r="E374" s="62"/>
      <c r="F374" s="51">
        <f t="shared" si="238"/>
        <v>0</v>
      </c>
      <c r="G374" s="50"/>
      <c r="H374" s="62"/>
      <c r="I374" s="52"/>
      <c r="J374" s="53"/>
      <c r="K374" s="54"/>
      <c r="L374" s="55"/>
      <c r="M374" s="56"/>
      <c r="N374" s="56"/>
      <c r="O374" s="56"/>
      <c r="P374" s="57">
        <f>M374-N374-O374</f>
        <v>0</v>
      </c>
      <c r="Q374" s="58">
        <f>IF(P374&gt;0,IF(K374="Y",0,P374),0)</f>
        <v>0</v>
      </c>
      <c r="R374" s="57">
        <f>IF(P374&gt;0,IF(K374="Y",P374,0),0)</f>
        <v>0</v>
      </c>
      <c r="S374" s="59">
        <f>IF(P374&lt;0,P374,0)</f>
        <v>0</v>
      </c>
    </row>
    <row r="375" spans="1:19" ht="13.5" customHeight="1" thickBot="1" x14ac:dyDescent="0.3">
      <c r="A375" s="63"/>
      <c r="B375" s="64"/>
      <c r="C375" s="65">
        <f>SUBTOTAL(9,C369:C374)</f>
        <v>0</v>
      </c>
      <c r="D375" s="66">
        <f>SUBTOTAL(9,D369:D374)</f>
        <v>0</v>
      </c>
      <c r="E375" s="67">
        <f>SUBTOTAL(9,E369:E374)</f>
        <v>0</v>
      </c>
      <c r="F375" s="65">
        <f>SUBTOTAL(9,F369:F374)</f>
        <v>0</v>
      </c>
      <c r="G375" s="65">
        <v>0</v>
      </c>
      <c r="H375" s="67">
        <f>C375*G375</f>
        <v>0</v>
      </c>
      <c r="I375" s="68"/>
      <c r="J375" s="68"/>
      <c r="K375" s="68"/>
      <c r="L375" s="69">
        <f t="shared" ref="L375:S375" si="243">SUBTOTAL(9,L369:L374)</f>
        <v>0</v>
      </c>
      <c r="M375" s="70">
        <f t="shared" si="243"/>
        <v>0</v>
      </c>
      <c r="N375" s="70">
        <f t="shared" si="243"/>
        <v>0</v>
      </c>
      <c r="O375" s="70">
        <f t="shared" si="243"/>
        <v>0</v>
      </c>
      <c r="P375" s="70">
        <f t="shared" si="243"/>
        <v>0</v>
      </c>
      <c r="Q375" s="70">
        <f t="shared" si="243"/>
        <v>0</v>
      </c>
      <c r="R375" s="70">
        <f t="shared" si="243"/>
        <v>0</v>
      </c>
      <c r="S375" s="71">
        <f t="shared" si="243"/>
        <v>0</v>
      </c>
    </row>
    <row r="376" spans="1:19" ht="13.5" thickTop="1" x14ac:dyDescent="0.2">
      <c r="A376" s="39" t="s">
        <v>191</v>
      </c>
      <c r="B376" s="40"/>
      <c r="C376" s="41"/>
      <c r="D376" s="42"/>
      <c r="E376" s="41"/>
      <c r="F376" s="41"/>
      <c r="G376" s="41"/>
      <c r="H376" s="41"/>
      <c r="I376" s="43"/>
      <c r="J376" s="44"/>
      <c r="K376" s="44"/>
      <c r="L376" s="41"/>
      <c r="M376" s="41"/>
      <c r="N376" s="41"/>
      <c r="O376" s="41"/>
      <c r="P376" s="41"/>
      <c r="Q376" s="41"/>
      <c r="R376" s="41"/>
      <c r="S376" s="45"/>
    </row>
    <row r="377" spans="1:19" x14ac:dyDescent="0.2">
      <c r="A377" s="46" t="s">
        <v>128</v>
      </c>
      <c r="B377" s="47">
        <v>43689</v>
      </c>
      <c r="C377" s="48">
        <v>5700</v>
      </c>
      <c r="D377" s="49">
        <v>158860.96</v>
      </c>
      <c r="E377" s="50"/>
      <c r="F377" s="51">
        <f>SUM(D377:E377)</f>
        <v>158860.96</v>
      </c>
      <c r="G377" s="50"/>
      <c r="H377" s="50"/>
      <c r="I377" s="52"/>
      <c r="J377" s="72"/>
      <c r="K377" s="54"/>
      <c r="L377" s="55"/>
      <c r="M377" s="56"/>
      <c r="N377" s="56"/>
      <c r="O377" s="56"/>
      <c r="P377" s="57">
        <f>M377-N377-O377</f>
        <v>0</v>
      </c>
      <c r="Q377" s="58">
        <f>IF(P377&gt;0,IF(K377="Y",0,P377),0)</f>
        <v>0</v>
      </c>
      <c r="R377" s="57">
        <f t="shared" ref="R377:R380" si="244">IF(P377&gt;0,IF(K377="Y",P377,0),0)</f>
        <v>0</v>
      </c>
      <c r="S377" s="59">
        <f t="shared" ref="S377:S380" si="245">IF(P377&lt;0,P377,0)</f>
        <v>0</v>
      </c>
    </row>
    <row r="378" spans="1:19" x14ac:dyDescent="0.2">
      <c r="A378" s="46" t="s">
        <v>128</v>
      </c>
      <c r="B378" s="47">
        <v>43705</v>
      </c>
      <c r="C378" s="48">
        <v>2850</v>
      </c>
      <c r="D378" s="49">
        <v>76656.81</v>
      </c>
      <c r="E378" s="50"/>
      <c r="F378" s="51">
        <f>SUM(D378:E378)</f>
        <v>76656.81</v>
      </c>
      <c r="G378" s="50"/>
      <c r="H378" s="50"/>
      <c r="I378" s="52"/>
      <c r="J378" s="72"/>
      <c r="K378" s="54"/>
      <c r="L378" s="55"/>
      <c r="M378" s="56"/>
      <c r="N378" s="56"/>
      <c r="O378" s="56"/>
      <c r="P378" s="57">
        <f>M378-N378-O378</f>
        <v>0</v>
      </c>
      <c r="Q378" s="58">
        <f>IF(P378&gt;0,IF(K378="Y",0,P378),0)</f>
        <v>0</v>
      </c>
      <c r="R378" s="57">
        <f t="shared" si="244"/>
        <v>0</v>
      </c>
      <c r="S378" s="59">
        <f t="shared" si="245"/>
        <v>0</v>
      </c>
    </row>
    <row r="379" spans="1:19" x14ac:dyDescent="0.2">
      <c r="A379" s="46" t="s">
        <v>129</v>
      </c>
      <c r="B379" s="47">
        <v>43727</v>
      </c>
      <c r="C379" s="48">
        <v>-8550</v>
      </c>
      <c r="D379" s="49">
        <f>-SUM(D377:D378)</f>
        <v>-235517.77</v>
      </c>
      <c r="E379" s="50"/>
      <c r="F379" s="51">
        <f>SUM(D379:E379)</f>
        <v>-235517.77</v>
      </c>
      <c r="G379" s="50"/>
      <c r="H379" s="50"/>
      <c r="I379" s="52"/>
      <c r="J379" s="72"/>
      <c r="K379" s="54"/>
      <c r="L379" s="55"/>
      <c r="M379" s="56"/>
      <c r="N379" s="56"/>
      <c r="O379" s="56"/>
      <c r="P379" s="57">
        <f>M379-N379-O379</f>
        <v>0</v>
      </c>
      <c r="Q379" s="58">
        <f>IF(P379&gt;0,IF(K379="Y",0,P379),0)</f>
        <v>0</v>
      </c>
      <c r="R379" s="57">
        <f t="shared" si="244"/>
        <v>0</v>
      </c>
      <c r="S379" s="59">
        <f t="shared" si="245"/>
        <v>0</v>
      </c>
    </row>
    <row r="380" spans="1:19" x14ac:dyDescent="0.2">
      <c r="A380" s="60"/>
      <c r="B380" s="47"/>
      <c r="C380" s="48"/>
      <c r="D380" s="49"/>
      <c r="E380" s="50"/>
      <c r="F380" s="51">
        <f>SUM(D380:E380)</f>
        <v>0</v>
      </c>
      <c r="G380" s="50"/>
      <c r="H380" s="50"/>
      <c r="I380" s="52"/>
      <c r="J380" s="72"/>
      <c r="K380" s="54"/>
      <c r="L380" s="55"/>
      <c r="M380" s="56"/>
      <c r="N380" s="56"/>
      <c r="O380" s="56"/>
      <c r="P380" s="57">
        <f>M380-N380-O380</f>
        <v>0</v>
      </c>
      <c r="Q380" s="58">
        <f>IF(P380&gt;0,IF(K380="Y",0,P380),0)</f>
        <v>0</v>
      </c>
      <c r="R380" s="57">
        <f t="shared" si="244"/>
        <v>0</v>
      </c>
      <c r="S380" s="59">
        <f t="shared" si="245"/>
        <v>0</v>
      </c>
    </row>
    <row r="381" spans="1:19" ht="13.5" customHeight="1" thickBot="1" x14ac:dyDescent="0.3">
      <c r="A381" s="63"/>
      <c r="B381" s="64"/>
      <c r="C381" s="73">
        <f>SUBTOTAL(9,C377:C380)</f>
        <v>0</v>
      </c>
      <c r="D381" s="74">
        <f>SUBTOTAL(9,D377:D380)</f>
        <v>0</v>
      </c>
      <c r="E381" s="75">
        <f>SUBTOTAL(9,E377:E380)</f>
        <v>0</v>
      </c>
      <c r="F381" s="65">
        <f>SUBTOTAL(9,F377:F380)</f>
        <v>0</v>
      </c>
      <c r="G381" s="65">
        <v>0</v>
      </c>
      <c r="H381" s="67">
        <f>C381*G381</f>
        <v>0</v>
      </c>
      <c r="I381" s="76"/>
      <c r="J381" s="77"/>
      <c r="K381" s="77"/>
      <c r="L381" s="69">
        <f t="shared" ref="L381:S381" si="246">SUBTOTAL(9,L377:L380)</f>
        <v>0</v>
      </c>
      <c r="M381" s="126">
        <f t="shared" si="246"/>
        <v>0</v>
      </c>
      <c r="N381" s="126">
        <f t="shared" si="246"/>
        <v>0</v>
      </c>
      <c r="O381" s="126">
        <f t="shared" si="246"/>
        <v>0</v>
      </c>
      <c r="P381" s="126">
        <f t="shared" si="246"/>
        <v>0</v>
      </c>
      <c r="Q381" s="126">
        <f t="shared" si="246"/>
        <v>0</v>
      </c>
      <c r="R381" s="126">
        <f t="shared" si="246"/>
        <v>0</v>
      </c>
      <c r="S381" s="126">
        <f t="shared" si="246"/>
        <v>0</v>
      </c>
    </row>
    <row r="382" spans="1:19" ht="13.5" thickTop="1" x14ac:dyDescent="0.2">
      <c r="A382" s="39" t="s">
        <v>192</v>
      </c>
      <c r="B382" s="40"/>
      <c r="C382" s="41"/>
      <c r="D382" s="42"/>
      <c r="E382" s="41"/>
      <c r="F382" s="41"/>
      <c r="G382" s="41"/>
      <c r="H382" s="41"/>
      <c r="I382" s="43"/>
      <c r="J382" s="44"/>
      <c r="K382" s="44"/>
      <c r="L382" s="41"/>
      <c r="M382" s="41"/>
      <c r="N382" s="41"/>
      <c r="O382" s="41"/>
      <c r="P382" s="41"/>
      <c r="Q382" s="41"/>
      <c r="R382" s="41"/>
      <c r="S382" s="45"/>
    </row>
    <row r="383" spans="1:19" x14ac:dyDescent="0.2">
      <c r="A383" s="46" t="s">
        <v>193</v>
      </c>
      <c r="B383" s="47">
        <v>43798</v>
      </c>
      <c r="C383" s="48">
        <v>300000</v>
      </c>
      <c r="D383" s="49">
        <v>52788.77</v>
      </c>
      <c r="E383" s="50"/>
      <c r="F383" s="51">
        <f>SUM(D383:E383)</f>
        <v>52788.77</v>
      </c>
      <c r="G383" s="50"/>
      <c r="H383" s="50"/>
      <c r="I383" s="52"/>
      <c r="J383" s="53"/>
      <c r="K383" s="54"/>
      <c r="L383" s="55"/>
      <c r="M383" s="56"/>
      <c r="N383" s="56"/>
      <c r="O383" s="56"/>
      <c r="P383" s="57">
        <f t="shared" ref="P383:P385" si="247">M383-N383-O383</f>
        <v>0</v>
      </c>
      <c r="Q383" s="58">
        <f t="shared" ref="Q383:Q385" si="248">IF(P383&gt;0,IF(K383="Y",0,P383),0)</f>
        <v>0</v>
      </c>
      <c r="R383" s="57">
        <f t="shared" ref="R383:R385" si="249">IF(P383&gt;0,IF(K383="Y",P383,0),0)</f>
        <v>0</v>
      </c>
      <c r="S383" s="59">
        <f t="shared" ref="S383:S385" si="250">IF(P383&lt;0,P383,0)</f>
        <v>0</v>
      </c>
    </row>
    <row r="384" spans="1:19" x14ac:dyDescent="0.2">
      <c r="A384" s="60" t="s">
        <v>129</v>
      </c>
      <c r="B384" s="47">
        <v>44616</v>
      </c>
      <c r="C384" s="48">
        <v>-300000</v>
      </c>
      <c r="D384" s="49">
        <f>-D383</f>
        <v>-52788.77</v>
      </c>
      <c r="E384" s="50"/>
      <c r="F384" s="51">
        <f>SUM(D384:E384)</f>
        <v>-52788.77</v>
      </c>
      <c r="G384" s="50"/>
      <c r="H384" s="50"/>
      <c r="I384" s="52"/>
      <c r="J384" s="72">
        <f>B384</f>
        <v>44616</v>
      </c>
      <c r="K384" s="72" t="s">
        <v>142</v>
      </c>
      <c r="L384" s="55">
        <f t="shared" ref="L384" si="251">C384</f>
        <v>-300000</v>
      </c>
      <c r="M384" s="49">
        <v>5700</v>
      </c>
      <c r="N384" s="72"/>
      <c r="O384" s="49">
        <f t="shared" ref="O384" si="252">-D384</f>
        <v>52788.77</v>
      </c>
      <c r="P384" s="57">
        <f t="shared" si="247"/>
        <v>-47088.77</v>
      </c>
      <c r="Q384" s="58">
        <f t="shared" si="248"/>
        <v>0</v>
      </c>
      <c r="R384" s="57">
        <f t="shared" si="249"/>
        <v>0</v>
      </c>
      <c r="S384" s="59">
        <f t="shared" si="250"/>
        <v>-47088.77</v>
      </c>
    </row>
    <row r="385" spans="1:19" x14ac:dyDescent="0.2">
      <c r="A385" s="60"/>
      <c r="B385" s="47"/>
      <c r="C385" s="61"/>
      <c r="D385" s="49"/>
      <c r="E385" s="62"/>
      <c r="F385" s="51">
        <f>SUM(D385:E385)</f>
        <v>0</v>
      </c>
      <c r="G385" s="50"/>
      <c r="H385" s="62"/>
      <c r="I385" s="52"/>
      <c r="J385" s="53"/>
      <c r="K385" s="54"/>
      <c r="L385" s="55"/>
      <c r="M385" s="56"/>
      <c r="N385" s="56"/>
      <c r="O385" s="56"/>
      <c r="P385" s="57">
        <f t="shared" si="247"/>
        <v>0</v>
      </c>
      <c r="Q385" s="58">
        <f t="shared" si="248"/>
        <v>0</v>
      </c>
      <c r="R385" s="57">
        <f t="shared" si="249"/>
        <v>0</v>
      </c>
      <c r="S385" s="59">
        <f t="shared" si="250"/>
        <v>0</v>
      </c>
    </row>
    <row r="386" spans="1:19" ht="13.5" customHeight="1" thickBot="1" x14ac:dyDescent="0.3">
      <c r="A386" s="63"/>
      <c r="B386" s="64"/>
      <c r="C386" s="73">
        <f>SUBTOTAL(9,C383:C385)</f>
        <v>0</v>
      </c>
      <c r="D386" s="66">
        <f>SUBTOTAL(9,D383:D385)</f>
        <v>0</v>
      </c>
      <c r="E386" s="67">
        <f>SUBTOTAL(9,E383:E385)</f>
        <v>0</v>
      </c>
      <c r="F386" s="65">
        <f>SUBTOTAL(9,F383:F385)</f>
        <v>0</v>
      </c>
      <c r="G386" s="65">
        <v>0</v>
      </c>
      <c r="H386" s="67">
        <f>C386*G386</f>
        <v>0</v>
      </c>
      <c r="I386" s="68"/>
      <c r="J386" s="68"/>
      <c r="K386" s="68"/>
      <c r="L386" s="126">
        <f t="shared" ref="L386:S386" si="253">SUBTOTAL(9,L383:L385)</f>
        <v>-300000</v>
      </c>
      <c r="M386" s="70">
        <f t="shared" si="253"/>
        <v>5700</v>
      </c>
      <c r="N386" s="70">
        <f t="shared" si="253"/>
        <v>0</v>
      </c>
      <c r="O386" s="70">
        <f t="shared" si="253"/>
        <v>52788.77</v>
      </c>
      <c r="P386" s="70">
        <f t="shared" si="253"/>
        <v>-47088.77</v>
      </c>
      <c r="Q386" s="70">
        <f t="shared" si="253"/>
        <v>0</v>
      </c>
      <c r="R386" s="70">
        <f t="shared" si="253"/>
        <v>0</v>
      </c>
      <c r="S386" s="71">
        <f t="shared" si="253"/>
        <v>-47088.77</v>
      </c>
    </row>
    <row r="387" spans="1:19" ht="13.5" thickTop="1" x14ac:dyDescent="0.2">
      <c r="A387" s="39" t="s">
        <v>194</v>
      </c>
      <c r="B387" s="40"/>
      <c r="C387" s="41"/>
      <c r="D387" s="42"/>
      <c r="E387" s="41"/>
      <c r="F387" s="41"/>
      <c r="G387" s="41"/>
      <c r="H387" s="41"/>
      <c r="I387" s="43"/>
      <c r="J387" s="44"/>
      <c r="K387" s="44"/>
      <c r="L387" s="41"/>
      <c r="M387" s="41"/>
      <c r="N387" s="41"/>
      <c r="O387" s="41"/>
      <c r="P387" s="41"/>
      <c r="Q387" s="41"/>
      <c r="R387" s="41"/>
      <c r="S387" s="45"/>
    </row>
    <row r="388" spans="1:19" x14ac:dyDescent="0.2">
      <c r="A388" s="46" t="s">
        <v>128</v>
      </c>
      <c r="B388" s="47">
        <v>43665</v>
      </c>
      <c r="C388" s="48">
        <v>50000</v>
      </c>
      <c r="D388" s="49">
        <v>23629.25</v>
      </c>
      <c r="E388" s="50"/>
      <c r="F388" s="51">
        <f t="shared" ref="F388:F405" si="254">SUM(D388:E388)</f>
        <v>23629.25</v>
      </c>
      <c r="G388" s="50"/>
      <c r="H388" s="50"/>
      <c r="I388" s="52"/>
      <c r="J388" s="72"/>
      <c r="K388" s="54"/>
      <c r="L388" s="55"/>
      <c r="M388" s="56"/>
      <c r="N388" s="56"/>
      <c r="O388" s="56"/>
      <c r="P388" s="57">
        <f>M388-N388-O388</f>
        <v>0</v>
      </c>
      <c r="Q388" s="58">
        <f>IF(P388&gt;0,IF(K388="Y",0,P388),0)</f>
        <v>0</v>
      </c>
      <c r="R388" s="57">
        <f>IF(P388&gt;0,IF(K388="Y",P388,0),0)</f>
        <v>0</v>
      </c>
      <c r="S388" s="59">
        <f>IF(P388&lt;0,P388,0)</f>
        <v>0</v>
      </c>
    </row>
    <row r="389" spans="1:19" x14ac:dyDescent="0.2">
      <c r="A389" s="46" t="s">
        <v>128</v>
      </c>
      <c r="B389" s="47">
        <v>43678</v>
      </c>
      <c r="C389" s="48">
        <v>25000</v>
      </c>
      <c r="D389" s="49">
        <v>14001.5</v>
      </c>
      <c r="E389" s="50"/>
      <c r="F389" s="51">
        <f t="shared" si="254"/>
        <v>14001.5</v>
      </c>
      <c r="G389" s="50"/>
      <c r="H389" s="50"/>
      <c r="I389" s="52"/>
      <c r="J389" s="72"/>
      <c r="K389" s="54"/>
      <c r="L389" s="55"/>
      <c r="M389" s="56"/>
      <c r="N389" s="56"/>
      <c r="O389" s="56"/>
      <c r="P389" s="57">
        <f>M389-N389-O389</f>
        <v>0</v>
      </c>
      <c r="Q389" s="58">
        <f>IF(P389&gt;0,IF(K389="Y",0,P389),0)</f>
        <v>0</v>
      </c>
      <c r="R389" s="57">
        <f>IF(P389&gt;0,IF(K389="Y",P389,0),0)</f>
        <v>0</v>
      </c>
      <c r="S389" s="59">
        <f>IF(P389&lt;0,P389,0)</f>
        <v>0</v>
      </c>
    </row>
    <row r="390" spans="1:19" x14ac:dyDescent="0.2">
      <c r="A390" s="46" t="s">
        <v>129</v>
      </c>
      <c r="B390" s="47">
        <v>43685</v>
      </c>
      <c r="C390" s="48">
        <v>-75000</v>
      </c>
      <c r="D390" s="49">
        <f>-SUM(D388:D389)</f>
        <v>-37630.75</v>
      </c>
      <c r="E390" s="50"/>
      <c r="F390" s="51">
        <f t="shared" si="254"/>
        <v>-37630.75</v>
      </c>
      <c r="G390" s="50"/>
      <c r="H390" s="50"/>
      <c r="I390" s="52"/>
      <c r="J390" s="53"/>
      <c r="K390" s="50"/>
      <c r="L390" s="55"/>
      <c r="M390" s="50"/>
      <c r="N390" s="50"/>
      <c r="O390" s="50"/>
      <c r="P390" s="57">
        <f t="shared" ref="P390:P406" si="255">M390-N390-O390</f>
        <v>0</v>
      </c>
      <c r="Q390" s="58">
        <f t="shared" ref="Q390:Q406" si="256">IF(P390&gt;0,IF(K390="Y",0,P390),0)</f>
        <v>0</v>
      </c>
      <c r="R390" s="57">
        <f t="shared" ref="R390:R406" si="257">IF(P390&gt;0,IF(K390="Y",P390,0),0)</f>
        <v>0</v>
      </c>
      <c r="S390" s="59">
        <f t="shared" ref="S390:S406" si="258">IF(P390&lt;0,P390,0)</f>
        <v>0</v>
      </c>
    </row>
    <row r="391" spans="1:19" x14ac:dyDescent="0.2">
      <c r="A391" s="46" t="s">
        <v>128</v>
      </c>
      <c r="B391" s="53">
        <v>43706</v>
      </c>
      <c r="C391" s="48">
        <v>13793</v>
      </c>
      <c r="D391" s="49">
        <v>7988.51</v>
      </c>
      <c r="E391" s="50"/>
      <c r="F391" s="51">
        <f t="shared" si="254"/>
        <v>7988.51</v>
      </c>
      <c r="G391" s="50"/>
      <c r="H391" s="50"/>
      <c r="I391" s="52"/>
      <c r="J391" s="53"/>
      <c r="K391" s="50"/>
      <c r="L391" s="55"/>
      <c r="M391" s="50"/>
      <c r="N391" s="50"/>
      <c r="O391" s="50"/>
      <c r="P391" s="57">
        <f t="shared" si="255"/>
        <v>0</v>
      </c>
      <c r="Q391" s="58">
        <f t="shared" si="256"/>
        <v>0</v>
      </c>
      <c r="R391" s="57">
        <f t="shared" si="257"/>
        <v>0</v>
      </c>
      <c r="S391" s="59">
        <f t="shared" si="258"/>
        <v>0</v>
      </c>
    </row>
    <row r="392" spans="1:19" x14ac:dyDescent="0.2">
      <c r="A392" s="46" t="s">
        <v>128</v>
      </c>
      <c r="B392" s="53">
        <v>43707</v>
      </c>
      <c r="C392" s="48">
        <v>36207</v>
      </c>
      <c r="D392" s="49">
        <v>20668.240000000002</v>
      </c>
      <c r="E392" s="50"/>
      <c r="F392" s="51">
        <f t="shared" si="254"/>
        <v>20668.240000000002</v>
      </c>
      <c r="G392" s="50"/>
      <c r="H392" s="50"/>
      <c r="I392" s="52"/>
      <c r="J392" s="53"/>
      <c r="K392" s="50"/>
      <c r="L392" s="55"/>
      <c r="M392" s="50"/>
      <c r="N392" s="50"/>
      <c r="O392" s="50"/>
      <c r="P392" s="57">
        <f t="shared" si="255"/>
        <v>0</v>
      </c>
      <c r="Q392" s="58">
        <f t="shared" si="256"/>
        <v>0</v>
      </c>
      <c r="R392" s="57">
        <f t="shared" si="257"/>
        <v>0</v>
      </c>
      <c r="S392" s="59">
        <f t="shared" si="258"/>
        <v>0</v>
      </c>
    </row>
    <row r="393" spans="1:19" x14ac:dyDescent="0.2">
      <c r="A393" s="46" t="s">
        <v>128</v>
      </c>
      <c r="B393" s="53">
        <v>43710</v>
      </c>
      <c r="C393" s="48">
        <v>50000</v>
      </c>
      <c r="D393" s="49">
        <v>29159.5</v>
      </c>
      <c r="E393" s="50"/>
      <c r="F393" s="51">
        <f t="shared" si="254"/>
        <v>29159.5</v>
      </c>
      <c r="G393" s="50"/>
      <c r="H393" s="50"/>
      <c r="I393" s="52"/>
      <c r="J393" s="53"/>
      <c r="K393" s="50"/>
      <c r="L393" s="55"/>
      <c r="M393" s="50"/>
      <c r="N393" s="50"/>
      <c r="O393" s="50"/>
      <c r="P393" s="57">
        <f t="shared" si="255"/>
        <v>0</v>
      </c>
      <c r="Q393" s="58">
        <f t="shared" si="256"/>
        <v>0</v>
      </c>
      <c r="R393" s="57">
        <f t="shared" si="257"/>
        <v>0</v>
      </c>
      <c r="S393" s="59">
        <f t="shared" si="258"/>
        <v>0</v>
      </c>
    </row>
    <row r="394" spans="1:19" x14ac:dyDescent="0.2">
      <c r="A394" s="46" t="s">
        <v>129</v>
      </c>
      <c r="B394" s="53">
        <v>43718</v>
      </c>
      <c r="C394" s="48">
        <v>-50000</v>
      </c>
      <c r="D394" s="49">
        <f>-SUM(D391:D392)</f>
        <v>-28656.75</v>
      </c>
      <c r="E394" s="50"/>
      <c r="F394" s="51">
        <f t="shared" si="254"/>
        <v>-28656.75</v>
      </c>
      <c r="G394" s="50"/>
      <c r="H394" s="50"/>
      <c r="I394" s="52"/>
      <c r="J394" s="53"/>
      <c r="K394" s="50"/>
      <c r="L394" s="55"/>
      <c r="M394" s="50"/>
      <c r="N394" s="50"/>
      <c r="O394" s="50"/>
      <c r="P394" s="57">
        <f t="shared" si="255"/>
        <v>0</v>
      </c>
      <c r="Q394" s="58">
        <f t="shared" si="256"/>
        <v>0</v>
      </c>
      <c r="R394" s="57">
        <f t="shared" si="257"/>
        <v>0</v>
      </c>
      <c r="S394" s="59">
        <f t="shared" si="258"/>
        <v>0</v>
      </c>
    </row>
    <row r="395" spans="1:19" x14ac:dyDescent="0.2">
      <c r="A395" s="46" t="s">
        <v>129</v>
      </c>
      <c r="B395" s="53">
        <v>43742</v>
      </c>
      <c r="C395" s="48">
        <v>-50000</v>
      </c>
      <c r="D395" s="49">
        <f>-D393</f>
        <v>-29159.5</v>
      </c>
      <c r="E395" s="50"/>
      <c r="F395" s="51">
        <f t="shared" si="254"/>
        <v>-29159.5</v>
      </c>
      <c r="G395" s="50"/>
      <c r="H395" s="50"/>
      <c r="I395" s="52"/>
      <c r="J395" s="53"/>
      <c r="K395" s="50"/>
      <c r="L395" s="55"/>
      <c r="M395" s="50"/>
      <c r="N395" s="50"/>
      <c r="O395" s="50"/>
      <c r="P395" s="57">
        <f t="shared" si="255"/>
        <v>0</v>
      </c>
      <c r="Q395" s="58">
        <f t="shared" si="256"/>
        <v>0</v>
      </c>
      <c r="R395" s="57">
        <f t="shared" si="257"/>
        <v>0</v>
      </c>
      <c r="S395" s="59">
        <f t="shared" si="258"/>
        <v>0</v>
      </c>
    </row>
    <row r="396" spans="1:19" x14ac:dyDescent="0.2">
      <c r="A396" s="46" t="s">
        <v>128</v>
      </c>
      <c r="B396" s="53">
        <v>43843</v>
      </c>
      <c r="C396" s="48">
        <v>97071</v>
      </c>
      <c r="D396" s="49">
        <v>66637.45</v>
      </c>
      <c r="E396" s="50"/>
      <c r="F396" s="51">
        <f t="shared" si="254"/>
        <v>66637.45</v>
      </c>
      <c r="G396" s="50"/>
      <c r="H396" s="50"/>
      <c r="I396" s="52"/>
      <c r="J396" s="50"/>
      <c r="K396" s="50"/>
      <c r="L396" s="55"/>
      <c r="M396" s="50"/>
      <c r="N396" s="50"/>
      <c r="O396" s="50"/>
      <c r="P396" s="57">
        <f t="shared" si="255"/>
        <v>0</v>
      </c>
      <c r="Q396" s="58">
        <f t="shared" si="256"/>
        <v>0</v>
      </c>
      <c r="R396" s="57">
        <f t="shared" si="257"/>
        <v>0</v>
      </c>
      <c r="S396" s="59">
        <f t="shared" si="258"/>
        <v>0</v>
      </c>
    </row>
    <row r="397" spans="1:19" x14ac:dyDescent="0.2">
      <c r="A397" s="46" t="s">
        <v>128</v>
      </c>
      <c r="B397" s="53">
        <v>43875</v>
      </c>
      <c r="C397" s="48">
        <v>52929</v>
      </c>
      <c r="D397" s="49">
        <v>35923.58</v>
      </c>
      <c r="E397" s="50"/>
      <c r="F397" s="51">
        <f t="shared" si="254"/>
        <v>35923.58</v>
      </c>
      <c r="G397" s="50"/>
      <c r="H397" s="50"/>
      <c r="I397" s="52"/>
      <c r="J397" s="50"/>
      <c r="K397" s="50"/>
      <c r="L397" s="55"/>
      <c r="M397" s="50"/>
      <c r="N397" s="50"/>
      <c r="O397" s="50"/>
      <c r="P397" s="57">
        <f t="shared" si="255"/>
        <v>0</v>
      </c>
      <c r="Q397" s="58">
        <f t="shared" si="256"/>
        <v>0</v>
      </c>
      <c r="R397" s="57">
        <f t="shared" si="257"/>
        <v>0</v>
      </c>
      <c r="S397" s="59">
        <f t="shared" si="258"/>
        <v>0</v>
      </c>
    </row>
    <row r="398" spans="1:19" x14ac:dyDescent="0.2">
      <c r="A398" s="46" t="s">
        <v>129</v>
      </c>
      <c r="B398" s="53">
        <v>43860</v>
      </c>
      <c r="C398" s="48">
        <v>-75000</v>
      </c>
      <c r="D398" s="49">
        <f>(D396/C396)*C398</f>
        <v>-51486.115832740979</v>
      </c>
      <c r="E398" s="50"/>
      <c r="F398" s="51">
        <f t="shared" si="254"/>
        <v>-51486.115832740979</v>
      </c>
      <c r="G398" s="50"/>
      <c r="H398" s="50"/>
      <c r="I398" s="52"/>
      <c r="J398" s="53"/>
      <c r="K398" s="50"/>
      <c r="L398" s="55"/>
      <c r="M398" s="50"/>
      <c r="N398" s="50"/>
      <c r="O398" s="50"/>
      <c r="P398" s="57">
        <f t="shared" si="255"/>
        <v>0</v>
      </c>
      <c r="Q398" s="58">
        <f t="shared" si="256"/>
        <v>0</v>
      </c>
      <c r="R398" s="57">
        <f t="shared" si="257"/>
        <v>0</v>
      </c>
      <c r="S398" s="59">
        <f t="shared" si="258"/>
        <v>0</v>
      </c>
    </row>
    <row r="399" spans="1:19" x14ac:dyDescent="0.2">
      <c r="A399" s="46" t="s">
        <v>129</v>
      </c>
      <c r="B399" s="53">
        <v>43871</v>
      </c>
      <c r="C399" s="48">
        <v>-10292</v>
      </c>
      <c r="D399" s="49">
        <f>(D396/C396)*C399</f>
        <v>-7065.2680553409355</v>
      </c>
      <c r="E399" s="50"/>
      <c r="F399" s="51">
        <f t="shared" si="254"/>
        <v>-7065.2680553409355</v>
      </c>
      <c r="G399" s="50"/>
      <c r="H399" s="50"/>
      <c r="I399" s="52"/>
      <c r="J399" s="53"/>
      <c r="K399" s="50"/>
      <c r="L399" s="55"/>
      <c r="M399" s="50"/>
      <c r="N399" s="50"/>
      <c r="O399" s="50"/>
      <c r="P399" s="57">
        <f t="shared" si="255"/>
        <v>0</v>
      </c>
      <c r="Q399" s="58">
        <f t="shared" si="256"/>
        <v>0</v>
      </c>
      <c r="R399" s="57">
        <f t="shared" si="257"/>
        <v>0</v>
      </c>
      <c r="S399" s="59">
        <f t="shared" si="258"/>
        <v>0</v>
      </c>
    </row>
    <row r="400" spans="1:19" x14ac:dyDescent="0.2">
      <c r="A400" s="46" t="s">
        <v>129</v>
      </c>
      <c r="B400" s="53">
        <v>43872</v>
      </c>
      <c r="C400" s="48">
        <v>-64708</v>
      </c>
      <c r="D400" s="49">
        <f>-11779*D396/C396-D397/C397*C397</f>
        <v>-44009.646111918082</v>
      </c>
      <c r="E400" s="50"/>
      <c r="F400" s="51">
        <f t="shared" si="254"/>
        <v>-44009.646111918082</v>
      </c>
      <c r="G400" s="50"/>
      <c r="H400" s="50"/>
      <c r="I400" s="52"/>
      <c r="J400" s="53"/>
      <c r="K400" s="50"/>
      <c r="L400" s="55"/>
      <c r="M400" s="50"/>
      <c r="N400" s="50"/>
      <c r="O400" s="50"/>
      <c r="P400" s="57">
        <f t="shared" si="255"/>
        <v>0</v>
      </c>
      <c r="Q400" s="58">
        <f t="shared" si="256"/>
        <v>0</v>
      </c>
      <c r="R400" s="57">
        <f t="shared" si="257"/>
        <v>0</v>
      </c>
      <c r="S400" s="59">
        <f t="shared" si="258"/>
        <v>0</v>
      </c>
    </row>
    <row r="401" spans="1:19" x14ac:dyDescent="0.2">
      <c r="A401" s="46" t="s">
        <v>128</v>
      </c>
      <c r="B401" s="53">
        <v>44152</v>
      </c>
      <c r="C401" s="48">
        <v>100000</v>
      </c>
      <c r="D401" s="49">
        <v>92506</v>
      </c>
      <c r="E401" s="50"/>
      <c r="F401" s="51">
        <f t="shared" si="254"/>
        <v>92506</v>
      </c>
      <c r="G401" s="50"/>
      <c r="H401" s="50"/>
      <c r="I401" s="52"/>
      <c r="J401" s="53"/>
      <c r="K401" s="50"/>
      <c r="L401" s="55"/>
      <c r="M401" s="50"/>
      <c r="N401" s="50"/>
      <c r="O401" s="50"/>
      <c r="P401" s="57">
        <f t="shared" si="255"/>
        <v>0</v>
      </c>
      <c r="Q401" s="58">
        <f t="shared" si="256"/>
        <v>0</v>
      </c>
      <c r="R401" s="57">
        <f t="shared" si="257"/>
        <v>0</v>
      </c>
      <c r="S401" s="59">
        <f t="shared" si="258"/>
        <v>0</v>
      </c>
    </row>
    <row r="402" spans="1:19" x14ac:dyDescent="0.2">
      <c r="A402" s="46" t="s">
        <v>129</v>
      </c>
      <c r="B402" s="53">
        <v>44182</v>
      </c>
      <c r="C402" s="48">
        <v>-50000</v>
      </c>
      <c r="D402" s="49">
        <f>D401/C401*C402</f>
        <v>-46253</v>
      </c>
      <c r="E402" s="50"/>
      <c r="F402" s="51">
        <f t="shared" si="254"/>
        <v>-46253</v>
      </c>
      <c r="G402" s="50"/>
      <c r="H402" s="50"/>
      <c r="I402" s="52"/>
      <c r="J402" s="53"/>
      <c r="K402" s="50"/>
      <c r="L402" s="127"/>
      <c r="M402" s="50"/>
      <c r="N402" s="50"/>
      <c r="O402" s="50"/>
      <c r="P402" s="57">
        <f t="shared" si="255"/>
        <v>0</v>
      </c>
      <c r="Q402" s="58">
        <f t="shared" si="256"/>
        <v>0</v>
      </c>
      <c r="R402" s="57">
        <f t="shared" si="257"/>
        <v>0</v>
      </c>
      <c r="S402" s="59">
        <f t="shared" si="258"/>
        <v>0</v>
      </c>
    </row>
    <row r="403" spans="1:19" x14ac:dyDescent="0.2">
      <c r="A403" s="46" t="s">
        <v>128</v>
      </c>
      <c r="B403" s="53">
        <v>44242</v>
      </c>
      <c r="C403" s="48">
        <v>50000</v>
      </c>
      <c r="D403" s="49">
        <v>59827.25</v>
      </c>
      <c r="E403" s="50"/>
      <c r="F403" s="51">
        <f t="shared" si="254"/>
        <v>59827.25</v>
      </c>
      <c r="G403" s="50"/>
      <c r="H403" s="50"/>
      <c r="I403" s="52"/>
      <c r="J403" s="50"/>
      <c r="K403" s="50"/>
      <c r="L403" s="127"/>
      <c r="M403" s="50"/>
      <c r="N403" s="50"/>
      <c r="O403" s="50"/>
      <c r="P403" s="57">
        <f t="shared" si="255"/>
        <v>0</v>
      </c>
      <c r="Q403" s="58">
        <f t="shared" si="256"/>
        <v>0</v>
      </c>
      <c r="R403" s="57">
        <f t="shared" si="257"/>
        <v>0</v>
      </c>
      <c r="S403" s="59">
        <f t="shared" si="258"/>
        <v>0</v>
      </c>
    </row>
    <row r="404" spans="1:19" x14ac:dyDescent="0.2">
      <c r="A404" s="46" t="s">
        <v>129</v>
      </c>
      <c r="B404" s="47">
        <v>44252</v>
      </c>
      <c r="C404" s="48">
        <v>-50000</v>
      </c>
      <c r="D404" s="49">
        <f>(D401/C401)*C404</f>
        <v>-46253</v>
      </c>
      <c r="E404" s="50"/>
      <c r="F404" s="51">
        <f t="shared" si="254"/>
        <v>-46253</v>
      </c>
      <c r="G404" s="50"/>
      <c r="H404" s="50"/>
      <c r="I404" s="52"/>
      <c r="J404" s="128"/>
      <c r="K404" s="50"/>
      <c r="L404" s="127"/>
      <c r="M404" s="50"/>
      <c r="N404" s="50"/>
      <c r="O404" s="50"/>
      <c r="P404" s="57">
        <f t="shared" si="255"/>
        <v>0</v>
      </c>
      <c r="Q404" s="58">
        <f t="shared" si="256"/>
        <v>0</v>
      </c>
      <c r="R404" s="57">
        <f t="shared" si="257"/>
        <v>0</v>
      </c>
      <c r="S404" s="59">
        <f t="shared" si="258"/>
        <v>0</v>
      </c>
    </row>
    <row r="405" spans="1:19" x14ac:dyDescent="0.2">
      <c r="A405" s="46" t="s">
        <v>129</v>
      </c>
      <c r="B405" s="47">
        <v>44284</v>
      </c>
      <c r="C405" s="48">
        <v>-50000</v>
      </c>
      <c r="D405" s="49">
        <f>(D403/C403)*C405</f>
        <v>-59827.25</v>
      </c>
      <c r="E405" s="50"/>
      <c r="F405" s="51">
        <f t="shared" si="254"/>
        <v>-59827.25</v>
      </c>
      <c r="G405" s="50"/>
      <c r="H405" s="50"/>
      <c r="I405" s="52"/>
      <c r="J405" s="53"/>
      <c r="K405" s="54"/>
      <c r="L405" s="55"/>
      <c r="M405" s="56"/>
      <c r="N405" s="56"/>
      <c r="O405" s="56"/>
      <c r="P405" s="57">
        <f t="shared" si="255"/>
        <v>0</v>
      </c>
      <c r="Q405" s="58">
        <f t="shared" si="256"/>
        <v>0</v>
      </c>
      <c r="R405" s="57">
        <f t="shared" si="257"/>
        <v>0</v>
      </c>
      <c r="S405" s="59">
        <f t="shared" si="258"/>
        <v>0</v>
      </c>
    </row>
    <row r="406" spans="1:19" x14ac:dyDescent="0.2">
      <c r="A406" s="121"/>
      <c r="B406" s="114"/>
      <c r="C406" s="111"/>
      <c r="D406" s="112"/>
      <c r="E406" s="112"/>
      <c r="F406" s="119"/>
      <c r="G406" s="112"/>
      <c r="H406" s="112"/>
      <c r="I406" s="52"/>
      <c r="J406" s="114"/>
      <c r="K406" s="115"/>
      <c r="L406" s="116"/>
      <c r="M406" s="117"/>
      <c r="N406" s="117"/>
      <c r="O406" s="117"/>
      <c r="P406" s="57">
        <f t="shared" si="255"/>
        <v>0</v>
      </c>
      <c r="Q406" s="58">
        <f t="shared" si="256"/>
        <v>0</v>
      </c>
      <c r="R406" s="57">
        <f t="shared" si="257"/>
        <v>0</v>
      </c>
      <c r="S406" s="59">
        <f t="shared" si="258"/>
        <v>0</v>
      </c>
    </row>
    <row r="407" spans="1:19" ht="13.5" customHeight="1" thickBot="1" x14ac:dyDescent="0.3">
      <c r="A407" s="63"/>
      <c r="B407" s="64"/>
      <c r="C407" s="73">
        <f>SUBTOTAL(9,C388:C406)</f>
        <v>0</v>
      </c>
      <c r="D407" s="74">
        <f>SUBTOTAL(9,D388:D406)</f>
        <v>0</v>
      </c>
      <c r="E407" s="65">
        <f>SUBTOTAL(9,E388:E406)</f>
        <v>0</v>
      </c>
      <c r="F407" s="65">
        <f t="shared" ref="F407:H407" si="259">SUBTOTAL(9,F388:F406)</f>
        <v>0</v>
      </c>
      <c r="G407" s="65">
        <f t="shared" si="259"/>
        <v>0</v>
      </c>
      <c r="H407" s="65">
        <f t="shared" si="259"/>
        <v>0</v>
      </c>
      <c r="I407" s="84"/>
      <c r="J407" s="64"/>
      <c r="K407" s="64"/>
      <c r="L407" s="69">
        <f>SUBTOTAL(9,L388:L406)</f>
        <v>0</v>
      </c>
      <c r="M407" s="70">
        <f>SUBTOTAL(9,M388:M406)</f>
        <v>0</v>
      </c>
      <c r="N407" s="70">
        <f t="shared" ref="N407:S407" si="260">SUBTOTAL(9,N388:N406)</f>
        <v>0</v>
      </c>
      <c r="O407" s="70">
        <f t="shared" si="260"/>
        <v>0</v>
      </c>
      <c r="P407" s="70">
        <f>SUBTOTAL(9,P388:P406)</f>
        <v>0</v>
      </c>
      <c r="Q407" s="70">
        <f t="shared" si="260"/>
        <v>0</v>
      </c>
      <c r="R407" s="70">
        <f t="shared" si="260"/>
        <v>0</v>
      </c>
      <c r="S407" s="70">
        <f t="shared" si="260"/>
        <v>0</v>
      </c>
    </row>
    <row r="408" spans="1:19" ht="13.5" thickTop="1" x14ac:dyDescent="0.2">
      <c r="A408" s="39" t="s">
        <v>195</v>
      </c>
      <c r="B408" s="40"/>
      <c r="C408" s="41"/>
      <c r="D408" s="42"/>
      <c r="E408" s="41"/>
      <c r="F408" s="41"/>
      <c r="G408" s="41"/>
      <c r="H408" s="41"/>
      <c r="I408" s="43"/>
      <c r="J408" s="44"/>
      <c r="K408" s="44"/>
      <c r="L408" s="41"/>
      <c r="M408" s="41"/>
      <c r="N408" s="41"/>
      <c r="O408" s="41"/>
      <c r="P408" s="41"/>
      <c r="Q408" s="41"/>
      <c r="R408" s="41"/>
      <c r="S408" s="45"/>
    </row>
    <row r="409" spans="1:19" x14ac:dyDescent="0.2">
      <c r="A409" s="46" t="s">
        <v>128</v>
      </c>
      <c r="B409" s="47">
        <v>43748</v>
      </c>
      <c r="C409" s="48">
        <v>10000</v>
      </c>
      <c r="D409" s="49">
        <v>67569.600000000006</v>
      </c>
      <c r="E409" s="50"/>
      <c r="F409" s="51">
        <f>SUM(D409:E409)</f>
        <v>67569.600000000006</v>
      </c>
      <c r="G409" s="50"/>
      <c r="H409" s="50"/>
      <c r="I409" s="52"/>
      <c r="J409" s="53"/>
      <c r="K409" s="54"/>
      <c r="L409" s="55"/>
      <c r="M409" s="56"/>
      <c r="N409" s="56"/>
      <c r="O409" s="56"/>
      <c r="P409" s="57">
        <f>M409-N409-O409</f>
        <v>0</v>
      </c>
      <c r="Q409" s="58">
        <f t="shared" ref="Q409:Q411" si="261">IF(P409&gt;0,IF(K409="Y",0,P409),0)</f>
        <v>0</v>
      </c>
      <c r="R409" s="57">
        <f t="shared" ref="R409:R411" si="262">IF(P409&gt;0,IF(K409="Y",P409,0),0)</f>
        <v>0</v>
      </c>
      <c r="S409" s="59">
        <f t="shared" ref="S409:S411" si="263">IF(P409&lt;0,P409,0)</f>
        <v>0</v>
      </c>
    </row>
    <row r="410" spans="1:19" x14ac:dyDescent="0.2">
      <c r="A410" s="46" t="s">
        <v>129</v>
      </c>
      <c r="B410" s="47">
        <v>43796</v>
      </c>
      <c r="C410" s="48">
        <v>-10000</v>
      </c>
      <c r="D410" s="49">
        <f>-D409</f>
        <v>-67569.600000000006</v>
      </c>
      <c r="E410" s="50"/>
      <c r="F410" s="51">
        <f>SUM(D410:E410)</f>
        <v>-67569.600000000006</v>
      </c>
      <c r="G410" s="50"/>
      <c r="H410" s="50"/>
      <c r="I410" s="52"/>
      <c r="J410" s="53"/>
      <c r="K410" s="54"/>
      <c r="L410" s="55"/>
      <c r="M410" s="56"/>
      <c r="N410" s="56"/>
      <c r="O410" s="56"/>
      <c r="P410" s="57">
        <f t="shared" ref="P410:P411" si="264">M410-N410-O410</f>
        <v>0</v>
      </c>
      <c r="Q410" s="58">
        <f t="shared" si="261"/>
        <v>0</v>
      </c>
      <c r="R410" s="57">
        <f t="shared" si="262"/>
        <v>0</v>
      </c>
      <c r="S410" s="59">
        <f t="shared" si="263"/>
        <v>0</v>
      </c>
    </row>
    <row r="411" spans="1:19" x14ac:dyDescent="0.2">
      <c r="A411" s="60"/>
      <c r="B411" s="47"/>
      <c r="C411" s="61"/>
      <c r="D411" s="49"/>
      <c r="E411" s="62"/>
      <c r="F411" s="51">
        <f>SUM(D411:E411)</f>
        <v>0</v>
      </c>
      <c r="G411" s="50"/>
      <c r="H411" s="62"/>
      <c r="I411" s="52"/>
      <c r="J411" s="53"/>
      <c r="K411" s="54"/>
      <c r="L411" s="55"/>
      <c r="M411" s="56"/>
      <c r="N411" s="56"/>
      <c r="O411" s="56"/>
      <c r="P411" s="57">
        <f t="shared" si="264"/>
        <v>0</v>
      </c>
      <c r="Q411" s="58">
        <f t="shared" si="261"/>
        <v>0</v>
      </c>
      <c r="R411" s="57">
        <f t="shared" si="262"/>
        <v>0</v>
      </c>
      <c r="S411" s="59">
        <f t="shared" si="263"/>
        <v>0</v>
      </c>
    </row>
    <row r="412" spans="1:19" ht="13.5" customHeight="1" thickBot="1" x14ac:dyDescent="0.3">
      <c r="A412" s="63"/>
      <c r="B412" s="64"/>
      <c r="C412" s="65">
        <f>SUBTOTAL(9,C409:C411)</f>
        <v>0</v>
      </c>
      <c r="D412" s="66">
        <f>SUBTOTAL(9,D409:D411)</f>
        <v>0</v>
      </c>
      <c r="E412" s="67">
        <f>SUBTOTAL(9,E409:E411)</f>
        <v>0</v>
      </c>
      <c r="F412" s="65">
        <f>SUBTOTAL(9,F409:F411)</f>
        <v>0</v>
      </c>
      <c r="G412" s="65">
        <v>0</v>
      </c>
      <c r="H412" s="67">
        <f>C412*G412</f>
        <v>0</v>
      </c>
      <c r="I412" s="68"/>
      <c r="J412" s="68"/>
      <c r="K412" s="68"/>
      <c r="L412" s="69">
        <f t="shared" ref="L412:S412" si="265">SUBTOTAL(9,L409:L411)</f>
        <v>0</v>
      </c>
      <c r="M412" s="70">
        <f t="shared" si="265"/>
        <v>0</v>
      </c>
      <c r="N412" s="70">
        <f t="shared" si="265"/>
        <v>0</v>
      </c>
      <c r="O412" s="70">
        <f t="shared" si="265"/>
        <v>0</v>
      </c>
      <c r="P412" s="70">
        <f t="shared" si="265"/>
        <v>0</v>
      </c>
      <c r="Q412" s="70">
        <f t="shared" si="265"/>
        <v>0</v>
      </c>
      <c r="R412" s="70">
        <f t="shared" si="265"/>
        <v>0</v>
      </c>
      <c r="S412" s="71">
        <f t="shared" si="265"/>
        <v>0</v>
      </c>
    </row>
    <row r="413" spans="1:19" ht="13.5" thickTop="1" x14ac:dyDescent="0.2">
      <c r="A413" s="39" t="s">
        <v>196</v>
      </c>
      <c r="B413" s="40"/>
      <c r="C413" s="41"/>
      <c r="D413" s="42"/>
      <c r="E413" s="41"/>
      <c r="F413" s="41"/>
      <c r="G413" s="41"/>
      <c r="H413" s="41"/>
      <c r="I413" s="43"/>
      <c r="J413" s="44"/>
      <c r="K413" s="44"/>
      <c r="L413" s="41"/>
      <c r="M413" s="41"/>
      <c r="N413" s="41"/>
      <c r="O413" s="41"/>
      <c r="P413" s="41"/>
      <c r="Q413" s="41"/>
      <c r="R413" s="41"/>
      <c r="S413" s="45"/>
    </row>
    <row r="414" spans="1:19" x14ac:dyDescent="0.2">
      <c r="A414" s="46" t="s">
        <v>168</v>
      </c>
      <c r="B414" s="47">
        <v>44020</v>
      </c>
      <c r="C414" s="48">
        <v>50000</v>
      </c>
      <c r="D414" s="49">
        <v>50325.279999999999</v>
      </c>
      <c r="E414" s="50"/>
      <c r="F414" s="51">
        <f t="shared" ref="F414:F427" si="266">SUM(D414:E414)</f>
        <v>50325.279999999999</v>
      </c>
      <c r="G414" s="50"/>
      <c r="H414" s="50"/>
      <c r="I414" s="52"/>
      <c r="J414" s="53"/>
      <c r="K414" s="54"/>
      <c r="L414" s="55"/>
      <c r="M414" s="56"/>
      <c r="N414" s="56"/>
      <c r="O414" s="56"/>
      <c r="P414" s="57">
        <f t="shared" ref="P414:P427" si="267">M414-N414-O414</f>
        <v>0</v>
      </c>
      <c r="Q414" s="58">
        <f t="shared" ref="Q414:Q427" si="268">IF(P414&gt;0,IF(K414="Y",0,P414),0)</f>
        <v>0</v>
      </c>
      <c r="R414" s="57">
        <f>IF(P414&gt;0,IF(K414="Y",P414,0),0)</f>
        <v>0</v>
      </c>
      <c r="S414" s="59">
        <f>IF(P414&lt;0,P414,0)</f>
        <v>0</v>
      </c>
    </row>
    <row r="415" spans="1:19" x14ac:dyDescent="0.2">
      <c r="A415" s="46" t="s">
        <v>129</v>
      </c>
      <c r="B415" s="47">
        <v>44067</v>
      </c>
      <c r="C415" s="48">
        <v>-10000</v>
      </c>
      <c r="D415" s="49">
        <f>(D414/C414)*C415</f>
        <v>-10065.055999999999</v>
      </c>
      <c r="E415" s="50"/>
      <c r="F415" s="51">
        <f t="shared" si="266"/>
        <v>-10065.055999999999</v>
      </c>
      <c r="G415" s="50"/>
      <c r="H415" s="50"/>
      <c r="I415" s="52"/>
      <c r="J415" s="53"/>
      <c r="K415" s="54"/>
      <c r="L415" s="55"/>
      <c r="M415" s="56"/>
      <c r="N415" s="56"/>
      <c r="O415" s="56"/>
      <c r="P415" s="57">
        <f t="shared" si="267"/>
        <v>0</v>
      </c>
      <c r="Q415" s="58">
        <f t="shared" si="268"/>
        <v>0</v>
      </c>
      <c r="R415" s="57">
        <f t="shared" ref="R415:R427" si="269">IF(P415&gt;0,IF(K415="Y",P415,0),0)</f>
        <v>0</v>
      </c>
      <c r="S415" s="59">
        <f t="shared" ref="S415:S427" si="270">IF(P415&lt;0,P415,0)</f>
        <v>0</v>
      </c>
    </row>
    <row r="416" spans="1:19" x14ac:dyDescent="0.2">
      <c r="A416" s="46" t="s">
        <v>129</v>
      </c>
      <c r="B416" s="47">
        <v>44099</v>
      </c>
      <c r="C416" s="48">
        <v>-20000</v>
      </c>
      <c r="D416" s="49">
        <f>(D414/C414)*C416</f>
        <v>-20130.111999999997</v>
      </c>
      <c r="E416" s="50"/>
      <c r="F416" s="51">
        <f t="shared" si="266"/>
        <v>-20130.111999999997</v>
      </c>
      <c r="G416" s="50"/>
      <c r="H416" s="50"/>
      <c r="I416" s="52"/>
      <c r="J416" s="53"/>
      <c r="K416" s="54"/>
      <c r="L416" s="55"/>
      <c r="M416" s="56"/>
      <c r="N416" s="56"/>
      <c r="O416" s="56"/>
      <c r="P416" s="57">
        <f t="shared" si="267"/>
        <v>0</v>
      </c>
      <c r="Q416" s="58">
        <f t="shared" si="268"/>
        <v>0</v>
      </c>
      <c r="R416" s="57">
        <f t="shared" si="269"/>
        <v>0</v>
      </c>
      <c r="S416" s="59">
        <f t="shared" si="270"/>
        <v>0</v>
      </c>
    </row>
    <row r="417" spans="1:19" x14ac:dyDescent="0.2">
      <c r="A417" s="46" t="s">
        <v>129</v>
      </c>
      <c r="B417" s="47">
        <v>44099</v>
      </c>
      <c r="C417" s="48">
        <v>-20000</v>
      </c>
      <c r="D417" s="49">
        <f>(D414/C414)*C417</f>
        <v>-20130.111999999997</v>
      </c>
      <c r="E417" s="50"/>
      <c r="F417" s="51">
        <f t="shared" si="266"/>
        <v>-20130.111999999997</v>
      </c>
      <c r="G417" s="50"/>
      <c r="H417" s="50"/>
      <c r="I417" s="52"/>
      <c r="J417" s="53"/>
      <c r="K417" s="54"/>
      <c r="L417" s="55"/>
      <c r="M417" s="56"/>
      <c r="N417" s="56"/>
      <c r="O417" s="56"/>
      <c r="P417" s="57">
        <f t="shared" si="267"/>
        <v>0</v>
      </c>
      <c r="Q417" s="58">
        <f t="shared" si="268"/>
        <v>0</v>
      </c>
      <c r="R417" s="57">
        <f t="shared" si="269"/>
        <v>0</v>
      </c>
      <c r="S417" s="59">
        <f t="shared" si="270"/>
        <v>0</v>
      </c>
    </row>
    <row r="418" spans="1:19" x14ac:dyDescent="0.2">
      <c r="A418" s="60" t="s">
        <v>128</v>
      </c>
      <c r="B418" s="47">
        <v>44239</v>
      </c>
      <c r="C418" s="48">
        <v>25000</v>
      </c>
      <c r="D418" s="49">
        <v>69128</v>
      </c>
      <c r="E418" s="50"/>
      <c r="F418" s="51">
        <f t="shared" si="266"/>
        <v>69128</v>
      </c>
      <c r="G418" s="50"/>
      <c r="H418" s="50"/>
      <c r="I418" s="52"/>
      <c r="J418" s="53"/>
      <c r="K418" s="54"/>
      <c r="L418" s="55"/>
      <c r="M418" s="56"/>
      <c r="N418" s="56"/>
      <c r="O418" s="56"/>
      <c r="P418" s="57">
        <f t="shared" si="267"/>
        <v>0</v>
      </c>
      <c r="Q418" s="58">
        <f t="shared" si="268"/>
        <v>0</v>
      </c>
      <c r="R418" s="57">
        <f t="shared" si="269"/>
        <v>0</v>
      </c>
      <c r="S418" s="59">
        <f t="shared" si="270"/>
        <v>0</v>
      </c>
    </row>
    <row r="419" spans="1:19" x14ac:dyDescent="0.2">
      <c r="A419" s="60" t="s">
        <v>129</v>
      </c>
      <c r="B419" s="47">
        <v>44257</v>
      </c>
      <c r="C419" s="48">
        <v>-10000</v>
      </c>
      <c r="D419" s="49">
        <f>(D418/C418)*C419</f>
        <v>-27651.200000000001</v>
      </c>
      <c r="E419" s="62"/>
      <c r="F419" s="51">
        <f t="shared" si="266"/>
        <v>-27651.200000000001</v>
      </c>
      <c r="G419" s="50"/>
      <c r="H419" s="62"/>
      <c r="I419" s="52"/>
      <c r="J419" s="53"/>
      <c r="K419" s="54"/>
      <c r="L419" s="55"/>
      <c r="M419" s="56"/>
      <c r="N419" s="56"/>
      <c r="O419" s="56"/>
      <c r="P419" s="57">
        <f t="shared" si="267"/>
        <v>0</v>
      </c>
      <c r="Q419" s="58">
        <f t="shared" si="268"/>
        <v>0</v>
      </c>
      <c r="R419" s="57">
        <f t="shared" si="269"/>
        <v>0</v>
      </c>
      <c r="S419" s="59">
        <f t="shared" si="270"/>
        <v>0</v>
      </c>
    </row>
    <row r="420" spans="1:19" x14ac:dyDescent="0.2">
      <c r="A420" s="46" t="s">
        <v>128</v>
      </c>
      <c r="B420" s="47">
        <v>44257</v>
      </c>
      <c r="C420" s="48">
        <v>30000</v>
      </c>
      <c r="D420" s="49">
        <v>87000</v>
      </c>
      <c r="E420" s="50"/>
      <c r="F420" s="51">
        <f t="shared" si="266"/>
        <v>87000</v>
      </c>
      <c r="G420" s="50"/>
      <c r="H420" s="50"/>
      <c r="I420" s="52"/>
      <c r="J420" s="53"/>
      <c r="K420" s="54"/>
      <c r="L420" s="55"/>
      <c r="M420" s="56"/>
      <c r="N420" s="56"/>
      <c r="O420" s="56"/>
      <c r="P420" s="57">
        <f t="shared" si="267"/>
        <v>0</v>
      </c>
      <c r="Q420" s="58">
        <f t="shared" si="268"/>
        <v>0</v>
      </c>
      <c r="R420" s="57">
        <f t="shared" si="269"/>
        <v>0</v>
      </c>
      <c r="S420" s="59">
        <f t="shared" si="270"/>
        <v>0</v>
      </c>
    </row>
    <row r="421" spans="1:19" x14ac:dyDescent="0.2">
      <c r="A421" s="46" t="s">
        <v>129</v>
      </c>
      <c r="B421" s="47">
        <v>44421</v>
      </c>
      <c r="C421" s="48">
        <v>-20000</v>
      </c>
      <c r="D421" s="49">
        <f>(D418/C418)*(-(C418+C419))+((D420/C420)*(C418+C419+C421))</f>
        <v>-55976.800000000003</v>
      </c>
      <c r="E421" s="50"/>
      <c r="F421" s="51">
        <f t="shared" si="266"/>
        <v>-55976.800000000003</v>
      </c>
      <c r="G421" s="50"/>
      <c r="H421" s="50"/>
      <c r="I421" s="52"/>
      <c r="J421" s="72">
        <f t="shared" ref="J421:J426" si="271">B421</f>
        <v>44421</v>
      </c>
      <c r="K421" s="72" t="s">
        <v>151</v>
      </c>
      <c r="L421" s="55">
        <f t="shared" ref="L421:L426" si="272">C421</f>
        <v>-20000</v>
      </c>
      <c r="M421" s="49">
        <v>75780.899999999994</v>
      </c>
      <c r="N421" s="72"/>
      <c r="O421" s="49">
        <f t="shared" ref="O421:O426" si="273">-D421</f>
        <v>55976.800000000003</v>
      </c>
      <c r="P421" s="57">
        <f t="shared" si="267"/>
        <v>19804.099999999991</v>
      </c>
      <c r="Q421" s="58">
        <f t="shared" si="268"/>
        <v>19804.099999999991</v>
      </c>
      <c r="R421" s="57">
        <f t="shared" si="269"/>
        <v>0</v>
      </c>
      <c r="S421" s="59">
        <f t="shared" si="270"/>
        <v>0</v>
      </c>
    </row>
    <row r="422" spans="1:19" x14ac:dyDescent="0.2">
      <c r="A422" s="46" t="s">
        <v>128</v>
      </c>
      <c r="B422" s="47">
        <v>44433</v>
      </c>
      <c r="C422" s="48">
        <v>20000</v>
      </c>
      <c r="D422" s="49">
        <v>80440</v>
      </c>
      <c r="E422" s="50"/>
      <c r="F422" s="51">
        <f t="shared" si="266"/>
        <v>80440</v>
      </c>
      <c r="G422" s="50"/>
      <c r="H422" s="50"/>
      <c r="I422" s="52"/>
      <c r="J422" s="72"/>
      <c r="K422" s="72"/>
      <c r="L422" s="55"/>
      <c r="M422" s="49"/>
      <c r="N422" s="72"/>
      <c r="O422" s="49"/>
      <c r="P422" s="57">
        <f t="shared" si="267"/>
        <v>0</v>
      </c>
      <c r="Q422" s="58">
        <f t="shared" si="268"/>
        <v>0</v>
      </c>
      <c r="R422" s="57">
        <f t="shared" si="269"/>
        <v>0</v>
      </c>
      <c r="S422" s="59">
        <f t="shared" si="270"/>
        <v>0</v>
      </c>
    </row>
    <row r="423" spans="1:19" x14ac:dyDescent="0.2">
      <c r="A423" s="46" t="s">
        <v>129</v>
      </c>
      <c r="B423" s="47">
        <v>44452</v>
      </c>
      <c r="C423" s="48">
        <v>-10000</v>
      </c>
      <c r="D423" s="49">
        <f>(D420/C420)*C423</f>
        <v>-29000</v>
      </c>
      <c r="E423" s="50"/>
      <c r="F423" s="51">
        <f t="shared" si="266"/>
        <v>-29000</v>
      </c>
      <c r="G423" s="50"/>
      <c r="H423" s="50"/>
      <c r="I423" s="52"/>
      <c r="J423" s="72">
        <f t="shared" si="271"/>
        <v>44452</v>
      </c>
      <c r="K423" s="72" t="s">
        <v>151</v>
      </c>
      <c r="L423" s="55">
        <f t="shared" si="272"/>
        <v>-10000</v>
      </c>
      <c r="M423" s="49">
        <v>58973.85</v>
      </c>
      <c r="N423" s="72"/>
      <c r="O423" s="49">
        <f t="shared" si="273"/>
        <v>29000</v>
      </c>
      <c r="P423" s="57">
        <f t="shared" si="267"/>
        <v>29973.85</v>
      </c>
      <c r="Q423" s="58">
        <f t="shared" si="268"/>
        <v>29973.85</v>
      </c>
      <c r="R423" s="57">
        <f t="shared" si="269"/>
        <v>0</v>
      </c>
      <c r="S423" s="59">
        <f t="shared" si="270"/>
        <v>0</v>
      </c>
    </row>
    <row r="424" spans="1:19" x14ac:dyDescent="0.2">
      <c r="A424" s="46" t="s">
        <v>129</v>
      </c>
      <c r="B424" s="47">
        <v>44502</v>
      </c>
      <c r="C424" s="48">
        <v>-15000</v>
      </c>
      <c r="D424" s="49">
        <f>(D420/C420)*C424</f>
        <v>-43500</v>
      </c>
      <c r="E424" s="50"/>
      <c r="F424" s="51">
        <f t="shared" si="266"/>
        <v>-43500</v>
      </c>
      <c r="G424" s="50"/>
      <c r="H424" s="50"/>
      <c r="I424" s="52"/>
      <c r="J424" s="72">
        <f t="shared" si="271"/>
        <v>44502</v>
      </c>
      <c r="K424" s="72" t="s">
        <v>151</v>
      </c>
      <c r="L424" s="55">
        <f t="shared" si="272"/>
        <v>-15000</v>
      </c>
      <c r="M424" s="49">
        <v>110662.98</v>
      </c>
      <c r="N424" s="72"/>
      <c r="O424" s="49">
        <f t="shared" si="273"/>
        <v>43500</v>
      </c>
      <c r="P424" s="57">
        <f t="shared" si="267"/>
        <v>67162.98</v>
      </c>
      <c r="Q424" s="58">
        <f t="shared" si="268"/>
        <v>67162.98</v>
      </c>
      <c r="R424" s="57">
        <f t="shared" si="269"/>
        <v>0</v>
      </c>
      <c r="S424" s="59">
        <f t="shared" si="270"/>
        <v>0</v>
      </c>
    </row>
    <row r="425" spans="1:19" x14ac:dyDescent="0.2">
      <c r="A425" s="46" t="s">
        <v>129</v>
      </c>
      <c r="B425" s="47">
        <v>44511</v>
      </c>
      <c r="C425" s="48">
        <v>-10000</v>
      </c>
      <c r="D425" s="49">
        <f>(D422/C422)*C425</f>
        <v>-40220</v>
      </c>
      <c r="E425" s="50"/>
      <c r="F425" s="51">
        <f t="shared" si="266"/>
        <v>-40220</v>
      </c>
      <c r="G425" s="50"/>
      <c r="H425" s="50"/>
      <c r="I425" s="52"/>
      <c r="J425" s="72">
        <f t="shared" si="271"/>
        <v>44511</v>
      </c>
      <c r="K425" s="72" t="s">
        <v>151</v>
      </c>
      <c r="L425" s="55">
        <f t="shared" si="272"/>
        <v>-10000</v>
      </c>
      <c r="M425" s="49">
        <v>93781.35</v>
      </c>
      <c r="N425" s="72"/>
      <c r="O425" s="49">
        <f t="shared" si="273"/>
        <v>40220</v>
      </c>
      <c r="P425" s="57">
        <f t="shared" si="267"/>
        <v>53561.350000000006</v>
      </c>
      <c r="Q425" s="58">
        <f t="shared" si="268"/>
        <v>53561.350000000006</v>
      </c>
      <c r="R425" s="57">
        <f t="shared" si="269"/>
        <v>0</v>
      </c>
      <c r="S425" s="59">
        <f t="shared" si="270"/>
        <v>0</v>
      </c>
    </row>
    <row r="426" spans="1:19" x14ac:dyDescent="0.2">
      <c r="A426" s="46" t="s">
        <v>129</v>
      </c>
      <c r="B426" s="47">
        <v>44512</v>
      </c>
      <c r="C426" s="48">
        <v>-10000</v>
      </c>
      <c r="D426" s="49">
        <f>(D422/C422)*C426</f>
        <v>-40220</v>
      </c>
      <c r="E426" s="50"/>
      <c r="F426" s="51">
        <f t="shared" si="266"/>
        <v>-40220</v>
      </c>
      <c r="G426" s="50"/>
      <c r="H426" s="50"/>
      <c r="I426" s="52"/>
      <c r="J426" s="72">
        <f t="shared" si="271"/>
        <v>44512</v>
      </c>
      <c r="K426" s="72" t="s">
        <v>151</v>
      </c>
      <c r="L426" s="55">
        <f t="shared" si="272"/>
        <v>-10000</v>
      </c>
      <c r="M426" s="49">
        <v>87854.13</v>
      </c>
      <c r="N426" s="72"/>
      <c r="O426" s="49">
        <f t="shared" si="273"/>
        <v>40220</v>
      </c>
      <c r="P426" s="57">
        <f t="shared" si="267"/>
        <v>47634.130000000005</v>
      </c>
      <c r="Q426" s="58">
        <f t="shared" si="268"/>
        <v>47634.130000000005</v>
      </c>
      <c r="R426" s="57">
        <f t="shared" si="269"/>
        <v>0</v>
      </c>
      <c r="S426" s="59">
        <f t="shared" si="270"/>
        <v>0</v>
      </c>
    </row>
    <row r="427" spans="1:19" x14ac:dyDescent="0.2">
      <c r="A427" s="46"/>
      <c r="B427" s="47"/>
      <c r="C427" s="48"/>
      <c r="D427" s="49"/>
      <c r="E427" s="50"/>
      <c r="F427" s="51">
        <f t="shared" si="266"/>
        <v>0</v>
      </c>
      <c r="G427" s="50"/>
      <c r="H427" s="50"/>
      <c r="I427" s="52"/>
      <c r="J427" s="114"/>
      <c r="K427" s="115"/>
      <c r="L427" s="116"/>
      <c r="M427" s="117"/>
      <c r="N427" s="117"/>
      <c r="O427" s="117"/>
      <c r="P427" s="57">
        <f t="shared" si="267"/>
        <v>0</v>
      </c>
      <c r="Q427" s="58">
        <f t="shared" si="268"/>
        <v>0</v>
      </c>
      <c r="R427" s="57">
        <f t="shared" si="269"/>
        <v>0</v>
      </c>
      <c r="S427" s="59">
        <f t="shared" si="270"/>
        <v>0</v>
      </c>
    </row>
    <row r="428" spans="1:19" ht="13.5" customHeight="1" thickBot="1" x14ac:dyDescent="0.3">
      <c r="A428" s="63"/>
      <c r="B428" s="64"/>
      <c r="C428" s="73">
        <f>SUBTOTAL(9,C414:C427)</f>
        <v>0</v>
      </c>
      <c r="D428" s="66">
        <f>SUBTOTAL(9,D414:D427)</f>
        <v>0</v>
      </c>
      <c r="E428" s="67">
        <f>SUBTOTAL(9,E414:E427)</f>
        <v>0</v>
      </c>
      <c r="F428" s="67">
        <f>SUBTOTAL(9,F414:F427)</f>
        <v>0</v>
      </c>
      <c r="G428" s="65">
        <v>0</v>
      </c>
      <c r="H428" s="67">
        <f>C428*G428</f>
        <v>0</v>
      </c>
      <c r="I428" s="68"/>
      <c r="J428" s="68"/>
      <c r="K428" s="68"/>
      <c r="L428" s="69">
        <f>SUBTOTAL(9,L414:L427)</f>
        <v>-65000</v>
      </c>
      <c r="M428" s="67">
        <f t="shared" ref="M428:S428" si="274">SUBTOTAL(9,M414:M427)</f>
        <v>427053.20999999996</v>
      </c>
      <c r="N428" s="67">
        <f t="shared" si="274"/>
        <v>0</v>
      </c>
      <c r="O428" s="67">
        <f t="shared" si="274"/>
        <v>208916.8</v>
      </c>
      <c r="P428" s="67">
        <f>SUBTOTAL(9,P414:P427)</f>
        <v>218136.41</v>
      </c>
      <c r="Q428" s="67">
        <f t="shared" si="274"/>
        <v>218136.41</v>
      </c>
      <c r="R428" s="67">
        <f t="shared" si="274"/>
        <v>0</v>
      </c>
      <c r="S428" s="67">
        <f t="shared" si="274"/>
        <v>0</v>
      </c>
    </row>
    <row r="429" spans="1:19" ht="13.5" thickTop="1" x14ac:dyDescent="0.2">
      <c r="A429" s="39" t="s">
        <v>197</v>
      </c>
      <c r="B429" s="40"/>
      <c r="C429" s="41"/>
      <c r="D429" s="42"/>
      <c r="E429" s="41"/>
      <c r="F429" s="41"/>
      <c r="G429" s="41"/>
      <c r="H429" s="41"/>
      <c r="I429" s="43"/>
      <c r="J429" s="44"/>
      <c r="K429" s="44"/>
      <c r="L429" s="41"/>
      <c r="M429" s="41"/>
      <c r="N429" s="41"/>
      <c r="O429" s="41"/>
      <c r="P429" s="41"/>
      <c r="Q429" s="41"/>
      <c r="R429" s="41"/>
      <c r="S429" s="45"/>
    </row>
    <row r="430" spans="1:19" x14ac:dyDescent="0.2">
      <c r="A430" s="46" t="s">
        <v>168</v>
      </c>
      <c r="B430" s="47">
        <v>44202</v>
      </c>
      <c r="C430" s="48">
        <v>6000</v>
      </c>
      <c r="D430" s="49">
        <v>50677.2</v>
      </c>
      <c r="E430" s="50"/>
      <c r="F430" s="51">
        <f>SUM(D430:E430)</f>
        <v>50677.2</v>
      </c>
      <c r="G430" s="50"/>
      <c r="H430" s="50"/>
      <c r="I430" s="52"/>
      <c r="J430" s="53"/>
      <c r="K430" s="54"/>
      <c r="L430" s="55"/>
      <c r="M430" s="56"/>
      <c r="N430" s="56"/>
      <c r="O430" s="56"/>
      <c r="P430" s="57">
        <f>M430-N430-O430</f>
        <v>0</v>
      </c>
      <c r="Q430" s="58">
        <f>IF(P430&gt;0,IF(K430="Y",0,P430),0)</f>
        <v>0</v>
      </c>
      <c r="R430" s="57">
        <f>IF(P430&gt;0,IF(K430="Y",P430,0),0)</f>
        <v>0</v>
      </c>
      <c r="S430" s="59">
        <f>IF(P430&lt;0,P430,0)</f>
        <v>0</v>
      </c>
    </row>
    <row r="431" spans="1:19" x14ac:dyDescent="0.2">
      <c r="A431" s="46" t="s">
        <v>129</v>
      </c>
      <c r="B431" s="47">
        <v>44245</v>
      </c>
      <c r="C431" s="48">
        <v>-3000</v>
      </c>
      <c r="D431" s="49">
        <f>D430/C430*C431</f>
        <v>-25338.6</v>
      </c>
      <c r="E431" s="50"/>
      <c r="F431" s="51">
        <f>SUM(D431:E431)</f>
        <v>-25338.6</v>
      </c>
      <c r="G431" s="50"/>
      <c r="H431" s="50"/>
      <c r="I431" s="52"/>
      <c r="J431" s="53"/>
      <c r="K431" s="54"/>
      <c r="L431" s="55"/>
      <c r="M431" s="56"/>
      <c r="N431" s="56"/>
      <c r="O431" s="56"/>
      <c r="P431" s="57">
        <f>M431-N431-O431</f>
        <v>0</v>
      </c>
      <c r="Q431" s="58">
        <f>IF(P431&gt;0,IF(K431="Y",0,P431),0)</f>
        <v>0</v>
      </c>
      <c r="R431" s="57">
        <f>IF(P431&gt;0,IF(K431="Y",P431,0),0)</f>
        <v>0</v>
      </c>
      <c r="S431" s="59">
        <f>IF(P431&lt;0,P431,0)</f>
        <v>0</v>
      </c>
    </row>
    <row r="432" spans="1:19" x14ac:dyDescent="0.2">
      <c r="A432" s="46" t="s">
        <v>129</v>
      </c>
      <c r="B432" s="47">
        <v>44246</v>
      </c>
      <c r="C432" s="48">
        <v>-3000</v>
      </c>
      <c r="D432" s="49">
        <f>D430/C430*C432</f>
        <v>-25338.6</v>
      </c>
      <c r="E432" s="50"/>
      <c r="F432" s="51">
        <f>SUM(D432:E432)</f>
        <v>-25338.6</v>
      </c>
      <c r="G432" s="50"/>
      <c r="H432" s="50"/>
      <c r="I432" s="52"/>
      <c r="J432" s="53"/>
      <c r="K432" s="54"/>
      <c r="L432" s="55"/>
      <c r="M432" s="56"/>
      <c r="N432" s="56"/>
      <c r="O432" s="56"/>
      <c r="P432" s="57">
        <f>M432-N432-O432</f>
        <v>0</v>
      </c>
      <c r="Q432" s="58">
        <f>IF(P432&gt;0,IF(K432="Y",0,P432),0)</f>
        <v>0</v>
      </c>
      <c r="R432" s="57">
        <f>IF(P432&gt;0,IF(K432="Y",P432,0),0)</f>
        <v>0</v>
      </c>
      <c r="S432" s="59">
        <f>IF(P432&lt;0,P432,0)</f>
        <v>0</v>
      </c>
    </row>
    <row r="433" spans="1:19" x14ac:dyDescent="0.2">
      <c r="A433" s="60"/>
      <c r="B433" s="47"/>
      <c r="C433" s="61"/>
      <c r="D433" s="49"/>
      <c r="E433" s="62"/>
      <c r="F433" s="51">
        <f>SUM(D433:E433)</f>
        <v>0</v>
      </c>
      <c r="G433" s="50"/>
      <c r="H433" s="62"/>
      <c r="I433" s="52"/>
      <c r="J433" s="53"/>
      <c r="K433" s="54"/>
      <c r="L433" s="55"/>
      <c r="M433" s="56"/>
      <c r="N433" s="56"/>
      <c r="O433" s="56"/>
      <c r="P433" s="57">
        <f>M433-N433-O433</f>
        <v>0</v>
      </c>
      <c r="Q433" s="58">
        <f>IF(P433&gt;0,IF(K433="Y",0,P433),0)</f>
        <v>0</v>
      </c>
      <c r="R433" s="57">
        <f>IF(P433&gt;0,IF(K433="Y",P433,0),0)</f>
        <v>0</v>
      </c>
      <c r="S433" s="59">
        <f>IF(P433&lt;0,P433,0)</f>
        <v>0</v>
      </c>
    </row>
    <row r="434" spans="1:19" ht="13.5" customHeight="1" thickBot="1" x14ac:dyDescent="0.3">
      <c r="A434" s="63"/>
      <c r="B434" s="64"/>
      <c r="C434" s="65">
        <f>SUBTOTAL(9,C430:C433)</f>
        <v>0</v>
      </c>
      <c r="D434" s="66">
        <f>SUBTOTAL(9,D430:D433)</f>
        <v>0</v>
      </c>
      <c r="E434" s="67">
        <f>SUBTOTAL(9,E430:E433)</f>
        <v>0</v>
      </c>
      <c r="F434" s="65">
        <f>SUBTOTAL(9,F430:F433)</f>
        <v>0</v>
      </c>
      <c r="G434" s="65">
        <v>0</v>
      </c>
      <c r="H434" s="67">
        <f>C434*G434</f>
        <v>0</v>
      </c>
      <c r="I434" s="68"/>
      <c r="J434" s="68"/>
      <c r="K434" s="68"/>
      <c r="L434" s="69">
        <f t="shared" ref="L434:S434" si="275">SUBTOTAL(9,L430:L433)</f>
        <v>0</v>
      </c>
      <c r="M434" s="70">
        <f t="shared" si="275"/>
        <v>0</v>
      </c>
      <c r="N434" s="70">
        <f t="shared" si="275"/>
        <v>0</v>
      </c>
      <c r="O434" s="70">
        <f t="shared" si="275"/>
        <v>0</v>
      </c>
      <c r="P434" s="70">
        <f t="shared" si="275"/>
        <v>0</v>
      </c>
      <c r="Q434" s="70">
        <f t="shared" si="275"/>
        <v>0</v>
      </c>
      <c r="R434" s="70">
        <f t="shared" si="275"/>
        <v>0</v>
      </c>
      <c r="S434" s="71">
        <f t="shared" si="275"/>
        <v>0</v>
      </c>
    </row>
    <row r="435" spans="1:19" ht="13.5" thickTop="1" x14ac:dyDescent="0.2">
      <c r="A435" s="39" t="s">
        <v>198</v>
      </c>
      <c r="B435" s="40"/>
      <c r="C435" s="41"/>
      <c r="D435" s="42"/>
      <c r="E435" s="41"/>
      <c r="F435" s="41"/>
      <c r="G435" s="41"/>
      <c r="H435" s="41"/>
      <c r="I435" s="43"/>
      <c r="J435" s="44"/>
      <c r="K435" s="44"/>
      <c r="L435" s="41"/>
      <c r="M435" s="41"/>
      <c r="N435" s="41"/>
      <c r="O435" s="41"/>
      <c r="P435" s="41"/>
      <c r="Q435" s="41"/>
      <c r="R435" s="41"/>
      <c r="S435" s="45"/>
    </row>
    <row r="436" spans="1:19" x14ac:dyDescent="0.2">
      <c r="A436" s="46" t="s">
        <v>128</v>
      </c>
      <c r="B436" s="47">
        <v>43791</v>
      </c>
      <c r="C436" s="48">
        <v>100000</v>
      </c>
      <c r="D436" s="49">
        <v>57313.5</v>
      </c>
      <c r="E436" s="50"/>
      <c r="F436" s="51">
        <f>SUM(D436:E436)</f>
        <v>57313.5</v>
      </c>
      <c r="G436" s="50"/>
      <c r="H436" s="50"/>
      <c r="I436" s="52"/>
      <c r="J436" s="53"/>
      <c r="K436" s="54"/>
      <c r="L436" s="55"/>
      <c r="M436" s="56"/>
      <c r="N436" s="56"/>
      <c r="O436" s="56"/>
      <c r="P436" s="57">
        <f>M436-N436-O436</f>
        <v>0</v>
      </c>
      <c r="Q436" s="58">
        <f>IF(P436&gt;0,IF(K436="Y",0,P436),0)</f>
        <v>0</v>
      </c>
      <c r="R436" s="57">
        <f>IF(P436&gt;0,IF(K436="Y",P436,0),0)</f>
        <v>0</v>
      </c>
      <c r="S436" s="59">
        <f>IF(P436&lt;0,P436,0)</f>
        <v>0</v>
      </c>
    </row>
    <row r="437" spans="1:19" x14ac:dyDescent="0.2">
      <c r="A437" s="46" t="s">
        <v>129</v>
      </c>
      <c r="B437" s="47">
        <v>43882</v>
      </c>
      <c r="C437" s="48">
        <v>-100000</v>
      </c>
      <c r="D437" s="49">
        <f>-D436</f>
        <v>-57313.5</v>
      </c>
      <c r="E437" s="50"/>
      <c r="F437" s="51">
        <f>SUM(D437:E437)</f>
        <v>-57313.5</v>
      </c>
      <c r="G437" s="50"/>
      <c r="H437" s="50"/>
      <c r="I437" s="52"/>
      <c r="J437" s="53"/>
      <c r="K437" s="54"/>
      <c r="L437" s="55"/>
      <c r="M437" s="56"/>
      <c r="N437" s="56"/>
      <c r="O437" s="56"/>
      <c r="P437" s="57"/>
      <c r="Q437" s="58"/>
      <c r="R437" s="57"/>
      <c r="S437" s="59"/>
    </row>
    <row r="438" spans="1:19" x14ac:dyDescent="0.2">
      <c r="A438" s="60"/>
      <c r="B438" s="47"/>
      <c r="C438" s="61"/>
      <c r="D438" s="49"/>
      <c r="E438" s="62"/>
      <c r="F438" s="51">
        <f>SUM(D438:E438)</f>
        <v>0</v>
      </c>
      <c r="G438" s="50"/>
      <c r="H438" s="62"/>
      <c r="I438" s="52"/>
      <c r="J438" s="53"/>
      <c r="K438" s="54"/>
      <c r="L438" s="55"/>
      <c r="M438" s="56"/>
      <c r="N438" s="56"/>
      <c r="O438" s="56"/>
      <c r="P438" s="57">
        <f>M438-N438-O438</f>
        <v>0</v>
      </c>
      <c r="Q438" s="58">
        <f>IF(P438&gt;0,IF(K438="Y",0,P438),0)</f>
        <v>0</v>
      </c>
      <c r="R438" s="57">
        <f>IF(P438&gt;0,IF(K438="Y",P438,0),0)</f>
        <v>0</v>
      </c>
      <c r="S438" s="59">
        <f>IF(P438&lt;0,P438,0)</f>
        <v>0</v>
      </c>
    </row>
    <row r="439" spans="1:19" ht="13.5" customHeight="1" thickBot="1" x14ac:dyDescent="0.3">
      <c r="A439" s="63"/>
      <c r="B439" s="64"/>
      <c r="C439" s="65">
        <f>SUBTOTAL(9,C436:C438)</f>
        <v>0</v>
      </c>
      <c r="D439" s="66">
        <f>SUBTOTAL(9,D436:D438)</f>
        <v>0</v>
      </c>
      <c r="E439" s="67">
        <f>SUBTOTAL(9,E436:E438)</f>
        <v>0</v>
      </c>
      <c r="F439" s="65">
        <f>SUBTOTAL(9,F436:F438)</f>
        <v>0</v>
      </c>
      <c r="G439" s="65">
        <v>0</v>
      </c>
      <c r="H439" s="67">
        <f>C439*G439</f>
        <v>0</v>
      </c>
      <c r="I439" s="68"/>
      <c r="J439" s="68"/>
      <c r="K439" s="68"/>
      <c r="L439" s="69">
        <f t="shared" ref="L439:S439" si="276">SUBTOTAL(9,L436:L438)</f>
        <v>0</v>
      </c>
      <c r="M439" s="70">
        <f t="shared" si="276"/>
        <v>0</v>
      </c>
      <c r="N439" s="70">
        <f t="shared" si="276"/>
        <v>0</v>
      </c>
      <c r="O439" s="70">
        <f t="shared" si="276"/>
        <v>0</v>
      </c>
      <c r="P439" s="70">
        <f t="shared" si="276"/>
        <v>0</v>
      </c>
      <c r="Q439" s="70">
        <f t="shared" si="276"/>
        <v>0</v>
      </c>
      <c r="R439" s="70">
        <f t="shared" si="276"/>
        <v>0</v>
      </c>
      <c r="S439" s="71">
        <f t="shared" si="276"/>
        <v>0</v>
      </c>
    </row>
    <row r="440" spans="1:19" ht="13.5" thickTop="1" x14ac:dyDescent="0.2">
      <c r="A440" s="39" t="s">
        <v>199</v>
      </c>
      <c r="B440" s="82"/>
      <c r="C440" s="44"/>
      <c r="D440" s="83"/>
      <c r="E440" s="44"/>
      <c r="F440" s="44"/>
      <c r="G440" s="44"/>
      <c r="H440" s="44"/>
      <c r="I440" s="43"/>
      <c r="J440" s="44"/>
      <c r="K440" s="44"/>
      <c r="L440" s="44"/>
      <c r="M440" s="44"/>
      <c r="N440" s="44"/>
      <c r="O440" s="44"/>
      <c r="P440" s="44"/>
      <c r="Q440" s="44"/>
      <c r="R440" s="44"/>
      <c r="S440" s="85"/>
    </row>
    <row r="441" spans="1:19" x14ac:dyDescent="0.2">
      <c r="A441" s="46" t="s">
        <v>128</v>
      </c>
      <c r="B441" s="79">
        <v>42541</v>
      </c>
      <c r="C441" s="86">
        <v>23000</v>
      </c>
      <c r="D441" s="87">
        <v>51572.1</v>
      </c>
      <c r="E441" s="88"/>
      <c r="F441" s="51">
        <f>SUM(D441:E441)</f>
        <v>51572.1</v>
      </c>
      <c r="G441" s="50"/>
      <c r="H441" s="88"/>
      <c r="I441" s="52"/>
      <c r="J441" s="89"/>
      <c r="K441" s="90"/>
      <c r="L441" s="91"/>
      <c r="M441" s="92"/>
      <c r="N441" s="92"/>
      <c r="O441" s="92"/>
      <c r="P441" s="57">
        <f>M441-N441-O441</f>
        <v>0</v>
      </c>
      <c r="Q441" s="57">
        <f>IF(P441&gt;0,IF(K441="Y",0,P441),0)</f>
        <v>0</v>
      </c>
      <c r="R441" s="57">
        <f>IF(P441&gt;0,IF(K441="Y",P441,0),0)</f>
        <v>0</v>
      </c>
      <c r="S441" s="93">
        <f>IF(P441&lt;0,P441,0)</f>
        <v>0</v>
      </c>
    </row>
    <row r="442" spans="1:19" x14ac:dyDescent="0.2">
      <c r="A442" s="46" t="s">
        <v>128</v>
      </c>
      <c r="B442" s="79">
        <v>42544</v>
      </c>
      <c r="C442" s="86">
        <v>45000</v>
      </c>
      <c r="D442" s="87">
        <v>101580.68</v>
      </c>
      <c r="E442" s="88"/>
      <c r="F442" s="51">
        <f>SUM(D442:E442)</f>
        <v>101580.68</v>
      </c>
      <c r="G442" s="50"/>
      <c r="H442" s="88"/>
      <c r="I442" s="52"/>
      <c r="J442" s="96"/>
      <c r="K442" s="90"/>
      <c r="L442" s="91"/>
      <c r="M442" s="92"/>
      <c r="N442" s="92"/>
      <c r="O442" s="92"/>
      <c r="P442" s="57">
        <f>M442-N442-O442</f>
        <v>0</v>
      </c>
      <c r="Q442" s="57">
        <f>IF(P442&gt;0,IF(K442="Y",0,P442),0)</f>
        <v>0</v>
      </c>
      <c r="R442" s="57">
        <f>IF(P442&gt;0,IF(K442="Y",P442,0),0)</f>
        <v>0</v>
      </c>
      <c r="S442" s="93">
        <f>IF(P442&lt;0,P442,0)</f>
        <v>0</v>
      </c>
    </row>
    <row r="443" spans="1:19" x14ac:dyDescent="0.2">
      <c r="A443" s="46" t="s">
        <v>129</v>
      </c>
      <c r="B443" s="47">
        <v>43705</v>
      </c>
      <c r="C443" s="48">
        <v>-38000</v>
      </c>
      <c r="D443" s="87">
        <f>-(D441+(-C443-C441)*(D442/C442))</f>
        <v>-85432.32666666666</v>
      </c>
      <c r="E443" s="50"/>
      <c r="F443" s="51">
        <f>SUM(D443:E443)</f>
        <v>-85432.32666666666</v>
      </c>
      <c r="G443" s="50"/>
      <c r="H443" s="49"/>
      <c r="I443" s="52"/>
      <c r="J443" s="53"/>
      <c r="K443" s="49"/>
      <c r="L443" s="55"/>
      <c r="M443" s="49"/>
      <c r="N443" s="49"/>
      <c r="O443" s="49"/>
      <c r="P443" s="57"/>
      <c r="Q443" s="57"/>
      <c r="R443" s="57"/>
      <c r="S443" s="93"/>
    </row>
    <row r="444" spans="1:19" x14ac:dyDescent="0.2">
      <c r="A444" s="46" t="s">
        <v>129</v>
      </c>
      <c r="B444" s="47">
        <v>43910</v>
      </c>
      <c r="C444" s="48">
        <v>-30000</v>
      </c>
      <c r="D444" s="49">
        <f>(D442/C442)*C444</f>
        <v>-67720.453333333324</v>
      </c>
      <c r="E444" s="50"/>
      <c r="F444" s="51">
        <f>SUM(D444:E444)</f>
        <v>-67720.453333333324</v>
      </c>
      <c r="G444" s="50"/>
      <c r="H444" s="49"/>
      <c r="I444" s="52"/>
      <c r="J444" s="53"/>
      <c r="K444" s="49"/>
      <c r="L444" s="55"/>
      <c r="M444" s="49"/>
      <c r="N444" s="49"/>
      <c r="O444" s="49"/>
      <c r="P444" s="57"/>
      <c r="Q444" s="57"/>
      <c r="R444" s="57"/>
      <c r="S444" s="93"/>
    </row>
    <row r="445" spans="1:19" x14ac:dyDescent="0.2">
      <c r="A445" s="46"/>
      <c r="B445" s="47"/>
      <c r="C445" s="48"/>
      <c r="D445" s="49"/>
      <c r="E445" s="50"/>
      <c r="F445" s="51">
        <f>SUM(D445:E445)</f>
        <v>0</v>
      </c>
      <c r="G445" s="50"/>
      <c r="H445" s="49"/>
      <c r="I445" s="52"/>
      <c r="J445" s="49"/>
      <c r="K445" s="49"/>
      <c r="L445" s="49"/>
      <c r="M445" s="49"/>
      <c r="N445" s="49"/>
      <c r="O445" s="49"/>
      <c r="P445" s="57">
        <f>M445-N445-O445</f>
        <v>0</v>
      </c>
      <c r="Q445" s="57">
        <f>IF(P445&gt;0,IF(K445="Y",0,P445),0)</f>
        <v>0</v>
      </c>
      <c r="R445" s="57">
        <f>IF(P445&gt;0,IF(K445="Y",P445,0),0)</f>
        <v>0</v>
      </c>
      <c r="S445" s="93">
        <f>IF(P445&lt;0,P445,0)</f>
        <v>0</v>
      </c>
    </row>
    <row r="446" spans="1:19" ht="13.5" customHeight="1" thickBot="1" x14ac:dyDescent="0.3">
      <c r="A446" s="63"/>
      <c r="B446" s="64"/>
      <c r="C446" s="73">
        <f>SUBTOTAL(9,C441:C445)</f>
        <v>0</v>
      </c>
      <c r="D446" s="74">
        <f>SUBTOTAL(9,D441:D445)</f>
        <v>0</v>
      </c>
      <c r="E446" s="75">
        <f>SUBTOTAL(9,E441:E445)</f>
        <v>0</v>
      </c>
      <c r="F446" s="65">
        <f>SUBTOTAL(9,F441:F445)</f>
        <v>1.4551915228366852E-11</v>
      </c>
      <c r="G446" s="65">
        <v>0</v>
      </c>
      <c r="H446" s="67">
        <f>C446*G446</f>
        <v>0</v>
      </c>
      <c r="I446" s="84"/>
      <c r="J446" s="64"/>
      <c r="K446" s="64"/>
      <c r="L446" s="69">
        <f t="shared" ref="L446:S446" si="277">SUBTOTAL(9,L441:L445)</f>
        <v>0</v>
      </c>
      <c r="M446" s="70">
        <f t="shared" si="277"/>
        <v>0</v>
      </c>
      <c r="N446" s="70">
        <f t="shared" si="277"/>
        <v>0</v>
      </c>
      <c r="O446" s="70">
        <f t="shared" si="277"/>
        <v>0</v>
      </c>
      <c r="P446" s="70">
        <f t="shared" si="277"/>
        <v>0</v>
      </c>
      <c r="Q446" s="70">
        <f t="shared" si="277"/>
        <v>0</v>
      </c>
      <c r="R446" s="70">
        <f t="shared" si="277"/>
        <v>0</v>
      </c>
      <c r="S446" s="71">
        <f t="shared" si="277"/>
        <v>0</v>
      </c>
    </row>
    <row r="447" spans="1:19" ht="13.5" thickTop="1" x14ac:dyDescent="0.2">
      <c r="A447" s="39" t="s">
        <v>200</v>
      </c>
      <c r="B447" s="40"/>
      <c r="C447" s="41"/>
      <c r="D447" s="42"/>
      <c r="E447" s="41"/>
      <c r="F447" s="41"/>
      <c r="G447" s="41"/>
      <c r="H447" s="41"/>
      <c r="I447" s="43"/>
      <c r="J447" s="44"/>
      <c r="K447" s="44"/>
      <c r="L447" s="41"/>
      <c r="M447" s="41"/>
      <c r="N447" s="41"/>
      <c r="O447" s="41"/>
      <c r="P447" s="41"/>
      <c r="Q447" s="41"/>
      <c r="R447" s="41"/>
      <c r="S447" s="45"/>
    </row>
    <row r="448" spans="1:19" x14ac:dyDescent="0.2">
      <c r="A448" s="46" t="s">
        <v>128</v>
      </c>
      <c r="B448" s="47">
        <v>43850</v>
      </c>
      <c r="C448" s="48">
        <v>140000</v>
      </c>
      <c r="D448" s="49">
        <v>24634.76</v>
      </c>
      <c r="E448" s="50"/>
      <c r="F448" s="51">
        <f>SUM(D448:E448)</f>
        <v>24634.76</v>
      </c>
      <c r="G448" s="50"/>
      <c r="H448" s="50"/>
      <c r="I448" s="52"/>
      <c r="J448" s="53"/>
      <c r="K448" s="54"/>
      <c r="L448" s="55"/>
      <c r="M448" s="56"/>
      <c r="N448" s="56"/>
      <c r="O448" s="56"/>
      <c r="P448" s="57">
        <f>M448-N448-O448</f>
        <v>0</v>
      </c>
      <c r="Q448" s="58">
        <f>IF(P448&gt;0,IF(K448="Y",0,P448),0)</f>
        <v>0</v>
      </c>
      <c r="R448" s="57">
        <f>IF(P448&gt;0,IF(K448="Y",P448,0),0)</f>
        <v>0</v>
      </c>
      <c r="S448" s="59">
        <f>IF(P448&lt;0,P448,0)</f>
        <v>0</v>
      </c>
    </row>
    <row r="449" spans="1:19" x14ac:dyDescent="0.2">
      <c r="A449" s="46" t="s">
        <v>129</v>
      </c>
      <c r="B449" s="47">
        <v>43910</v>
      </c>
      <c r="C449" s="48">
        <v>-140000</v>
      </c>
      <c r="D449" s="49">
        <f>-D448</f>
        <v>-24634.76</v>
      </c>
      <c r="E449" s="50"/>
      <c r="F449" s="51">
        <f>SUM(D449:E449)</f>
        <v>-24634.76</v>
      </c>
      <c r="G449" s="50"/>
      <c r="H449" s="50"/>
      <c r="I449" s="52"/>
      <c r="J449" s="53"/>
      <c r="K449" s="54"/>
      <c r="L449" s="55"/>
      <c r="M449" s="56"/>
      <c r="N449" s="56"/>
      <c r="O449" s="56"/>
      <c r="P449" s="57"/>
      <c r="Q449" s="58"/>
      <c r="R449" s="57"/>
      <c r="S449" s="59"/>
    </row>
    <row r="450" spans="1:19" x14ac:dyDescent="0.2">
      <c r="A450" s="60"/>
      <c r="B450" s="47"/>
      <c r="C450" s="61"/>
      <c r="D450" s="49"/>
      <c r="E450" s="62"/>
      <c r="F450" s="51">
        <f>SUM(D450:E450)</f>
        <v>0</v>
      </c>
      <c r="G450" s="50"/>
      <c r="H450" s="62"/>
      <c r="I450" s="52"/>
      <c r="J450" s="53"/>
      <c r="K450" s="54"/>
      <c r="L450" s="55"/>
      <c r="M450" s="56"/>
      <c r="N450" s="56"/>
      <c r="O450" s="56"/>
      <c r="P450" s="57">
        <f>M450-N450-O450</f>
        <v>0</v>
      </c>
      <c r="Q450" s="58">
        <f>IF(P450&gt;0,IF(K450="Y",0,P450),0)</f>
        <v>0</v>
      </c>
      <c r="R450" s="57">
        <f>IF(P450&gt;0,IF(K450="Y",P450,0),0)</f>
        <v>0</v>
      </c>
      <c r="S450" s="59">
        <f>IF(P450&lt;0,P450,0)</f>
        <v>0</v>
      </c>
    </row>
    <row r="451" spans="1:19" ht="13.5" customHeight="1" thickBot="1" x14ac:dyDescent="0.3">
      <c r="A451" s="63"/>
      <c r="B451" s="64"/>
      <c r="C451" s="65">
        <f>SUBTOTAL(9,C448:C450)</f>
        <v>0</v>
      </c>
      <c r="D451" s="66">
        <f>SUBTOTAL(9,D448:D450)</f>
        <v>0</v>
      </c>
      <c r="E451" s="67">
        <f>SUBTOTAL(9,E448:E450)</f>
        <v>0</v>
      </c>
      <c r="F451" s="65">
        <f>SUBTOTAL(9,F448:F450)</f>
        <v>0</v>
      </c>
      <c r="G451" s="65">
        <v>0</v>
      </c>
      <c r="H451" s="67">
        <f>C451*G451</f>
        <v>0</v>
      </c>
      <c r="I451" s="68"/>
      <c r="J451" s="68"/>
      <c r="K451" s="68"/>
      <c r="L451" s="69">
        <f t="shared" ref="L451:S451" si="278">SUBTOTAL(9,L448:L450)</f>
        <v>0</v>
      </c>
      <c r="M451" s="70">
        <f t="shared" si="278"/>
        <v>0</v>
      </c>
      <c r="N451" s="70">
        <f t="shared" si="278"/>
        <v>0</v>
      </c>
      <c r="O451" s="70">
        <f t="shared" si="278"/>
        <v>0</v>
      </c>
      <c r="P451" s="70">
        <f t="shared" si="278"/>
        <v>0</v>
      </c>
      <c r="Q451" s="70">
        <f t="shared" si="278"/>
        <v>0</v>
      </c>
      <c r="R451" s="70">
        <f t="shared" si="278"/>
        <v>0</v>
      </c>
      <c r="S451" s="71">
        <f t="shared" si="278"/>
        <v>0</v>
      </c>
    </row>
    <row r="452" spans="1:19" ht="13.5" thickTop="1" x14ac:dyDescent="0.2">
      <c r="A452" s="39" t="s">
        <v>201</v>
      </c>
      <c r="B452" s="40"/>
      <c r="C452" s="41"/>
      <c r="D452" s="42"/>
      <c r="E452" s="41"/>
      <c r="F452" s="41"/>
      <c r="G452" s="41"/>
      <c r="H452" s="41"/>
      <c r="I452" s="43"/>
      <c r="J452" s="44"/>
      <c r="K452" s="44"/>
      <c r="L452" s="41"/>
      <c r="M452" s="41"/>
      <c r="N452" s="41"/>
      <c r="O452" s="41"/>
      <c r="P452" s="41"/>
      <c r="Q452" s="41"/>
      <c r="R452" s="41"/>
      <c r="S452" s="45"/>
    </row>
    <row r="453" spans="1:19" x14ac:dyDescent="0.2">
      <c r="A453" s="46" t="s">
        <v>128</v>
      </c>
      <c r="B453" s="47">
        <v>43714</v>
      </c>
      <c r="C453" s="48">
        <v>10000</v>
      </c>
      <c r="D453" s="49">
        <v>29159.5</v>
      </c>
      <c r="E453" s="50"/>
      <c r="F453" s="51">
        <f t="shared" ref="F453:F460" si="279">SUM(D453:E453)</f>
        <v>29159.5</v>
      </c>
      <c r="G453" s="50"/>
      <c r="H453" s="50"/>
      <c r="I453" s="52"/>
      <c r="J453" s="72"/>
      <c r="K453" s="54"/>
      <c r="L453" s="55"/>
      <c r="M453" s="56"/>
      <c r="N453" s="56"/>
      <c r="O453" s="56"/>
      <c r="P453" s="57">
        <f>M453-N453-O453</f>
        <v>0</v>
      </c>
      <c r="Q453" s="58">
        <f>IF(P453&gt;0,IF(K453="Y",0,P453),0)</f>
        <v>0</v>
      </c>
      <c r="R453" s="57">
        <f>IF(P453&gt;0,IF(K453="Y",P453,0),0)</f>
        <v>0</v>
      </c>
      <c r="S453" s="59">
        <f>IF(P453&lt;0,P453,0)</f>
        <v>0</v>
      </c>
    </row>
    <row r="454" spans="1:19" x14ac:dyDescent="0.2">
      <c r="A454" s="46" t="s">
        <v>202</v>
      </c>
      <c r="B454" s="47">
        <v>43801</v>
      </c>
      <c r="C454" s="48">
        <v>1667</v>
      </c>
      <c r="D454" s="49">
        <f>C454*3.2</f>
        <v>5334.4000000000005</v>
      </c>
      <c r="E454" s="50"/>
      <c r="F454" s="51">
        <f t="shared" si="279"/>
        <v>5334.4000000000005</v>
      </c>
      <c r="G454" s="50"/>
      <c r="H454" s="50"/>
      <c r="I454" s="52"/>
      <c r="J454" s="72"/>
      <c r="K454" s="54"/>
      <c r="L454" s="55"/>
      <c r="M454" s="56"/>
      <c r="N454" s="56"/>
      <c r="O454" s="56"/>
      <c r="P454" s="57">
        <f>M454-N454-O454</f>
        <v>0</v>
      </c>
      <c r="Q454" s="58">
        <f>IF(P454&gt;0,IF(K454="Y",0,P454),0)</f>
        <v>0</v>
      </c>
      <c r="R454" s="57">
        <f>IF(P454&gt;0,IF(K454="Y",P454,0),0)</f>
        <v>0</v>
      </c>
      <c r="S454" s="59">
        <f>IF(P454&lt;0,P454,0)</f>
        <v>0</v>
      </c>
    </row>
    <row r="455" spans="1:19" x14ac:dyDescent="0.2">
      <c r="A455" s="46" t="s">
        <v>128</v>
      </c>
      <c r="B455" s="47">
        <v>43819</v>
      </c>
      <c r="C455" s="48">
        <v>8333</v>
      </c>
      <c r="D455" s="49">
        <v>38961.56</v>
      </c>
      <c r="E455" s="50"/>
      <c r="F455" s="51">
        <f t="shared" si="279"/>
        <v>38961.56</v>
      </c>
      <c r="G455" s="50"/>
      <c r="H455" s="50"/>
      <c r="I455" s="52"/>
      <c r="J455" s="72"/>
      <c r="K455" s="54"/>
      <c r="L455" s="55"/>
      <c r="M455" s="56"/>
      <c r="N455" s="56"/>
      <c r="O455" s="56"/>
      <c r="P455" s="57">
        <f>M455-N455-O455</f>
        <v>0</v>
      </c>
      <c r="Q455" s="58">
        <f>IF(P455&gt;0,IF(K455="Y",0,P455),0)</f>
        <v>0</v>
      </c>
      <c r="R455" s="57">
        <f>IF(P455&gt;0,IF(K455="Y",P455,0),0)</f>
        <v>0</v>
      </c>
      <c r="S455" s="59">
        <f>IF(P455&lt;0,P455,0)</f>
        <v>0</v>
      </c>
    </row>
    <row r="456" spans="1:19" x14ac:dyDescent="0.2">
      <c r="A456" s="46" t="s">
        <v>129</v>
      </c>
      <c r="B456" s="47">
        <v>43850</v>
      </c>
      <c r="C456" s="48">
        <v>-5000</v>
      </c>
      <c r="D456" s="49">
        <f>-D453/2</f>
        <v>-14579.75</v>
      </c>
      <c r="E456" s="50"/>
      <c r="F456" s="51">
        <f t="shared" si="279"/>
        <v>-14579.75</v>
      </c>
      <c r="G456" s="50"/>
      <c r="H456" s="50"/>
      <c r="I456" s="52"/>
      <c r="J456" s="72"/>
      <c r="K456" s="54"/>
      <c r="L456" s="55"/>
      <c r="M456" s="56"/>
      <c r="N456" s="56"/>
      <c r="O456" s="56"/>
      <c r="P456" s="57">
        <f t="shared" ref="P456:P460" si="280">M456-N456-O456</f>
        <v>0</v>
      </c>
      <c r="Q456" s="58">
        <f t="shared" ref="Q456:Q460" si="281">IF(P456&gt;0,IF(K456="Y",0,P456),0)</f>
        <v>0</v>
      </c>
      <c r="R456" s="57">
        <f t="shared" ref="R456:R460" si="282">IF(P456&gt;0,IF(K456="Y",P456,0),0)</f>
        <v>0</v>
      </c>
      <c r="S456" s="59">
        <f t="shared" ref="S456:S460" si="283">IF(P456&lt;0,P456,0)</f>
        <v>0</v>
      </c>
    </row>
    <row r="457" spans="1:19" ht="13.5" customHeight="1" x14ac:dyDescent="0.2">
      <c r="A457" s="46" t="s">
        <v>128</v>
      </c>
      <c r="B457" s="47">
        <v>43860</v>
      </c>
      <c r="C457" s="48">
        <v>5000</v>
      </c>
      <c r="D457" s="49">
        <v>29525.94</v>
      </c>
      <c r="E457" s="50"/>
      <c r="F457" s="51">
        <f t="shared" si="279"/>
        <v>29525.94</v>
      </c>
      <c r="G457" s="50"/>
      <c r="H457" s="50"/>
      <c r="I457" s="52"/>
      <c r="J457" s="72"/>
      <c r="K457" s="54"/>
      <c r="L457" s="55"/>
      <c r="M457" s="56"/>
      <c r="N457" s="56"/>
      <c r="O457" s="56"/>
      <c r="P457" s="57">
        <f t="shared" si="280"/>
        <v>0</v>
      </c>
      <c r="Q457" s="58">
        <f t="shared" si="281"/>
        <v>0</v>
      </c>
      <c r="R457" s="57">
        <f t="shared" si="282"/>
        <v>0</v>
      </c>
      <c r="S457" s="59">
        <f t="shared" si="283"/>
        <v>0</v>
      </c>
    </row>
    <row r="458" spans="1:19" x14ac:dyDescent="0.2">
      <c r="A458" s="46" t="s">
        <v>129</v>
      </c>
      <c r="B458" s="47">
        <v>43896</v>
      </c>
      <c r="C458" s="48">
        <v>-10000</v>
      </c>
      <c r="D458" s="49">
        <f>D456+-D454+-((3333/C455*D455))</f>
        <v>-35497.838885155405</v>
      </c>
      <c r="E458" s="50"/>
      <c r="F458" s="51">
        <f t="shared" si="279"/>
        <v>-35497.838885155405</v>
      </c>
      <c r="G458" s="50"/>
      <c r="H458" s="50"/>
      <c r="I458" s="52"/>
      <c r="J458" s="72"/>
      <c r="K458" s="54"/>
      <c r="L458" s="55"/>
      <c r="M458" s="56"/>
      <c r="N458" s="56"/>
      <c r="O458" s="56"/>
      <c r="P458" s="57">
        <f t="shared" si="280"/>
        <v>0</v>
      </c>
      <c r="Q458" s="58">
        <f t="shared" si="281"/>
        <v>0</v>
      </c>
      <c r="R458" s="57">
        <f t="shared" si="282"/>
        <v>0</v>
      </c>
      <c r="S458" s="59">
        <f t="shared" si="283"/>
        <v>0</v>
      </c>
    </row>
    <row r="459" spans="1:19" x14ac:dyDescent="0.2">
      <c r="A459" s="46" t="s">
        <v>129</v>
      </c>
      <c r="B459" s="47">
        <v>43966</v>
      </c>
      <c r="C459" s="48">
        <v>-10000</v>
      </c>
      <c r="D459" s="49">
        <f>((-5000/C455)*D455)+-D457</f>
        <v>-52903.81111484459</v>
      </c>
      <c r="E459" s="50"/>
      <c r="F459" s="51">
        <f t="shared" si="279"/>
        <v>-52903.81111484459</v>
      </c>
      <c r="G459" s="50"/>
      <c r="H459" s="50"/>
      <c r="I459" s="52"/>
      <c r="J459" s="72"/>
      <c r="K459" s="54"/>
      <c r="L459" s="55"/>
      <c r="M459" s="56"/>
      <c r="N459" s="56"/>
      <c r="O459" s="56"/>
      <c r="P459" s="57">
        <f t="shared" si="280"/>
        <v>0</v>
      </c>
      <c r="Q459" s="58">
        <f t="shared" si="281"/>
        <v>0</v>
      </c>
      <c r="R459" s="57">
        <f t="shared" si="282"/>
        <v>0</v>
      </c>
      <c r="S459" s="59">
        <f t="shared" si="283"/>
        <v>0</v>
      </c>
    </row>
    <row r="460" spans="1:19" x14ac:dyDescent="0.2">
      <c r="A460" s="46"/>
      <c r="B460" s="47"/>
      <c r="C460" s="61"/>
      <c r="D460" s="49"/>
      <c r="E460" s="62"/>
      <c r="F460" s="51">
        <f t="shared" si="279"/>
        <v>0</v>
      </c>
      <c r="G460" s="50"/>
      <c r="H460" s="62"/>
      <c r="I460" s="52"/>
      <c r="J460" s="72"/>
      <c r="K460" s="54"/>
      <c r="L460" s="55"/>
      <c r="M460" s="56"/>
      <c r="N460" s="56"/>
      <c r="O460" s="56"/>
      <c r="P460" s="57">
        <f t="shared" si="280"/>
        <v>0</v>
      </c>
      <c r="Q460" s="58">
        <f t="shared" si="281"/>
        <v>0</v>
      </c>
      <c r="R460" s="57">
        <f t="shared" si="282"/>
        <v>0</v>
      </c>
      <c r="S460" s="59">
        <f t="shared" si="283"/>
        <v>0</v>
      </c>
    </row>
    <row r="461" spans="1:19" ht="13.5" customHeight="1" thickBot="1" x14ac:dyDescent="0.3">
      <c r="A461" s="129"/>
      <c r="B461" s="64"/>
      <c r="C461" s="75">
        <f>SUBTOTAL(9,C453:C460)</f>
        <v>0</v>
      </c>
      <c r="D461" s="74">
        <f>SUBTOTAL(9,D453:D460)</f>
        <v>0</v>
      </c>
      <c r="E461" s="75">
        <f>SUBTOTAL(9,E453:E460)</f>
        <v>0</v>
      </c>
      <c r="F461" s="65">
        <f>SUBTOTAL(9,F453:F460)</f>
        <v>0</v>
      </c>
      <c r="G461" s="65">
        <v>0</v>
      </c>
      <c r="H461" s="67">
        <f>C461*G461</f>
        <v>0</v>
      </c>
      <c r="I461" s="76"/>
      <c r="J461" s="77"/>
      <c r="K461" s="77"/>
      <c r="L461" s="69">
        <f t="shared" ref="L461:S461" si="284">SUBTOTAL(9,L453:L460)</f>
        <v>0</v>
      </c>
      <c r="M461" s="80">
        <f t="shared" si="284"/>
        <v>0</v>
      </c>
      <c r="N461" s="80">
        <f t="shared" si="284"/>
        <v>0</v>
      </c>
      <c r="O461" s="80">
        <f t="shared" si="284"/>
        <v>0</v>
      </c>
      <c r="P461" s="80">
        <f t="shared" si="284"/>
        <v>0</v>
      </c>
      <c r="Q461" s="80">
        <f t="shared" si="284"/>
        <v>0</v>
      </c>
      <c r="R461" s="80">
        <f t="shared" si="284"/>
        <v>0</v>
      </c>
      <c r="S461" s="81">
        <f t="shared" si="284"/>
        <v>0</v>
      </c>
    </row>
    <row r="462" spans="1:19" ht="13.5" thickTop="1" x14ac:dyDescent="0.2">
      <c r="A462" s="39" t="s">
        <v>203</v>
      </c>
      <c r="B462" s="40"/>
      <c r="C462" s="41"/>
      <c r="D462" s="42"/>
      <c r="E462" s="41"/>
      <c r="F462" s="41"/>
      <c r="G462" s="41"/>
      <c r="H462" s="41"/>
      <c r="I462" s="43"/>
      <c r="J462" s="44"/>
      <c r="K462" s="44"/>
      <c r="L462" s="41"/>
      <c r="M462" s="41"/>
      <c r="N462" s="41"/>
      <c r="O462" s="41"/>
      <c r="P462" s="41"/>
      <c r="Q462" s="41"/>
      <c r="R462" s="41"/>
      <c r="S462" s="45"/>
    </row>
    <row r="463" spans="1:19" x14ac:dyDescent="0.2">
      <c r="A463" s="46" t="s">
        <v>128</v>
      </c>
      <c r="B463" s="47">
        <v>44511</v>
      </c>
      <c r="C463" s="48">
        <v>100000</v>
      </c>
      <c r="D463" s="49">
        <v>99544.5</v>
      </c>
      <c r="E463" s="50"/>
      <c r="F463" s="51">
        <f>SUM(D463:E463)</f>
        <v>99544.5</v>
      </c>
      <c r="G463" s="50"/>
      <c r="H463" s="50"/>
      <c r="I463" s="52"/>
      <c r="J463" s="72"/>
      <c r="K463" s="54"/>
      <c r="L463" s="55"/>
      <c r="M463" s="56"/>
      <c r="N463" s="56"/>
      <c r="O463" s="56"/>
      <c r="P463" s="57">
        <f>M463-N463-O463</f>
        <v>0</v>
      </c>
      <c r="Q463" s="58">
        <f>IF(P463&gt;0,IF(K463="Y",0,P463),0)</f>
        <v>0</v>
      </c>
      <c r="R463" s="57">
        <f>IF(P463&gt;0,IF(K463="Y",P463,0),0)</f>
        <v>0</v>
      </c>
      <c r="S463" s="59">
        <f>IF(P463&lt;0,P463,0)</f>
        <v>0</v>
      </c>
    </row>
    <row r="464" spans="1:19" x14ac:dyDescent="0.2">
      <c r="A464" s="46" t="s">
        <v>129</v>
      </c>
      <c r="B464" s="47">
        <v>44530</v>
      </c>
      <c r="C464" s="48">
        <v>-100000</v>
      </c>
      <c r="D464" s="49">
        <f>-D463</f>
        <v>-99544.5</v>
      </c>
      <c r="E464" s="50"/>
      <c r="F464" s="51">
        <f>SUM(D464:E464)</f>
        <v>-99544.5</v>
      </c>
      <c r="G464" s="50"/>
      <c r="H464" s="50"/>
      <c r="I464" s="52"/>
      <c r="J464" s="72">
        <f t="shared" ref="J464" si="285">B464</f>
        <v>44530</v>
      </c>
      <c r="K464" s="72" t="s">
        <v>151</v>
      </c>
      <c r="L464" s="55">
        <f t="shared" ref="L464" si="286">C464</f>
        <v>-100000</v>
      </c>
      <c r="M464" s="49">
        <v>89373.47</v>
      </c>
      <c r="N464" s="72"/>
      <c r="O464" s="49">
        <f t="shared" ref="O464" si="287">-D464</f>
        <v>99544.5</v>
      </c>
      <c r="P464" s="57">
        <f>M464-N464-O464</f>
        <v>-10171.029999999999</v>
      </c>
      <c r="Q464" s="58">
        <f>IF(P464&gt;0,IF(K464="Y",0,P464),0)</f>
        <v>0</v>
      </c>
      <c r="R464" s="57">
        <f>IF(P464&gt;0,IF(K464="Y",P464,0),0)</f>
        <v>0</v>
      </c>
      <c r="S464" s="59">
        <f>IF(P464&lt;0,P464,0)</f>
        <v>-10171.029999999999</v>
      </c>
    </row>
    <row r="465" spans="1:19" x14ac:dyDescent="0.2">
      <c r="A465" s="46"/>
      <c r="B465" s="47"/>
      <c r="C465" s="61"/>
      <c r="D465" s="49"/>
      <c r="E465" s="62"/>
      <c r="F465" s="51">
        <f>SUM(D465:E465)</f>
        <v>0</v>
      </c>
      <c r="G465" s="50"/>
      <c r="H465" s="62"/>
      <c r="I465" s="52"/>
      <c r="J465" s="72"/>
      <c r="K465" s="54"/>
      <c r="L465" s="55"/>
      <c r="M465" s="56"/>
      <c r="N465" s="56"/>
      <c r="O465" s="56"/>
      <c r="P465" s="57">
        <f>M465-N465-O465</f>
        <v>0</v>
      </c>
      <c r="Q465" s="58">
        <f>IF(P465&gt;0,IF(K465="Y",0,P465),0)</f>
        <v>0</v>
      </c>
      <c r="R465" s="57">
        <f>IF(P465&gt;0,IF(K465="Y",P465,0),0)</f>
        <v>0</v>
      </c>
      <c r="S465" s="59">
        <f>IF(P465&lt;0,P465,0)</f>
        <v>0</v>
      </c>
    </row>
    <row r="466" spans="1:19" ht="13.5" customHeight="1" thickBot="1" x14ac:dyDescent="0.3">
      <c r="A466" s="129"/>
      <c r="B466" s="64"/>
      <c r="C466" s="75">
        <f>SUBTOTAL(9,C463:C465)</f>
        <v>0</v>
      </c>
      <c r="D466" s="74">
        <f>SUBTOTAL(9,D463:D465)</f>
        <v>0</v>
      </c>
      <c r="E466" s="75">
        <f>SUBTOTAL(9,E463:E465)</f>
        <v>0</v>
      </c>
      <c r="F466" s="65">
        <f>SUBTOTAL(9,F463:F465)</f>
        <v>0</v>
      </c>
      <c r="G466" s="65">
        <v>0</v>
      </c>
      <c r="H466" s="67">
        <f>C466*G466</f>
        <v>0</v>
      </c>
      <c r="I466" s="76"/>
      <c r="J466" s="77"/>
      <c r="K466" s="77"/>
      <c r="L466" s="69">
        <f t="shared" ref="L466:S466" si="288">SUBTOTAL(9,L463:L465)</f>
        <v>-100000</v>
      </c>
      <c r="M466" s="80">
        <f t="shared" si="288"/>
        <v>89373.47</v>
      </c>
      <c r="N466" s="80">
        <f t="shared" si="288"/>
        <v>0</v>
      </c>
      <c r="O466" s="80">
        <f t="shared" si="288"/>
        <v>99544.5</v>
      </c>
      <c r="P466" s="65">
        <f t="shared" si="288"/>
        <v>-10171.029999999999</v>
      </c>
      <c r="Q466" s="65">
        <f t="shared" si="288"/>
        <v>0</v>
      </c>
      <c r="R466" s="65">
        <f t="shared" si="288"/>
        <v>0</v>
      </c>
      <c r="S466" s="130">
        <f t="shared" si="288"/>
        <v>-10171.029999999999</v>
      </c>
    </row>
    <row r="467" spans="1:19" ht="13.5" thickTop="1" x14ac:dyDescent="0.2">
      <c r="A467" s="39" t="s">
        <v>204</v>
      </c>
      <c r="B467" s="40"/>
      <c r="C467" s="41"/>
      <c r="D467" s="42"/>
      <c r="E467" s="41"/>
      <c r="F467" s="41"/>
      <c r="G467" s="41"/>
      <c r="H467" s="41"/>
      <c r="I467" s="43"/>
      <c r="J467" s="44"/>
      <c r="K467" s="44"/>
      <c r="L467" s="41"/>
      <c r="M467" s="41"/>
      <c r="N467" s="41"/>
      <c r="O467" s="41"/>
      <c r="P467" s="41"/>
      <c r="Q467" s="41"/>
      <c r="R467" s="41"/>
      <c r="S467" s="45"/>
    </row>
    <row r="468" spans="1:19" x14ac:dyDescent="0.2">
      <c r="A468" s="46" t="s">
        <v>128</v>
      </c>
      <c r="B468" s="47">
        <v>44302</v>
      </c>
      <c r="C468" s="48">
        <v>80000</v>
      </c>
      <c r="D468" s="49">
        <v>98136.8</v>
      </c>
      <c r="E468" s="50"/>
      <c r="F468" s="51">
        <f>SUM(D468:E468)</f>
        <v>98136.8</v>
      </c>
      <c r="G468" s="50"/>
      <c r="H468" s="50"/>
      <c r="I468" s="52"/>
      <c r="J468" s="72"/>
      <c r="K468" s="54"/>
      <c r="L468" s="55"/>
      <c r="M468" s="56"/>
      <c r="N468" s="56"/>
      <c r="O468" s="56"/>
      <c r="P468" s="57">
        <f>M468-N468-O468</f>
        <v>0</v>
      </c>
      <c r="Q468" s="58">
        <f>IF(P468&gt;0,IF(K468="Y",0,P468),0)</f>
        <v>0</v>
      </c>
      <c r="R468" s="57">
        <f>IF(P468&gt;0,IF(K468="Y",P468,0),0)</f>
        <v>0</v>
      </c>
      <c r="S468" s="59">
        <f>IF(P468&lt;0,P468,0)</f>
        <v>0</v>
      </c>
    </row>
    <row r="469" spans="1:19" x14ac:dyDescent="0.2">
      <c r="A469" s="46" t="s">
        <v>129</v>
      </c>
      <c r="B469" s="47">
        <v>44312</v>
      </c>
      <c r="C469" s="48">
        <v>-40000</v>
      </c>
      <c r="D469" s="49">
        <f>D468/C468*C469</f>
        <v>-49068.4</v>
      </c>
      <c r="E469" s="50"/>
      <c r="F469" s="51">
        <f>SUM(D469:E469)</f>
        <v>-49068.4</v>
      </c>
      <c r="G469" s="50"/>
      <c r="H469" s="50"/>
      <c r="I469" s="52"/>
      <c r="J469" s="72"/>
      <c r="K469" s="54"/>
      <c r="L469" s="55"/>
      <c r="M469" s="56"/>
      <c r="N469" s="56"/>
      <c r="O469" s="56"/>
      <c r="P469" s="57">
        <f>M469-N469-O469</f>
        <v>0</v>
      </c>
      <c r="Q469" s="58">
        <f>IF(P469&gt;0,IF(K469="Y",0,P469),0)</f>
        <v>0</v>
      </c>
      <c r="R469" s="57">
        <f>IF(P469&gt;0,IF(K469="Y",P469,0),0)</f>
        <v>0</v>
      </c>
      <c r="S469" s="59">
        <f>IF(P469&lt;0,P469,0)</f>
        <v>0</v>
      </c>
    </row>
    <row r="470" spans="1:19" x14ac:dyDescent="0.2">
      <c r="A470" s="46" t="s">
        <v>129</v>
      </c>
      <c r="B470" s="47">
        <v>44313</v>
      </c>
      <c r="C470" s="48">
        <v>-40000</v>
      </c>
      <c r="D470" s="49">
        <f>D468/C468*C470</f>
        <v>-49068.4</v>
      </c>
      <c r="E470" s="50"/>
      <c r="F470" s="51">
        <f>SUM(D470:E470)</f>
        <v>-49068.4</v>
      </c>
      <c r="G470" s="50"/>
      <c r="H470" s="50"/>
      <c r="I470" s="52"/>
      <c r="J470" s="72"/>
      <c r="K470" s="54"/>
      <c r="L470" s="55"/>
      <c r="M470" s="56"/>
      <c r="N470" s="56"/>
      <c r="O470" s="56"/>
      <c r="P470" s="57">
        <f>M470-N470-O470</f>
        <v>0</v>
      </c>
      <c r="Q470" s="58">
        <f>IF(P470&gt;0,IF(K470="Y",0,P470),0)</f>
        <v>0</v>
      </c>
      <c r="R470" s="57">
        <f>IF(P470&gt;0,IF(K470="Y",P470,0),0)</f>
        <v>0</v>
      </c>
      <c r="S470" s="59">
        <f>IF(P470&lt;0,P470,0)</f>
        <v>0</v>
      </c>
    </row>
    <row r="471" spans="1:19" x14ac:dyDescent="0.2">
      <c r="A471" s="46"/>
      <c r="B471" s="47"/>
      <c r="C471" s="61"/>
      <c r="D471" s="49"/>
      <c r="E471" s="62"/>
      <c r="F471" s="51">
        <f>SUM(D471:E471)</f>
        <v>0</v>
      </c>
      <c r="G471" s="50"/>
      <c r="H471" s="62"/>
      <c r="I471" s="52"/>
      <c r="J471" s="72"/>
      <c r="K471" s="54"/>
      <c r="L471" s="55"/>
      <c r="M471" s="56"/>
      <c r="N471" s="56"/>
      <c r="O471" s="56"/>
      <c r="P471" s="57">
        <f>M471-N471-O471</f>
        <v>0</v>
      </c>
      <c r="Q471" s="58">
        <f>IF(P471&gt;0,IF(K471="Y",0,P471),0)</f>
        <v>0</v>
      </c>
      <c r="R471" s="57">
        <f>IF(P471&gt;0,IF(K471="Y",P471,0),0)</f>
        <v>0</v>
      </c>
      <c r="S471" s="59">
        <f>IF(P471&lt;0,P471,0)</f>
        <v>0</v>
      </c>
    </row>
    <row r="472" spans="1:19" ht="13.5" customHeight="1" thickBot="1" x14ac:dyDescent="0.3">
      <c r="A472" s="129"/>
      <c r="B472" s="64"/>
      <c r="C472" s="75">
        <f>SUBTOTAL(9,C468:C471)</f>
        <v>0</v>
      </c>
      <c r="D472" s="74">
        <f>SUBTOTAL(9,D468:D471)</f>
        <v>0</v>
      </c>
      <c r="E472" s="75">
        <f>SUBTOTAL(9,E468:E471)</f>
        <v>0</v>
      </c>
      <c r="F472" s="65">
        <f>SUBTOTAL(9,F468:F471)</f>
        <v>0</v>
      </c>
      <c r="G472" s="65">
        <v>0</v>
      </c>
      <c r="H472" s="67">
        <f>C472*G472</f>
        <v>0</v>
      </c>
      <c r="I472" s="76"/>
      <c r="J472" s="77"/>
      <c r="K472" s="77"/>
      <c r="L472" s="69">
        <f t="shared" ref="L472:O472" si="289">SUBTOTAL(9,L468:L471)</f>
        <v>0</v>
      </c>
      <c r="M472" s="80">
        <f t="shared" si="289"/>
        <v>0</v>
      </c>
      <c r="N472" s="80">
        <f t="shared" si="289"/>
        <v>0</v>
      </c>
      <c r="O472" s="80">
        <f t="shared" si="289"/>
        <v>0</v>
      </c>
      <c r="P472" s="65">
        <f>SUBTOTAL(9,P468:P471)</f>
        <v>0</v>
      </c>
      <c r="Q472" s="65">
        <f t="shared" ref="Q472:S472" si="290">SUBTOTAL(9,Q468:Q471)</f>
        <v>0</v>
      </c>
      <c r="R472" s="65">
        <f t="shared" si="290"/>
        <v>0</v>
      </c>
      <c r="S472" s="130">
        <f t="shared" si="290"/>
        <v>0</v>
      </c>
    </row>
    <row r="473" spans="1:19" ht="13.5" thickTop="1" x14ac:dyDescent="0.2">
      <c r="A473" s="39" t="s">
        <v>205</v>
      </c>
      <c r="B473" s="40"/>
      <c r="C473" s="41"/>
      <c r="D473" s="42"/>
      <c r="E473" s="41"/>
      <c r="F473" s="41"/>
      <c r="G473" s="41"/>
      <c r="H473" s="41"/>
      <c r="I473" s="43"/>
      <c r="J473" s="44"/>
      <c r="K473" s="44"/>
      <c r="L473" s="41"/>
      <c r="M473" s="41"/>
      <c r="N473" s="41"/>
      <c r="O473" s="41"/>
      <c r="P473" s="41"/>
      <c r="Q473" s="41"/>
      <c r="R473" s="41"/>
      <c r="S473" s="45"/>
    </row>
    <row r="474" spans="1:19" x14ac:dyDescent="0.2">
      <c r="A474" s="46" t="s">
        <v>128</v>
      </c>
      <c r="B474" s="47">
        <v>43938</v>
      </c>
      <c r="C474" s="48">
        <v>8000</v>
      </c>
      <c r="D474" s="49">
        <v>28556.2</v>
      </c>
      <c r="E474" s="50"/>
      <c r="F474" s="51">
        <f>SUM(D474:E474)</f>
        <v>28556.2</v>
      </c>
      <c r="G474" s="50"/>
      <c r="H474" s="50"/>
      <c r="I474" s="52"/>
      <c r="J474" s="53"/>
      <c r="K474" s="54"/>
      <c r="L474" s="55"/>
      <c r="M474" s="56"/>
      <c r="N474" s="56"/>
      <c r="O474" s="56"/>
      <c r="P474" s="57">
        <f>M474-N474-O474</f>
        <v>0</v>
      </c>
      <c r="Q474" s="58">
        <f>IF(P474&gt;0,IF(K474="Y",0,P474),0)</f>
        <v>0</v>
      </c>
      <c r="R474" s="57">
        <f>IF(P474&gt;0,IF(K474="Y",P474,0),0)</f>
        <v>0</v>
      </c>
      <c r="S474" s="59">
        <f>IF(P474&lt;0,P474,0)</f>
        <v>0</v>
      </c>
    </row>
    <row r="475" spans="1:19" x14ac:dyDescent="0.2">
      <c r="A475" s="46" t="s">
        <v>129</v>
      </c>
      <c r="B475" s="47">
        <v>43941</v>
      </c>
      <c r="C475" s="48">
        <v>-8000</v>
      </c>
      <c r="D475" s="49">
        <f>-D474</f>
        <v>-28556.2</v>
      </c>
      <c r="E475" s="50"/>
      <c r="F475" s="51">
        <f>SUM(D475:E475)</f>
        <v>-28556.2</v>
      </c>
      <c r="G475" s="50"/>
      <c r="H475" s="50"/>
      <c r="I475" s="52"/>
      <c r="J475" s="72"/>
      <c r="K475" s="54"/>
      <c r="L475" s="55"/>
      <c r="M475" s="56"/>
      <c r="N475" s="56"/>
      <c r="O475" s="56"/>
      <c r="P475" s="57">
        <f>M475-N475-O475</f>
        <v>0</v>
      </c>
      <c r="Q475" s="58">
        <f>IF(P475&gt;0,IF(K475="Y",0,P475),0)</f>
        <v>0</v>
      </c>
      <c r="R475" s="57">
        <f>IF(P475&gt;0,IF(K475="Y",P475,0),0)</f>
        <v>0</v>
      </c>
      <c r="S475" s="59">
        <f>IF(P475&lt;0,P475,0)</f>
        <v>0</v>
      </c>
    </row>
    <row r="476" spans="1:19" x14ac:dyDescent="0.2">
      <c r="A476" s="60"/>
      <c r="B476" s="47"/>
      <c r="C476" s="61"/>
      <c r="D476" s="49"/>
      <c r="E476" s="62"/>
      <c r="F476" s="51">
        <f>SUM(D476:E476)</f>
        <v>0</v>
      </c>
      <c r="G476" s="50"/>
      <c r="H476" s="62"/>
      <c r="I476" s="52"/>
      <c r="J476" s="53"/>
      <c r="K476" s="54"/>
      <c r="L476" s="55"/>
      <c r="M476" s="56"/>
      <c r="N476" s="56"/>
      <c r="O476" s="56"/>
      <c r="P476" s="57">
        <f>M476-N476-O476</f>
        <v>0</v>
      </c>
      <c r="Q476" s="58">
        <f>IF(P476&gt;0,IF(K476="Y",0,P476),0)</f>
        <v>0</v>
      </c>
      <c r="R476" s="57">
        <f>IF(P476&gt;0,IF(K476="Y",P476,0),0)</f>
        <v>0</v>
      </c>
      <c r="S476" s="59">
        <f>IF(P476&lt;0,P476,0)</f>
        <v>0</v>
      </c>
    </row>
    <row r="477" spans="1:19" ht="13.5" customHeight="1" thickBot="1" x14ac:dyDescent="0.3">
      <c r="A477" s="63"/>
      <c r="B477" s="64"/>
      <c r="C477" s="65">
        <f>SUBTOTAL(9,C474:C476)</f>
        <v>0</v>
      </c>
      <c r="D477" s="66">
        <f>SUBTOTAL(9,D474:D476)</f>
        <v>0</v>
      </c>
      <c r="E477" s="67">
        <f>SUBTOTAL(9,E474:E476)</f>
        <v>0</v>
      </c>
      <c r="F477" s="65">
        <f>SUBTOTAL(9,F474:F476)</f>
        <v>0</v>
      </c>
      <c r="G477" s="65">
        <v>0</v>
      </c>
      <c r="H477" s="67">
        <f>C477*G477</f>
        <v>0</v>
      </c>
      <c r="I477" s="68"/>
      <c r="J477" s="68"/>
      <c r="K477" s="68"/>
      <c r="L477" s="69">
        <f t="shared" ref="L477:S477" si="291">SUBTOTAL(9,L474:L476)</f>
        <v>0</v>
      </c>
      <c r="M477" s="70">
        <f t="shared" si="291"/>
        <v>0</v>
      </c>
      <c r="N477" s="70">
        <f t="shared" si="291"/>
        <v>0</v>
      </c>
      <c r="O477" s="70">
        <f t="shared" si="291"/>
        <v>0</v>
      </c>
      <c r="P477" s="70">
        <f t="shared" si="291"/>
        <v>0</v>
      </c>
      <c r="Q477" s="70">
        <f t="shared" si="291"/>
        <v>0</v>
      </c>
      <c r="R477" s="70">
        <f t="shared" si="291"/>
        <v>0</v>
      </c>
      <c r="S477" s="71">
        <f t="shared" si="291"/>
        <v>0</v>
      </c>
    </row>
    <row r="478" spans="1:19" ht="13.5" thickTop="1" x14ac:dyDescent="0.2">
      <c r="A478" s="39" t="s">
        <v>206</v>
      </c>
      <c r="B478" s="40"/>
      <c r="C478" s="41"/>
      <c r="D478" s="42"/>
      <c r="E478" s="41"/>
      <c r="F478" s="41"/>
      <c r="G478" s="41"/>
      <c r="H478" s="41"/>
      <c r="I478" s="43"/>
      <c r="J478" s="44"/>
      <c r="K478" s="44"/>
      <c r="L478" s="41"/>
      <c r="M478" s="41"/>
      <c r="N478" s="41"/>
      <c r="O478" s="41"/>
      <c r="P478" s="41"/>
      <c r="Q478" s="41"/>
      <c r="R478" s="41"/>
      <c r="S478" s="45"/>
    </row>
    <row r="479" spans="1:19" x14ac:dyDescent="0.2">
      <c r="A479" s="46" t="s">
        <v>128</v>
      </c>
      <c r="B479" s="47">
        <v>44575</v>
      </c>
      <c r="C479" s="48">
        <v>100000</v>
      </c>
      <c r="D479" s="49">
        <v>80440</v>
      </c>
      <c r="E479" s="50"/>
      <c r="F479" s="51">
        <f>SUM(D479:E479)</f>
        <v>80440</v>
      </c>
      <c r="G479" s="50"/>
      <c r="H479" s="50"/>
      <c r="I479" s="52"/>
      <c r="J479" s="53"/>
      <c r="K479" s="54"/>
      <c r="L479" s="55"/>
      <c r="M479" s="56"/>
      <c r="N479" s="56"/>
      <c r="O479" s="56"/>
      <c r="P479" s="57">
        <f>M479-N479-O479</f>
        <v>0</v>
      </c>
      <c r="Q479" s="58">
        <f>IF(P479&gt;0,IF(K479="Y",0,P479),0)</f>
        <v>0</v>
      </c>
      <c r="R479" s="57">
        <f>IF(P479&gt;0,IF(K479="Y",P479,0),0)</f>
        <v>0</v>
      </c>
      <c r="S479" s="59">
        <f>IF(P479&lt;0,P479,0)</f>
        <v>0</v>
      </c>
    </row>
    <row r="480" spans="1:19" x14ac:dyDescent="0.2">
      <c r="A480" s="46" t="s">
        <v>129</v>
      </c>
      <c r="B480" s="47">
        <v>44615</v>
      </c>
      <c r="C480" s="48">
        <v>-100000</v>
      </c>
      <c r="D480" s="49">
        <f>-D479</f>
        <v>-80440</v>
      </c>
      <c r="E480" s="50"/>
      <c r="F480" s="51">
        <f>SUM(D480:E480)</f>
        <v>-80440</v>
      </c>
      <c r="G480" s="50"/>
      <c r="H480" s="50"/>
      <c r="I480" s="52"/>
      <c r="J480" s="72">
        <f t="shared" ref="J480" si="292">B480</f>
        <v>44615</v>
      </c>
      <c r="K480" s="72" t="s">
        <v>151</v>
      </c>
      <c r="L480" s="55">
        <f t="shared" ref="L480" si="293">C480</f>
        <v>-100000</v>
      </c>
      <c r="M480" s="49">
        <v>59499.99</v>
      </c>
      <c r="N480" s="72"/>
      <c r="O480" s="49">
        <f t="shared" ref="O480" si="294">-D480</f>
        <v>80440</v>
      </c>
      <c r="P480" s="57">
        <f>M480-N480-O480</f>
        <v>-20940.010000000002</v>
      </c>
      <c r="Q480" s="58">
        <f>IF(P480&gt;0,IF(K480="Y",0,P480),0)</f>
        <v>0</v>
      </c>
      <c r="R480" s="57">
        <f>IF(P480&gt;0,IF(K480="Y",P480,0),0)</f>
        <v>0</v>
      </c>
      <c r="S480" s="59">
        <f>IF(P480&lt;0,P480,0)</f>
        <v>-20940.010000000002</v>
      </c>
    </row>
    <row r="481" spans="1:19" x14ac:dyDescent="0.2">
      <c r="A481" s="60"/>
      <c r="B481" s="47"/>
      <c r="C481" s="61"/>
      <c r="D481" s="49"/>
      <c r="E481" s="62"/>
      <c r="F481" s="51">
        <f>SUM(D481:E481)</f>
        <v>0</v>
      </c>
      <c r="G481" s="50"/>
      <c r="H481" s="62"/>
      <c r="I481" s="52"/>
      <c r="J481" s="53"/>
      <c r="K481" s="54"/>
      <c r="L481" s="55"/>
      <c r="M481" s="56"/>
      <c r="N481" s="56"/>
      <c r="O481" s="56"/>
      <c r="P481" s="57">
        <f>M481-N481-O481</f>
        <v>0</v>
      </c>
      <c r="Q481" s="58">
        <f>IF(P481&gt;0,IF(K481="Y",0,P481),0)</f>
        <v>0</v>
      </c>
      <c r="R481" s="57">
        <f>IF(P481&gt;0,IF(K481="Y",P481,0),0)</f>
        <v>0</v>
      </c>
      <c r="S481" s="59">
        <f>IF(P481&lt;0,P481,0)</f>
        <v>0</v>
      </c>
    </row>
    <row r="482" spans="1:19" ht="13.5" customHeight="1" thickBot="1" x14ac:dyDescent="0.3">
      <c r="A482" s="63"/>
      <c r="B482" s="64"/>
      <c r="C482" s="65">
        <f>SUBTOTAL(9,C479:C481)</f>
        <v>0</v>
      </c>
      <c r="D482" s="66">
        <f>SUBTOTAL(9,D479:D481)</f>
        <v>0</v>
      </c>
      <c r="E482" s="67">
        <f>SUBTOTAL(9,E479:E481)</f>
        <v>0</v>
      </c>
      <c r="F482" s="65">
        <f>SUBTOTAL(9,F479:F481)</f>
        <v>0</v>
      </c>
      <c r="G482" s="65">
        <v>0</v>
      </c>
      <c r="H482" s="67">
        <f>C482*G482</f>
        <v>0</v>
      </c>
      <c r="I482" s="68"/>
      <c r="J482" s="68"/>
      <c r="K482" s="68"/>
      <c r="L482" s="69">
        <f t="shared" ref="L482:S482" si="295">SUBTOTAL(9,L479:L481)</f>
        <v>-100000</v>
      </c>
      <c r="M482" s="70">
        <f t="shared" si="295"/>
        <v>59499.99</v>
      </c>
      <c r="N482" s="70">
        <f t="shared" si="295"/>
        <v>0</v>
      </c>
      <c r="O482" s="70">
        <f t="shared" si="295"/>
        <v>80440</v>
      </c>
      <c r="P482" s="70">
        <f t="shared" si="295"/>
        <v>-20940.010000000002</v>
      </c>
      <c r="Q482" s="70">
        <f t="shared" si="295"/>
        <v>0</v>
      </c>
      <c r="R482" s="70">
        <f t="shared" si="295"/>
        <v>0</v>
      </c>
      <c r="S482" s="71">
        <f t="shared" si="295"/>
        <v>-20940.010000000002</v>
      </c>
    </row>
    <row r="483" spans="1:19" ht="13.5" thickTop="1" x14ac:dyDescent="0.2">
      <c r="A483" s="39" t="s">
        <v>207</v>
      </c>
      <c r="B483" s="40"/>
      <c r="C483" s="41"/>
      <c r="D483" s="42"/>
      <c r="E483" s="41"/>
      <c r="F483" s="41"/>
      <c r="G483" s="41"/>
      <c r="H483" s="41"/>
      <c r="I483" s="43"/>
      <c r="J483" s="44"/>
      <c r="K483" s="44"/>
      <c r="L483" s="41"/>
      <c r="M483" s="41"/>
      <c r="N483" s="41"/>
      <c r="O483" s="41"/>
      <c r="P483" s="41"/>
      <c r="Q483" s="41"/>
      <c r="R483" s="41"/>
      <c r="S483" s="45"/>
    </row>
    <row r="484" spans="1:19" x14ac:dyDescent="0.2">
      <c r="A484" s="46" t="s">
        <v>128</v>
      </c>
      <c r="B484" s="47">
        <v>43962</v>
      </c>
      <c r="C484" s="48">
        <v>600</v>
      </c>
      <c r="D484" s="49">
        <v>53301.56</v>
      </c>
      <c r="E484" s="50"/>
      <c r="F484" s="51">
        <f t="shared" ref="F484:F489" si="296">SUM(D484:E484)</f>
        <v>53301.56</v>
      </c>
      <c r="G484" s="50"/>
      <c r="H484" s="50"/>
      <c r="I484" s="52"/>
      <c r="J484" s="53"/>
      <c r="K484" s="54"/>
      <c r="L484" s="55"/>
      <c r="M484" s="56"/>
      <c r="N484" s="56"/>
      <c r="O484" s="56"/>
      <c r="P484" s="57">
        <f>M484-N484-O484</f>
        <v>0</v>
      </c>
      <c r="Q484" s="58">
        <f>IF(P484&gt;0,IF(K484="Y",0,P484),0)</f>
        <v>0</v>
      </c>
      <c r="R484" s="57">
        <f>IF(P484&gt;0,IF(K484="Y",P484,0),0)</f>
        <v>0</v>
      </c>
      <c r="S484" s="59">
        <f>IF(P484&lt;0,P484,0)</f>
        <v>0</v>
      </c>
    </row>
    <row r="485" spans="1:19" x14ac:dyDescent="0.2">
      <c r="A485" s="46" t="s">
        <v>128</v>
      </c>
      <c r="B485" s="47">
        <v>43963</v>
      </c>
      <c r="C485" s="48">
        <v>600</v>
      </c>
      <c r="D485" s="49">
        <v>57002.07</v>
      </c>
      <c r="E485" s="50"/>
      <c r="F485" s="51">
        <f t="shared" si="296"/>
        <v>57002.07</v>
      </c>
      <c r="G485" s="50"/>
      <c r="H485" s="50"/>
      <c r="I485" s="52"/>
      <c r="J485" s="53"/>
      <c r="K485" s="54"/>
      <c r="L485" s="55"/>
      <c r="M485" s="56"/>
      <c r="N485" s="56"/>
      <c r="O485" s="56"/>
      <c r="P485" s="57">
        <f>M485-N485-O485</f>
        <v>0</v>
      </c>
      <c r="Q485" s="58">
        <f>IF(P485&gt;0,IF(K485="Y",0,P485),0)</f>
        <v>0</v>
      </c>
      <c r="R485" s="57">
        <f>IF(P485&gt;0,IF(K485="Y",P485,0),0)</f>
        <v>0</v>
      </c>
      <c r="S485" s="59">
        <f>IF(P485&lt;0,P485,0)</f>
        <v>0</v>
      </c>
    </row>
    <row r="486" spans="1:19" x14ac:dyDescent="0.2">
      <c r="A486" s="46" t="s">
        <v>129</v>
      </c>
      <c r="B486" s="47">
        <v>43969</v>
      </c>
      <c r="C486" s="48">
        <v>-421</v>
      </c>
      <c r="D486" s="49">
        <f>(D484/C484)*C486</f>
        <v>-37399.927933333332</v>
      </c>
      <c r="E486" s="50"/>
      <c r="F486" s="51">
        <f t="shared" si="296"/>
        <v>-37399.927933333332</v>
      </c>
      <c r="G486" s="50"/>
      <c r="H486" s="50"/>
      <c r="I486" s="52"/>
      <c r="J486" s="53"/>
      <c r="K486" s="54"/>
      <c r="L486" s="55"/>
      <c r="M486" s="56"/>
      <c r="N486" s="56"/>
      <c r="O486" s="56"/>
      <c r="P486" s="57">
        <f t="shared" ref="P486:P488" si="297">M486-N486-O486</f>
        <v>0</v>
      </c>
      <c r="Q486" s="58">
        <f t="shared" ref="Q486:Q488" si="298">IF(P486&gt;0,IF(K486="Y",0,P486),0)</f>
        <v>0</v>
      </c>
      <c r="R486" s="57">
        <f t="shared" ref="R486:R488" si="299">IF(P486&gt;0,IF(K486="Y",P486,0),0)</f>
        <v>0</v>
      </c>
      <c r="S486" s="59">
        <f t="shared" ref="S486:S488" si="300">IF(P486&lt;0,P486,0)</f>
        <v>0</v>
      </c>
    </row>
    <row r="487" spans="1:19" x14ac:dyDescent="0.2">
      <c r="A487" s="46" t="s">
        <v>129</v>
      </c>
      <c r="B487" s="47">
        <v>43969</v>
      </c>
      <c r="C487" s="48">
        <v>-179</v>
      </c>
      <c r="D487" s="49">
        <f>(D484/C484)*C487</f>
        <v>-15901.632066666665</v>
      </c>
      <c r="E487" s="50"/>
      <c r="F487" s="51">
        <f t="shared" si="296"/>
        <v>-15901.632066666665</v>
      </c>
      <c r="G487" s="50"/>
      <c r="H487" s="50"/>
      <c r="I487" s="52"/>
      <c r="J487" s="53"/>
      <c r="K487" s="54"/>
      <c r="L487" s="55"/>
      <c r="M487" s="56"/>
      <c r="N487" s="56"/>
      <c r="O487" s="56"/>
      <c r="P487" s="57">
        <f t="shared" si="297"/>
        <v>0</v>
      </c>
      <c r="Q487" s="58">
        <f t="shared" si="298"/>
        <v>0</v>
      </c>
      <c r="R487" s="57">
        <f t="shared" si="299"/>
        <v>0</v>
      </c>
      <c r="S487" s="59">
        <f t="shared" si="300"/>
        <v>0</v>
      </c>
    </row>
    <row r="488" spans="1:19" x14ac:dyDescent="0.2">
      <c r="A488" s="60" t="s">
        <v>129</v>
      </c>
      <c r="B488" s="47">
        <v>43976</v>
      </c>
      <c r="C488" s="48">
        <v>-600</v>
      </c>
      <c r="D488" s="49">
        <f>-D485</f>
        <v>-57002.07</v>
      </c>
      <c r="E488" s="50"/>
      <c r="F488" s="51">
        <f t="shared" si="296"/>
        <v>-57002.07</v>
      </c>
      <c r="G488" s="50"/>
      <c r="H488" s="50"/>
      <c r="I488" s="52"/>
      <c r="J488" s="53"/>
      <c r="K488" s="54"/>
      <c r="L488" s="55"/>
      <c r="M488" s="56"/>
      <c r="N488" s="56"/>
      <c r="O488" s="56"/>
      <c r="P488" s="57">
        <f t="shared" si="297"/>
        <v>0</v>
      </c>
      <c r="Q488" s="58">
        <f t="shared" si="298"/>
        <v>0</v>
      </c>
      <c r="R488" s="57">
        <f t="shared" si="299"/>
        <v>0</v>
      </c>
      <c r="S488" s="59">
        <f t="shared" si="300"/>
        <v>0</v>
      </c>
    </row>
    <row r="489" spans="1:19" x14ac:dyDescent="0.2">
      <c r="A489" s="60"/>
      <c r="B489" s="47"/>
      <c r="C489" s="61"/>
      <c r="D489" s="49"/>
      <c r="E489" s="62"/>
      <c r="F489" s="51">
        <f t="shared" si="296"/>
        <v>0</v>
      </c>
      <c r="G489" s="50"/>
      <c r="H489" s="62"/>
      <c r="I489" s="52"/>
      <c r="J489" s="53"/>
      <c r="K489" s="54"/>
      <c r="L489" s="55"/>
      <c r="M489" s="56"/>
      <c r="N489" s="56"/>
      <c r="O489" s="56"/>
      <c r="P489" s="57">
        <f>M489-N489-O489</f>
        <v>0</v>
      </c>
      <c r="Q489" s="58">
        <f>IF(P489&gt;0,IF(K489="Y",0,P489),0)</f>
        <v>0</v>
      </c>
      <c r="R489" s="57">
        <f>IF(P489&gt;0,IF(K489="Y",P489,0),0)</f>
        <v>0</v>
      </c>
      <c r="S489" s="59">
        <f>IF(P489&lt;0,P489,0)</f>
        <v>0</v>
      </c>
    </row>
    <row r="490" spans="1:19" ht="13.5" customHeight="1" thickBot="1" x14ac:dyDescent="0.3">
      <c r="A490" s="63"/>
      <c r="B490" s="64"/>
      <c r="C490" s="65">
        <f>SUBTOTAL(9,C484:C489)</f>
        <v>0</v>
      </c>
      <c r="D490" s="66">
        <f>SUBTOTAL(9,D484:D489)</f>
        <v>0</v>
      </c>
      <c r="E490" s="67">
        <f>SUBTOTAL(9,E484:E489)</f>
        <v>0</v>
      </c>
      <c r="F490" s="65">
        <f>SUBTOTAL(9,F484:F489)</f>
        <v>1.4551915228366852E-11</v>
      </c>
      <c r="G490" s="65">
        <v>0</v>
      </c>
      <c r="H490" s="67">
        <f>C490*G490</f>
        <v>0</v>
      </c>
      <c r="I490" s="68"/>
      <c r="J490" s="68"/>
      <c r="K490" s="68"/>
      <c r="L490" s="69">
        <f t="shared" ref="L490:S490" si="301">SUBTOTAL(9,L484:L489)</f>
        <v>0</v>
      </c>
      <c r="M490" s="70">
        <f t="shared" si="301"/>
        <v>0</v>
      </c>
      <c r="N490" s="70">
        <f t="shared" si="301"/>
        <v>0</v>
      </c>
      <c r="O490" s="70">
        <f t="shared" si="301"/>
        <v>0</v>
      </c>
      <c r="P490" s="70">
        <f t="shared" si="301"/>
        <v>0</v>
      </c>
      <c r="Q490" s="70">
        <f t="shared" si="301"/>
        <v>0</v>
      </c>
      <c r="R490" s="70">
        <f t="shared" si="301"/>
        <v>0</v>
      </c>
      <c r="S490" s="71">
        <f t="shared" si="301"/>
        <v>0</v>
      </c>
    </row>
    <row r="491" spans="1:19" ht="13.5" thickTop="1" x14ac:dyDescent="0.2">
      <c r="A491" s="39" t="s">
        <v>208</v>
      </c>
      <c r="B491" s="82"/>
      <c r="C491" s="44"/>
      <c r="D491" s="83"/>
      <c r="E491" s="44"/>
      <c r="F491" s="44"/>
      <c r="G491" s="44"/>
      <c r="H491" s="44"/>
      <c r="I491" s="43"/>
      <c r="J491" s="44"/>
      <c r="K491" s="44"/>
      <c r="L491" s="44"/>
      <c r="M491" s="44"/>
      <c r="N491" s="44"/>
      <c r="O491" s="44"/>
      <c r="P491" s="44"/>
      <c r="Q491" s="44"/>
      <c r="R491" s="44"/>
      <c r="S491" s="85"/>
    </row>
    <row r="492" spans="1:19" x14ac:dyDescent="0.2">
      <c r="A492" s="46" t="s">
        <v>128</v>
      </c>
      <c r="B492" s="79">
        <v>42479</v>
      </c>
      <c r="C492" s="86">
        <v>130000</v>
      </c>
      <c r="D492" s="87">
        <v>50826.5</v>
      </c>
      <c r="E492" s="88"/>
      <c r="F492" s="51">
        <f>SUM(D492:E492)</f>
        <v>50826.5</v>
      </c>
      <c r="G492" s="50"/>
      <c r="H492" s="88"/>
      <c r="I492" s="52"/>
      <c r="J492" s="89"/>
      <c r="K492" s="90"/>
      <c r="L492" s="91"/>
      <c r="M492" s="92"/>
      <c r="N492" s="92"/>
      <c r="O492" s="92"/>
      <c r="P492" s="57">
        <f>M492-N492-O492</f>
        <v>0</v>
      </c>
      <c r="Q492" s="57">
        <f>IF(P492&gt;0,IF(K492="Y",0,P492),0)</f>
        <v>0</v>
      </c>
      <c r="R492" s="57">
        <f>IF(P492&gt;0,IF(K492="Y",P492,0),0)</f>
        <v>0</v>
      </c>
      <c r="S492" s="93">
        <f>IF(P492&lt;0,P492,0)</f>
        <v>0</v>
      </c>
    </row>
    <row r="493" spans="1:19" x14ac:dyDescent="0.2">
      <c r="A493" s="46" t="s">
        <v>140</v>
      </c>
      <c r="B493" s="79">
        <v>43249</v>
      </c>
      <c r="C493" s="86">
        <v>26000</v>
      </c>
      <c r="D493" s="87">
        <v>2600</v>
      </c>
      <c r="E493" s="88"/>
      <c r="F493" s="51">
        <f>SUM(D493:E493)</f>
        <v>2600</v>
      </c>
      <c r="G493" s="50"/>
      <c r="H493" s="88"/>
      <c r="I493" s="52"/>
      <c r="J493" s="89"/>
      <c r="K493" s="90"/>
      <c r="L493" s="91"/>
      <c r="M493" s="92"/>
      <c r="N493" s="92"/>
      <c r="O493" s="92"/>
      <c r="P493" s="57">
        <f t="shared" ref="P493:P496" si="302">M493-N493-O493</f>
        <v>0</v>
      </c>
      <c r="Q493" s="57">
        <f t="shared" ref="Q493:Q496" si="303">IF(P493&gt;0,IF(K493="Y",0,P493),0)</f>
        <v>0</v>
      </c>
      <c r="R493" s="57">
        <f t="shared" ref="R493:R496" si="304">IF(P493&gt;0,IF(K493="Y",P493,0),0)</f>
        <v>0</v>
      </c>
      <c r="S493" s="93">
        <f t="shared" ref="S493:S496" si="305">IF(P493&lt;0,P493,0)</f>
        <v>0</v>
      </c>
    </row>
    <row r="494" spans="1:19" x14ac:dyDescent="0.2">
      <c r="A494" s="46" t="s">
        <v>140</v>
      </c>
      <c r="B494" s="79">
        <v>43619</v>
      </c>
      <c r="C494" s="86">
        <v>78000</v>
      </c>
      <c r="D494" s="87">
        <v>3276</v>
      </c>
      <c r="E494" s="88"/>
      <c r="F494" s="51">
        <f>SUM(D494:E494)</f>
        <v>3276</v>
      </c>
      <c r="G494" s="50"/>
      <c r="H494" s="88"/>
      <c r="I494" s="52"/>
      <c r="J494" s="96"/>
      <c r="K494" s="90"/>
      <c r="L494" s="91"/>
      <c r="M494" s="92"/>
      <c r="N494" s="92"/>
      <c r="O494" s="92"/>
      <c r="P494" s="57">
        <f t="shared" si="302"/>
        <v>0</v>
      </c>
      <c r="Q494" s="57">
        <f t="shared" si="303"/>
        <v>0</v>
      </c>
      <c r="R494" s="57">
        <f t="shared" si="304"/>
        <v>0</v>
      </c>
      <c r="S494" s="93">
        <f t="shared" si="305"/>
        <v>0</v>
      </c>
    </row>
    <row r="495" spans="1:19" x14ac:dyDescent="0.2">
      <c r="A495" s="46" t="s">
        <v>129</v>
      </c>
      <c r="B495" s="79">
        <v>44616</v>
      </c>
      <c r="C495" s="86">
        <v>-234000</v>
      </c>
      <c r="D495" s="87">
        <f>-SUM(D492:D494)</f>
        <v>-56702.5</v>
      </c>
      <c r="E495" s="88"/>
      <c r="F495" s="51">
        <f t="shared" ref="F495:F496" si="306">SUM(D495:E495)</f>
        <v>-56702.5</v>
      </c>
      <c r="G495" s="50"/>
      <c r="H495" s="88"/>
      <c r="I495" s="52"/>
      <c r="J495" s="72">
        <f t="shared" ref="J495" si="307">B495</f>
        <v>44616</v>
      </c>
      <c r="K495" s="72" t="s">
        <v>142</v>
      </c>
      <c r="L495" s="55">
        <f t="shared" ref="L495" si="308">C495</f>
        <v>-234000</v>
      </c>
      <c r="M495" s="49">
        <v>8658</v>
      </c>
      <c r="N495" s="72"/>
      <c r="O495" s="49">
        <f t="shared" ref="O495" si="309">-D495</f>
        <v>56702.5</v>
      </c>
      <c r="P495" s="57">
        <f t="shared" si="302"/>
        <v>-48044.5</v>
      </c>
      <c r="Q495" s="57">
        <f t="shared" si="303"/>
        <v>0</v>
      </c>
      <c r="R495" s="57">
        <f t="shared" si="304"/>
        <v>0</v>
      </c>
      <c r="S495" s="93">
        <f t="shared" si="305"/>
        <v>-48044.5</v>
      </c>
    </row>
    <row r="496" spans="1:19" x14ac:dyDescent="0.2">
      <c r="A496" s="46"/>
      <c r="B496" s="79"/>
      <c r="C496" s="86"/>
      <c r="D496" s="87"/>
      <c r="E496" s="88"/>
      <c r="F496" s="51">
        <f t="shared" si="306"/>
        <v>0</v>
      </c>
      <c r="G496" s="50"/>
      <c r="H496" s="88"/>
      <c r="I496" s="52"/>
      <c r="J496" s="114"/>
      <c r="K496" s="115"/>
      <c r="L496" s="116"/>
      <c r="M496" s="117"/>
      <c r="N496" s="117"/>
      <c r="O496" s="117"/>
      <c r="P496" s="57">
        <f t="shared" si="302"/>
        <v>0</v>
      </c>
      <c r="Q496" s="57">
        <f t="shared" si="303"/>
        <v>0</v>
      </c>
      <c r="R496" s="57">
        <f t="shared" si="304"/>
        <v>0</v>
      </c>
      <c r="S496" s="93">
        <f t="shared" si="305"/>
        <v>0</v>
      </c>
    </row>
    <row r="497" spans="1:19" ht="13.5" customHeight="1" thickBot="1" x14ac:dyDescent="0.3">
      <c r="A497" s="63"/>
      <c r="B497" s="64"/>
      <c r="C497" s="73">
        <f>SUBTOTAL(9,C492:C496)</f>
        <v>0</v>
      </c>
      <c r="D497" s="131">
        <f>SUBTOTAL(9,D492:D496)</f>
        <v>0</v>
      </c>
      <c r="E497" s="75">
        <f>SUBTOTAL(9,E492:E496)</f>
        <v>0</v>
      </c>
      <c r="F497" s="65">
        <f>SUBTOTAL(9,F492:F496)</f>
        <v>0</v>
      </c>
      <c r="G497" s="65">
        <v>5.8000000000000003E-2</v>
      </c>
      <c r="H497" s="67">
        <f>C497*G497</f>
        <v>0</v>
      </c>
      <c r="I497" s="84"/>
      <c r="J497" s="64"/>
      <c r="K497" s="64"/>
      <c r="L497" s="69">
        <f>SUBTOTAL(9,L492:L496)</f>
        <v>-234000</v>
      </c>
      <c r="M497" s="65">
        <f t="shared" ref="M497:S497" si="310">SUBTOTAL(9,M492:M496)</f>
        <v>8658</v>
      </c>
      <c r="N497" s="65">
        <f t="shared" si="310"/>
        <v>0</v>
      </c>
      <c r="O497" s="65">
        <f t="shared" si="310"/>
        <v>56702.5</v>
      </c>
      <c r="P497" s="65">
        <f>SUBTOTAL(9,P492:P496)</f>
        <v>-48044.5</v>
      </c>
      <c r="Q497" s="65">
        <f t="shared" si="310"/>
        <v>0</v>
      </c>
      <c r="R497" s="65">
        <f t="shared" si="310"/>
        <v>0</v>
      </c>
      <c r="S497" s="65">
        <f t="shared" si="310"/>
        <v>-48044.5</v>
      </c>
    </row>
    <row r="498" spans="1:19" ht="13.5" thickTop="1" x14ac:dyDescent="0.2">
      <c r="A498" s="39" t="s">
        <v>209</v>
      </c>
      <c r="B498" s="40"/>
      <c r="C498" s="41"/>
      <c r="D498" s="42"/>
      <c r="E498" s="41"/>
      <c r="F498" s="41"/>
      <c r="G498" s="41"/>
      <c r="H498" s="41"/>
      <c r="I498" s="43"/>
      <c r="J498" s="44"/>
      <c r="K498" s="44"/>
      <c r="L498" s="41"/>
      <c r="M498" s="41"/>
      <c r="N498" s="41"/>
      <c r="O498" s="41"/>
      <c r="P498" s="41"/>
      <c r="Q498" s="41"/>
      <c r="R498" s="41"/>
      <c r="S498" s="45"/>
    </row>
    <row r="499" spans="1:19" x14ac:dyDescent="0.2">
      <c r="A499" s="46" t="s">
        <v>128</v>
      </c>
      <c r="B499" s="47">
        <v>44351</v>
      </c>
      <c r="C499" s="48">
        <v>100000</v>
      </c>
      <c r="D499" s="49">
        <v>48264</v>
      </c>
      <c r="E499" s="50"/>
      <c r="F499" s="51">
        <f>SUM(D499:E499)</f>
        <v>48264</v>
      </c>
      <c r="G499" s="50"/>
      <c r="H499" s="50"/>
      <c r="I499" s="52"/>
      <c r="J499" s="53"/>
      <c r="K499" s="54"/>
      <c r="L499" s="55"/>
      <c r="M499" s="56"/>
      <c r="N499" s="56"/>
      <c r="O499" s="56"/>
      <c r="P499" s="57">
        <f>M499-N499-O499</f>
        <v>0</v>
      </c>
      <c r="Q499" s="58">
        <f>IF(P499&gt;0,IF(K499="Y",0,P499),0)</f>
        <v>0</v>
      </c>
      <c r="R499" s="57">
        <f>IF(P499&gt;0,IF(K499="Y",P499,0),0)</f>
        <v>0</v>
      </c>
      <c r="S499" s="59">
        <f>IF(P499&lt;0,P499,0)</f>
        <v>0</v>
      </c>
    </row>
    <row r="500" spans="1:19" x14ac:dyDescent="0.2">
      <c r="A500" s="60" t="s">
        <v>129</v>
      </c>
      <c r="B500" s="47">
        <v>44596</v>
      </c>
      <c r="C500" s="48">
        <v>-100000</v>
      </c>
      <c r="D500" s="49">
        <f>-D499</f>
        <v>-48264</v>
      </c>
      <c r="E500" s="50"/>
      <c r="F500" s="51">
        <f>SUM(D500:E500)</f>
        <v>-48264</v>
      </c>
      <c r="G500" s="50"/>
      <c r="H500" s="50"/>
      <c r="I500" s="52"/>
      <c r="J500" s="72">
        <f t="shared" ref="J500" si="311">B500</f>
        <v>44596</v>
      </c>
      <c r="K500" s="72" t="s">
        <v>151</v>
      </c>
      <c r="L500" s="55">
        <f t="shared" ref="L500" si="312">C500</f>
        <v>-100000</v>
      </c>
      <c r="M500" s="49">
        <v>48623.5</v>
      </c>
      <c r="N500" s="72"/>
      <c r="O500" s="49">
        <f t="shared" ref="O500" si="313">-D500</f>
        <v>48264</v>
      </c>
      <c r="P500" s="57">
        <f>M500-N500-O500</f>
        <v>359.5</v>
      </c>
      <c r="Q500" s="58">
        <f>IF(P500&gt;0,IF(K500="Y",0,P500),0)</f>
        <v>359.5</v>
      </c>
      <c r="R500" s="57">
        <f>IF(P500&gt;0,IF(K500="Y",P500,0),0)</f>
        <v>0</v>
      </c>
      <c r="S500" s="59">
        <f>IF(P500&lt;0,P500,0)</f>
        <v>0</v>
      </c>
    </row>
    <row r="501" spans="1:19" x14ac:dyDescent="0.2">
      <c r="A501" s="60"/>
      <c r="B501" s="47"/>
      <c r="C501" s="61"/>
      <c r="D501" s="49"/>
      <c r="E501" s="62"/>
      <c r="F501" s="51">
        <f>SUM(D501:E501)</f>
        <v>0</v>
      </c>
      <c r="G501" s="50"/>
      <c r="H501" s="62"/>
      <c r="I501" s="52"/>
      <c r="J501" s="53"/>
      <c r="K501" s="54"/>
      <c r="L501" s="55"/>
      <c r="M501" s="56"/>
      <c r="N501" s="56"/>
      <c r="O501" s="56"/>
      <c r="P501" s="57">
        <f>M501-N501-O501</f>
        <v>0</v>
      </c>
      <c r="Q501" s="58">
        <f>IF(P501&gt;0,IF(K501="Y",0,P501),0)</f>
        <v>0</v>
      </c>
      <c r="R501" s="57">
        <f>IF(P501&gt;0,IF(K501="Y",P501,0),0)</f>
        <v>0</v>
      </c>
      <c r="S501" s="59">
        <f>IF(P501&lt;0,P501,0)</f>
        <v>0</v>
      </c>
    </row>
    <row r="502" spans="1:19" ht="13.5" customHeight="1" thickBot="1" x14ac:dyDescent="0.3">
      <c r="A502" s="63"/>
      <c r="B502" s="64"/>
      <c r="C502" s="73">
        <f>SUBTOTAL(9,C499:C501)</f>
        <v>0</v>
      </c>
      <c r="D502" s="66">
        <f>SUBTOTAL(9,D499:D501)</f>
        <v>0</v>
      </c>
      <c r="E502" s="67">
        <f>SUBTOTAL(9,E499:E501)</f>
        <v>0</v>
      </c>
      <c r="F502" s="65">
        <f>SUBTOTAL(9,F499:F501)</f>
        <v>0</v>
      </c>
      <c r="G502" s="65">
        <v>0.53</v>
      </c>
      <c r="H502" s="67">
        <f>C502*G502</f>
        <v>0</v>
      </c>
      <c r="I502" s="68"/>
      <c r="J502" s="68"/>
      <c r="K502" s="68"/>
      <c r="L502" s="69">
        <f t="shared" ref="L502:S502" si="314">SUBTOTAL(9,L499:L501)</f>
        <v>-100000</v>
      </c>
      <c r="M502" s="70">
        <f t="shared" si="314"/>
        <v>48623.5</v>
      </c>
      <c r="N502" s="70">
        <f t="shared" si="314"/>
        <v>0</v>
      </c>
      <c r="O502" s="70">
        <f t="shared" si="314"/>
        <v>48264</v>
      </c>
      <c r="P502" s="70">
        <f t="shared" si="314"/>
        <v>359.5</v>
      </c>
      <c r="Q502" s="70">
        <f t="shared" si="314"/>
        <v>359.5</v>
      </c>
      <c r="R502" s="70">
        <f t="shared" si="314"/>
        <v>0</v>
      </c>
      <c r="S502" s="71">
        <f t="shared" si="314"/>
        <v>0</v>
      </c>
    </row>
    <row r="503" spans="1:19" ht="13.5" thickTop="1" x14ac:dyDescent="0.2">
      <c r="A503" s="39" t="s">
        <v>210</v>
      </c>
      <c r="B503" s="40"/>
      <c r="C503" s="41"/>
      <c r="D503" s="42"/>
      <c r="E503" s="41"/>
      <c r="F503" s="41"/>
      <c r="G503" s="41"/>
      <c r="H503" s="41"/>
      <c r="I503" s="43"/>
      <c r="J503" s="44"/>
      <c r="K503" s="44"/>
      <c r="L503" s="41"/>
      <c r="M503" s="41"/>
      <c r="N503" s="41"/>
      <c r="O503" s="41"/>
      <c r="P503" s="41"/>
      <c r="Q503" s="41"/>
      <c r="R503" s="41"/>
      <c r="S503" s="45"/>
    </row>
    <row r="504" spans="1:19" x14ac:dyDescent="0.2">
      <c r="A504" s="46" t="s">
        <v>128</v>
      </c>
      <c r="B504" s="47">
        <v>43875</v>
      </c>
      <c r="C504" s="48">
        <v>50000</v>
      </c>
      <c r="D504" s="49">
        <v>55051.13</v>
      </c>
      <c r="E504" s="50"/>
      <c r="F504" s="51">
        <f>SUM(D504:E504)</f>
        <v>55051.13</v>
      </c>
      <c r="G504" s="50"/>
      <c r="H504" s="50"/>
      <c r="I504" s="52"/>
      <c r="J504" s="53"/>
      <c r="K504" s="54"/>
      <c r="L504" s="55"/>
      <c r="M504" s="56"/>
      <c r="N504" s="56"/>
      <c r="O504" s="56"/>
      <c r="P504" s="57">
        <f>M504-N504-O504</f>
        <v>0</v>
      </c>
      <c r="Q504" s="58">
        <f>IF(P504&gt;0,IF(K504="Y",0,P504),0)</f>
        <v>0</v>
      </c>
      <c r="R504" s="57">
        <f>IF(P504&gt;0,IF(K504="Y",P504,0),0)</f>
        <v>0</v>
      </c>
      <c r="S504" s="59">
        <f>IF(P504&lt;0,P504,0)</f>
        <v>0</v>
      </c>
    </row>
    <row r="505" spans="1:19" x14ac:dyDescent="0.2">
      <c r="A505" s="46" t="s">
        <v>128</v>
      </c>
      <c r="B505" s="47">
        <v>43881</v>
      </c>
      <c r="C505" s="48">
        <v>50000</v>
      </c>
      <c r="D505" s="49">
        <v>55805.25</v>
      </c>
      <c r="E505" s="50"/>
      <c r="F505" s="51">
        <f>SUM(D505:E505)</f>
        <v>55805.25</v>
      </c>
      <c r="G505" s="50"/>
      <c r="H505" s="50"/>
      <c r="I505" s="52"/>
      <c r="J505" s="53"/>
      <c r="K505" s="54"/>
      <c r="L505" s="55"/>
      <c r="M505" s="56"/>
      <c r="N505" s="56"/>
      <c r="O505" s="56"/>
      <c r="P505" s="57">
        <f>M505-N505-O505</f>
        <v>0</v>
      </c>
      <c r="Q505" s="58">
        <f>IF(P505&gt;0,IF(K505="Y",0,P505),0)</f>
        <v>0</v>
      </c>
      <c r="R505" s="57">
        <f>IF(P505&gt;0,IF(K505="Y",P505,0),0)</f>
        <v>0</v>
      </c>
      <c r="S505" s="59">
        <f>IF(P505&lt;0,P505,0)</f>
        <v>0</v>
      </c>
    </row>
    <row r="506" spans="1:19" x14ac:dyDescent="0.2">
      <c r="A506" s="46" t="s">
        <v>129</v>
      </c>
      <c r="B506" s="47">
        <v>43882</v>
      </c>
      <c r="C506" s="48">
        <v>-20000</v>
      </c>
      <c r="D506" s="49">
        <f>(D504/C504)*C506</f>
        <v>-22020.451999999997</v>
      </c>
      <c r="E506" s="50"/>
      <c r="F506" s="51">
        <f>SUM(D506:E506)</f>
        <v>-22020.451999999997</v>
      </c>
      <c r="G506" s="50"/>
      <c r="H506" s="50"/>
      <c r="I506" s="52"/>
      <c r="J506" s="53"/>
      <c r="K506" s="54"/>
      <c r="L506" s="55"/>
      <c r="M506" s="56"/>
      <c r="N506" s="56"/>
      <c r="O506" s="56"/>
      <c r="P506" s="57">
        <f t="shared" ref="P506:P507" si="315">M506-N506-O506</f>
        <v>0</v>
      </c>
      <c r="Q506" s="58">
        <f t="shared" ref="Q506:Q507" si="316">IF(P506&gt;0,IF(K506="Y",0,P506),0)</f>
        <v>0</v>
      </c>
      <c r="R506" s="57">
        <f t="shared" ref="R506:R507" si="317">IF(P506&gt;0,IF(K506="Y",P506,0),0)</f>
        <v>0</v>
      </c>
      <c r="S506" s="59">
        <f t="shared" ref="S506:S507" si="318">IF(P506&lt;0,P506,0)</f>
        <v>0</v>
      </c>
    </row>
    <row r="507" spans="1:19" x14ac:dyDescent="0.2">
      <c r="A507" s="46" t="s">
        <v>129</v>
      </c>
      <c r="B507" s="47">
        <v>43907</v>
      </c>
      <c r="C507" s="48">
        <v>-80000</v>
      </c>
      <c r="D507" s="49">
        <f>-(((D504/C504)*30000)+D505)</f>
        <v>-88835.927999999985</v>
      </c>
      <c r="E507" s="50"/>
      <c r="F507" s="51">
        <f>SUM(D507:E507)</f>
        <v>-88835.927999999985</v>
      </c>
      <c r="G507" s="50"/>
      <c r="H507" s="50"/>
      <c r="I507" s="52"/>
      <c r="J507" s="53"/>
      <c r="K507" s="54"/>
      <c r="L507" s="55"/>
      <c r="M507" s="56"/>
      <c r="N507" s="56"/>
      <c r="O507" s="56"/>
      <c r="P507" s="57">
        <f t="shared" si="315"/>
        <v>0</v>
      </c>
      <c r="Q507" s="58">
        <f t="shared" si="316"/>
        <v>0</v>
      </c>
      <c r="R507" s="57">
        <f t="shared" si="317"/>
        <v>0</v>
      </c>
      <c r="S507" s="59">
        <f t="shared" si="318"/>
        <v>0</v>
      </c>
    </row>
    <row r="508" spans="1:19" x14ac:dyDescent="0.2">
      <c r="A508" s="60"/>
      <c r="B508" s="47"/>
      <c r="C508" s="61"/>
      <c r="D508" s="49"/>
      <c r="E508" s="62"/>
      <c r="F508" s="51">
        <f>SUM(D508:E508)</f>
        <v>0</v>
      </c>
      <c r="G508" s="50"/>
      <c r="H508" s="62"/>
      <c r="I508" s="52"/>
      <c r="J508" s="53"/>
      <c r="K508" s="54"/>
      <c r="L508" s="55"/>
      <c r="M508" s="56"/>
      <c r="N508" s="56"/>
      <c r="O508" s="56"/>
      <c r="P508" s="57">
        <f>M508-N508-O508</f>
        <v>0</v>
      </c>
      <c r="Q508" s="58">
        <f>IF(P508&gt;0,IF(K508="Y",0,P508),0)</f>
        <v>0</v>
      </c>
      <c r="R508" s="57">
        <f>IF(P508&gt;0,IF(K508="Y",P508,0),0)</f>
        <v>0</v>
      </c>
      <c r="S508" s="59">
        <f>IF(P508&lt;0,P508,0)</f>
        <v>0</v>
      </c>
    </row>
    <row r="509" spans="1:19" ht="13.5" customHeight="1" thickBot="1" x14ac:dyDescent="0.3">
      <c r="A509" s="63"/>
      <c r="B509" s="64"/>
      <c r="C509" s="65">
        <f>SUBTOTAL(9,C504:C508)</f>
        <v>0</v>
      </c>
      <c r="D509" s="66">
        <f>SUBTOTAL(9,D504:D508)</f>
        <v>0</v>
      </c>
      <c r="E509" s="67">
        <f>SUBTOTAL(9,E504:E508)</f>
        <v>0</v>
      </c>
      <c r="F509" s="65">
        <f>SUBTOTAL(9,F504:F508)</f>
        <v>2.9103830456733704E-11</v>
      </c>
      <c r="G509" s="65">
        <v>0</v>
      </c>
      <c r="H509" s="67">
        <f>C509*G509</f>
        <v>0</v>
      </c>
      <c r="I509" s="68"/>
      <c r="J509" s="68"/>
      <c r="K509" s="68"/>
      <c r="L509" s="69">
        <f t="shared" ref="L509:S509" si="319">SUBTOTAL(9,L504:L508)</f>
        <v>0</v>
      </c>
      <c r="M509" s="70">
        <f t="shared" si="319"/>
        <v>0</v>
      </c>
      <c r="N509" s="70">
        <f t="shared" si="319"/>
        <v>0</v>
      </c>
      <c r="O509" s="70">
        <f t="shared" si="319"/>
        <v>0</v>
      </c>
      <c r="P509" s="70">
        <f t="shared" si="319"/>
        <v>0</v>
      </c>
      <c r="Q509" s="70">
        <f t="shared" si="319"/>
        <v>0</v>
      </c>
      <c r="R509" s="70">
        <f t="shared" si="319"/>
        <v>0</v>
      </c>
      <c r="S509" s="71">
        <f t="shared" si="319"/>
        <v>0</v>
      </c>
    </row>
    <row r="510" spans="1:19" ht="13.5" thickTop="1" x14ac:dyDescent="0.2">
      <c r="A510" s="39" t="s">
        <v>211</v>
      </c>
      <c r="B510" s="40"/>
      <c r="C510" s="41"/>
      <c r="D510" s="42"/>
      <c r="E510" s="41"/>
      <c r="F510" s="41"/>
      <c r="G510" s="41"/>
      <c r="H510" s="41"/>
      <c r="I510" s="43"/>
      <c r="J510" s="44"/>
      <c r="K510" s="44"/>
      <c r="L510" s="41"/>
      <c r="M510" s="41"/>
      <c r="N510" s="41"/>
      <c r="O510" s="41"/>
      <c r="P510" s="41"/>
      <c r="Q510" s="41"/>
      <c r="R510" s="41"/>
      <c r="S510" s="45"/>
    </row>
    <row r="511" spans="1:19" x14ac:dyDescent="0.2">
      <c r="A511" s="46" t="s">
        <v>128</v>
      </c>
      <c r="B511" s="47">
        <v>43748</v>
      </c>
      <c r="C511" s="48">
        <v>1364384</v>
      </c>
      <c r="D511" s="49">
        <v>24693.98</v>
      </c>
      <c r="E511" s="50"/>
      <c r="F511" s="51">
        <f>SUM(D511:E511)</f>
        <v>24693.98</v>
      </c>
      <c r="G511" s="50"/>
      <c r="H511" s="50"/>
      <c r="I511" s="52"/>
      <c r="J511" s="53"/>
      <c r="K511" s="54"/>
      <c r="L511" s="55"/>
      <c r="M511" s="56"/>
      <c r="N511" s="56"/>
      <c r="O511" s="56"/>
      <c r="P511" s="57">
        <f>M511-N511-O511</f>
        <v>0</v>
      </c>
      <c r="Q511" s="58">
        <f>IF(P511&gt;0,IF(K511="Y",0,P511),0)</f>
        <v>0</v>
      </c>
      <c r="R511" s="57">
        <f>IF(P511&gt;0,IF(K511="Y",P511,0),0)</f>
        <v>0</v>
      </c>
      <c r="S511" s="59">
        <f t="shared" ref="S511:S513" si="320">IF(P511&lt;0,P511,0)</f>
        <v>0</v>
      </c>
    </row>
    <row r="512" spans="1:19" x14ac:dyDescent="0.2">
      <c r="A512" s="46" t="s">
        <v>129</v>
      </c>
      <c r="B512" s="47">
        <v>43748</v>
      </c>
      <c r="C512" s="48">
        <v>-1364384</v>
      </c>
      <c r="D512" s="49">
        <f>-D511</f>
        <v>-24693.98</v>
      </c>
      <c r="E512" s="50"/>
      <c r="F512" s="51">
        <f>SUM(D512:E512)</f>
        <v>-24693.98</v>
      </c>
      <c r="G512" s="50"/>
      <c r="H512" s="50"/>
      <c r="I512" s="52"/>
      <c r="J512" s="53"/>
      <c r="K512" s="54"/>
      <c r="L512" s="55"/>
      <c r="M512" s="56"/>
      <c r="N512" s="56"/>
      <c r="O512" s="56"/>
      <c r="P512" s="57"/>
      <c r="Q512" s="58"/>
      <c r="R512" s="57"/>
      <c r="S512" s="59">
        <f t="shared" si="320"/>
        <v>0</v>
      </c>
    </row>
    <row r="513" spans="1:19" x14ac:dyDescent="0.2">
      <c r="A513" s="60"/>
      <c r="B513" s="47"/>
      <c r="C513" s="61"/>
      <c r="D513" s="49"/>
      <c r="E513" s="62"/>
      <c r="F513" s="51">
        <f>SUM(D513:E513)</f>
        <v>0</v>
      </c>
      <c r="G513" s="50"/>
      <c r="H513" s="62"/>
      <c r="I513" s="52"/>
      <c r="J513" s="53"/>
      <c r="K513" s="54"/>
      <c r="L513" s="55"/>
      <c r="M513" s="56"/>
      <c r="N513" s="56"/>
      <c r="O513" s="56"/>
      <c r="P513" s="57">
        <f>M513-N513-O513</f>
        <v>0</v>
      </c>
      <c r="Q513" s="58">
        <f>IF(P513&gt;0,IF(K513="Y",0,P513),0)</f>
        <v>0</v>
      </c>
      <c r="R513" s="57">
        <f>IF(P513&gt;0,IF(K513="Y",P513,0),0)</f>
        <v>0</v>
      </c>
      <c r="S513" s="59">
        <f t="shared" si="320"/>
        <v>0</v>
      </c>
    </row>
    <row r="514" spans="1:19" ht="13.5" customHeight="1" thickBot="1" x14ac:dyDescent="0.3">
      <c r="A514" s="63"/>
      <c r="B514" s="64"/>
      <c r="C514" s="65">
        <f>SUBTOTAL(9,C511:C513)</f>
        <v>0</v>
      </c>
      <c r="D514" s="66">
        <f>SUBTOTAL(9,D511:D513)</f>
        <v>0</v>
      </c>
      <c r="E514" s="67">
        <f>SUBTOTAL(9,E511:E513)</f>
        <v>0</v>
      </c>
      <c r="F514" s="65">
        <f>SUBTOTAL(9,F511:F513)</f>
        <v>0</v>
      </c>
      <c r="G514" s="65">
        <v>0</v>
      </c>
      <c r="H514" s="67">
        <f>C514*G514</f>
        <v>0</v>
      </c>
      <c r="I514" s="68"/>
      <c r="J514" s="68"/>
      <c r="K514" s="68"/>
      <c r="L514" s="69">
        <f t="shared" ref="L514:S514" si="321">SUBTOTAL(9,L511:L513)</f>
        <v>0</v>
      </c>
      <c r="M514" s="70">
        <f t="shared" si="321"/>
        <v>0</v>
      </c>
      <c r="N514" s="70">
        <f t="shared" si="321"/>
        <v>0</v>
      </c>
      <c r="O514" s="70">
        <f t="shared" si="321"/>
        <v>0</v>
      </c>
      <c r="P514" s="70">
        <f t="shared" si="321"/>
        <v>0</v>
      </c>
      <c r="Q514" s="70">
        <f t="shared" si="321"/>
        <v>0</v>
      </c>
      <c r="R514" s="70">
        <f t="shared" si="321"/>
        <v>0</v>
      </c>
      <c r="S514" s="71">
        <f t="shared" si="321"/>
        <v>0</v>
      </c>
    </row>
    <row r="515" spans="1:19" ht="13.5" thickTop="1" x14ac:dyDescent="0.2">
      <c r="A515" s="39" t="s">
        <v>212</v>
      </c>
      <c r="B515" s="82"/>
      <c r="C515" s="44"/>
      <c r="D515" s="83"/>
      <c r="E515" s="44"/>
      <c r="F515" s="44"/>
      <c r="G515" s="44"/>
      <c r="H515" s="44"/>
      <c r="I515" s="43"/>
      <c r="J515" s="44"/>
      <c r="K515" s="44"/>
      <c r="L515" s="44"/>
      <c r="M515" s="44"/>
      <c r="N515" s="44"/>
      <c r="O515" s="44"/>
      <c r="P515" s="44"/>
      <c r="Q515" s="44"/>
      <c r="R515" s="44"/>
      <c r="S515" s="85"/>
    </row>
    <row r="516" spans="1:19" x14ac:dyDescent="0.2">
      <c r="A516" s="46" t="s">
        <v>128</v>
      </c>
      <c r="B516" s="79">
        <v>43503</v>
      </c>
      <c r="C516" s="86">
        <v>50000</v>
      </c>
      <c r="D516" s="87">
        <v>72898.75</v>
      </c>
      <c r="E516" s="88"/>
      <c r="F516" s="51">
        <f t="shared" ref="F516:F522" si="322">SUM(D516:E516)</f>
        <v>72898.75</v>
      </c>
      <c r="G516" s="50"/>
      <c r="H516" s="88"/>
      <c r="I516" s="52"/>
      <c r="J516" s="89"/>
      <c r="K516" s="90"/>
      <c r="L516" s="91"/>
      <c r="M516" s="92"/>
      <c r="N516" s="92"/>
      <c r="O516" s="92"/>
      <c r="P516" s="57">
        <f t="shared" ref="P516:P522" si="323">M516-N516-O516</f>
        <v>0</v>
      </c>
      <c r="Q516" s="57">
        <f t="shared" ref="Q516:Q522" si="324">IF(P516&gt;0,IF(K516="Y",0,P516),0)</f>
        <v>0</v>
      </c>
      <c r="R516" s="57">
        <f t="shared" ref="R516:R522" si="325">IF(P516&gt;0,IF(K516="Y",P516,0),0)</f>
        <v>0</v>
      </c>
      <c r="S516" s="93">
        <f t="shared" ref="S516:S522" si="326">IF(P516&lt;0,P516,0)</f>
        <v>0</v>
      </c>
    </row>
    <row r="517" spans="1:19" x14ac:dyDescent="0.2">
      <c r="A517" s="46" t="s">
        <v>128</v>
      </c>
      <c r="B517" s="79">
        <v>43504</v>
      </c>
      <c r="C517" s="86">
        <v>30000</v>
      </c>
      <c r="D517" s="87">
        <v>44645.33</v>
      </c>
      <c r="E517" s="88"/>
      <c r="F517" s="51">
        <f t="shared" si="322"/>
        <v>44645.33</v>
      </c>
      <c r="G517" s="50"/>
      <c r="H517" s="88"/>
      <c r="I517" s="52"/>
      <c r="J517" s="89"/>
      <c r="K517" s="90"/>
      <c r="L517" s="91"/>
      <c r="M517" s="92"/>
      <c r="N517" s="92"/>
      <c r="O517" s="92"/>
      <c r="P517" s="57">
        <f t="shared" si="323"/>
        <v>0</v>
      </c>
      <c r="Q517" s="57">
        <f t="shared" si="324"/>
        <v>0</v>
      </c>
      <c r="R517" s="57">
        <f t="shared" si="325"/>
        <v>0</v>
      </c>
      <c r="S517" s="93">
        <f t="shared" si="326"/>
        <v>0</v>
      </c>
    </row>
    <row r="518" spans="1:19" x14ac:dyDescent="0.2">
      <c r="A518" s="60" t="s">
        <v>140</v>
      </c>
      <c r="B518" s="47">
        <v>43551</v>
      </c>
      <c r="C518" s="48">
        <v>4445</v>
      </c>
      <c r="D518" s="49">
        <v>5556.25</v>
      </c>
      <c r="E518" s="50"/>
      <c r="F518" s="51">
        <f t="shared" si="322"/>
        <v>5556.25</v>
      </c>
      <c r="G518" s="50"/>
      <c r="H518" s="50"/>
      <c r="I518" s="52"/>
      <c r="J518" s="89"/>
      <c r="K518" s="54"/>
      <c r="L518" s="55"/>
      <c r="M518" s="56"/>
      <c r="N518" s="56"/>
      <c r="O518" s="56"/>
      <c r="P518" s="57">
        <f t="shared" si="323"/>
        <v>0</v>
      </c>
      <c r="Q518" s="57">
        <f t="shared" si="324"/>
        <v>0</v>
      </c>
      <c r="R518" s="57">
        <f t="shared" si="325"/>
        <v>0</v>
      </c>
      <c r="S518" s="93">
        <f t="shared" si="326"/>
        <v>0</v>
      </c>
    </row>
    <row r="519" spans="1:19" x14ac:dyDescent="0.2">
      <c r="A519" s="60" t="s">
        <v>213</v>
      </c>
      <c r="B519" s="47">
        <v>43759</v>
      </c>
      <c r="C519" s="48">
        <v>14075</v>
      </c>
      <c r="D519" s="49">
        <f>C519*0.82</f>
        <v>11541.5</v>
      </c>
      <c r="E519" s="50"/>
      <c r="F519" s="51">
        <f t="shared" si="322"/>
        <v>11541.5</v>
      </c>
      <c r="G519" s="50"/>
      <c r="H519" s="50"/>
      <c r="I519" s="52"/>
      <c r="J519" s="132"/>
      <c r="K519" s="54"/>
      <c r="L519" s="55"/>
      <c r="M519" s="56"/>
      <c r="N519" s="56"/>
      <c r="O519" s="56"/>
      <c r="P519" s="57">
        <f t="shared" si="323"/>
        <v>0</v>
      </c>
      <c r="Q519" s="57">
        <f t="shared" si="324"/>
        <v>0</v>
      </c>
      <c r="R519" s="57">
        <f t="shared" si="325"/>
        <v>0</v>
      </c>
      <c r="S519" s="93">
        <f t="shared" si="326"/>
        <v>0</v>
      </c>
    </row>
    <row r="520" spans="1:19" x14ac:dyDescent="0.2">
      <c r="A520" s="46" t="s">
        <v>129</v>
      </c>
      <c r="B520" s="47">
        <v>43956</v>
      </c>
      <c r="C520" s="48">
        <v>-50000</v>
      </c>
      <c r="D520" s="49">
        <f>-D516</f>
        <v>-72898.75</v>
      </c>
      <c r="E520" s="50"/>
      <c r="F520" s="51">
        <f t="shared" si="322"/>
        <v>-72898.75</v>
      </c>
      <c r="G520" s="50"/>
      <c r="H520" s="50"/>
      <c r="I520" s="52"/>
      <c r="J520" s="132"/>
      <c r="K520" s="54"/>
      <c r="L520" s="55"/>
      <c r="M520" s="56"/>
      <c r="N520" s="56"/>
      <c r="O520" s="56"/>
      <c r="P520" s="57">
        <f t="shared" si="323"/>
        <v>0</v>
      </c>
      <c r="Q520" s="57">
        <f t="shared" si="324"/>
        <v>0</v>
      </c>
      <c r="R520" s="57">
        <f t="shared" si="325"/>
        <v>0</v>
      </c>
      <c r="S520" s="93">
        <f t="shared" si="326"/>
        <v>0</v>
      </c>
    </row>
    <row r="521" spans="1:19" x14ac:dyDescent="0.2">
      <c r="A521" s="46" t="s">
        <v>129</v>
      </c>
      <c r="B521" s="133">
        <v>44238</v>
      </c>
      <c r="C521" s="48">
        <v>-48520</v>
      </c>
      <c r="D521" s="49">
        <f>((D517/C517)*-C517)+((D518/C518)*-C518)+((D519/C519)*-C519)</f>
        <v>-61743.08</v>
      </c>
      <c r="E521" s="50"/>
      <c r="F521" s="51">
        <f t="shared" si="322"/>
        <v>-61743.08</v>
      </c>
      <c r="G521" s="50"/>
      <c r="H521" s="50"/>
      <c r="I521" s="52"/>
      <c r="J521" s="53"/>
      <c r="K521" s="54"/>
      <c r="L521" s="55"/>
      <c r="M521" s="56"/>
      <c r="N521" s="56"/>
      <c r="O521" s="56"/>
      <c r="P521" s="57">
        <f t="shared" si="323"/>
        <v>0</v>
      </c>
      <c r="Q521" s="58">
        <f t="shared" si="324"/>
        <v>0</v>
      </c>
      <c r="R521" s="57">
        <f t="shared" si="325"/>
        <v>0</v>
      </c>
      <c r="S521" s="59">
        <f t="shared" si="326"/>
        <v>0</v>
      </c>
    </row>
    <row r="522" spans="1:19" x14ac:dyDescent="0.2">
      <c r="A522" s="121"/>
      <c r="B522" s="118"/>
      <c r="C522" s="111"/>
      <c r="D522" s="112"/>
      <c r="E522" s="112"/>
      <c r="F522" s="51">
        <f t="shared" si="322"/>
        <v>0</v>
      </c>
      <c r="G522" s="112"/>
      <c r="H522" s="112"/>
      <c r="I522" s="52"/>
      <c r="J522" s="134"/>
      <c r="K522" s="115"/>
      <c r="L522" s="116"/>
      <c r="M522" s="117"/>
      <c r="N522" s="117"/>
      <c r="O522" s="117"/>
      <c r="P522" s="57">
        <f t="shared" si="323"/>
        <v>0</v>
      </c>
      <c r="Q522" s="58">
        <f t="shared" si="324"/>
        <v>0</v>
      </c>
      <c r="R522" s="57">
        <f t="shared" si="325"/>
        <v>0</v>
      </c>
      <c r="S522" s="59">
        <f t="shared" si="326"/>
        <v>0</v>
      </c>
    </row>
    <row r="523" spans="1:19" ht="13.5" customHeight="1" thickBot="1" x14ac:dyDescent="0.3">
      <c r="A523" s="63"/>
      <c r="B523" s="135"/>
      <c r="C523" s="73">
        <f>SUBTOTAL(9,C516:C522)</f>
        <v>0</v>
      </c>
      <c r="D523" s="131">
        <f>SUBTOTAL(9,D516:D522)</f>
        <v>0</v>
      </c>
      <c r="E523" s="75">
        <f>SUBTOTAL(9,E516:E522)</f>
        <v>0</v>
      </c>
      <c r="F523" s="65">
        <f>SUBTOTAL(9,F516:F522)</f>
        <v>1.4551915228366852E-11</v>
      </c>
      <c r="G523" s="65">
        <v>0</v>
      </c>
      <c r="H523" s="67">
        <f>C523*G523</f>
        <v>0</v>
      </c>
      <c r="I523" s="76"/>
      <c r="J523" s="94"/>
      <c r="K523" s="64"/>
      <c r="L523" s="69">
        <f>SUBTOTAL(9,L516:L522)</f>
        <v>0</v>
      </c>
      <c r="M523" s="65">
        <f t="shared" ref="M523:S523" si="327">SUBTOTAL(9,M516:M522)</f>
        <v>0</v>
      </c>
      <c r="N523" s="65">
        <f t="shared" si="327"/>
        <v>0</v>
      </c>
      <c r="O523" s="65">
        <f t="shared" si="327"/>
        <v>0</v>
      </c>
      <c r="P523" s="65">
        <f>SUBTOTAL(9,P516:P522)</f>
        <v>0</v>
      </c>
      <c r="Q523" s="65">
        <f t="shared" si="327"/>
        <v>0</v>
      </c>
      <c r="R523" s="65">
        <f t="shared" si="327"/>
        <v>0</v>
      </c>
      <c r="S523" s="65">
        <f t="shared" si="327"/>
        <v>0</v>
      </c>
    </row>
    <row r="524" spans="1:19" ht="13.5" thickTop="1" x14ac:dyDescent="0.2">
      <c r="A524" s="39" t="s">
        <v>214</v>
      </c>
      <c r="B524" s="82"/>
      <c r="C524" s="44"/>
      <c r="D524" s="83"/>
      <c r="E524" s="44"/>
      <c r="F524" s="44"/>
      <c r="G524" s="44"/>
      <c r="H524" s="44"/>
      <c r="I524" s="43"/>
      <c r="J524" s="44"/>
      <c r="K524" s="44"/>
      <c r="L524" s="44"/>
      <c r="M524" s="44"/>
      <c r="N524" s="44"/>
      <c r="O524" s="44"/>
      <c r="P524" s="44"/>
      <c r="Q524" s="44"/>
      <c r="R524" s="44"/>
      <c r="S524" s="85"/>
    </row>
    <row r="525" spans="1:19" x14ac:dyDescent="0.2">
      <c r="A525" s="46" t="s">
        <v>128</v>
      </c>
      <c r="B525" s="79">
        <v>43315</v>
      </c>
      <c r="C525" s="86">
        <v>1000000</v>
      </c>
      <c r="D525" s="87">
        <v>28630.35</v>
      </c>
      <c r="E525" s="88"/>
      <c r="F525" s="51">
        <f>SUM(D525:E525)</f>
        <v>28630.35</v>
      </c>
      <c r="G525" s="50"/>
      <c r="H525" s="88"/>
      <c r="I525" s="52"/>
      <c r="J525" s="89"/>
      <c r="K525" s="90"/>
      <c r="L525" s="91"/>
      <c r="M525" s="92"/>
      <c r="N525" s="92"/>
      <c r="O525" s="92"/>
      <c r="P525" s="57">
        <f>M525-N525-O525</f>
        <v>0</v>
      </c>
      <c r="Q525" s="57">
        <f>IF(P525&gt;0,IF(K525="Y",0,P525),0)</f>
        <v>0</v>
      </c>
      <c r="R525" s="57">
        <f>IF(P525&gt;0,IF(K525="Y",P525,0),0)</f>
        <v>0</v>
      </c>
      <c r="S525" s="93">
        <f>IF(P525&lt;0,P525,0)</f>
        <v>0</v>
      </c>
    </row>
    <row r="526" spans="1:19" x14ac:dyDescent="0.2">
      <c r="A526" s="60" t="s">
        <v>145</v>
      </c>
      <c r="B526" s="47">
        <v>44152</v>
      </c>
      <c r="C526" s="48">
        <f>ROUNDDOWN(-(C525-C525/2000),0)</f>
        <v>-999500</v>
      </c>
      <c r="D526" s="49">
        <v>0</v>
      </c>
      <c r="E526" s="50"/>
      <c r="F526" s="51">
        <f>SUM(D526:E526)</f>
        <v>0</v>
      </c>
      <c r="G526" s="50"/>
      <c r="H526" s="50"/>
      <c r="I526" s="52"/>
      <c r="J526" s="136"/>
      <c r="K526" s="54"/>
      <c r="L526" s="55"/>
      <c r="M526" s="56"/>
      <c r="N526" s="56"/>
      <c r="O526" s="56"/>
      <c r="P526" s="57">
        <f t="shared" ref="P526:P527" si="328">M526-N526-O526</f>
        <v>0</v>
      </c>
      <c r="Q526" s="57">
        <f t="shared" ref="Q526:Q527" si="329">IF(P526&gt;0,IF(K526="Y",0,P526),0)</f>
        <v>0</v>
      </c>
      <c r="R526" s="57">
        <f t="shared" ref="R526:R527" si="330">IF(P526&gt;0,IF(K526="Y",P526,0),0)</f>
        <v>0</v>
      </c>
      <c r="S526" s="93">
        <f t="shared" ref="S526:S527" si="331">IF(P526&lt;0,P526,0)</f>
        <v>0</v>
      </c>
    </row>
    <row r="527" spans="1:19" x14ac:dyDescent="0.2">
      <c r="A527" s="60"/>
      <c r="B527" s="47"/>
      <c r="C527" s="48"/>
      <c r="D527" s="49"/>
      <c r="E527" s="50"/>
      <c r="F527" s="51"/>
      <c r="G527" s="50"/>
      <c r="H527" s="50"/>
      <c r="I527" s="52"/>
      <c r="J527" s="136"/>
      <c r="K527" s="54"/>
      <c r="L527" s="55"/>
      <c r="M527" s="56"/>
      <c r="N527" s="56"/>
      <c r="O527" s="56"/>
      <c r="P527" s="57">
        <f t="shared" si="328"/>
        <v>0</v>
      </c>
      <c r="Q527" s="57">
        <f t="shared" si="329"/>
        <v>0</v>
      </c>
      <c r="R527" s="57">
        <f t="shared" si="330"/>
        <v>0</v>
      </c>
      <c r="S527" s="93">
        <f t="shared" si="331"/>
        <v>0</v>
      </c>
    </row>
    <row r="528" spans="1:19" x14ac:dyDescent="0.2">
      <c r="A528" s="137"/>
      <c r="B528" s="47"/>
      <c r="C528" s="61"/>
      <c r="D528" s="49"/>
      <c r="E528" s="62"/>
      <c r="F528" s="138">
        <f>SUM(D528:E528)</f>
        <v>0</v>
      </c>
      <c r="G528" s="50"/>
      <c r="H528" s="62"/>
      <c r="I528" s="52"/>
      <c r="J528" s="72"/>
      <c r="K528" s="54"/>
      <c r="L528" s="55"/>
      <c r="M528" s="56"/>
      <c r="N528" s="56"/>
      <c r="O528" s="56"/>
      <c r="P528" s="58">
        <f>M528-N528-O528</f>
        <v>0</v>
      </c>
      <c r="Q528" s="58">
        <f>IF(P528&gt;0,IF(K528="Y",0,P528),0)</f>
        <v>0</v>
      </c>
      <c r="R528" s="57">
        <f>IF(P528&gt;0,IF(K528="Y",P528,0),0)</f>
        <v>0</v>
      </c>
      <c r="S528" s="59">
        <f>IF(P528&lt;0,P528,0)</f>
        <v>0</v>
      </c>
    </row>
    <row r="529" spans="1:19" ht="13.5" customHeight="1" thickBot="1" x14ac:dyDescent="0.3">
      <c r="A529" s="63"/>
      <c r="B529" s="64"/>
      <c r="C529" s="73">
        <f>SUBTOTAL(9,C525:C528)</f>
        <v>500</v>
      </c>
      <c r="D529" s="131">
        <f>SUBTOTAL(9,D525:D528)</f>
        <v>28630.35</v>
      </c>
      <c r="E529" s="75">
        <f>SUBTOTAL(9,E525:E528)</f>
        <v>0</v>
      </c>
      <c r="F529" s="65">
        <f>SUBTOTAL(9,F525:F528)</f>
        <v>28630.35</v>
      </c>
      <c r="G529" s="65">
        <v>0.01</v>
      </c>
      <c r="H529" s="67">
        <f>C529*G529</f>
        <v>5</v>
      </c>
      <c r="I529" s="84"/>
      <c r="J529" s="64"/>
      <c r="K529" s="64"/>
      <c r="L529" s="69">
        <f t="shared" ref="L529:S529" si="332">SUBTOTAL(9,L525:L528)</f>
        <v>0</v>
      </c>
      <c r="M529" s="80">
        <f t="shared" si="332"/>
        <v>0</v>
      </c>
      <c r="N529" s="80">
        <f t="shared" si="332"/>
        <v>0</v>
      </c>
      <c r="O529" s="80">
        <f t="shared" si="332"/>
        <v>0</v>
      </c>
      <c r="P529" s="80">
        <f t="shared" si="332"/>
        <v>0</v>
      </c>
      <c r="Q529" s="80">
        <f t="shared" si="332"/>
        <v>0</v>
      </c>
      <c r="R529" s="80">
        <f t="shared" si="332"/>
        <v>0</v>
      </c>
      <c r="S529" s="81">
        <f t="shared" si="332"/>
        <v>0</v>
      </c>
    </row>
    <row r="530" spans="1:19" ht="13.5" thickTop="1" x14ac:dyDescent="0.2">
      <c r="A530" s="39" t="s">
        <v>215</v>
      </c>
      <c r="B530" s="82"/>
      <c r="C530" s="44"/>
      <c r="D530" s="83"/>
      <c r="E530" s="44"/>
      <c r="F530" s="44"/>
      <c r="G530" s="44"/>
      <c r="H530" s="44"/>
      <c r="I530" s="43"/>
      <c r="J530" s="44"/>
      <c r="K530" s="44"/>
      <c r="L530" s="44"/>
      <c r="M530" s="44"/>
      <c r="N530" s="44"/>
      <c r="O530" s="44"/>
      <c r="P530" s="44"/>
      <c r="Q530" s="44"/>
      <c r="R530" s="44"/>
      <c r="S530" s="85"/>
    </row>
    <row r="531" spans="1:19" x14ac:dyDescent="0.2">
      <c r="A531" s="46" t="s">
        <v>128</v>
      </c>
      <c r="B531" s="79">
        <v>44445</v>
      </c>
      <c r="C531" s="86">
        <v>200000</v>
      </c>
      <c r="D531" s="87">
        <v>79434.48</v>
      </c>
      <c r="E531" s="88"/>
      <c r="F531" s="51">
        <f>SUM(D531:E531)</f>
        <v>79434.48</v>
      </c>
      <c r="G531" s="50"/>
      <c r="H531" s="88"/>
      <c r="I531" s="52"/>
      <c r="J531" s="89"/>
      <c r="K531" s="90"/>
      <c r="L531" s="91"/>
      <c r="M531" s="92"/>
      <c r="N531" s="92"/>
      <c r="O531" s="92"/>
      <c r="P531" s="57">
        <f>M531-N531-O531</f>
        <v>0</v>
      </c>
      <c r="Q531" s="57">
        <f>IF(P531&gt;0,IF(K531="Y",0,P531),0)</f>
        <v>0</v>
      </c>
      <c r="R531" s="57">
        <f>IF(P531&gt;0,IF(K531="Y",P531,0),0)</f>
        <v>0</v>
      </c>
      <c r="S531" s="93">
        <f>IF(P531&lt;0,P531,0)</f>
        <v>0</v>
      </c>
    </row>
    <row r="532" spans="1:19" x14ac:dyDescent="0.2">
      <c r="A532" s="60" t="s">
        <v>129</v>
      </c>
      <c r="B532" s="47">
        <v>44599</v>
      </c>
      <c r="C532" s="48">
        <v>-200000</v>
      </c>
      <c r="D532" s="49">
        <f>-D531</f>
        <v>-79434.48</v>
      </c>
      <c r="E532" s="50"/>
      <c r="F532" s="51">
        <f>SUM(D532:E532)</f>
        <v>-79434.48</v>
      </c>
      <c r="G532" s="50"/>
      <c r="H532" s="50"/>
      <c r="I532" s="52"/>
      <c r="J532" s="72">
        <f t="shared" ref="J532" si="333">B532</f>
        <v>44599</v>
      </c>
      <c r="K532" s="72" t="s">
        <v>151</v>
      </c>
      <c r="L532" s="55">
        <f t="shared" ref="L532" si="334">C532</f>
        <v>-200000</v>
      </c>
      <c r="M532" s="49">
        <v>48373.49</v>
      </c>
      <c r="N532" s="72"/>
      <c r="O532" s="49">
        <f t="shared" ref="O532" si="335">-D532</f>
        <v>79434.48</v>
      </c>
      <c r="P532" s="57">
        <f t="shared" ref="P532" si="336">M532-N532-O532</f>
        <v>-31060.989999999998</v>
      </c>
      <c r="Q532" s="57">
        <f t="shared" ref="Q532" si="337">IF(P532&gt;0,IF(K532="Y",0,P532),0)</f>
        <v>0</v>
      </c>
      <c r="R532" s="57">
        <f t="shared" ref="R532" si="338">IF(P532&gt;0,IF(K532="Y",P532,0),0)</f>
        <v>0</v>
      </c>
      <c r="S532" s="93">
        <f t="shared" ref="S532" si="339">IF(P532&lt;0,P532,0)</f>
        <v>-31060.989999999998</v>
      </c>
    </row>
    <row r="533" spans="1:19" x14ac:dyDescent="0.2">
      <c r="A533" s="137"/>
      <c r="B533" s="47"/>
      <c r="C533" s="61"/>
      <c r="D533" s="49"/>
      <c r="E533" s="62"/>
      <c r="F533" s="138">
        <f>SUM(D533:E533)</f>
        <v>0</v>
      </c>
      <c r="G533" s="50"/>
      <c r="H533" s="62"/>
      <c r="I533" s="52"/>
      <c r="J533" s="72"/>
      <c r="K533" s="54"/>
      <c r="L533" s="55"/>
      <c r="M533" s="56"/>
      <c r="N533" s="56"/>
      <c r="O533" s="56"/>
      <c r="P533" s="58">
        <f>M533-N533-O533</f>
        <v>0</v>
      </c>
      <c r="Q533" s="58">
        <f>IF(P533&gt;0,IF(K533="Y",0,P533),0)</f>
        <v>0</v>
      </c>
      <c r="R533" s="57">
        <f>IF(P533&gt;0,IF(K533="Y",P533,0),0)</f>
        <v>0</v>
      </c>
      <c r="S533" s="59">
        <f>IF(P533&lt;0,P533,0)</f>
        <v>0</v>
      </c>
    </row>
    <row r="534" spans="1:19" ht="13.5" customHeight="1" thickBot="1" x14ac:dyDescent="0.3">
      <c r="A534" s="63"/>
      <c r="B534" s="64"/>
      <c r="C534" s="73">
        <f>SUBTOTAL(9,C531:C533)</f>
        <v>0</v>
      </c>
      <c r="D534" s="131">
        <f>SUBTOTAL(9,D531:D533)</f>
        <v>0</v>
      </c>
      <c r="E534" s="75">
        <f>SUBTOTAL(9,E531:E533)</f>
        <v>0</v>
      </c>
      <c r="F534" s="65">
        <f>SUBTOTAL(9,F531:F533)</f>
        <v>0</v>
      </c>
      <c r="G534" s="65">
        <v>0.01</v>
      </c>
      <c r="H534" s="67">
        <f>C534*G534</f>
        <v>0</v>
      </c>
      <c r="I534" s="84"/>
      <c r="J534" s="64"/>
      <c r="K534" s="64"/>
      <c r="L534" s="69">
        <f t="shared" ref="L534:S534" si="340">SUBTOTAL(9,L531:L533)</f>
        <v>-200000</v>
      </c>
      <c r="M534" s="80">
        <f t="shared" si="340"/>
        <v>48373.49</v>
      </c>
      <c r="N534" s="80">
        <f t="shared" si="340"/>
        <v>0</v>
      </c>
      <c r="O534" s="80">
        <f t="shared" si="340"/>
        <v>79434.48</v>
      </c>
      <c r="P534" s="80">
        <f t="shared" si="340"/>
        <v>-31060.989999999998</v>
      </c>
      <c r="Q534" s="80">
        <f t="shared" si="340"/>
        <v>0</v>
      </c>
      <c r="R534" s="80">
        <f t="shared" si="340"/>
        <v>0</v>
      </c>
      <c r="S534" s="81">
        <f t="shared" si="340"/>
        <v>-31060.989999999998</v>
      </c>
    </row>
    <row r="535" spans="1:19" ht="13.5" thickTop="1" x14ac:dyDescent="0.2">
      <c r="A535" s="39" t="s">
        <v>216</v>
      </c>
      <c r="B535" s="40"/>
      <c r="C535" s="41"/>
      <c r="D535" s="42"/>
      <c r="E535" s="41"/>
      <c r="F535" s="41"/>
      <c r="G535" s="41"/>
      <c r="H535" s="41"/>
      <c r="I535" s="43"/>
      <c r="J535" s="44"/>
      <c r="K535" s="44"/>
      <c r="L535" s="41"/>
      <c r="M535" s="41"/>
      <c r="N535" s="41"/>
      <c r="O535" s="41"/>
      <c r="P535" s="41"/>
      <c r="Q535" s="41"/>
      <c r="R535" s="41"/>
      <c r="S535" s="45"/>
    </row>
    <row r="536" spans="1:19" x14ac:dyDescent="0.2">
      <c r="A536" s="46" t="s">
        <v>128</v>
      </c>
      <c r="B536" s="47">
        <v>43742</v>
      </c>
      <c r="C536" s="48">
        <v>75000</v>
      </c>
      <c r="D536" s="49">
        <v>48641.07</v>
      </c>
      <c r="E536" s="50"/>
      <c r="F536" s="51">
        <f>SUM(D536:E536)</f>
        <v>48641.07</v>
      </c>
      <c r="G536" s="50"/>
      <c r="H536" s="50"/>
      <c r="I536" s="52"/>
      <c r="J536" s="72"/>
      <c r="K536" s="54"/>
      <c r="L536" s="55"/>
      <c r="M536" s="56"/>
      <c r="N536" s="56"/>
      <c r="O536" s="56"/>
      <c r="P536" s="57">
        <f>M536-N536-O536</f>
        <v>0</v>
      </c>
      <c r="Q536" s="58">
        <f>IF(P536&gt;0,IF(K536="Y",0,P536),0)</f>
        <v>0</v>
      </c>
      <c r="R536" s="57">
        <f>IF(P536&gt;0,IF(K536="Y",P536,0),0)</f>
        <v>0</v>
      </c>
      <c r="S536" s="59">
        <f t="shared" ref="S536:S540" si="341">IF(P536&lt;0,P536,0)</f>
        <v>0</v>
      </c>
    </row>
    <row r="537" spans="1:19" x14ac:dyDescent="0.2">
      <c r="A537" s="46" t="s">
        <v>129</v>
      </c>
      <c r="B537" s="47">
        <v>43756</v>
      </c>
      <c r="C537" s="48">
        <v>-25000</v>
      </c>
      <c r="D537" s="49">
        <f>(D536/C536)*C537</f>
        <v>-16213.69</v>
      </c>
      <c r="E537" s="50"/>
      <c r="F537" s="51">
        <f>SUM(D537:E537)</f>
        <v>-16213.69</v>
      </c>
      <c r="G537" s="50"/>
      <c r="H537" s="50"/>
      <c r="I537" s="52"/>
      <c r="J537" s="72"/>
      <c r="K537" s="54"/>
      <c r="L537" s="55"/>
      <c r="M537" s="56"/>
      <c r="N537" s="56"/>
      <c r="O537" s="56"/>
      <c r="P537" s="57">
        <f t="shared" ref="P537:P540" si="342">M537-N537-O537</f>
        <v>0</v>
      </c>
      <c r="Q537" s="58">
        <f t="shared" ref="Q537:Q540" si="343">IF(P537&gt;0,IF(K537="Y",0,P537),0)</f>
        <v>0</v>
      </c>
      <c r="R537" s="57">
        <f t="shared" ref="R537:R540" si="344">IF(P537&gt;0,IF(K537="Y",P537,0),0)</f>
        <v>0</v>
      </c>
      <c r="S537" s="59">
        <f t="shared" si="341"/>
        <v>0</v>
      </c>
    </row>
    <row r="538" spans="1:19" x14ac:dyDescent="0.2">
      <c r="A538" s="46" t="s">
        <v>129</v>
      </c>
      <c r="B538" s="47">
        <v>43756</v>
      </c>
      <c r="C538" s="48">
        <v>-10000</v>
      </c>
      <c r="D538" s="49">
        <f>(D536/C536)*C538</f>
        <v>-6485.4759999999997</v>
      </c>
      <c r="E538" s="50"/>
      <c r="F538" s="51">
        <f>SUM(D538:E538)</f>
        <v>-6485.4759999999997</v>
      </c>
      <c r="G538" s="50"/>
      <c r="H538" s="50"/>
      <c r="I538" s="52"/>
      <c r="J538" s="72"/>
      <c r="K538" s="54"/>
      <c r="L538" s="55"/>
      <c r="M538" s="56"/>
      <c r="N538" s="56"/>
      <c r="O538" s="56"/>
      <c r="P538" s="57">
        <f t="shared" si="342"/>
        <v>0</v>
      </c>
      <c r="Q538" s="58">
        <f t="shared" si="343"/>
        <v>0</v>
      </c>
      <c r="R538" s="57">
        <f t="shared" si="344"/>
        <v>0</v>
      </c>
      <c r="S538" s="59">
        <f t="shared" si="341"/>
        <v>0</v>
      </c>
    </row>
    <row r="539" spans="1:19" x14ac:dyDescent="0.2">
      <c r="A539" s="46" t="s">
        <v>129</v>
      </c>
      <c r="B539" s="47">
        <v>43773</v>
      </c>
      <c r="C539" s="48">
        <v>-40000</v>
      </c>
      <c r="D539" s="49">
        <f>(D536/C536)*C539</f>
        <v>-25941.903999999999</v>
      </c>
      <c r="E539" s="50"/>
      <c r="F539" s="51">
        <f>SUM(D539:E539)</f>
        <v>-25941.903999999999</v>
      </c>
      <c r="G539" s="50"/>
      <c r="H539" s="50"/>
      <c r="I539" s="52"/>
      <c r="J539" s="72"/>
      <c r="K539" s="54"/>
      <c r="L539" s="55"/>
      <c r="M539" s="56"/>
      <c r="N539" s="56"/>
      <c r="O539" s="56"/>
      <c r="P539" s="57">
        <f t="shared" si="342"/>
        <v>0</v>
      </c>
      <c r="Q539" s="58">
        <f t="shared" si="343"/>
        <v>0</v>
      </c>
      <c r="R539" s="57">
        <f t="shared" si="344"/>
        <v>0</v>
      </c>
      <c r="S539" s="59">
        <f t="shared" si="341"/>
        <v>0</v>
      </c>
    </row>
    <row r="540" spans="1:19" x14ac:dyDescent="0.2">
      <c r="A540" s="60"/>
      <c r="B540" s="47"/>
      <c r="C540" s="61"/>
      <c r="D540" s="49"/>
      <c r="E540" s="62"/>
      <c r="F540" s="51">
        <f>SUM(D540:E540)</f>
        <v>0</v>
      </c>
      <c r="G540" s="50"/>
      <c r="H540" s="62"/>
      <c r="I540" s="52"/>
      <c r="J540" s="72"/>
      <c r="K540" s="54"/>
      <c r="L540" s="55"/>
      <c r="M540" s="56"/>
      <c r="N540" s="56"/>
      <c r="O540" s="56"/>
      <c r="P540" s="57">
        <f t="shared" si="342"/>
        <v>0</v>
      </c>
      <c r="Q540" s="58">
        <f t="shared" si="343"/>
        <v>0</v>
      </c>
      <c r="R540" s="57">
        <f t="shared" si="344"/>
        <v>0</v>
      </c>
      <c r="S540" s="59">
        <f t="shared" si="341"/>
        <v>0</v>
      </c>
    </row>
    <row r="541" spans="1:19" ht="13.5" customHeight="1" thickBot="1" x14ac:dyDescent="0.3">
      <c r="A541" s="63"/>
      <c r="B541" s="64"/>
      <c r="C541" s="65">
        <f>SUBTOTAL(9,C536:C540)</f>
        <v>0</v>
      </c>
      <c r="D541" s="66">
        <f>SUBTOTAL(9,D536:D540)</f>
        <v>0</v>
      </c>
      <c r="E541" s="67">
        <f>SUBTOTAL(9,E536:E540)</f>
        <v>0</v>
      </c>
      <c r="F541" s="65">
        <f>SUBTOTAL(9,F536:F540)</f>
        <v>0</v>
      </c>
      <c r="G541" s="65">
        <v>0</v>
      </c>
      <c r="H541" s="67">
        <f>C541*G541</f>
        <v>0</v>
      </c>
      <c r="I541" s="68"/>
      <c r="J541" s="68"/>
      <c r="K541" s="68"/>
      <c r="L541" s="69">
        <f t="shared" ref="L541:S541" si="345">SUBTOTAL(9,L536:L540)</f>
        <v>0</v>
      </c>
      <c r="M541" s="70">
        <f t="shared" si="345"/>
        <v>0</v>
      </c>
      <c r="N541" s="70">
        <f t="shared" si="345"/>
        <v>0</v>
      </c>
      <c r="O541" s="70">
        <f t="shared" si="345"/>
        <v>0</v>
      </c>
      <c r="P541" s="70">
        <f t="shared" si="345"/>
        <v>0</v>
      </c>
      <c r="Q541" s="70">
        <f t="shared" si="345"/>
        <v>0</v>
      </c>
      <c r="R541" s="70">
        <f t="shared" si="345"/>
        <v>0</v>
      </c>
      <c r="S541" s="71">
        <f t="shared" si="345"/>
        <v>0</v>
      </c>
    </row>
    <row r="542" spans="1:19" ht="13.5" thickTop="1" x14ac:dyDescent="0.2">
      <c r="A542" s="39" t="s">
        <v>217</v>
      </c>
      <c r="B542" s="40"/>
      <c r="C542" s="41"/>
      <c r="D542" s="42"/>
      <c r="E542" s="41"/>
      <c r="F542" s="41"/>
      <c r="G542" s="41"/>
      <c r="H542" s="41"/>
      <c r="I542" s="43"/>
      <c r="J542" s="44"/>
      <c r="K542" s="44"/>
      <c r="L542" s="41"/>
      <c r="M542" s="41"/>
      <c r="N542" s="41"/>
      <c r="O542" s="41"/>
      <c r="P542" s="41"/>
      <c r="Q542" s="41"/>
      <c r="R542" s="41"/>
      <c r="S542" s="45"/>
    </row>
    <row r="543" spans="1:19" x14ac:dyDescent="0.2">
      <c r="A543" s="46" t="s">
        <v>128</v>
      </c>
      <c r="B543" s="47">
        <v>44573</v>
      </c>
      <c r="C543" s="48">
        <v>500000</v>
      </c>
      <c r="D543" s="49">
        <v>57816.24</v>
      </c>
      <c r="E543" s="50"/>
      <c r="F543" s="51">
        <f>SUM(D543:E543)</f>
        <v>57816.24</v>
      </c>
      <c r="G543" s="50"/>
      <c r="H543" s="50"/>
      <c r="I543" s="52"/>
      <c r="J543" s="72"/>
      <c r="K543" s="54"/>
      <c r="L543" s="55"/>
      <c r="M543" s="56"/>
      <c r="N543" s="56"/>
      <c r="O543" s="56"/>
      <c r="P543" s="57">
        <f>M543-N543-O543</f>
        <v>0</v>
      </c>
      <c r="Q543" s="58">
        <f>IF(P543&gt;0,IF(K543="Y",0,P543),0)</f>
        <v>0</v>
      </c>
      <c r="R543" s="57">
        <f>IF(P543&gt;0,IF(K543="Y",P543,0),0)</f>
        <v>0</v>
      </c>
      <c r="S543" s="59">
        <f t="shared" ref="S543:S546" si="346">IF(P543&lt;0,P543,0)</f>
        <v>0</v>
      </c>
    </row>
    <row r="544" spans="1:19" x14ac:dyDescent="0.2">
      <c r="A544" s="46" t="s">
        <v>129</v>
      </c>
      <c r="B544" s="47">
        <v>44616</v>
      </c>
      <c r="C544" s="48">
        <v>-294897</v>
      </c>
      <c r="D544" s="49">
        <f>(D543/C543)*C544</f>
        <v>-34099.671454559997</v>
      </c>
      <c r="E544" s="50"/>
      <c r="F544" s="51">
        <f>SUM(D544:E544)</f>
        <v>-34099.671454559997</v>
      </c>
      <c r="G544" s="50"/>
      <c r="H544" s="50"/>
      <c r="I544" s="52"/>
      <c r="J544" s="72">
        <f t="shared" ref="J544:J545" si="347">B544</f>
        <v>44616</v>
      </c>
      <c r="K544" s="72" t="s">
        <v>151</v>
      </c>
      <c r="L544" s="55">
        <f t="shared" ref="L544:L545" si="348">C544</f>
        <v>-294897</v>
      </c>
      <c r="M544" s="49">
        <v>23465.26</v>
      </c>
      <c r="N544" s="72"/>
      <c r="O544" s="49">
        <f t="shared" ref="O544:O545" si="349">-D544</f>
        <v>34099.671454559997</v>
      </c>
      <c r="P544" s="57">
        <f t="shared" ref="P544:P546" si="350">M544-N544-O544</f>
        <v>-10634.411454559999</v>
      </c>
      <c r="Q544" s="58">
        <f t="shared" ref="Q544:Q546" si="351">IF(P544&gt;0,IF(K544="Y",0,P544),0)</f>
        <v>0</v>
      </c>
      <c r="R544" s="57">
        <f t="shared" ref="R544:R546" si="352">IF(P544&gt;0,IF(K544="Y",P544,0),0)</f>
        <v>0</v>
      </c>
      <c r="S544" s="59">
        <f t="shared" si="346"/>
        <v>-10634.411454559999</v>
      </c>
    </row>
    <row r="545" spans="1:19" x14ac:dyDescent="0.2">
      <c r="A545" s="46" t="s">
        <v>129</v>
      </c>
      <c r="B545" s="47">
        <v>44617</v>
      </c>
      <c r="C545" s="48">
        <v>-205103</v>
      </c>
      <c r="D545" s="49">
        <f>(D543/C543)*C545</f>
        <v>-23716.568545440001</v>
      </c>
      <c r="E545" s="50"/>
      <c r="F545" s="51">
        <f>SUM(D545:E545)</f>
        <v>-23716.568545440001</v>
      </c>
      <c r="G545" s="50"/>
      <c r="H545" s="50"/>
      <c r="I545" s="52"/>
      <c r="J545" s="72">
        <f t="shared" si="347"/>
        <v>44617</v>
      </c>
      <c r="K545" s="72" t="s">
        <v>151</v>
      </c>
      <c r="L545" s="55">
        <f t="shared" si="348"/>
        <v>-205103</v>
      </c>
      <c r="M545" s="49">
        <v>15998.02</v>
      </c>
      <c r="N545" s="72"/>
      <c r="O545" s="49">
        <f t="shared" si="349"/>
        <v>23716.568545440001</v>
      </c>
      <c r="P545" s="57">
        <f t="shared" si="350"/>
        <v>-7718.5485454400005</v>
      </c>
      <c r="Q545" s="58">
        <f t="shared" si="351"/>
        <v>0</v>
      </c>
      <c r="R545" s="57">
        <f t="shared" si="352"/>
        <v>0</v>
      </c>
      <c r="S545" s="59">
        <f t="shared" si="346"/>
        <v>-7718.5485454400005</v>
      </c>
    </row>
    <row r="546" spans="1:19" x14ac:dyDescent="0.2">
      <c r="A546" s="60"/>
      <c r="B546" s="47"/>
      <c r="C546" s="61"/>
      <c r="D546" s="49"/>
      <c r="E546" s="62"/>
      <c r="F546" s="51">
        <f>SUM(D546:E546)</f>
        <v>0</v>
      </c>
      <c r="G546" s="50"/>
      <c r="H546" s="62"/>
      <c r="I546" s="52"/>
      <c r="J546" s="72"/>
      <c r="K546" s="54"/>
      <c r="L546" s="55"/>
      <c r="M546" s="56"/>
      <c r="N546" s="56"/>
      <c r="O546" s="56"/>
      <c r="P546" s="57">
        <f t="shared" si="350"/>
        <v>0</v>
      </c>
      <c r="Q546" s="58">
        <f t="shared" si="351"/>
        <v>0</v>
      </c>
      <c r="R546" s="57">
        <f t="shared" si="352"/>
        <v>0</v>
      </c>
      <c r="S546" s="59">
        <f t="shared" si="346"/>
        <v>0</v>
      </c>
    </row>
    <row r="547" spans="1:19" ht="13.5" customHeight="1" thickBot="1" x14ac:dyDescent="0.3">
      <c r="A547" s="63"/>
      <c r="B547" s="64"/>
      <c r="C547" s="65">
        <f>SUBTOTAL(9,C543:C546)</f>
        <v>0</v>
      </c>
      <c r="D547" s="66">
        <f>SUBTOTAL(9,D543:D546)</f>
        <v>0</v>
      </c>
      <c r="E547" s="67">
        <f>SUBTOTAL(9,E543:E546)</f>
        <v>0</v>
      </c>
      <c r="F547" s="65">
        <f>SUBTOTAL(9,F543:F546)</f>
        <v>0</v>
      </c>
      <c r="G547" s="65">
        <v>0</v>
      </c>
      <c r="H547" s="67">
        <f>C547*G547</f>
        <v>0</v>
      </c>
      <c r="I547" s="68"/>
      <c r="J547" s="68"/>
      <c r="K547" s="68"/>
      <c r="L547" s="69">
        <f t="shared" ref="L547:S547" si="353">SUBTOTAL(9,L543:L546)</f>
        <v>-500000</v>
      </c>
      <c r="M547" s="70">
        <f t="shared" si="353"/>
        <v>39463.279999999999</v>
      </c>
      <c r="N547" s="70">
        <f t="shared" si="353"/>
        <v>0</v>
      </c>
      <c r="O547" s="70">
        <f t="shared" si="353"/>
        <v>57816.24</v>
      </c>
      <c r="P547" s="70">
        <f t="shared" si="353"/>
        <v>-18352.96</v>
      </c>
      <c r="Q547" s="70">
        <f t="shared" si="353"/>
        <v>0</v>
      </c>
      <c r="R547" s="70">
        <f t="shared" si="353"/>
        <v>0</v>
      </c>
      <c r="S547" s="71">
        <f t="shared" si="353"/>
        <v>-18352.96</v>
      </c>
    </row>
    <row r="548" spans="1:19" ht="13.5" thickTop="1" x14ac:dyDescent="0.2">
      <c r="A548" s="39" t="s">
        <v>218</v>
      </c>
      <c r="B548" s="40"/>
      <c r="C548" s="41"/>
      <c r="D548" s="42"/>
      <c r="E548" s="41"/>
      <c r="F548" s="41"/>
      <c r="G548" s="41"/>
      <c r="H548" s="41"/>
      <c r="I548" s="43"/>
      <c r="J548" s="44"/>
      <c r="K548" s="44"/>
      <c r="L548" s="41"/>
      <c r="M548" s="41"/>
      <c r="N548" s="41"/>
      <c r="O548" s="41"/>
      <c r="P548" s="41"/>
      <c r="Q548" s="41"/>
      <c r="R548" s="41"/>
      <c r="S548" s="45"/>
    </row>
    <row r="549" spans="1:19" x14ac:dyDescent="0.2">
      <c r="A549" s="46" t="s">
        <v>128</v>
      </c>
      <c r="B549" s="47">
        <v>44202</v>
      </c>
      <c r="C549" s="48">
        <v>200000</v>
      </c>
      <c r="D549" s="49">
        <v>30165</v>
      </c>
      <c r="E549" s="50"/>
      <c r="F549" s="51">
        <f t="shared" ref="F549:F557" si="354">SUM(D549:E549)</f>
        <v>30165</v>
      </c>
      <c r="G549" s="50"/>
      <c r="H549" s="50"/>
      <c r="I549" s="52"/>
      <c r="J549" s="72"/>
      <c r="K549" s="54"/>
      <c r="L549" s="55"/>
      <c r="M549" s="56"/>
      <c r="N549" s="56"/>
      <c r="O549" s="56"/>
      <c r="P549" s="57">
        <f>M549-N549-O549</f>
        <v>0</v>
      </c>
      <c r="Q549" s="58">
        <f>IF(P549&gt;0,IF(K549="Y",0,P549),0)</f>
        <v>0</v>
      </c>
      <c r="R549" s="57">
        <f>IF(P549&gt;0,IF(K549="Y",P549,0),0)</f>
        <v>0</v>
      </c>
      <c r="S549" s="59">
        <f t="shared" ref="S549:S557" si="355">IF(P549&lt;0,P549,0)</f>
        <v>0</v>
      </c>
    </row>
    <row r="550" spans="1:19" x14ac:dyDescent="0.2">
      <c r="A550" s="46" t="s">
        <v>128</v>
      </c>
      <c r="B550" s="47">
        <v>44277</v>
      </c>
      <c r="C550" s="48">
        <v>240755</v>
      </c>
      <c r="D550" s="49">
        <f>33891.08</f>
        <v>33891.08</v>
      </c>
      <c r="E550" s="50"/>
      <c r="F550" s="51">
        <f t="shared" si="354"/>
        <v>33891.08</v>
      </c>
      <c r="G550" s="50"/>
      <c r="H550" s="50"/>
      <c r="I550" s="52"/>
      <c r="J550" s="72"/>
      <c r="K550" s="54"/>
      <c r="L550" s="55"/>
      <c r="M550" s="56"/>
      <c r="N550" s="56"/>
      <c r="O550" s="56"/>
      <c r="P550" s="57">
        <f t="shared" ref="P550:P557" si="356">M550-N550-O550</f>
        <v>0</v>
      </c>
      <c r="Q550" s="58">
        <f t="shared" ref="Q550:Q557" si="357">IF(P550&gt;0,IF(K550="Y",0,P550),0)</f>
        <v>0</v>
      </c>
      <c r="R550" s="57">
        <f t="shared" ref="R550:R557" si="358">IF(P550&gt;0,IF(K550="Y",P550,0),0)</f>
        <v>0</v>
      </c>
      <c r="S550" s="59">
        <f t="shared" si="355"/>
        <v>0</v>
      </c>
    </row>
    <row r="551" spans="1:19" x14ac:dyDescent="0.2">
      <c r="A551" s="46" t="s">
        <v>128</v>
      </c>
      <c r="B551" s="47">
        <v>44278</v>
      </c>
      <c r="C551" s="48">
        <v>59245</v>
      </c>
      <c r="D551" s="49">
        <v>8339.92</v>
      </c>
      <c r="E551" s="50"/>
      <c r="F551" s="51">
        <f t="shared" si="354"/>
        <v>8339.92</v>
      </c>
      <c r="G551" s="50"/>
      <c r="H551" s="50"/>
      <c r="I551" s="52"/>
      <c r="J551" s="72"/>
      <c r="K551" s="54"/>
      <c r="L551" s="55"/>
      <c r="M551" s="56"/>
      <c r="N551" s="56"/>
      <c r="O551" s="56"/>
      <c r="P551" s="57">
        <f t="shared" si="356"/>
        <v>0</v>
      </c>
      <c r="Q551" s="58">
        <f t="shared" si="357"/>
        <v>0</v>
      </c>
      <c r="R551" s="57">
        <f t="shared" si="358"/>
        <v>0</v>
      </c>
      <c r="S551" s="59">
        <f t="shared" si="355"/>
        <v>0</v>
      </c>
    </row>
    <row r="552" spans="1:19" x14ac:dyDescent="0.2">
      <c r="A552" s="46" t="s">
        <v>128</v>
      </c>
      <c r="B552" s="47">
        <v>44298</v>
      </c>
      <c r="C552" s="48">
        <v>55572</v>
      </c>
      <c r="D552" s="49">
        <v>8940.43</v>
      </c>
      <c r="E552" s="50"/>
      <c r="F552" s="51">
        <f t="shared" si="354"/>
        <v>8940.43</v>
      </c>
      <c r="G552" s="50"/>
      <c r="H552" s="50"/>
      <c r="I552" s="52"/>
      <c r="J552" s="72"/>
      <c r="K552" s="54"/>
      <c r="L552" s="55"/>
      <c r="M552" s="56"/>
      <c r="N552" s="56"/>
      <c r="O552" s="56"/>
      <c r="P552" s="57">
        <f t="shared" si="356"/>
        <v>0</v>
      </c>
      <c r="Q552" s="58">
        <f t="shared" si="357"/>
        <v>0</v>
      </c>
      <c r="R552" s="57">
        <f t="shared" si="358"/>
        <v>0</v>
      </c>
      <c r="S552" s="59">
        <f t="shared" si="355"/>
        <v>0</v>
      </c>
    </row>
    <row r="553" spans="1:19" x14ac:dyDescent="0.2">
      <c r="A553" s="60" t="s">
        <v>128</v>
      </c>
      <c r="B553" s="47">
        <v>44300</v>
      </c>
      <c r="C553" s="48">
        <v>115802</v>
      </c>
      <c r="D553" s="49">
        <v>20970.86</v>
      </c>
      <c r="E553" s="50"/>
      <c r="F553" s="51">
        <f t="shared" si="354"/>
        <v>20970.86</v>
      </c>
      <c r="G553" s="50"/>
      <c r="H553" s="50"/>
      <c r="I553" s="52"/>
      <c r="J553" s="72"/>
      <c r="K553" s="54"/>
      <c r="L553" s="55"/>
      <c r="M553" s="56"/>
      <c r="N553" s="56"/>
      <c r="O553" s="56"/>
      <c r="P553" s="57">
        <f t="shared" si="356"/>
        <v>0</v>
      </c>
      <c r="Q553" s="58">
        <f t="shared" si="357"/>
        <v>0</v>
      </c>
      <c r="R553" s="57">
        <f t="shared" si="358"/>
        <v>0</v>
      </c>
      <c r="S553" s="59">
        <f t="shared" si="355"/>
        <v>0</v>
      </c>
    </row>
    <row r="554" spans="1:19" x14ac:dyDescent="0.2">
      <c r="A554" s="60" t="s">
        <v>128</v>
      </c>
      <c r="B554" s="47">
        <v>44301</v>
      </c>
      <c r="C554" s="48">
        <v>82217</v>
      </c>
      <c r="D554" s="49">
        <v>14868.6</v>
      </c>
      <c r="E554" s="62"/>
      <c r="F554" s="51">
        <f t="shared" si="354"/>
        <v>14868.6</v>
      </c>
      <c r="G554" s="50"/>
      <c r="H554" s="62"/>
      <c r="I554" s="52"/>
      <c r="J554" s="72"/>
      <c r="K554" s="54"/>
      <c r="L554" s="55"/>
      <c r="M554" s="56"/>
      <c r="N554" s="56"/>
      <c r="O554" s="56"/>
      <c r="P554" s="57">
        <f t="shared" si="356"/>
        <v>0</v>
      </c>
      <c r="Q554" s="58">
        <f t="shared" si="357"/>
        <v>0</v>
      </c>
      <c r="R554" s="57">
        <f t="shared" si="358"/>
        <v>0</v>
      </c>
      <c r="S554" s="59">
        <f t="shared" si="355"/>
        <v>0</v>
      </c>
    </row>
    <row r="555" spans="1:19" x14ac:dyDescent="0.2">
      <c r="A555" s="60" t="s">
        <v>128</v>
      </c>
      <c r="B555" s="47">
        <v>44302</v>
      </c>
      <c r="C555" s="48">
        <v>5779</v>
      </c>
      <c r="D555" s="49">
        <v>1045.94</v>
      </c>
      <c r="E555" s="50"/>
      <c r="F555" s="51">
        <f t="shared" si="354"/>
        <v>1045.94</v>
      </c>
      <c r="G555" s="50"/>
      <c r="H555" s="50"/>
      <c r="I555" s="52"/>
      <c r="J555" s="72"/>
      <c r="K555" s="54"/>
      <c r="L555" s="55"/>
      <c r="M555" s="56"/>
      <c r="N555" s="56"/>
      <c r="O555" s="56"/>
      <c r="P555" s="57">
        <f t="shared" si="356"/>
        <v>0</v>
      </c>
      <c r="Q555" s="58">
        <f t="shared" si="357"/>
        <v>0</v>
      </c>
      <c r="R555" s="57">
        <f t="shared" si="358"/>
        <v>0</v>
      </c>
      <c r="S555" s="59">
        <f t="shared" si="355"/>
        <v>0</v>
      </c>
    </row>
    <row r="556" spans="1:19" x14ac:dyDescent="0.2">
      <c r="A556" s="60" t="s">
        <v>128</v>
      </c>
      <c r="B556" s="47">
        <v>44306</v>
      </c>
      <c r="C556" s="48">
        <v>240630</v>
      </c>
      <c r="D556" s="49">
        <v>48390.69</v>
      </c>
      <c r="E556" s="50"/>
      <c r="F556" s="51">
        <f t="shared" si="354"/>
        <v>48390.69</v>
      </c>
      <c r="G556" s="50"/>
      <c r="H556" s="50"/>
      <c r="I556" s="52"/>
      <c r="J556" s="72"/>
      <c r="K556" s="54"/>
      <c r="L556" s="55"/>
      <c r="M556" s="56"/>
      <c r="N556" s="56"/>
      <c r="O556" s="56"/>
      <c r="P556" s="57">
        <f t="shared" si="356"/>
        <v>0</v>
      </c>
      <c r="Q556" s="58">
        <f t="shared" si="357"/>
        <v>0</v>
      </c>
      <c r="R556" s="57">
        <f t="shared" si="358"/>
        <v>0</v>
      </c>
      <c r="S556" s="59">
        <f t="shared" si="355"/>
        <v>0</v>
      </c>
    </row>
    <row r="557" spans="1:19" x14ac:dyDescent="0.2">
      <c r="A557" s="121"/>
      <c r="B557" s="114"/>
      <c r="C557" s="111"/>
      <c r="D557" s="112"/>
      <c r="E557" s="112"/>
      <c r="F557" s="51">
        <f t="shared" si="354"/>
        <v>0</v>
      </c>
      <c r="G557" s="112"/>
      <c r="H557" s="112"/>
      <c r="I557" s="52"/>
      <c r="J557" s="114"/>
      <c r="K557" s="115"/>
      <c r="L557" s="116"/>
      <c r="M557" s="117"/>
      <c r="N557" s="117"/>
      <c r="O557" s="117"/>
      <c r="P557" s="57">
        <f t="shared" si="356"/>
        <v>0</v>
      </c>
      <c r="Q557" s="58">
        <f t="shared" si="357"/>
        <v>0</v>
      </c>
      <c r="R557" s="57">
        <f t="shared" si="358"/>
        <v>0</v>
      </c>
      <c r="S557" s="59">
        <f t="shared" si="355"/>
        <v>0</v>
      </c>
    </row>
    <row r="558" spans="1:19" ht="13.5" customHeight="1" thickBot="1" x14ac:dyDescent="0.3">
      <c r="A558" s="63"/>
      <c r="B558" s="64"/>
      <c r="C558" s="73">
        <f>SUBTOTAL(9,C549:C557)</f>
        <v>1000000</v>
      </c>
      <c r="D558" s="66">
        <f>SUBTOTAL(9,D549:D557)</f>
        <v>166612.52000000002</v>
      </c>
      <c r="E558" s="67">
        <f>SUBTOTAL(9,E549:E557)</f>
        <v>0</v>
      </c>
      <c r="F558" s="65">
        <f>SUBTOTAL(9,F549:F557)</f>
        <v>166612.52000000002</v>
      </c>
      <c r="G558" s="65">
        <f>40000/C558</f>
        <v>0.04</v>
      </c>
      <c r="H558" s="67">
        <f>C558*G558</f>
        <v>40000</v>
      </c>
      <c r="I558" s="68"/>
      <c r="J558" s="68"/>
      <c r="K558" s="68"/>
      <c r="L558" s="69">
        <f>SUBTOTAL(9,L549:L557)</f>
        <v>0</v>
      </c>
      <c r="M558" s="65">
        <f t="shared" ref="M558:S558" si="359">SUBTOTAL(9,M549:M557)</f>
        <v>0</v>
      </c>
      <c r="N558" s="65">
        <f t="shared" si="359"/>
        <v>0</v>
      </c>
      <c r="O558" s="65">
        <f t="shared" si="359"/>
        <v>0</v>
      </c>
      <c r="P558" s="65">
        <f t="shared" si="359"/>
        <v>0</v>
      </c>
      <c r="Q558" s="65">
        <f t="shared" si="359"/>
        <v>0</v>
      </c>
      <c r="R558" s="65">
        <f t="shared" si="359"/>
        <v>0</v>
      </c>
      <c r="S558" s="65">
        <f t="shared" si="359"/>
        <v>0</v>
      </c>
    </row>
    <row r="559" spans="1:19" ht="13.5" thickTop="1" x14ac:dyDescent="0.2">
      <c r="A559" s="39" t="s">
        <v>219</v>
      </c>
      <c r="B559" s="40"/>
      <c r="C559" s="41"/>
      <c r="D559" s="42"/>
      <c r="E559" s="41"/>
      <c r="F559" s="41"/>
      <c r="G559" s="41"/>
      <c r="H559" s="41"/>
      <c r="I559" s="43"/>
      <c r="J559" s="44"/>
      <c r="K559" s="44"/>
      <c r="L559" s="41"/>
      <c r="M559" s="41"/>
      <c r="N559" s="41"/>
      <c r="O559" s="41"/>
      <c r="P559" s="41"/>
      <c r="Q559" s="41"/>
      <c r="R559" s="41"/>
      <c r="S559" s="45"/>
    </row>
    <row r="560" spans="1:19" x14ac:dyDescent="0.2">
      <c r="A560" s="46" t="s">
        <v>128</v>
      </c>
      <c r="B560" s="47">
        <v>43682</v>
      </c>
      <c r="C560" s="48">
        <v>10000</v>
      </c>
      <c r="D560" s="49">
        <v>24735.3</v>
      </c>
      <c r="E560" s="50"/>
      <c r="F560" s="51">
        <f>SUM(D560:E560)</f>
        <v>24735.3</v>
      </c>
      <c r="G560" s="50"/>
      <c r="H560" s="50"/>
      <c r="I560" s="52"/>
      <c r="J560" s="72"/>
      <c r="K560" s="54"/>
      <c r="L560" s="55"/>
      <c r="M560" s="56"/>
      <c r="N560" s="56"/>
      <c r="O560" s="56"/>
      <c r="P560" s="57">
        <f>M560-N560-O560</f>
        <v>0</v>
      </c>
      <c r="Q560" s="58">
        <f>IF(P560&gt;0,IF(K560="Y",0,P560),0)</f>
        <v>0</v>
      </c>
      <c r="R560" s="57">
        <f>IF(P560&gt;0,IF(K560="Y",P560,0),0)</f>
        <v>0</v>
      </c>
      <c r="S560" s="59">
        <f>IF(P560&lt;0,P560,0)</f>
        <v>0</v>
      </c>
    </row>
    <row r="561" spans="1:19" x14ac:dyDescent="0.2">
      <c r="A561" s="46" t="s">
        <v>128</v>
      </c>
      <c r="B561" s="47">
        <v>43682</v>
      </c>
      <c r="C561" s="48">
        <v>10000</v>
      </c>
      <c r="D561" s="49">
        <v>25137.5</v>
      </c>
      <c r="E561" s="50"/>
      <c r="F561" s="51">
        <f>SUM(D561:E561)</f>
        <v>25137.5</v>
      </c>
      <c r="G561" s="50"/>
      <c r="H561" s="50"/>
      <c r="I561" s="52"/>
      <c r="J561" s="72"/>
      <c r="K561" s="54"/>
      <c r="L561" s="55"/>
      <c r="M561" s="56"/>
      <c r="N561" s="56"/>
      <c r="O561" s="56"/>
      <c r="P561" s="57">
        <f>M561-N561-O561</f>
        <v>0</v>
      </c>
      <c r="Q561" s="58">
        <f>IF(P561&gt;0,IF(K561="Y",0,P561),0)</f>
        <v>0</v>
      </c>
      <c r="R561" s="57">
        <f>IF(P561&gt;0,IF(K561="Y",P561,0),0)</f>
        <v>0</v>
      </c>
      <c r="S561" s="59">
        <f>IF(P561&lt;0,P561,0)</f>
        <v>0</v>
      </c>
    </row>
    <row r="562" spans="1:19" x14ac:dyDescent="0.2">
      <c r="A562" s="46" t="s">
        <v>128</v>
      </c>
      <c r="B562" s="47">
        <v>43738</v>
      </c>
      <c r="C562" s="48">
        <v>20000</v>
      </c>
      <c r="D562" s="49">
        <v>44018.65</v>
      </c>
      <c r="E562" s="50"/>
      <c r="F562" s="51">
        <f>SUM(D562:E562)</f>
        <v>44018.65</v>
      </c>
      <c r="G562" s="50"/>
      <c r="H562" s="50"/>
      <c r="I562" s="52"/>
      <c r="J562" s="72"/>
      <c r="K562" s="54"/>
      <c r="L562" s="55"/>
      <c r="M562" s="56"/>
      <c r="N562" s="56"/>
      <c r="O562" s="56"/>
      <c r="P562" s="57">
        <f>M562-N562-O562</f>
        <v>0</v>
      </c>
      <c r="Q562" s="58">
        <f>IF(P562&gt;0,IF(K562="Y",0,P562),0)</f>
        <v>0</v>
      </c>
      <c r="R562" s="57">
        <f>IF(P562&gt;0,IF(K562="Y",P562,0),0)</f>
        <v>0</v>
      </c>
      <c r="S562" s="59">
        <f>IF(P562&lt;0,P562,0)</f>
        <v>0</v>
      </c>
    </row>
    <row r="563" spans="1:19" x14ac:dyDescent="0.2">
      <c r="A563" s="46" t="s">
        <v>129</v>
      </c>
      <c r="B563" s="47">
        <v>43955</v>
      </c>
      <c r="C563" s="48">
        <v>-40000</v>
      </c>
      <c r="D563" s="49">
        <f>-SUM(D560:D562)</f>
        <v>-93891.450000000012</v>
      </c>
      <c r="E563" s="50"/>
      <c r="F563" s="51">
        <f>SUM(D563:E563)</f>
        <v>-93891.450000000012</v>
      </c>
      <c r="G563" s="50"/>
      <c r="H563" s="50"/>
      <c r="I563" s="52"/>
      <c r="J563" s="72"/>
      <c r="K563" s="54"/>
      <c r="L563" s="55"/>
      <c r="M563" s="56"/>
      <c r="N563" s="56"/>
      <c r="O563" s="56"/>
      <c r="P563" s="57">
        <f>M563-N563-O563</f>
        <v>0</v>
      </c>
      <c r="Q563" s="58">
        <f>IF(P563&gt;0,IF(K563="Y",0,P563),0)</f>
        <v>0</v>
      </c>
      <c r="R563" s="57">
        <f>IF(P563&gt;0,IF(K563="Y",P563,0),0)</f>
        <v>0</v>
      </c>
      <c r="S563" s="59">
        <f>IF(P563&lt;0,P563,0)</f>
        <v>0</v>
      </c>
    </row>
    <row r="564" spans="1:19" x14ac:dyDescent="0.2">
      <c r="A564" s="60"/>
      <c r="B564" s="47"/>
      <c r="C564" s="48"/>
      <c r="D564" s="49"/>
      <c r="E564" s="50"/>
      <c r="F564" s="51">
        <f>SUM(D564:E564)</f>
        <v>0</v>
      </c>
      <c r="G564" s="50"/>
      <c r="H564" s="50"/>
      <c r="I564" s="52"/>
      <c r="J564" s="72"/>
      <c r="K564" s="54"/>
      <c r="L564" s="55"/>
      <c r="M564" s="56"/>
      <c r="N564" s="56"/>
      <c r="O564" s="56"/>
      <c r="P564" s="57">
        <f>M564-N564-O564</f>
        <v>0</v>
      </c>
      <c r="Q564" s="58">
        <f>IF(P564&gt;0,IF(K564="Y",0,P564),0)</f>
        <v>0</v>
      </c>
      <c r="R564" s="57">
        <f>IF(P564&gt;0,IF(K564="Y",P564,0),0)</f>
        <v>0</v>
      </c>
      <c r="S564" s="59">
        <f>IF(P564&lt;0,P564,0)</f>
        <v>0</v>
      </c>
    </row>
    <row r="565" spans="1:19" ht="13.5" customHeight="1" thickBot="1" x14ac:dyDescent="0.3">
      <c r="A565" s="63"/>
      <c r="B565" s="64"/>
      <c r="C565" s="73">
        <f>SUBTOTAL(9,C560:C564)</f>
        <v>0</v>
      </c>
      <c r="D565" s="74">
        <f>SUBTOTAL(9,D560:D564)</f>
        <v>0</v>
      </c>
      <c r="E565" s="75">
        <f>SUBTOTAL(9,E560:E564)</f>
        <v>0</v>
      </c>
      <c r="F565" s="65">
        <f>SUBTOTAL(9,F560:F564)</f>
        <v>0</v>
      </c>
      <c r="G565" s="65">
        <v>0</v>
      </c>
      <c r="H565" s="67">
        <f>C565*G565</f>
        <v>0</v>
      </c>
      <c r="I565" s="76"/>
      <c r="J565" s="77"/>
      <c r="K565" s="77"/>
      <c r="L565" s="69">
        <f t="shared" ref="L565:S565" si="360">SUBTOTAL(9,L560:L564)</f>
        <v>0</v>
      </c>
      <c r="M565" s="69">
        <f t="shared" si="360"/>
        <v>0</v>
      </c>
      <c r="N565" s="69">
        <f t="shared" si="360"/>
        <v>0</v>
      </c>
      <c r="O565" s="69">
        <f t="shared" si="360"/>
        <v>0</v>
      </c>
      <c r="P565" s="69">
        <f t="shared" si="360"/>
        <v>0</v>
      </c>
      <c r="Q565" s="69">
        <f t="shared" si="360"/>
        <v>0</v>
      </c>
      <c r="R565" s="69">
        <f t="shared" si="360"/>
        <v>0</v>
      </c>
      <c r="S565" s="69">
        <f t="shared" si="360"/>
        <v>0</v>
      </c>
    </row>
    <row r="566" spans="1:19" ht="13.5" thickTop="1" x14ac:dyDescent="0.2">
      <c r="A566" s="39" t="s">
        <v>220</v>
      </c>
      <c r="B566" s="82"/>
      <c r="C566" s="44"/>
      <c r="D566" s="83"/>
      <c r="E566" s="44"/>
      <c r="F566" s="44"/>
      <c r="G566" s="44"/>
      <c r="H566" s="44"/>
      <c r="I566" s="43"/>
      <c r="J566" s="44"/>
      <c r="K566" s="44"/>
      <c r="L566" s="44"/>
      <c r="M566" s="44"/>
      <c r="N566" s="44"/>
      <c r="O566" s="44"/>
      <c r="P566" s="44"/>
      <c r="Q566" s="44"/>
      <c r="R566" s="44"/>
      <c r="S566" s="85"/>
    </row>
    <row r="567" spans="1:19" x14ac:dyDescent="0.2">
      <c r="A567" s="46" t="s">
        <v>128</v>
      </c>
      <c r="B567" s="79">
        <v>42479</v>
      </c>
      <c r="C567" s="86">
        <v>9984</v>
      </c>
      <c r="D567" s="87">
        <v>1501.32</v>
      </c>
      <c r="E567" s="88"/>
      <c r="F567" s="51">
        <f>SUM(D567:E567)</f>
        <v>1501.32</v>
      </c>
      <c r="G567" s="50"/>
      <c r="H567" s="88"/>
      <c r="I567" s="52"/>
      <c r="J567" s="89"/>
      <c r="K567" s="90"/>
      <c r="L567" s="91"/>
      <c r="M567" s="92"/>
      <c r="N567" s="92"/>
      <c r="O567" s="92"/>
      <c r="P567" s="57">
        <f t="shared" ref="P567:P574" si="361">M567-N567-O567</f>
        <v>0</v>
      </c>
      <c r="Q567" s="57">
        <f t="shared" ref="Q567:Q574" si="362">IF(P567&gt;0,IF(K567="Y",0,P567),0)</f>
        <v>0</v>
      </c>
      <c r="R567" s="57">
        <f t="shared" ref="R567:R574" si="363">IF(P567&gt;0,IF(K567="Y",P567,0),0)</f>
        <v>0</v>
      </c>
      <c r="S567" s="93">
        <f t="shared" ref="S567:S574" si="364">IF(P567&lt;0,P567,0)</f>
        <v>0</v>
      </c>
    </row>
    <row r="568" spans="1:19" x14ac:dyDescent="0.2">
      <c r="A568" s="46" t="s">
        <v>128</v>
      </c>
      <c r="B568" s="79">
        <v>42480</v>
      </c>
      <c r="C568" s="86">
        <v>305016</v>
      </c>
      <c r="D568" s="87">
        <v>48925.34</v>
      </c>
      <c r="E568" s="88"/>
      <c r="F568" s="51">
        <f>SUM(D568:E568)</f>
        <v>48925.34</v>
      </c>
      <c r="G568" s="50"/>
      <c r="H568" s="88"/>
      <c r="I568" s="52"/>
      <c r="J568" s="96"/>
      <c r="K568" s="90"/>
      <c r="L568" s="91"/>
      <c r="M568" s="92"/>
      <c r="N568" s="92"/>
      <c r="O568" s="92"/>
      <c r="P568" s="57">
        <f t="shared" si="361"/>
        <v>0</v>
      </c>
      <c r="Q568" s="57">
        <f t="shared" si="362"/>
        <v>0</v>
      </c>
      <c r="R568" s="57">
        <f t="shared" si="363"/>
        <v>0</v>
      </c>
      <c r="S568" s="93">
        <f t="shared" si="364"/>
        <v>0</v>
      </c>
    </row>
    <row r="569" spans="1:19" x14ac:dyDescent="0.2">
      <c r="A569" s="46" t="s">
        <v>188</v>
      </c>
      <c r="B569" s="79">
        <v>42734</v>
      </c>
      <c r="C569" s="139">
        <v>111111</v>
      </c>
      <c r="D569" s="87">
        <v>14999.99</v>
      </c>
      <c r="E569" s="122"/>
      <c r="F569" s="51">
        <f>SUM(D569:E569)</f>
        <v>14999.99</v>
      </c>
      <c r="G569" s="50"/>
      <c r="H569" s="122"/>
      <c r="I569" s="52"/>
      <c r="J569" s="96"/>
      <c r="K569" s="90"/>
      <c r="L569" s="91"/>
      <c r="M569" s="92"/>
      <c r="N569" s="92"/>
      <c r="O569" s="92"/>
      <c r="P569" s="57">
        <f t="shared" si="361"/>
        <v>0</v>
      </c>
      <c r="Q569" s="57">
        <f t="shared" si="362"/>
        <v>0</v>
      </c>
      <c r="R569" s="57">
        <f t="shared" si="363"/>
        <v>0</v>
      </c>
      <c r="S569" s="93">
        <f t="shared" si="364"/>
        <v>0</v>
      </c>
    </row>
    <row r="570" spans="1:19" x14ac:dyDescent="0.2">
      <c r="A570" s="46" t="s">
        <v>213</v>
      </c>
      <c r="B570" s="47">
        <v>43677</v>
      </c>
      <c r="C570" s="140">
        <v>21306</v>
      </c>
      <c r="D570" s="141">
        <f>C570*0.093</f>
        <v>1981.4580000000001</v>
      </c>
      <c r="E570" s="62"/>
      <c r="F570" s="51">
        <f>SUM(D570:E570)</f>
        <v>1981.4580000000001</v>
      </c>
      <c r="G570" s="50"/>
      <c r="H570" s="62"/>
      <c r="I570" s="52"/>
      <c r="J570" s="96"/>
      <c r="K570" s="90"/>
      <c r="L570" s="91"/>
      <c r="M570" s="92"/>
      <c r="N570" s="92"/>
      <c r="O570" s="92"/>
      <c r="P570" s="57">
        <f t="shared" si="361"/>
        <v>0</v>
      </c>
      <c r="Q570" s="57">
        <f t="shared" si="362"/>
        <v>0</v>
      </c>
      <c r="R570" s="57">
        <f t="shared" si="363"/>
        <v>0</v>
      </c>
      <c r="S570" s="93">
        <f t="shared" si="364"/>
        <v>0</v>
      </c>
    </row>
    <row r="571" spans="1:19" x14ac:dyDescent="0.2">
      <c r="A571" s="46" t="s">
        <v>213</v>
      </c>
      <c r="B571" s="114">
        <v>44153</v>
      </c>
      <c r="C571" s="142">
        <v>49713</v>
      </c>
      <c r="D571" s="143">
        <v>4971.3</v>
      </c>
      <c r="E571" s="113"/>
      <c r="F571" s="51">
        <f t="shared" ref="F571:F574" si="365">SUM(D571:E571)</f>
        <v>4971.3</v>
      </c>
      <c r="G571" s="112"/>
      <c r="H571" s="113"/>
      <c r="I571" s="52"/>
      <c r="J571" s="96"/>
      <c r="K571" s="90"/>
      <c r="L571" s="91"/>
      <c r="M571" s="92"/>
      <c r="N571" s="92"/>
      <c r="O571" s="92"/>
      <c r="P571" s="57">
        <f t="shared" si="361"/>
        <v>0</v>
      </c>
      <c r="Q571" s="57">
        <f t="shared" si="362"/>
        <v>0</v>
      </c>
      <c r="R571" s="57">
        <f t="shared" si="363"/>
        <v>0</v>
      </c>
      <c r="S571" s="93">
        <f t="shared" si="364"/>
        <v>0</v>
      </c>
    </row>
    <row r="572" spans="1:19" x14ac:dyDescent="0.2">
      <c r="A572" s="46" t="s">
        <v>129</v>
      </c>
      <c r="B572" s="79">
        <v>44614</v>
      </c>
      <c r="C572" s="86">
        <v>-280118</v>
      </c>
      <c r="D572" s="87">
        <f>-D567+((D568/C568)*(C567+C572))</f>
        <v>-44831.498730164974</v>
      </c>
      <c r="E572" s="88"/>
      <c r="F572" s="51">
        <f t="shared" si="365"/>
        <v>-44831.498730164974</v>
      </c>
      <c r="G572" s="50"/>
      <c r="H572" s="88"/>
      <c r="I572" s="52"/>
      <c r="J572" s="96">
        <f t="shared" ref="J572:J573" si="366">B572</f>
        <v>44614</v>
      </c>
      <c r="K572" s="90" t="s">
        <v>142</v>
      </c>
      <c r="L572" s="91">
        <f t="shared" ref="L572:L573" si="367">C572</f>
        <v>-280118</v>
      </c>
      <c r="M572" s="92">
        <v>18207.66</v>
      </c>
      <c r="N572" s="92"/>
      <c r="O572" s="92">
        <f t="shared" ref="O572:O573" si="368">-D572</f>
        <v>44831.498730164974</v>
      </c>
      <c r="P572" s="57">
        <f t="shared" si="361"/>
        <v>-26623.838730164975</v>
      </c>
      <c r="Q572" s="57">
        <f t="shared" si="362"/>
        <v>0</v>
      </c>
      <c r="R572" s="57">
        <f t="shared" si="363"/>
        <v>0</v>
      </c>
      <c r="S572" s="93">
        <f t="shared" si="364"/>
        <v>-26623.838730164975</v>
      </c>
    </row>
    <row r="573" spans="1:19" x14ac:dyDescent="0.2">
      <c r="A573" s="46" t="s">
        <v>129</v>
      </c>
      <c r="B573" s="79">
        <v>44615</v>
      </c>
      <c r="C573" s="86">
        <v>-217012</v>
      </c>
      <c r="D573" s="87">
        <f>(D568/C568)*(-(C567+C568+C572))-D569-D570-D571</f>
        <v>-27547.909269835021</v>
      </c>
      <c r="E573" s="88"/>
      <c r="F573" s="51">
        <f t="shared" si="365"/>
        <v>-27547.909269835021</v>
      </c>
      <c r="G573" s="50"/>
      <c r="H573" s="88"/>
      <c r="I573" s="52"/>
      <c r="J573" s="96">
        <f t="shared" si="366"/>
        <v>44615</v>
      </c>
      <c r="K573" s="90" t="s">
        <v>142</v>
      </c>
      <c r="L573" s="91">
        <f t="shared" si="367"/>
        <v>-217012</v>
      </c>
      <c r="M573" s="92">
        <v>14105.77</v>
      </c>
      <c r="N573" s="92"/>
      <c r="O573" s="92">
        <f t="shared" si="368"/>
        <v>27547.909269835021</v>
      </c>
      <c r="P573" s="57">
        <f t="shared" si="361"/>
        <v>-13442.139269835021</v>
      </c>
      <c r="Q573" s="57">
        <f t="shared" si="362"/>
        <v>0</v>
      </c>
      <c r="R573" s="57">
        <f t="shared" si="363"/>
        <v>0</v>
      </c>
      <c r="S573" s="93">
        <f t="shared" si="364"/>
        <v>-13442.139269835021</v>
      </c>
    </row>
    <row r="574" spans="1:19" x14ac:dyDescent="0.2">
      <c r="A574" s="46"/>
      <c r="B574" s="79"/>
      <c r="C574" s="86"/>
      <c r="D574" s="87"/>
      <c r="E574" s="88"/>
      <c r="F574" s="51">
        <f t="shared" si="365"/>
        <v>0</v>
      </c>
      <c r="G574" s="50"/>
      <c r="H574" s="88"/>
      <c r="I574" s="52"/>
      <c r="J574" s="96"/>
      <c r="K574" s="90"/>
      <c r="L574" s="91"/>
      <c r="M574" s="92"/>
      <c r="N574" s="92"/>
      <c r="O574" s="92"/>
      <c r="P574" s="57">
        <f t="shared" si="361"/>
        <v>0</v>
      </c>
      <c r="Q574" s="57">
        <f t="shared" si="362"/>
        <v>0</v>
      </c>
      <c r="R574" s="57">
        <f t="shared" si="363"/>
        <v>0</v>
      </c>
      <c r="S574" s="93">
        <f t="shared" si="364"/>
        <v>0</v>
      </c>
    </row>
    <row r="575" spans="1:19" ht="13.5" customHeight="1" thickBot="1" x14ac:dyDescent="0.3">
      <c r="A575" s="63"/>
      <c r="B575" s="135"/>
      <c r="C575" s="73">
        <f>SUBTOTAL(9,C567:C574)</f>
        <v>0</v>
      </c>
      <c r="D575" s="74">
        <f>SUBTOTAL(9,D567:D574)</f>
        <v>0</v>
      </c>
      <c r="E575" s="75">
        <f>SUBTOTAL(9,E567:E574)</f>
        <v>0</v>
      </c>
      <c r="F575" s="65">
        <f>SUBTOTAL(9,F567:F574)</f>
        <v>0</v>
      </c>
      <c r="G575" s="65">
        <v>0</v>
      </c>
      <c r="H575" s="67">
        <f>C575*G575</f>
        <v>0</v>
      </c>
      <c r="I575" s="84"/>
      <c r="J575" s="64"/>
      <c r="K575" s="64"/>
      <c r="L575" s="73">
        <f t="shared" ref="L575:S575" si="369">SUBTOTAL(9,L567:L574)</f>
        <v>-497130</v>
      </c>
      <c r="M575" s="65">
        <f t="shared" si="369"/>
        <v>32313.43</v>
      </c>
      <c r="N575" s="65">
        <f t="shared" si="369"/>
        <v>0</v>
      </c>
      <c r="O575" s="65">
        <f>SUBTOTAL(9,O567:O574)</f>
        <v>72379.407999999996</v>
      </c>
      <c r="P575" s="65">
        <f t="shared" si="369"/>
        <v>-40065.977999999996</v>
      </c>
      <c r="Q575" s="65">
        <f t="shared" si="369"/>
        <v>0</v>
      </c>
      <c r="R575" s="65">
        <f t="shared" si="369"/>
        <v>0</v>
      </c>
      <c r="S575" s="65">
        <f t="shared" si="369"/>
        <v>-40065.977999999996</v>
      </c>
    </row>
    <row r="576" spans="1:19" ht="13.5" customHeight="1" thickTop="1" x14ac:dyDescent="0.2">
      <c r="A576" s="39" t="s">
        <v>221</v>
      </c>
      <c r="B576" s="82"/>
      <c r="C576" s="44"/>
      <c r="D576" s="83"/>
      <c r="E576" s="44"/>
      <c r="F576" s="44"/>
      <c r="G576" s="44"/>
      <c r="H576" s="44"/>
      <c r="I576" s="43"/>
      <c r="J576" s="44"/>
      <c r="K576" s="44"/>
      <c r="L576" s="44"/>
      <c r="M576" s="44"/>
      <c r="N576" s="44"/>
      <c r="O576" s="44"/>
      <c r="P576" s="44"/>
      <c r="Q576" s="44"/>
      <c r="R576" s="44"/>
      <c r="S576" s="85"/>
    </row>
    <row r="577" spans="1:19" ht="13.5" customHeight="1" x14ac:dyDescent="0.2">
      <c r="A577" s="46" t="s">
        <v>222</v>
      </c>
      <c r="B577" s="79">
        <v>44153</v>
      </c>
      <c r="C577" s="86">
        <v>49713</v>
      </c>
      <c r="D577" s="87">
        <v>0</v>
      </c>
      <c r="E577" s="88"/>
      <c r="F577" s="51">
        <f>SUM(D577:E577)</f>
        <v>0</v>
      </c>
      <c r="G577" s="50"/>
      <c r="H577" s="88"/>
      <c r="I577" s="52"/>
      <c r="J577" s="89"/>
      <c r="K577" s="90"/>
      <c r="L577" s="91"/>
      <c r="M577" s="92"/>
      <c r="N577" s="92"/>
      <c r="O577" s="92"/>
      <c r="P577" s="57">
        <f>M577-N577-O577</f>
        <v>0</v>
      </c>
      <c r="Q577" s="57">
        <f>IF(P577&gt;0,IF(K577="Y",0,P577),0)</f>
        <v>0</v>
      </c>
      <c r="R577" s="57">
        <f>IF(P577&gt;0,IF(K577="Y",P577,0),0)</f>
        <v>0</v>
      </c>
      <c r="S577" s="93">
        <f>IF(P577&lt;0,P577,0)</f>
        <v>0</v>
      </c>
    </row>
    <row r="578" spans="1:19" ht="13.5" customHeight="1" x14ac:dyDescent="0.2">
      <c r="A578" s="46" t="s">
        <v>129</v>
      </c>
      <c r="B578" s="79">
        <v>44511</v>
      </c>
      <c r="C578" s="86">
        <v>-49713</v>
      </c>
      <c r="D578" s="87">
        <f>D577</f>
        <v>0</v>
      </c>
      <c r="E578" s="88"/>
      <c r="F578" s="51">
        <f>SUM(D578:E578)</f>
        <v>0</v>
      </c>
      <c r="G578" s="50"/>
      <c r="H578" s="88"/>
      <c r="I578" s="52"/>
      <c r="J578" s="89">
        <f t="shared" ref="J578" si="370">B578</f>
        <v>44511</v>
      </c>
      <c r="K578" s="90" t="s">
        <v>151</v>
      </c>
      <c r="L578" s="91">
        <f t="shared" ref="L578" si="371">C578</f>
        <v>-49713</v>
      </c>
      <c r="M578" s="92">
        <v>49.71</v>
      </c>
      <c r="N578" s="92"/>
      <c r="O578" s="92">
        <f t="shared" ref="O578" si="372">-D578</f>
        <v>0</v>
      </c>
      <c r="P578" s="57">
        <f t="shared" ref="P578:P579" si="373">M578-N578-O578</f>
        <v>49.71</v>
      </c>
      <c r="Q578" s="57">
        <f t="shared" ref="Q578:Q579" si="374">IF(P578&gt;0,IF(K578="Y",0,P578),0)</f>
        <v>49.71</v>
      </c>
      <c r="R578" s="57">
        <f t="shared" ref="R578:R579" si="375">IF(P578&gt;0,IF(K578="Y",P578,0),0)</f>
        <v>0</v>
      </c>
      <c r="S578" s="93">
        <f t="shared" ref="S578:S579" si="376">IF(P578&lt;0,P578,0)</f>
        <v>0</v>
      </c>
    </row>
    <row r="579" spans="1:19" ht="13.5" customHeight="1" x14ac:dyDescent="0.2">
      <c r="A579" s="46"/>
      <c r="B579" s="79"/>
      <c r="C579" s="86"/>
      <c r="D579" s="87"/>
      <c r="E579" s="88"/>
      <c r="F579" s="51">
        <f>SUM(D579:E579)</f>
        <v>0</v>
      </c>
      <c r="G579" s="50"/>
      <c r="H579" s="88"/>
      <c r="I579" s="52"/>
      <c r="J579" s="114"/>
      <c r="K579" s="115"/>
      <c r="L579" s="116"/>
      <c r="M579" s="117"/>
      <c r="N579" s="117"/>
      <c r="O579" s="117"/>
      <c r="P579" s="57">
        <f t="shared" si="373"/>
        <v>0</v>
      </c>
      <c r="Q579" s="57">
        <f t="shared" si="374"/>
        <v>0</v>
      </c>
      <c r="R579" s="57">
        <f t="shared" si="375"/>
        <v>0</v>
      </c>
      <c r="S579" s="93">
        <f t="shared" si="376"/>
        <v>0</v>
      </c>
    </row>
    <row r="580" spans="1:19" ht="13.5" customHeight="1" thickBot="1" x14ac:dyDescent="0.3">
      <c r="A580" s="63"/>
      <c r="B580" s="64"/>
      <c r="C580" s="73">
        <f>SUBTOTAL(9,C577:C579)</f>
        <v>0</v>
      </c>
      <c r="D580" s="74">
        <f>SUBTOTAL(9,D577:D579)</f>
        <v>0</v>
      </c>
      <c r="E580" s="75">
        <f>SUBTOTAL(9,E577:E579)</f>
        <v>0</v>
      </c>
      <c r="F580" s="65">
        <f>SUBTOTAL(9,F577:F579)</f>
        <v>0</v>
      </c>
      <c r="G580" s="65">
        <v>0</v>
      </c>
      <c r="H580" s="67">
        <f>C580*G580</f>
        <v>0</v>
      </c>
      <c r="I580" s="84"/>
      <c r="J580" s="64"/>
      <c r="K580" s="64"/>
      <c r="L580" s="73">
        <f>SUBTOTAL(9,L577:L579)</f>
        <v>-49713</v>
      </c>
      <c r="M580" s="65">
        <f t="shared" ref="M580:S580" si="377">SUBTOTAL(9,M577:M579)</f>
        <v>49.71</v>
      </c>
      <c r="N580" s="65">
        <f t="shared" si="377"/>
        <v>0</v>
      </c>
      <c r="O580" s="65">
        <f t="shared" si="377"/>
        <v>0</v>
      </c>
      <c r="P580" s="65">
        <f t="shared" si="377"/>
        <v>49.71</v>
      </c>
      <c r="Q580" s="65">
        <f t="shared" si="377"/>
        <v>49.71</v>
      </c>
      <c r="R580" s="65">
        <f t="shared" si="377"/>
        <v>0</v>
      </c>
      <c r="S580" s="65">
        <f t="shared" si="377"/>
        <v>0</v>
      </c>
    </row>
    <row r="581" spans="1:19" ht="13.5" thickTop="1" x14ac:dyDescent="0.2">
      <c r="A581" s="39" t="s">
        <v>223</v>
      </c>
      <c r="B581" s="82"/>
      <c r="C581" s="44"/>
      <c r="D581" s="83"/>
      <c r="E581" s="44"/>
      <c r="F581" s="44"/>
      <c r="G581" s="44"/>
      <c r="H581" s="44"/>
      <c r="I581" s="43"/>
      <c r="J581" s="44"/>
      <c r="K581" s="44"/>
      <c r="L581" s="44"/>
      <c r="M581" s="44"/>
      <c r="N581" s="44"/>
      <c r="O581" s="44"/>
      <c r="P581" s="44"/>
      <c r="Q581" s="44"/>
      <c r="R581" s="44"/>
      <c r="S581" s="85"/>
    </row>
    <row r="582" spans="1:19" x14ac:dyDescent="0.2">
      <c r="A582" s="46" t="s">
        <v>128</v>
      </c>
      <c r="B582" s="79">
        <v>42838</v>
      </c>
      <c r="C582" s="86">
        <v>2000</v>
      </c>
      <c r="D582" s="87">
        <v>2000</v>
      </c>
      <c r="E582" s="88"/>
      <c r="F582" s="51">
        <f>SUM(D582:E582)</f>
        <v>2000</v>
      </c>
      <c r="G582" s="50"/>
      <c r="H582" s="88"/>
      <c r="I582" s="52"/>
      <c r="J582" s="89"/>
      <c r="K582" s="90"/>
      <c r="L582" s="91"/>
      <c r="M582" s="92"/>
      <c r="N582" s="92"/>
      <c r="O582" s="92"/>
      <c r="P582" s="57">
        <f>M582-N582-O582</f>
        <v>0</v>
      </c>
      <c r="Q582" s="57">
        <f>IF(P582&gt;0,IF(K582="Y",0,P582),0)</f>
        <v>0</v>
      </c>
      <c r="R582" s="57">
        <f>IF(P582&gt;0,IF(K582="Y",P582,0),0)</f>
        <v>0</v>
      </c>
      <c r="S582" s="93">
        <f>IF(P582&lt;0,P582,0)</f>
        <v>0</v>
      </c>
    </row>
    <row r="583" spans="1:19" x14ac:dyDescent="0.2">
      <c r="A583" s="60" t="s">
        <v>129</v>
      </c>
      <c r="B583" s="47">
        <v>43668</v>
      </c>
      <c r="C583" s="48">
        <v>-2000</v>
      </c>
      <c r="D583" s="49">
        <v>-2000</v>
      </c>
      <c r="E583" s="62"/>
      <c r="F583" s="51">
        <f>SUM(D583:E583)</f>
        <v>-2000</v>
      </c>
      <c r="G583" s="50"/>
      <c r="H583" s="62"/>
      <c r="I583" s="52"/>
      <c r="J583" s="89"/>
      <c r="K583" s="90"/>
      <c r="L583" s="91"/>
      <c r="M583" s="92"/>
      <c r="N583" s="92"/>
      <c r="O583" s="92"/>
      <c r="P583" s="57">
        <f t="shared" ref="P583:P584" si="378">M583-N583-O583</f>
        <v>0</v>
      </c>
      <c r="Q583" s="57">
        <f t="shared" ref="Q583:Q584" si="379">IF(P583&gt;0,IF(K583="Y",0,P583),0)</f>
        <v>0</v>
      </c>
      <c r="R583" s="57">
        <f t="shared" ref="R583:R584" si="380">IF(P583&gt;0,IF(K583="Y",P583,0),0)</f>
        <v>0</v>
      </c>
      <c r="S583" s="93">
        <f t="shared" ref="S583:S584" si="381">IF(P583&lt;0,P583,0)</f>
        <v>0</v>
      </c>
    </row>
    <row r="584" spans="1:19" x14ac:dyDescent="0.2">
      <c r="A584" s="121"/>
      <c r="B584" s="114"/>
      <c r="C584" s="113"/>
      <c r="D584" s="112"/>
      <c r="E584" s="113"/>
      <c r="F584" s="51">
        <f>SUM(D584:E584)</f>
        <v>0</v>
      </c>
      <c r="G584" s="112"/>
      <c r="H584" s="113"/>
      <c r="I584" s="52"/>
      <c r="J584" s="89"/>
      <c r="K584" s="90"/>
      <c r="L584" s="91"/>
      <c r="M584" s="92"/>
      <c r="N584" s="92"/>
      <c r="O584" s="92"/>
      <c r="P584" s="57">
        <f t="shared" si="378"/>
        <v>0</v>
      </c>
      <c r="Q584" s="57">
        <f t="shared" si="379"/>
        <v>0</v>
      </c>
      <c r="R584" s="57">
        <f t="shared" si="380"/>
        <v>0</v>
      </c>
      <c r="S584" s="93">
        <f t="shared" si="381"/>
        <v>0</v>
      </c>
    </row>
    <row r="585" spans="1:19" ht="13.5" customHeight="1" thickBot="1" x14ac:dyDescent="0.3">
      <c r="A585" s="63"/>
      <c r="B585" s="64"/>
      <c r="C585" s="73">
        <f>SUBTOTAL(9,C582:C584)</f>
        <v>0</v>
      </c>
      <c r="D585" s="74">
        <f>SUBTOTAL(9,D582:D584)</f>
        <v>0</v>
      </c>
      <c r="E585" s="75">
        <f>SUBTOTAL(9,E582:E584)</f>
        <v>0</v>
      </c>
      <c r="F585" s="65">
        <f>SUBTOTAL(9,F582:F584)</f>
        <v>0</v>
      </c>
      <c r="G585" s="65">
        <v>0</v>
      </c>
      <c r="H585" s="67">
        <f>C585*G585</f>
        <v>0</v>
      </c>
      <c r="I585" s="84"/>
      <c r="J585" s="64"/>
      <c r="K585" s="64"/>
      <c r="L585" s="73">
        <f>SUBTOTAL(9,L582:L584)</f>
        <v>0</v>
      </c>
      <c r="M585" s="65">
        <f t="shared" ref="M585:S585" si="382">SUBTOTAL(9,M582:M584)</f>
        <v>0</v>
      </c>
      <c r="N585" s="65">
        <f t="shared" si="382"/>
        <v>0</v>
      </c>
      <c r="O585" s="65">
        <f t="shared" si="382"/>
        <v>0</v>
      </c>
      <c r="P585" s="65">
        <f t="shared" si="382"/>
        <v>0</v>
      </c>
      <c r="Q585" s="65">
        <f t="shared" si="382"/>
        <v>0</v>
      </c>
      <c r="R585" s="65">
        <f t="shared" si="382"/>
        <v>0</v>
      </c>
      <c r="S585" s="65">
        <f t="shared" si="382"/>
        <v>0</v>
      </c>
    </row>
    <row r="586" spans="1:19" ht="13.5" thickTop="1" x14ac:dyDescent="0.2">
      <c r="A586" s="39" t="s">
        <v>224</v>
      </c>
      <c r="B586" s="82"/>
      <c r="C586" s="44"/>
      <c r="D586" s="83"/>
      <c r="E586" s="44"/>
      <c r="F586" s="44"/>
      <c r="G586" s="44"/>
      <c r="H586" s="44"/>
      <c r="I586" s="43"/>
      <c r="J586" s="44"/>
      <c r="K586" s="44"/>
      <c r="L586" s="44"/>
      <c r="M586" s="44"/>
      <c r="N586" s="44"/>
      <c r="O586" s="44"/>
      <c r="P586" s="44"/>
      <c r="Q586" s="44"/>
      <c r="R586" s="44"/>
      <c r="S586" s="85"/>
    </row>
    <row r="587" spans="1:19" x14ac:dyDescent="0.2">
      <c r="A587" s="144" t="s">
        <v>225</v>
      </c>
      <c r="B587" s="79">
        <v>42879</v>
      </c>
      <c r="C587" s="86">
        <v>14830</v>
      </c>
      <c r="D587" s="87">
        <v>0</v>
      </c>
      <c r="E587" s="88"/>
      <c r="F587" s="51">
        <f>SUM(D587:E587)</f>
        <v>0</v>
      </c>
      <c r="G587" s="50"/>
      <c r="H587" s="88"/>
      <c r="I587" s="52"/>
      <c r="J587" s="89"/>
      <c r="K587" s="90"/>
      <c r="L587" s="91"/>
      <c r="M587" s="92"/>
      <c r="N587" s="92"/>
      <c r="O587" s="92"/>
      <c r="P587" s="57">
        <f>M587-N587-O587</f>
        <v>0</v>
      </c>
      <c r="Q587" s="57">
        <f>IF(P587&gt;0,IF(K587="Y",0,P587),0)</f>
        <v>0</v>
      </c>
      <c r="R587" s="57">
        <f>IF(P587&gt;0,IF(K587="Y",P587,0),0)</f>
        <v>0</v>
      </c>
      <c r="S587" s="93">
        <f>IF(P587&lt;0,P587,0)</f>
        <v>0</v>
      </c>
    </row>
    <row r="588" spans="1:19" x14ac:dyDescent="0.2">
      <c r="A588" s="46" t="s">
        <v>129</v>
      </c>
      <c r="B588" s="79">
        <v>44511</v>
      </c>
      <c r="C588" s="86">
        <v>-14830</v>
      </c>
      <c r="D588" s="87">
        <f>D587</f>
        <v>0</v>
      </c>
      <c r="E588" s="88"/>
      <c r="F588" s="51">
        <f>SUM(D588:E588)</f>
        <v>0</v>
      </c>
      <c r="G588" s="50"/>
      <c r="H588" s="88"/>
      <c r="I588" s="52"/>
      <c r="J588" s="72">
        <f t="shared" ref="J588" si="383">B588</f>
        <v>44511</v>
      </c>
      <c r="K588" s="72" t="s">
        <v>142</v>
      </c>
      <c r="L588" s="55">
        <f t="shared" ref="L588" si="384">C588</f>
        <v>-14830</v>
      </c>
      <c r="M588" s="87">
        <v>1038.0999999999999</v>
      </c>
      <c r="N588" s="72"/>
      <c r="O588" s="49">
        <f t="shared" ref="O588" si="385">-D588</f>
        <v>0</v>
      </c>
      <c r="P588" s="57">
        <f>M588-N588-O588</f>
        <v>1038.0999999999999</v>
      </c>
      <c r="Q588" s="57">
        <f>IF(P588&gt;0,IF(K588="Y",0,P588),0)</f>
        <v>0</v>
      </c>
      <c r="R588" s="57">
        <f>IF(P588&gt;0,IF(K588="Y",P588,0),0)</f>
        <v>1038.0999999999999</v>
      </c>
      <c r="S588" s="93">
        <f>IF(P588&lt;0,P588,0)</f>
        <v>0</v>
      </c>
    </row>
    <row r="589" spans="1:19" x14ac:dyDescent="0.2">
      <c r="A589" s="46"/>
      <c r="B589" s="79"/>
      <c r="C589" s="86"/>
      <c r="D589" s="87"/>
      <c r="E589" s="88"/>
      <c r="F589" s="51">
        <f>SUM(D589:E589)</f>
        <v>0</v>
      </c>
      <c r="G589" s="50"/>
      <c r="H589" s="88"/>
      <c r="I589" s="52"/>
      <c r="J589" s="89"/>
      <c r="K589" s="90"/>
      <c r="L589" s="91"/>
      <c r="M589" s="92"/>
      <c r="N589" s="92"/>
      <c r="O589" s="92"/>
      <c r="P589" s="57">
        <f>M589-N589-O589</f>
        <v>0</v>
      </c>
      <c r="Q589" s="57">
        <f>IF(P589&gt;0,IF(K589="Y",0,P589),0)</f>
        <v>0</v>
      </c>
      <c r="R589" s="57">
        <f>IF(P589&gt;0,IF(K589="Y",P589,0),0)</f>
        <v>0</v>
      </c>
      <c r="S589" s="93">
        <f>IF(P589&lt;0,P589,0)</f>
        <v>0</v>
      </c>
    </row>
    <row r="590" spans="1:19" ht="13.5" customHeight="1" thickBot="1" x14ac:dyDescent="0.3">
      <c r="A590" s="63"/>
      <c r="B590" s="64"/>
      <c r="C590" s="73">
        <f>SUBTOTAL(9,C587:C589)</f>
        <v>0</v>
      </c>
      <c r="D590" s="74">
        <f>SUBTOTAL(9,D587:D589)</f>
        <v>0</v>
      </c>
      <c r="E590" s="75">
        <f>SUBTOTAL(9,E587:E589)</f>
        <v>0</v>
      </c>
      <c r="F590" s="65">
        <f>SUBTOTAL(9,F587:F589)</f>
        <v>0</v>
      </c>
      <c r="G590" s="65">
        <v>0</v>
      </c>
      <c r="H590" s="67">
        <f>C590*G590</f>
        <v>0</v>
      </c>
      <c r="I590" s="76"/>
      <c r="J590" s="145"/>
      <c r="K590" s="77"/>
      <c r="L590" s="69">
        <f>SUBTOTAL(9,L587:L589)</f>
        <v>-14830</v>
      </c>
      <c r="M590" s="65">
        <f t="shared" ref="M590:S590" si="386">SUBTOTAL(9,M587:M589)</f>
        <v>1038.0999999999999</v>
      </c>
      <c r="N590" s="65">
        <f t="shared" si="386"/>
        <v>0</v>
      </c>
      <c r="O590" s="65">
        <f t="shared" si="386"/>
        <v>0</v>
      </c>
      <c r="P590" s="65">
        <f t="shared" si="386"/>
        <v>1038.0999999999999</v>
      </c>
      <c r="Q590" s="65">
        <f t="shared" si="386"/>
        <v>0</v>
      </c>
      <c r="R590" s="65">
        <f t="shared" si="386"/>
        <v>1038.0999999999999</v>
      </c>
      <c r="S590" s="65">
        <f t="shared" si="386"/>
        <v>0</v>
      </c>
    </row>
    <row r="591" spans="1:19" ht="13.5" thickTop="1" x14ac:dyDescent="0.2">
      <c r="A591" s="39" t="s">
        <v>226</v>
      </c>
      <c r="B591" s="40"/>
      <c r="C591" s="41"/>
      <c r="D591" s="42"/>
      <c r="E591" s="41"/>
      <c r="F591" s="41"/>
      <c r="G591" s="41"/>
      <c r="H591" s="41"/>
      <c r="I591" s="43"/>
      <c r="J591" s="44"/>
      <c r="K591" s="44"/>
      <c r="L591" s="41"/>
      <c r="M591" s="41"/>
      <c r="N591" s="41"/>
      <c r="O591" s="41"/>
      <c r="P591" s="41"/>
      <c r="Q591" s="41"/>
      <c r="R591" s="41"/>
      <c r="S591" s="45"/>
    </row>
    <row r="592" spans="1:19" x14ac:dyDescent="0.2">
      <c r="A592" s="46" t="s">
        <v>128</v>
      </c>
      <c r="B592" s="47">
        <v>43731</v>
      </c>
      <c r="C592" s="48">
        <v>10000</v>
      </c>
      <c r="D592" s="49">
        <v>15776.52</v>
      </c>
      <c r="E592" s="50"/>
      <c r="F592" s="51">
        <f t="shared" ref="F592:F597" si="387">SUM(D592:E592)</f>
        <v>15776.52</v>
      </c>
      <c r="G592" s="50"/>
      <c r="H592" s="50"/>
      <c r="I592" s="52"/>
      <c r="J592" s="72"/>
      <c r="K592" s="54"/>
      <c r="L592" s="55"/>
      <c r="M592" s="56"/>
      <c r="N592" s="56"/>
      <c r="O592" s="56"/>
      <c r="P592" s="57">
        <f>M592-N592-O592</f>
        <v>0</v>
      </c>
      <c r="Q592" s="58">
        <f>IF(P592&gt;0,IF(K592="Y",0,P592),0)</f>
        <v>0</v>
      </c>
      <c r="R592" s="57">
        <f>IF(P592&gt;0,IF(K592="Y",P592,0),0)</f>
        <v>0</v>
      </c>
      <c r="S592" s="59">
        <f>IF(P592&lt;0,P592,0)</f>
        <v>0</v>
      </c>
    </row>
    <row r="593" spans="1:19" x14ac:dyDescent="0.2">
      <c r="A593" s="46" t="s">
        <v>129</v>
      </c>
      <c r="B593" s="47">
        <v>43732</v>
      </c>
      <c r="C593" s="48">
        <v>-10000</v>
      </c>
      <c r="D593" s="49">
        <f>-D592</f>
        <v>-15776.52</v>
      </c>
      <c r="E593" s="50"/>
      <c r="F593" s="51">
        <f t="shared" si="387"/>
        <v>-15776.52</v>
      </c>
      <c r="G593" s="50"/>
      <c r="H593" s="50"/>
      <c r="I593" s="52"/>
      <c r="J593" s="72"/>
      <c r="K593" s="54"/>
      <c r="L593" s="55"/>
      <c r="M593" s="56"/>
      <c r="N593" s="56"/>
      <c r="O593" s="56"/>
      <c r="P593" s="57">
        <f t="shared" ref="P593:P597" si="388">M593-N593-O593</f>
        <v>0</v>
      </c>
      <c r="Q593" s="58">
        <f t="shared" ref="Q593:Q597" si="389">IF(P593&gt;0,IF(K593="Y",0,P593),0)</f>
        <v>0</v>
      </c>
      <c r="R593" s="57">
        <f t="shared" ref="R593:R597" si="390">IF(P593&gt;0,IF(K593="Y",P593,0),0)</f>
        <v>0</v>
      </c>
      <c r="S593" s="59">
        <f t="shared" ref="S593:S597" si="391">IF(P593&lt;0,P593,0)</f>
        <v>0</v>
      </c>
    </row>
    <row r="594" spans="1:19" x14ac:dyDescent="0.2">
      <c r="A594" s="46" t="s">
        <v>128</v>
      </c>
      <c r="B594" s="47">
        <v>43783</v>
      </c>
      <c r="C594" s="48">
        <v>40000</v>
      </c>
      <c r="D594" s="49">
        <v>63949.8</v>
      </c>
      <c r="E594" s="50"/>
      <c r="F594" s="51">
        <f t="shared" si="387"/>
        <v>63949.8</v>
      </c>
      <c r="G594" s="50"/>
      <c r="H594" s="50"/>
      <c r="I594" s="52"/>
      <c r="J594" s="72"/>
      <c r="K594" s="54"/>
      <c r="L594" s="55"/>
      <c r="M594" s="56"/>
      <c r="N594" s="56"/>
      <c r="O594" s="56"/>
      <c r="P594" s="57">
        <f t="shared" si="388"/>
        <v>0</v>
      </c>
      <c r="Q594" s="58">
        <f t="shared" si="389"/>
        <v>0</v>
      </c>
      <c r="R594" s="57">
        <f t="shared" si="390"/>
        <v>0</v>
      </c>
      <c r="S594" s="59">
        <f t="shared" si="391"/>
        <v>0</v>
      </c>
    </row>
    <row r="595" spans="1:19" x14ac:dyDescent="0.2">
      <c r="A595" s="46" t="s">
        <v>129</v>
      </c>
      <c r="B595" s="47">
        <v>43791</v>
      </c>
      <c r="C595" s="48">
        <v>-20000</v>
      </c>
      <c r="D595" s="49">
        <f>-D594/2</f>
        <v>-31974.9</v>
      </c>
      <c r="E595" s="50"/>
      <c r="F595" s="51">
        <f t="shared" si="387"/>
        <v>-31974.9</v>
      </c>
      <c r="G595" s="50"/>
      <c r="H595" s="50"/>
      <c r="I595" s="52"/>
      <c r="J595" s="72"/>
      <c r="K595" s="54"/>
      <c r="L595" s="55"/>
      <c r="M595" s="56"/>
      <c r="N595" s="56"/>
      <c r="O595" s="56"/>
      <c r="P595" s="57">
        <f t="shared" si="388"/>
        <v>0</v>
      </c>
      <c r="Q595" s="58">
        <f t="shared" si="389"/>
        <v>0</v>
      </c>
      <c r="R595" s="57">
        <f t="shared" si="390"/>
        <v>0</v>
      </c>
      <c r="S595" s="59">
        <f t="shared" si="391"/>
        <v>0</v>
      </c>
    </row>
    <row r="596" spans="1:19" x14ac:dyDescent="0.2">
      <c r="A596" s="60" t="s">
        <v>129</v>
      </c>
      <c r="B596" s="47">
        <v>43858</v>
      </c>
      <c r="C596" s="48">
        <v>-20000</v>
      </c>
      <c r="D596" s="49">
        <f>-D594/2</f>
        <v>-31974.9</v>
      </c>
      <c r="E596" s="50"/>
      <c r="F596" s="51">
        <f t="shared" si="387"/>
        <v>-31974.9</v>
      </c>
      <c r="G596" s="50"/>
      <c r="H596" s="50"/>
      <c r="I596" s="52"/>
      <c r="J596" s="72"/>
      <c r="K596" s="54"/>
      <c r="L596" s="55"/>
      <c r="M596" s="56"/>
      <c r="N596" s="56"/>
      <c r="O596" s="56"/>
      <c r="P596" s="57">
        <f t="shared" si="388"/>
        <v>0</v>
      </c>
      <c r="Q596" s="58">
        <f t="shared" si="389"/>
        <v>0</v>
      </c>
      <c r="R596" s="57">
        <f t="shared" si="390"/>
        <v>0</v>
      </c>
      <c r="S596" s="59">
        <f t="shared" si="391"/>
        <v>0</v>
      </c>
    </row>
    <row r="597" spans="1:19" x14ac:dyDescent="0.2">
      <c r="A597" s="60"/>
      <c r="B597" s="47"/>
      <c r="C597" s="61"/>
      <c r="D597" s="49"/>
      <c r="E597" s="62"/>
      <c r="F597" s="51">
        <f t="shared" si="387"/>
        <v>0</v>
      </c>
      <c r="G597" s="50"/>
      <c r="H597" s="62"/>
      <c r="I597" s="52"/>
      <c r="J597" s="72"/>
      <c r="K597" s="54"/>
      <c r="L597" s="55"/>
      <c r="M597" s="56"/>
      <c r="N597" s="56"/>
      <c r="O597" s="56"/>
      <c r="P597" s="57">
        <f t="shared" si="388"/>
        <v>0</v>
      </c>
      <c r="Q597" s="58">
        <f t="shared" si="389"/>
        <v>0</v>
      </c>
      <c r="R597" s="57">
        <f t="shared" si="390"/>
        <v>0</v>
      </c>
      <c r="S597" s="59">
        <f t="shared" si="391"/>
        <v>0</v>
      </c>
    </row>
    <row r="598" spans="1:19" ht="13.5" customHeight="1" thickBot="1" x14ac:dyDescent="0.3">
      <c r="A598" s="63"/>
      <c r="B598" s="64"/>
      <c r="C598" s="73">
        <f>SUBTOTAL(9,C592:C597)</f>
        <v>0</v>
      </c>
      <c r="D598" s="74">
        <f>SUBTOTAL(9,D592:D597)</f>
        <v>0</v>
      </c>
      <c r="E598" s="75">
        <f>SUBTOTAL(9,E592:E597)</f>
        <v>0</v>
      </c>
      <c r="F598" s="65">
        <f>SUBTOTAL(9,F592:F597)</f>
        <v>0</v>
      </c>
      <c r="G598" s="65">
        <v>0</v>
      </c>
      <c r="H598" s="67">
        <f>C598*G598</f>
        <v>0</v>
      </c>
      <c r="I598" s="76"/>
      <c r="J598" s="77"/>
      <c r="K598" s="77"/>
      <c r="L598" s="69">
        <f t="shared" ref="L598:S598" si="392">SUBTOTAL(9,L592:L597)</f>
        <v>0</v>
      </c>
      <c r="M598" s="80">
        <f t="shared" si="392"/>
        <v>0</v>
      </c>
      <c r="N598" s="80">
        <f t="shared" si="392"/>
        <v>0</v>
      </c>
      <c r="O598" s="80">
        <f t="shared" si="392"/>
        <v>0</v>
      </c>
      <c r="P598" s="80">
        <f t="shared" si="392"/>
        <v>0</v>
      </c>
      <c r="Q598" s="80">
        <f t="shared" si="392"/>
        <v>0</v>
      </c>
      <c r="R598" s="80">
        <f t="shared" si="392"/>
        <v>0</v>
      </c>
      <c r="S598" s="71">
        <f t="shared" si="392"/>
        <v>0</v>
      </c>
    </row>
    <row r="599" spans="1:19" ht="13.5" thickTop="1" x14ac:dyDescent="0.2">
      <c r="A599" s="39" t="s">
        <v>227</v>
      </c>
      <c r="B599" s="40"/>
      <c r="C599" s="41"/>
      <c r="D599" s="42"/>
      <c r="E599" s="41"/>
      <c r="F599" s="41"/>
      <c r="G599" s="41"/>
      <c r="H599" s="41"/>
      <c r="I599" s="43"/>
      <c r="J599" s="44"/>
      <c r="K599" s="44"/>
      <c r="L599" s="41"/>
      <c r="M599" s="41"/>
      <c r="N599" s="41"/>
      <c r="O599" s="41"/>
      <c r="P599" s="41"/>
      <c r="Q599" s="41"/>
      <c r="R599" s="41"/>
      <c r="S599" s="45"/>
    </row>
    <row r="600" spans="1:19" x14ac:dyDescent="0.2">
      <c r="A600" s="46" t="s">
        <v>128</v>
      </c>
      <c r="B600" s="47">
        <v>44447</v>
      </c>
      <c r="C600" s="48">
        <v>5600</v>
      </c>
      <c r="D600" s="49">
        <v>80005.62</v>
      </c>
      <c r="E600" s="50"/>
      <c r="F600" s="51">
        <f>SUM(D600:E600)</f>
        <v>80005.62</v>
      </c>
      <c r="G600" s="50"/>
      <c r="H600" s="50"/>
      <c r="I600" s="52"/>
      <c r="J600" s="53"/>
      <c r="K600" s="54"/>
      <c r="L600" s="55"/>
      <c r="M600" s="56"/>
      <c r="N600" s="56"/>
      <c r="O600" s="56"/>
      <c r="P600" s="57">
        <f>M600-N600-O600</f>
        <v>0</v>
      </c>
      <c r="Q600" s="58">
        <f>IF(P600&gt;0,IF(K600="Y",0,P600),0)</f>
        <v>0</v>
      </c>
      <c r="R600" s="57">
        <f>IF(P600&gt;0,IF(K600="Y",P600,0),0)</f>
        <v>0</v>
      </c>
      <c r="S600" s="59">
        <f>IF(P600&lt;0,P600,0)</f>
        <v>0</v>
      </c>
    </row>
    <row r="601" spans="1:19" x14ac:dyDescent="0.2">
      <c r="A601" s="46" t="s">
        <v>129</v>
      </c>
      <c r="B601" s="47">
        <v>44459</v>
      </c>
      <c r="C601" s="48">
        <v>-5600</v>
      </c>
      <c r="D601" s="49">
        <f>-D600</f>
        <v>-80005.62</v>
      </c>
      <c r="E601" s="50"/>
      <c r="F601" s="51">
        <f>SUM(D601:E601)</f>
        <v>-80005.62</v>
      </c>
      <c r="G601" s="50"/>
      <c r="H601" s="50"/>
      <c r="I601" s="52"/>
      <c r="J601" s="72">
        <f t="shared" ref="J601" si="393">B601</f>
        <v>44459</v>
      </c>
      <c r="K601" s="72" t="s">
        <v>151</v>
      </c>
      <c r="L601" s="55">
        <f t="shared" ref="L601" si="394">C601</f>
        <v>-5600</v>
      </c>
      <c r="M601" s="87">
        <v>81644.47</v>
      </c>
      <c r="N601" s="72"/>
      <c r="O601" s="49">
        <f t="shared" ref="O601" si="395">-D601</f>
        <v>80005.62</v>
      </c>
      <c r="P601" s="57">
        <f>M601-N601-O601</f>
        <v>1638.8500000000058</v>
      </c>
      <c r="Q601" s="58">
        <f>IF(P601&gt;0,IF(K601="Y",0,P601),0)</f>
        <v>1638.8500000000058</v>
      </c>
      <c r="R601" s="57">
        <f>IF(P601&gt;0,IF(K601="Y",P601,0),0)</f>
        <v>0</v>
      </c>
      <c r="S601" s="59">
        <f>IF(P601&lt;0,P601,0)</f>
        <v>0</v>
      </c>
    </row>
    <row r="602" spans="1:19" x14ac:dyDescent="0.2">
      <c r="A602" s="60"/>
      <c r="B602" s="47"/>
      <c r="C602" s="61"/>
      <c r="D602" s="49"/>
      <c r="E602" s="62"/>
      <c r="F602" s="51">
        <f>SUM(D602:E602)</f>
        <v>0</v>
      </c>
      <c r="G602" s="50"/>
      <c r="H602" s="62"/>
      <c r="I602" s="52"/>
      <c r="J602" s="53"/>
      <c r="K602" s="54"/>
      <c r="L602" s="55"/>
      <c r="M602" s="56"/>
      <c r="N602" s="56"/>
      <c r="O602" s="56"/>
      <c r="P602" s="57">
        <f>M602-N602-O602</f>
        <v>0</v>
      </c>
      <c r="Q602" s="58">
        <f>IF(P602&gt;0,IF(K602="Y",0,P602),0)</f>
        <v>0</v>
      </c>
      <c r="R602" s="57">
        <f t="shared" ref="R602" si="396">IF(P602&gt;0,IF(K602="Y",P602,0),0)</f>
        <v>0</v>
      </c>
      <c r="S602" s="59">
        <f t="shared" ref="S602" si="397">IF(P602&lt;0,P602,0)</f>
        <v>0</v>
      </c>
    </row>
    <row r="603" spans="1:19" ht="13.5" customHeight="1" thickBot="1" x14ac:dyDescent="0.3">
      <c r="A603" s="63"/>
      <c r="B603" s="64"/>
      <c r="C603" s="65">
        <f>SUBTOTAL(9,C600:C602)</f>
        <v>0</v>
      </c>
      <c r="D603" s="66">
        <f>SUBTOTAL(9,D600:D602)</f>
        <v>0</v>
      </c>
      <c r="E603" s="67">
        <f>SUBTOTAL(9,E600:E602)</f>
        <v>0</v>
      </c>
      <c r="F603" s="65">
        <f>SUBTOTAL(9,F600:F602)</f>
        <v>0</v>
      </c>
      <c r="G603" s="65">
        <v>0</v>
      </c>
      <c r="H603" s="67">
        <f>C603*G603</f>
        <v>0</v>
      </c>
      <c r="I603" s="68"/>
      <c r="J603" s="68"/>
      <c r="K603" s="68"/>
      <c r="L603" s="69">
        <f t="shared" ref="L603:O603" si="398">SUBTOTAL(9,L600:L602)</f>
        <v>-5600</v>
      </c>
      <c r="M603" s="70">
        <f t="shared" si="398"/>
        <v>81644.47</v>
      </c>
      <c r="N603" s="70">
        <f t="shared" si="398"/>
        <v>0</v>
      </c>
      <c r="O603" s="70">
        <f t="shared" si="398"/>
        <v>80005.62</v>
      </c>
      <c r="P603" s="70">
        <f>SUBTOTAL(9,P600:P602)</f>
        <v>1638.8500000000058</v>
      </c>
      <c r="Q603" s="70">
        <f>SUBTOTAL(9,Q600:Q602)</f>
        <v>1638.8500000000058</v>
      </c>
      <c r="R603" s="70">
        <f>SUBTOTAL(9,R600:R602)</f>
        <v>0</v>
      </c>
      <c r="S603" s="71">
        <f>SUBTOTAL(9,S600:S602)</f>
        <v>0</v>
      </c>
    </row>
    <row r="604" spans="1:19" ht="13.5" thickTop="1" x14ac:dyDescent="0.2">
      <c r="A604" s="39" t="s">
        <v>228</v>
      </c>
      <c r="B604" s="40"/>
      <c r="C604" s="41"/>
      <c r="D604" s="42"/>
      <c r="E604" s="41"/>
      <c r="F604" s="41"/>
      <c r="G604" s="41"/>
      <c r="H604" s="41"/>
      <c r="I604" s="43"/>
      <c r="J604" s="44"/>
      <c r="K604" s="44"/>
      <c r="L604" s="41"/>
      <c r="M604" s="41"/>
      <c r="N604" s="41"/>
      <c r="O604" s="41"/>
      <c r="P604" s="41"/>
      <c r="Q604" s="41"/>
      <c r="R604" s="41"/>
      <c r="S604" s="45"/>
    </row>
    <row r="605" spans="1:19" x14ac:dyDescent="0.2">
      <c r="A605" s="46" t="s">
        <v>128</v>
      </c>
      <c r="B605" s="47">
        <v>44414</v>
      </c>
      <c r="C605" s="48">
        <v>100000</v>
      </c>
      <c r="D605" s="49">
        <v>85467.5</v>
      </c>
      <c r="E605" s="50"/>
      <c r="F605" s="51">
        <f>SUM(D605:E605)</f>
        <v>85467.5</v>
      </c>
      <c r="G605" s="50"/>
      <c r="H605" s="50"/>
      <c r="I605" s="52"/>
      <c r="J605" s="53"/>
      <c r="K605" s="54"/>
      <c r="L605" s="55"/>
      <c r="M605" s="56"/>
      <c r="N605" s="56"/>
      <c r="O605" s="56"/>
      <c r="P605" s="57">
        <f>M605-N605-O605</f>
        <v>0</v>
      </c>
      <c r="Q605" s="58">
        <f>IF(P605&gt;0,IF(K605="Y",0,P605),0)</f>
        <v>0</v>
      </c>
      <c r="R605" s="57">
        <f t="shared" ref="R605:R608" si="399">IF(P605&gt;0,IF(K605="Y",P605,0),0)</f>
        <v>0</v>
      </c>
      <c r="S605" s="59">
        <f t="shared" ref="S605:S608" si="400">IF(P605&lt;0,P605,0)</f>
        <v>0</v>
      </c>
    </row>
    <row r="606" spans="1:19" x14ac:dyDescent="0.2">
      <c r="A606" s="46" t="s">
        <v>145</v>
      </c>
      <c r="B606" s="47">
        <v>44530</v>
      </c>
      <c r="C606" s="48">
        <v>-80000</v>
      </c>
      <c r="D606" s="49"/>
      <c r="E606" s="50"/>
      <c r="F606" s="51"/>
      <c r="G606" s="50"/>
      <c r="H606" s="50"/>
      <c r="I606" s="52"/>
      <c r="J606" s="146"/>
      <c r="K606" s="136"/>
      <c r="L606" s="55"/>
      <c r="M606" s="56"/>
      <c r="N606" s="147"/>
      <c r="O606" s="56"/>
      <c r="P606" s="57"/>
      <c r="Q606" s="58"/>
      <c r="R606" s="57"/>
      <c r="S606" s="59"/>
    </row>
    <row r="607" spans="1:19" x14ac:dyDescent="0.2">
      <c r="A607" s="46" t="s">
        <v>129</v>
      </c>
      <c r="B607" s="47">
        <v>44546</v>
      </c>
      <c r="C607" s="48">
        <v>-20000</v>
      </c>
      <c r="D607" s="49">
        <f>-D605</f>
        <v>-85467.5</v>
      </c>
      <c r="E607" s="50"/>
      <c r="F607" s="51">
        <f>SUM(D607:E607)</f>
        <v>-85467.5</v>
      </c>
      <c r="G607" s="50"/>
      <c r="H607" s="50"/>
      <c r="I607" s="52"/>
      <c r="J607" s="72">
        <f t="shared" ref="J607" si="401">B607</f>
        <v>44546</v>
      </c>
      <c r="K607" s="72" t="s">
        <v>151</v>
      </c>
      <c r="L607" s="55">
        <f t="shared" ref="L607" si="402">C607</f>
        <v>-20000</v>
      </c>
      <c r="M607" s="49">
        <v>85723.5</v>
      </c>
      <c r="N607" s="72"/>
      <c r="O607" s="49">
        <f t="shared" ref="O607" si="403">-D607</f>
        <v>85467.5</v>
      </c>
      <c r="P607" s="57">
        <f>M607-N607-O607</f>
        <v>256</v>
      </c>
      <c r="Q607" s="58">
        <f>IF(P607&gt;0,IF(K607="Y",0,P607),0)</f>
        <v>256</v>
      </c>
      <c r="R607" s="57">
        <f t="shared" si="399"/>
        <v>0</v>
      </c>
      <c r="S607" s="59">
        <f t="shared" si="400"/>
        <v>0</v>
      </c>
    </row>
    <row r="608" spans="1:19" x14ac:dyDescent="0.2">
      <c r="A608" s="60"/>
      <c r="B608" s="47"/>
      <c r="C608" s="61"/>
      <c r="D608" s="49"/>
      <c r="E608" s="62"/>
      <c r="F608" s="51">
        <f>SUM(D608:E608)</f>
        <v>0</v>
      </c>
      <c r="G608" s="50"/>
      <c r="H608" s="62"/>
      <c r="I608" s="52"/>
      <c r="J608" s="53"/>
      <c r="K608" s="54"/>
      <c r="L608" s="55"/>
      <c r="M608" s="56"/>
      <c r="N608" s="56"/>
      <c r="O608" s="56"/>
      <c r="P608" s="57">
        <f>M608-N608-O608</f>
        <v>0</v>
      </c>
      <c r="Q608" s="58">
        <f>IF(P608&gt;0,IF(K608="Y",0,P608),0)</f>
        <v>0</v>
      </c>
      <c r="R608" s="57">
        <f t="shared" si="399"/>
        <v>0</v>
      </c>
      <c r="S608" s="59">
        <f t="shared" si="400"/>
        <v>0</v>
      </c>
    </row>
    <row r="609" spans="1:19" ht="13.5" customHeight="1" thickBot="1" x14ac:dyDescent="0.3">
      <c r="A609" s="63"/>
      <c r="B609" s="64"/>
      <c r="C609" s="65">
        <f>SUBTOTAL(9,C605:C608)</f>
        <v>0</v>
      </c>
      <c r="D609" s="66">
        <f>SUBTOTAL(9,D605:D608)</f>
        <v>0</v>
      </c>
      <c r="E609" s="67">
        <f>SUBTOTAL(9,E605:E608)</f>
        <v>0</v>
      </c>
      <c r="F609" s="65">
        <f>SUBTOTAL(9,F605:F608)</f>
        <v>0</v>
      </c>
      <c r="G609" s="65">
        <v>0</v>
      </c>
      <c r="H609" s="67">
        <f>C609*G609</f>
        <v>0</v>
      </c>
      <c r="I609" s="68"/>
      <c r="J609" s="68"/>
      <c r="K609" s="68"/>
      <c r="L609" s="69">
        <f t="shared" ref="L609:S609" si="404">SUBTOTAL(9,L605:L608)</f>
        <v>-20000</v>
      </c>
      <c r="M609" s="70">
        <f t="shared" si="404"/>
        <v>85723.5</v>
      </c>
      <c r="N609" s="70">
        <f t="shared" si="404"/>
        <v>0</v>
      </c>
      <c r="O609" s="70">
        <f t="shared" si="404"/>
        <v>85467.5</v>
      </c>
      <c r="P609" s="70">
        <f t="shared" si="404"/>
        <v>256</v>
      </c>
      <c r="Q609" s="70">
        <f t="shared" si="404"/>
        <v>256</v>
      </c>
      <c r="R609" s="70">
        <f t="shared" si="404"/>
        <v>0</v>
      </c>
      <c r="S609" s="71">
        <f t="shared" si="404"/>
        <v>0</v>
      </c>
    </row>
    <row r="610" spans="1:19" ht="13.5" thickTop="1" x14ac:dyDescent="0.2">
      <c r="A610" s="39" t="s">
        <v>229</v>
      </c>
      <c r="B610" s="40"/>
      <c r="C610" s="41"/>
      <c r="D610" s="42"/>
      <c r="E610" s="41"/>
      <c r="F610" s="41"/>
      <c r="G610" s="41"/>
      <c r="H610" s="41"/>
      <c r="I610" s="43"/>
      <c r="J610" s="44"/>
      <c r="K610" s="44"/>
      <c r="L610" s="41"/>
      <c r="M610" s="41"/>
      <c r="N610" s="41"/>
      <c r="O610" s="41"/>
      <c r="P610" s="41"/>
      <c r="Q610" s="41"/>
      <c r="R610" s="41"/>
      <c r="S610" s="45"/>
    </row>
    <row r="611" spans="1:19" x14ac:dyDescent="0.2">
      <c r="A611" s="46" t="s">
        <v>193</v>
      </c>
      <c r="B611" s="47">
        <v>43796</v>
      </c>
      <c r="C611" s="48">
        <v>5000</v>
      </c>
      <c r="D611" s="49">
        <v>123299.45</v>
      </c>
      <c r="E611" s="50"/>
      <c r="F611" s="51">
        <f>SUM(D611:E611)</f>
        <v>123299.45</v>
      </c>
      <c r="G611" s="50"/>
      <c r="H611" s="50"/>
      <c r="I611" s="52"/>
      <c r="J611" s="53"/>
      <c r="K611" s="54"/>
      <c r="L611" s="55"/>
      <c r="M611" s="56"/>
      <c r="N611" s="56"/>
      <c r="O611" s="56"/>
      <c r="P611" s="57">
        <f>M611-N611-O611</f>
        <v>0</v>
      </c>
      <c r="Q611" s="58">
        <f>IF(P611&gt;0,IF(K611="Y",0,P611),0)</f>
        <v>0</v>
      </c>
      <c r="R611" s="57">
        <f t="shared" ref="R611:R613" si="405">IF(P611&gt;0,IF(K611="Y",P611,0),0)</f>
        <v>0</v>
      </c>
      <c r="S611" s="59">
        <f t="shared" ref="S611:S613" si="406">IF(P611&lt;0,P611,0)</f>
        <v>0</v>
      </c>
    </row>
    <row r="612" spans="1:19" x14ac:dyDescent="0.2">
      <c r="A612" s="46" t="s">
        <v>129</v>
      </c>
      <c r="B612" s="47">
        <v>43871</v>
      </c>
      <c r="C612" s="48">
        <v>-5000</v>
      </c>
      <c r="D612" s="49">
        <f>-D611</f>
        <v>-123299.45</v>
      </c>
      <c r="E612" s="50"/>
      <c r="F612" s="51">
        <f>SUM(D612:E612)</f>
        <v>-123299.45</v>
      </c>
      <c r="G612" s="50"/>
      <c r="H612" s="50"/>
      <c r="I612" s="52"/>
      <c r="J612" s="53"/>
      <c r="K612" s="54"/>
      <c r="L612" s="55"/>
      <c r="M612" s="56"/>
      <c r="N612" s="56"/>
      <c r="O612" s="56"/>
      <c r="P612" s="57"/>
      <c r="Q612" s="58"/>
      <c r="R612" s="57">
        <f t="shared" si="405"/>
        <v>0</v>
      </c>
      <c r="S612" s="59">
        <f t="shared" si="406"/>
        <v>0</v>
      </c>
    </row>
    <row r="613" spans="1:19" x14ac:dyDescent="0.2">
      <c r="A613" s="60"/>
      <c r="B613" s="47"/>
      <c r="C613" s="61"/>
      <c r="D613" s="49"/>
      <c r="E613" s="62"/>
      <c r="F613" s="51">
        <f>SUM(D613:E613)</f>
        <v>0</v>
      </c>
      <c r="G613" s="50"/>
      <c r="H613" s="62"/>
      <c r="I613" s="52"/>
      <c r="J613" s="53"/>
      <c r="K613" s="54"/>
      <c r="L613" s="55"/>
      <c r="M613" s="56"/>
      <c r="N613" s="56"/>
      <c r="O613" s="56"/>
      <c r="P613" s="57">
        <f>M613-N613-O613</f>
        <v>0</v>
      </c>
      <c r="Q613" s="58">
        <f>IF(P613&gt;0,IF(K613="Y",0,P613),0)</f>
        <v>0</v>
      </c>
      <c r="R613" s="57">
        <f t="shared" si="405"/>
        <v>0</v>
      </c>
      <c r="S613" s="59">
        <f t="shared" si="406"/>
        <v>0</v>
      </c>
    </row>
    <row r="614" spans="1:19" ht="13.5" customHeight="1" thickBot="1" x14ac:dyDescent="0.3">
      <c r="A614" s="63"/>
      <c r="B614" s="64"/>
      <c r="C614" s="65">
        <f>SUBTOTAL(9,C611:C613)</f>
        <v>0</v>
      </c>
      <c r="D614" s="66">
        <f>SUBTOTAL(9,D611:D613)</f>
        <v>0</v>
      </c>
      <c r="E614" s="67">
        <f>SUBTOTAL(9,E611:E613)</f>
        <v>0</v>
      </c>
      <c r="F614" s="65">
        <f>SUBTOTAL(9,F611:F613)</f>
        <v>0</v>
      </c>
      <c r="G614" s="65">
        <v>0</v>
      </c>
      <c r="H614" s="67">
        <f>C614*G614</f>
        <v>0</v>
      </c>
      <c r="I614" s="68"/>
      <c r="J614" s="68"/>
      <c r="K614" s="68"/>
      <c r="L614" s="69">
        <f t="shared" ref="L614:S614" si="407">SUBTOTAL(9,L611:L613)</f>
        <v>0</v>
      </c>
      <c r="M614" s="70">
        <f t="shared" si="407"/>
        <v>0</v>
      </c>
      <c r="N614" s="70">
        <f t="shared" si="407"/>
        <v>0</v>
      </c>
      <c r="O614" s="70">
        <f t="shared" si="407"/>
        <v>0</v>
      </c>
      <c r="P614" s="70">
        <f t="shared" si="407"/>
        <v>0</v>
      </c>
      <c r="Q614" s="70">
        <f t="shared" si="407"/>
        <v>0</v>
      </c>
      <c r="R614" s="70">
        <f t="shared" si="407"/>
        <v>0</v>
      </c>
      <c r="S614" s="71">
        <f t="shared" si="407"/>
        <v>0</v>
      </c>
    </row>
    <row r="615" spans="1:19" ht="13.5" thickTop="1" x14ac:dyDescent="0.2">
      <c r="A615" s="39" t="s">
        <v>230</v>
      </c>
      <c r="B615" s="40"/>
      <c r="C615" s="41"/>
      <c r="D615" s="42"/>
      <c r="E615" s="41"/>
      <c r="F615" s="41"/>
      <c r="G615" s="41"/>
      <c r="H615" s="41"/>
      <c r="I615" s="43"/>
      <c r="J615" s="44"/>
      <c r="K615" s="44"/>
      <c r="L615" s="41"/>
      <c r="M615" s="41"/>
      <c r="N615" s="41"/>
      <c r="O615" s="41"/>
      <c r="P615" s="41"/>
      <c r="Q615" s="41"/>
      <c r="R615" s="41"/>
      <c r="S615" s="45"/>
    </row>
    <row r="616" spans="1:19" x14ac:dyDescent="0.2">
      <c r="A616" s="46" t="s">
        <v>128</v>
      </c>
      <c r="B616" s="47">
        <v>44267</v>
      </c>
      <c r="C616" s="48">
        <v>10000</v>
      </c>
      <c r="D616" s="49">
        <v>59123.4</v>
      </c>
      <c r="E616" s="50"/>
      <c r="F616" s="51">
        <f>SUM(D616:E616)</f>
        <v>59123.4</v>
      </c>
      <c r="G616" s="50"/>
      <c r="H616" s="50"/>
      <c r="I616" s="52"/>
      <c r="J616" s="53"/>
      <c r="K616" s="54"/>
      <c r="L616" s="55"/>
      <c r="M616" s="56"/>
      <c r="N616" s="56"/>
      <c r="O616" s="56"/>
      <c r="P616" s="57">
        <f>M616-N616-O616</f>
        <v>0</v>
      </c>
      <c r="Q616" s="58">
        <f>IF(P616&gt;0,IF(K616="Y",0,P616),0)</f>
        <v>0</v>
      </c>
      <c r="R616" s="57">
        <f t="shared" ref="R616:R618" si="408">IF(P616&gt;0,IF(K616="Y",P616,0),0)</f>
        <v>0</v>
      </c>
      <c r="S616" s="59">
        <f t="shared" ref="S616:S618" si="409">IF(P616&lt;0,P616,0)</f>
        <v>0</v>
      </c>
    </row>
    <row r="617" spans="1:19" x14ac:dyDescent="0.2">
      <c r="A617" s="46" t="s">
        <v>129</v>
      </c>
      <c r="B617" s="47">
        <v>44274</v>
      </c>
      <c r="C617" s="48">
        <v>-10000</v>
      </c>
      <c r="D617" s="49">
        <f>-D616</f>
        <v>-59123.4</v>
      </c>
      <c r="E617" s="50"/>
      <c r="F617" s="51">
        <f>SUM(D617:E617)</f>
        <v>-59123.4</v>
      </c>
      <c r="G617" s="50"/>
      <c r="H617" s="50"/>
      <c r="I617" s="52"/>
      <c r="J617" s="53"/>
      <c r="K617" s="54"/>
      <c r="L617" s="55"/>
      <c r="M617" s="56"/>
      <c r="N617" s="56"/>
      <c r="O617" s="56"/>
      <c r="P617" s="57">
        <f>M617-N617-O617</f>
        <v>0</v>
      </c>
      <c r="Q617" s="58">
        <f>IF(P617&gt;0,IF(K617="Y",0,P617),0)</f>
        <v>0</v>
      </c>
      <c r="R617" s="57">
        <f t="shared" si="408"/>
        <v>0</v>
      </c>
      <c r="S617" s="59">
        <f t="shared" si="409"/>
        <v>0</v>
      </c>
    </row>
    <row r="618" spans="1:19" x14ac:dyDescent="0.2">
      <c r="A618" s="60"/>
      <c r="B618" s="47"/>
      <c r="C618" s="61"/>
      <c r="D618" s="49"/>
      <c r="E618" s="62"/>
      <c r="F618" s="51">
        <f>SUM(D618:E618)</f>
        <v>0</v>
      </c>
      <c r="G618" s="50"/>
      <c r="H618" s="62"/>
      <c r="I618" s="52"/>
      <c r="J618" s="53"/>
      <c r="K618" s="54"/>
      <c r="L618" s="55"/>
      <c r="M618" s="56"/>
      <c r="N618" s="56"/>
      <c r="O618" s="56"/>
      <c r="P618" s="57">
        <f>M618-N618-O618</f>
        <v>0</v>
      </c>
      <c r="Q618" s="58">
        <f>IF(P618&gt;0,IF(K618="Y",0,P618),0)</f>
        <v>0</v>
      </c>
      <c r="R618" s="57">
        <f t="shared" si="408"/>
        <v>0</v>
      </c>
      <c r="S618" s="59">
        <f t="shared" si="409"/>
        <v>0</v>
      </c>
    </row>
    <row r="619" spans="1:19" ht="13.5" customHeight="1" thickBot="1" x14ac:dyDescent="0.3">
      <c r="A619" s="63"/>
      <c r="B619" s="64"/>
      <c r="C619" s="65">
        <f>SUBTOTAL(9,C616:C618)</f>
        <v>0</v>
      </c>
      <c r="D619" s="66">
        <f>SUBTOTAL(9,D616:D618)</f>
        <v>0</v>
      </c>
      <c r="E619" s="67">
        <f>SUBTOTAL(9,E616:E618)</f>
        <v>0</v>
      </c>
      <c r="F619" s="65">
        <f>SUBTOTAL(9,F616:F618)</f>
        <v>0</v>
      </c>
      <c r="G619" s="65">
        <v>0</v>
      </c>
      <c r="H619" s="67">
        <f>C619*G619</f>
        <v>0</v>
      </c>
      <c r="I619" s="68"/>
      <c r="J619" s="68"/>
      <c r="K619" s="68"/>
      <c r="L619" s="69">
        <f t="shared" ref="L619:S619" si="410">SUBTOTAL(9,L616:L618)</f>
        <v>0</v>
      </c>
      <c r="M619" s="70">
        <f t="shared" si="410"/>
        <v>0</v>
      </c>
      <c r="N619" s="70">
        <f t="shared" si="410"/>
        <v>0</v>
      </c>
      <c r="O619" s="70">
        <f t="shared" si="410"/>
        <v>0</v>
      </c>
      <c r="P619" s="70">
        <f t="shared" si="410"/>
        <v>0</v>
      </c>
      <c r="Q619" s="70">
        <f t="shared" si="410"/>
        <v>0</v>
      </c>
      <c r="R619" s="70">
        <f t="shared" si="410"/>
        <v>0</v>
      </c>
      <c r="S619" s="71">
        <f t="shared" si="410"/>
        <v>0</v>
      </c>
    </row>
    <row r="620" spans="1:19" ht="13.5" thickTop="1" x14ac:dyDescent="0.2">
      <c r="A620" s="39" t="s">
        <v>231</v>
      </c>
      <c r="B620" s="40"/>
      <c r="C620" s="41"/>
      <c r="D620" s="42"/>
      <c r="E620" s="41"/>
      <c r="F620" s="41"/>
      <c r="G620" s="41"/>
      <c r="H620" s="41"/>
      <c r="I620" s="43"/>
      <c r="J620" s="44"/>
      <c r="K620" s="44"/>
      <c r="L620" s="41"/>
      <c r="M620" s="41"/>
      <c r="N620" s="41"/>
      <c r="O620" s="41"/>
      <c r="P620" s="41"/>
      <c r="Q620" s="41"/>
      <c r="R620" s="41"/>
      <c r="S620" s="45"/>
    </row>
    <row r="621" spans="1:19" x14ac:dyDescent="0.2">
      <c r="A621" s="46" t="s">
        <v>128</v>
      </c>
      <c r="B621" s="47">
        <v>43923</v>
      </c>
      <c r="C621" s="48">
        <v>150000</v>
      </c>
      <c r="D621" s="49">
        <v>15126.5</v>
      </c>
      <c r="E621" s="50"/>
      <c r="F621" s="51">
        <f>SUM(D621:E621)</f>
        <v>15126.5</v>
      </c>
      <c r="G621" s="50"/>
      <c r="H621" s="50"/>
      <c r="I621" s="52"/>
      <c r="J621" s="53"/>
      <c r="K621" s="54"/>
      <c r="L621" s="55"/>
      <c r="M621" s="56"/>
      <c r="N621" s="56"/>
      <c r="O621" s="56"/>
      <c r="P621" s="57"/>
      <c r="Q621" s="58"/>
      <c r="R621" s="57">
        <f t="shared" ref="R621:R623" si="411">IF(P621&gt;0,IF(K621="Y",P621,0),0)</f>
        <v>0</v>
      </c>
      <c r="S621" s="59">
        <f t="shared" ref="S621:S623" si="412">IF(P621&lt;0,P621,0)</f>
        <v>0</v>
      </c>
    </row>
    <row r="622" spans="1:19" x14ac:dyDescent="0.2">
      <c r="A622" s="46" t="s">
        <v>128</v>
      </c>
      <c r="B622" s="47">
        <v>43938</v>
      </c>
      <c r="C622" s="48">
        <v>-150000</v>
      </c>
      <c r="D622" s="49">
        <f>-D621</f>
        <v>-15126.5</v>
      </c>
      <c r="E622" s="50"/>
      <c r="F622" s="51">
        <f>SUM(D622:E622)</f>
        <v>-15126.5</v>
      </c>
      <c r="G622" s="50"/>
      <c r="H622" s="50"/>
      <c r="I622" s="52"/>
      <c r="J622" s="53"/>
      <c r="K622" s="54"/>
      <c r="L622" s="55"/>
      <c r="M622" s="56"/>
      <c r="N622" s="56"/>
      <c r="O622" s="56"/>
      <c r="P622" s="57"/>
      <c r="Q622" s="58"/>
      <c r="R622" s="57">
        <f t="shared" si="411"/>
        <v>0</v>
      </c>
      <c r="S622" s="59">
        <f t="shared" si="412"/>
        <v>0</v>
      </c>
    </row>
    <row r="623" spans="1:19" x14ac:dyDescent="0.2">
      <c r="A623" s="60"/>
      <c r="B623" s="47"/>
      <c r="C623" s="61"/>
      <c r="D623" s="49"/>
      <c r="E623" s="62"/>
      <c r="F623" s="51">
        <f>SUM(D623:E623)</f>
        <v>0</v>
      </c>
      <c r="G623" s="50"/>
      <c r="H623" s="62"/>
      <c r="I623" s="52"/>
      <c r="J623" s="53"/>
      <c r="K623" s="54"/>
      <c r="L623" s="55"/>
      <c r="M623" s="56"/>
      <c r="N623" s="56"/>
      <c r="O623" s="56"/>
      <c r="P623" s="57">
        <f>M623-N623-O623</f>
        <v>0</v>
      </c>
      <c r="Q623" s="58">
        <f>IF(P623&gt;0,IF(K623="Y",0,P623),0)</f>
        <v>0</v>
      </c>
      <c r="R623" s="57">
        <f t="shared" si="411"/>
        <v>0</v>
      </c>
      <c r="S623" s="59">
        <f t="shared" si="412"/>
        <v>0</v>
      </c>
    </row>
    <row r="624" spans="1:19" ht="13.5" customHeight="1" thickBot="1" x14ac:dyDescent="0.3">
      <c r="A624" s="63"/>
      <c r="B624" s="64"/>
      <c r="C624" s="65">
        <f>SUBTOTAL(9,C621:C623)</f>
        <v>0</v>
      </c>
      <c r="D624" s="66">
        <f>SUBTOTAL(9,D621:D623)</f>
        <v>0</v>
      </c>
      <c r="E624" s="67">
        <f>SUBTOTAL(9,E621:E623)</f>
        <v>0</v>
      </c>
      <c r="F624" s="65">
        <f>SUBTOTAL(9,F621:F623)</f>
        <v>0</v>
      </c>
      <c r="G624" s="65">
        <v>0</v>
      </c>
      <c r="H624" s="67">
        <f>C624*G624</f>
        <v>0</v>
      </c>
      <c r="I624" s="68"/>
      <c r="J624" s="68"/>
      <c r="K624" s="68"/>
      <c r="L624" s="69">
        <f t="shared" ref="L624:S624" si="413">SUBTOTAL(9,L621:L623)</f>
        <v>0</v>
      </c>
      <c r="M624" s="70">
        <f t="shared" si="413"/>
        <v>0</v>
      </c>
      <c r="N624" s="70">
        <f t="shared" si="413"/>
        <v>0</v>
      </c>
      <c r="O624" s="70">
        <f t="shared" si="413"/>
        <v>0</v>
      </c>
      <c r="P624" s="70">
        <f t="shared" si="413"/>
        <v>0</v>
      </c>
      <c r="Q624" s="70">
        <f t="shared" si="413"/>
        <v>0</v>
      </c>
      <c r="R624" s="70">
        <f t="shared" si="413"/>
        <v>0</v>
      </c>
      <c r="S624" s="71">
        <f t="shared" si="413"/>
        <v>0</v>
      </c>
    </row>
    <row r="625" spans="1:19" ht="13.5" thickTop="1" x14ac:dyDescent="0.2">
      <c r="A625" s="39" t="s">
        <v>232</v>
      </c>
      <c r="B625" s="40"/>
      <c r="C625" s="41"/>
      <c r="D625" s="42"/>
      <c r="E625" s="41"/>
      <c r="F625" s="41"/>
      <c r="G625" s="41"/>
      <c r="H625" s="41"/>
      <c r="I625" s="43"/>
      <c r="J625" s="44"/>
      <c r="K625" s="44"/>
      <c r="L625" s="41"/>
      <c r="M625" s="41"/>
      <c r="N625" s="41"/>
      <c r="O625" s="41"/>
      <c r="P625" s="41"/>
      <c r="Q625" s="41"/>
      <c r="R625" s="41"/>
      <c r="S625" s="45"/>
    </row>
    <row r="626" spans="1:19" x14ac:dyDescent="0.2">
      <c r="A626" s="46" t="s">
        <v>128</v>
      </c>
      <c r="B626" s="47">
        <v>43962</v>
      </c>
      <c r="C626" s="48">
        <v>600</v>
      </c>
      <c r="D626" s="49">
        <v>49530.93</v>
      </c>
      <c r="E626" s="50"/>
      <c r="F626" s="51">
        <f>SUM(D626:E626)</f>
        <v>49530.93</v>
      </c>
      <c r="G626" s="50"/>
      <c r="H626" s="50"/>
      <c r="I626" s="52"/>
      <c r="J626" s="53"/>
      <c r="K626" s="54"/>
      <c r="L626" s="55"/>
      <c r="M626" s="56"/>
      <c r="N626" s="56"/>
      <c r="O626" s="56"/>
      <c r="P626" s="57">
        <f>M626-N626-O626</f>
        <v>0</v>
      </c>
      <c r="Q626" s="58">
        <f>IF(P626&gt;0,IF(K626="Y",0,P626),0)</f>
        <v>0</v>
      </c>
      <c r="R626" s="57">
        <f>IF(P626&gt;0,IF(K626="Y",P626,0),0)</f>
        <v>0</v>
      </c>
      <c r="S626" s="59">
        <f>IF(P626&lt;0,P626,0)</f>
        <v>0</v>
      </c>
    </row>
    <row r="627" spans="1:19" x14ac:dyDescent="0.2">
      <c r="A627" s="46" t="s">
        <v>129</v>
      </c>
      <c r="B627" s="47">
        <v>43970</v>
      </c>
      <c r="C627" s="48">
        <v>-600</v>
      </c>
      <c r="D627" s="49">
        <f>-D626</f>
        <v>-49530.93</v>
      </c>
      <c r="E627" s="50"/>
      <c r="F627" s="51">
        <f>SUM(D627:E627)</f>
        <v>-49530.93</v>
      </c>
      <c r="G627" s="50"/>
      <c r="H627" s="50"/>
      <c r="I627" s="52"/>
      <c r="J627" s="53"/>
      <c r="K627" s="54"/>
      <c r="L627" s="55"/>
      <c r="M627" s="56"/>
      <c r="N627" s="56"/>
      <c r="O627" s="56"/>
      <c r="P627" s="57"/>
      <c r="Q627" s="58"/>
      <c r="R627" s="57"/>
      <c r="S627" s="59"/>
    </row>
    <row r="628" spans="1:19" x14ac:dyDescent="0.2">
      <c r="A628" s="60"/>
      <c r="B628" s="47"/>
      <c r="C628" s="61"/>
      <c r="D628" s="49"/>
      <c r="E628" s="62"/>
      <c r="F628" s="51">
        <f>SUM(D628:E628)</f>
        <v>0</v>
      </c>
      <c r="G628" s="50"/>
      <c r="H628" s="62"/>
      <c r="I628" s="52"/>
      <c r="J628" s="53"/>
      <c r="K628" s="54"/>
      <c r="L628" s="55"/>
      <c r="M628" s="56"/>
      <c r="N628" s="56"/>
      <c r="O628" s="56"/>
      <c r="P628" s="57">
        <f>M628-N628-O628</f>
        <v>0</v>
      </c>
      <c r="Q628" s="58">
        <f>IF(P628&gt;0,IF(K628="Y",0,P628),0)</f>
        <v>0</v>
      </c>
      <c r="R628" s="57">
        <f>IF(P628&gt;0,IF(K628="Y",P628,0),0)</f>
        <v>0</v>
      </c>
      <c r="S628" s="59">
        <f>IF(P628&lt;0,P628,0)</f>
        <v>0</v>
      </c>
    </row>
    <row r="629" spans="1:19" ht="13.5" customHeight="1" thickBot="1" x14ac:dyDescent="0.3">
      <c r="A629" s="63"/>
      <c r="B629" s="64"/>
      <c r="C629" s="65">
        <f>SUBTOTAL(9,C626:C628)</f>
        <v>0</v>
      </c>
      <c r="D629" s="66">
        <f>SUBTOTAL(9,D626:D628)</f>
        <v>0</v>
      </c>
      <c r="E629" s="67">
        <f>SUBTOTAL(9,E626:E628)</f>
        <v>0</v>
      </c>
      <c r="F629" s="65">
        <f>SUBTOTAL(9,F626:F628)</f>
        <v>0</v>
      </c>
      <c r="G629" s="65">
        <v>0</v>
      </c>
      <c r="H629" s="67">
        <f>C629*G629</f>
        <v>0</v>
      </c>
      <c r="I629" s="68"/>
      <c r="J629" s="68"/>
      <c r="K629" s="68"/>
      <c r="L629" s="69">
        <f t="shared" ref="L629:S629" si="414">SUBTOTAL(9,L626:L628)</f>
        <v>0</v>
      </c>
      <c r="M629" s="70">
        <f t="shared" si="414"/>
        <v>0</v>
      </c>
      <c r="N629" s="70">
        <f t="shared" si="414"/>
        <v>0</v>
      </c>
      <c r="O629" s="70">
        <f t="shared" si="414"/>
        <v>0</v>
      </c>
      <c r="P629" s="70">
        <f t="shared" si="414"/>
        <v>0</v>
      </c>
      <c r="Q629" s="70">
        <f t="shared" si="414"/>
        <v>0</v>
      </c>
      <c r="R629" s="70">
        <f t="shared" si="414"/>
        <v>0</v>
      </c>
      <c r="S629" s="71">
        <f t="shared" si="414"/>
        <v>0</v>
      </c>
    </row>
    <row r="630" spans="1:19" ht="13.5" thickTop="1" x14ac:dyDescent="0.2">
      <c r="A630" s="39" t="s">
        <v>233</v>
      </c>
      <c r="B630" s="40"/>
      <c r="C630" s="41"/>
      <c r="D630" s="42"/>
      <c r="E630" s="41"/>
      <c r="F630" s="41"/>
      <c r="G630" s="41"/>
      <c r="H630" s="41"/>
      <c r="I630" s="43"/>
      <c r="J630" s="44"/>
      <c r="K630" s="44"/>
      <c r="L630" s="41"/>
      <c r="M630" s="41"/>
      <c r="N630" s="41"/>
      <c r="O630" s="41"/>
      <c r="P630" s="41"/>
      <c r="Q630" s="41"/>
      <c r="R630" s="41"/>
      <c r="S630" s="45"/>
    </row>
    <row r="631" spans="1:19" x14ac:dyDescent="0.2">
      <c r="A631" s="46" t="s">
        <v>128</v>
      </c>
      <c r="B631" s="47">
        <v>43672</v>
      </c>
      <c r="C631" s="48">
        <v>10000</v>
      </c>
      <c r="D631" s="49">
        <v>34589.199999999997</v>
      </c>
      <c r="E631" s="50"/>
      <c r="F631" s="51">
        <f>SUM(D631:E631)</f>
        <v>34589.199999999997</v>
      </c>
      <c r="G631" s="50"/>
      <c r="H631" s="50"/>
      <c r="I631" s="52"/>
      <c r="J631" s="72"/>
      <c r="K631" s="54"/>
      <c r="L631" s="55"/>
      <c r="M631" s="56"/>
      <c r="N631" s="56"/>
      <c r="O631" s="56"/>
      <c r="P631" s="57">
        <f>M631-N631-O631</f>
        <v>0</v>
      </c>
      <c r="Q631" s="58">
        <f>IF(P631&gt;0,IF(K631="Y",0,P631),0)</f>
        <v>0</v>
      </c>
      <c r="R631" s="57">
        <f>IF(P631&gt;0,IF(K631="Y",P631,0),0)</f>
        <v>0</v>
      </c>
      <c r="S631" s="59">
        <f>IF(P631&lt;0,P631,0)</f>
        <v>0</v>
      </c>
    </row>
    <row r="632" spans="1:19" x14ac:dyDescent="0.2">
      <c r="A632" s="46" t="s">
        <v>129</v>
      </c>
      <c r="B632" s="47">
        <v>43679</v>
      </c>
      <c r="C632" s="48">
        <v>-10000</v>
      </c>
      <c r="D632" s="49">
        <f>-D631</f>
        <v>-34589.199999999997</v>
      </c>
      <c r="E632" s="50"/>
      <c r="F632" s="51">
        <f>SUM(D632:E632)</f>
        <v>-34589.199999999997</v>
      </c>
      <c r="G632" s="50"/>
      <c r="H632" s="50"/>
      <c r="I632" s="52"/>
      <c r="J632" s="72"/>
      <c r="K632" s="54"/>
      <c r="L632" s="55"/>
      <c r="M632" s="56"/>
      <c r="N632" s="56"/>
      <c r="O632" s="56"/>
      <c r="P632" s="57">
        <f t="shared" ref="P632:P633" si="415">M632-N632-O632</f>
        <v>0</v>
      </c>
      <c r="Q632" s="58">
        <f t="shared" ref="Q632:Q633" si="416">IF(P632&gt;0,IF(K632="Y",0,P632),0)</f>
        <v>0</v>
      </c>
      <c r="R632" s="57">
        <f t="shared" ref="R632:R633" si="417">IF(P632&gt;0,IF(K632="Y",P632,0),0)</f>
        <v>0</v>
      </c>
      <c r="S632" s="59">
        <f t="shared" ref="S632:S633" si="418">IF(P632&lt;0,P632,0)</f>
        <v>0</v>
      </c>
    </row>
    <row r="633" spans="1:19" x14ac:dyDescent="0.2">
      <c r="A633" s="121"/>
      <c r="B633" s="114"/>
      <c r="C633" s="111"/>
      <c r="D633" s="112"/>
      <c r="E633" s="112"/>
      <c r="F633" s="51">
        <f>SUM(D633:E633)</f>
        <v>0</v>
      </c>
      <c r="G633" s="112"/>
      <c r="H633" s="112"/>
      <c r="I633" s="52"/>
      <c r="J633" s="114"/>
      <c r="K633" s="115"/>
      <c r="L633" s="116"/>
      <c r="M633" s="117"/>
      <c r="N633" s="117"/>
      <c r="O633" s="117"/>
      <c r="P633" s="57">
        <f t="shared" si="415"/>
        <v>0</v>
      </c>
      <c r="Q633" s="58">
        <f t="shared" si="416"/>
        <v>0</v>
      </c>
      <c r="R633" s="57">
        <f t="shared" si="417"/>
        <v>0</v>
      </c>
      <c r="S633" s="59">
        <f t="shared" si="418"/>
        <v>0</v>
      </c>
    </row>
    <row r="634" spans="1:19" ht="13.5" customHeight="1" thickBot="1" x14ac:dyDescent="0.3">
      <c r="A634" s="63"/>
      <c r="B634" s="64"/>
      <c r="C634" s="73">
        <f>SUBTOTAL(9,C631:C633)</f>
        <v>0</v>
      </c>
      <c r="D634" s="74">
        <f>SUBTOTAL(9,D631:D633)</f>
        <v>0</v>
      </c>
      <c r="E634" s="75">
        <f>SUBTOTAL(9,E631:E633)</f>
        <v>0</v>
      </c>
      <c r="F634" s="65">
        <f>SUBTOTAL(9,F631:F633)</f>
        <v>0</v>
      </c>
      <c r="G634" s="65">
        <v>0</v>
      </c>
      <c r="H634" s="67">
        <f>C634*G634</f>
        <v>0</v>
      </c>
      <c r="I634" s="76"/>
      <c r="J634" s="77"/>
      <c r="K634" s="77"/>
      <c r="L634" s="69">
        <f>SUBTOTAL(9,L631:L633)</f>
        <v>0</v>
      </c>
      <c r="M634" s="65">
        <f t="shared" ref="M634:S634" si="419">SUBTOTAL(9,M631:M633)</f>
        <v>0</v>
      </c>
      <c r="N634" s="65">
        <f t="shared" si="419"/>
        <v>0</v>
      </c>
      <c r="O634" s="65">
        <f t="shared" si="419"/>
        <v>0</v>
      </c>
      <c r="P634" s="65">
        <f t="shared" si="419"/>
        <v>0</v>
      </c>
      <c r="Q634" s="65">
        <f t="shared" si="419"/>
        <v>0</v>
      </c>
      <c r="R634" s="65">
        <f t="shared" si="419"/>
        <v>0</v>
      </c>
      <c r="S634" s="65">
        <f t="shared" si="419"/>
        <v>0</v>
      </c>
    </row>
    <row r="635" spans="1:19" ht="14.25" thickTop="1" thickBot="1" x14ac:dyDescent="0.25">
      <c r="A635" s="63"/>
      <c r="B635" s="64"/>
      <c r="C635" s="148"/>
      <c r="D635" s="149"/>
      <c r="E635" s="149"/>
      <c r="F635" s="150"/>
      <c r="G635" s="150"/>
      <c r="H635" s="149"/>
      <c r="I635" s="84"/>
      <c r="J635" s="64"/>
      <c r="K635" s="64"/>
      <c r="L635" s="151"/>
      <c r="M635" s="152"/>
      <c r="N635" s="152"/>
      <c r="O635" s="152"/>
      <c r="P635" s="152"/>
      <c r="Q635" s="152"/>
      <c r="R635" s="152"/>
      <c r="S635" s="153"/>
    </row>
    <row r="636" spans="1:19" ht="14.25" thickTop="1" thickBot="1" x14ac:dyDescent="0.25">
      <c r="A636" s="129" t="s">
        <v>234</v>
      </c>
      <c r="B636" s="64"/>
      <c r="C636" s="64"/>
      <c r="D636" s="67">
        <f>SUBTOTAL(9,D27:D634)</f>
        <v>837802.11301971693</v>
      </c>
      <c r="E636" s="67">
        <f>SUBTOTAL(9,E27:E634)</f>
        <v>0</v>
      </c>
      <c r="F636" s="67">
        <f>SUBTOTAL(9,F27:F634)</f>
        <v>837802.11301971693</v>
      </c>
      <c r="G636" s="67"/>
      <c r="H636" s="67">
        <f>SUBTOTAL(9,H27:H634)</f>
        <v>301530.5</v>
      </c>
      <c r="I636" s="84"/>
      <c r="J636" s="84"/>
      <c r="K636" s="84"/>
      <c r="L636" s="84"/>
      <c r="M636" s="67">
        <f t="shared" ref="M636:S636" si="420">SUBTOTAL(9,M27:M634)</f>
        <v>3319992.3100000015</v>
      </c>
      <c r="N636" s="67">
        <f t="shared" si="420"/>
        <v>0</v>
      </c>
      <c r="O636" s="67">
        <f t="shared" si="420"/>
        <v>2519669.0522960885</v>
      </c>
      <c r="P636" s="67">
        <f t="shared" si="420"/>
        <v>800323.2577039114</v>
      </c>
      <c r="Q636" s="67">
        <f t="shared" si="420"/>
        <v>411111.55000000005</v>
      </c>
      <c r="R636" s="67">
        <f t="shared" si="420"/>
        <v>759545.72570391127</v>
      </c>
      <c r="S636" s="154">
        <f t="shared" si="420"/>
        <v>-370334.01799999998</v>
      </c>
    </row>
    <row r="637" spans="1:19" ht="13.5" thickTop="1" x14ac:dyDescent="0.2">
      <c r="A637" s="155"/>
      <c r="B637" s="156"/>
      <c r="C637" s="156"/>
      <c r="D637" s="156"/>
      <c r="E637" s="156"/>
      <c r="F637" s="156"/>
      <c r="G637" s="156"/>
      <c r="H637" s="156"/>
      <c r="I637" s="156"/>
      <c r="J637" s="157"/>
      <c r="K637" s="156"/>
      <c r="L637" s="156"/>
      <c r="M637" s="156"/>
      <c r="N637" s="156"/>
      <c r="O637" s="156"/>
      <c r="P637" s="156"/>
      <c r="Q637" s="156"/>
      <c r="R637" s="157"/>
      <c r="S637" s="158"/>
    </row>
    <row r="639" spans="1:19" x14ac:dyDescent="0.2">
      <c r="D639" s="30"/>
      <c r="E639" s="30"/>
    </row>
    <row r="640" spans="1:19" x14ac:dyDescent="0.2">
      <c r="D640" s="30"/>
      <c r="E640" s="30"/>
    </row>
    <row r="641" spans="4:15" x14ac:dyDescent="0.2">
      <c r="D641" s="30"/>
    </row>
    <row r="645" spans="4:15" x14ac:dyDescent="0.2">
      <c r="O645" s="19"/>
    </row>
    <row r="648" spans="4:15" x14ac:dyDescent="0.2">
      <c r="O648" s="19"/>
    </row>
  </sheetData>
  <mergeCells count="3">
    <mergeCell ref="A1:B1"/>
    <mergeCell ref="B25:F25"/>
    <mergeCell ref="J25:S25"/>
  </mergeCells>
  <pageMargins left="0.70866141732283472" right="0.70866141732283472" top="0.74803149606299213" bottom="0.47244094488188981" header="0.31496062992125984" footer="0.15748031496062992"/>
  <pageSetup paperSize="9" scale="44" orientation="landscape" r:id="rId1"/>
  <rowBreaks count="5" manualBreakCount="5">
    <brk id="95" max="18" man="1"/>
    <brk id="178" max="18" man="1"/>
    <brk id="263" max="18" man="1"/>
    <brk id="350" max="18" man="1"/>
    <brk id="435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MARI0001 - Balance Sheet</vt:lpstr>
      <vt:lpstr>Investments Held - Bell Potter</vt:lpstr>
      <vt:lpstr>'Investments Held - Bell Potter'!Print_Area</vt:lpstr>
      <vt:lpstr>'Investments Held - Bell Potter'!Print_Titles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Brendan Green</dc:creator>
  <cp:lastModifiedBy>Nicole Bryant</cp:lastModifiedBy>
  <dcterms:created xsi:type="dcterms:W3CDTF">2022-12-16T02:41:40Z</dcterms:created>
  <dcterms:modified xsi:type="dcterms:W3CDTF">2022-12-18T08:07:14Z</dcterms:modified>
</cp:coreProperties>
</file>