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M/MCAD/2022/Workpapers/"/>
    </mc:Choice>
  </mc:AlternateContent>
  <xr:revisionPtr revIDLastSave="1160" documentId="8_{7DABB9F9-DAC7-48AF-95BF-A766060AAE59}" xr6:coauthVersionLast="47" xr6:coauthVersionMax="47" xr10:uidLastSave="{0E98670E-3325-4255-9852-8CBAF6783287}"/>
  <bookViews>
    <workbookView minimized="1" xWindow="7200" yWindow="3450" windowWidth="21600" windowHeight="11295" tabRatio="781" firstSheet="2" activeTab="2" xr2:uid="{306213DB-740E-49D0-A494-BE82EF870239}"/>
  </bookViews>
  <sheets>
    <sheet name="Index" sheetId="2" r:id="rId1"/>
    <sheet name="Queries" sheetId="19" r:id="rId2"/>
    <sheet name="Min Pension" sheetId="3" r:id="rId3"/>
    <sheet name="PAYG &amp; GST Instal" sheetId="4" r:id="rId4"/>
    <sheet name="GST Rec" sheetId="10" state="hidden" r:id="rId5"/>
    <sheet name="Bank Balance" sheetId="17" r:id="rId6"/>
    <sheet name="Investment Recon - BT" sheetId="8" state="hidden" r:id="rId7"/>
    <sheet name="Investment Recon - Other" sheetId="16" r:id="rId8"/>
    <sheet name="Related UT " sheetId="14" state="hidden" r:id="rId9"/>
    <sheet name="Property Valn" sheetId="12" r:id="rId10"/>
    <sheet name="Debtors" sheetId="13" r:id="rId11"/>
    <sheet name="Creditors" sheetId="11" state="hidden" r:id="rId12"/>
    <sheet name="Distbn Income " sheetId="7" r:id="rId13"/>
    <sheet name="Dividend Income" sheetId="18" r:id="rId14"/>
    <sheet name="Foreign Div" sheetId="9" state="hidden" r:id="rId15"/>
    <sheet name="Rental Income" sheetId="15" r:id="rId16"/>
    <sheet name="Acc fees" sheetId="6" r:id="rId17"/>
    <sheet name="Advisor Fees" sheetId="5" state="hidden" r:id="rId18"/>
  </sheets>
  <externalReferences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7" l="1"/>
  <c r="F52" i="7"/>
  <c r="F19" i="13"/>
  <c r="F14" i="13"/>
  <c r="F15" i="13"/>
  <c r="E11" i="18"/>
  <c r="D11" i="18"/>
  <c r="D43" i="7"/>
  <c r="D40" i="7"/>
  <c r="J32" i="7"/>
  <c r="H40" i="7"/>
  <c r="H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3" i="7"/>
  <c r="J34" i="7"/>
  <c r="J35" i="7"/>
  <c r="J36" i="7"/>
  <c r="J37" i="7"/>
  <c r="J38" i="7"/>
  <c r="J39" i="7"/>
  <c r="J14" i="7"/>
  <c r="I40" i="7"/>
  <c r="I44" i="7"/>
  <c r="H43" i="7"/>
  <c r="I43" i="7"/>
  <c r="J40" i="7"/>
  <c r="M14" i="7" s="1"/>
  <c r="E40" i="7"/>
  <c r="F40" i="7"/>
  <c r="N29" i="7"/>
  <c r="N12" i="15"/>
  <c r="N25" i="15"/>
  <c r="M25" i="15"/>
  <c r="K25" i="15"/>
  <c r="L25" i="15"/>
  <c r="L29" i="15" s="1"/>
  <c r="K29" i="15"/>
  <c r="G12" i="15"/>
  <c r="H12" i="15"/>
  <c r="E12" i="15"/>
  <c r="H44" i="7" l="1"/>
  <c r="G19" i="5"/>
  <c r="G18" i="5"/>
  <c r="G12" i="5"/>
  <c r="I15" i="8"/>
  <c r="J25" i="15"/>
  <c r="J29" i="15" s="1"/>
  <c r="I25" i="15"/>
  <c r="I29" i="15" s="1"/>
  <c r="G25" i="15"/>
  <c r="G29" i="15" s="1"/>
  <c r="F25" i="15"/>
  <c r="F29" i="15" s="1"/>
  <c r="M23" i="15"/>
  <c r="E23" i="15"/>
  <c r="M22" i="15"/>
  <c r="E22" i="15"/>
  <c r="M21" i="15"/>
  <c r="E21" i="15"/>
  <c r="N21" i="15" s="1"/>
  <c r="M20" i="15"/>
  <c r="E20" i="15"/>
  <c r="M19" i="15"/>
  <c r="E19" i="15"/>
  <c r="M18" i="15"/>
  <c r="E18" i="15"/>
  <c r="M17" i="15"/>
  <c r="E17" i="15"/>
  <c r="N17" i="15" s="1"/>
  <c r="M16" i="15"/>
  <c r="E16" i="15"/>
  <c r="M15" i="15"/>
  <c r="E15" i="15"/>
  <c r="M14" i="15"/>
  <c r="E14" i="15"/>
  <c r="N14" i="15" s="1"/>
  <c r="M13" i="15"/>
  <c r="E13" i="15"/>
  <c r="M12" i="15"/>
  <c r="D25" i="15"/>
  <c r="D29" i="15" s="1"/>
  <c r="N22" i="15" l="1"/>
  <c r="N13" i="15"/>
  <c r="N19" i="15"/>
  <c r="N23" i="15"/>
  <c r="N15" i="15"/>
  <c r="N20" i="15"/>
  <c r="N16" i="15"/>
  <c r="N18" i="15"/>
  <c r="H25" i="15"/>
  <c r="H29" i="15" s="1"/>
  <c r="E25" i="15" l="1"/>
  <c r="E29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G13" i="17" l="1"/>
  <c r="G12" i="17"/>
  <c r="I3" i="17"/>
  <c r="H3" i="17"/>
  <c r="C3" i="17"/>
  <c r="I2" i="17"/>
  <c r="H2" i="17"/>
  <c r="C2" i="17"/>
  <c r="C1" i="17"/>
  <c r="F23" i="16"/>
  <c r="F16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11" i="3"/>
  <c r="I20" i="3" s="1"/>
  <c r="I22" i="3" s="1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I3" i="15"/>
  <c r="H3" i="15"/>
  <c r="C3" i="15"/>
  <c r="I2" i="15"/>
  <c r="H2" i="15"/>
  <c r="C2" i="15"/>
  <c r="C1" i="15"/>
  <c r="F25" i="16" l="1"/>
  <c r="I25" i="16" s="1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G24" i="3" l="1"/>
  <c r="L24" i="3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3" i="9"/>
  <c r="H3" i="9"/>
  <c r="C3" i="9"/>
  <c r="I2" i="9"/>
  <c r="H2" i="9"/>
  <c r="C2" i="9"/>
  <c r="C1" i="9"/>
  <c r="K3" i="7"/>
  <c r="J3" i="7"/>
  <c r="C3" i="7"/>
  <c r="K2" i="7"/>
  <c r="J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44" i="7" l="1"/>
  <c r="G43" i="7"/>
  <c r="F43" i="7"/>
  <c r="G40" i="7"/>
  <c r="E36" i="7"/>
  <c r="M27" i="7"/>
  <c r="O27" i="7" s="1"/>
  <c r="M18" i="7"/>
  <c r="O18" i="7" s="1"/>
  <c r="M15" i="7"/>
  <c r="O15" i="7" s="1"/>
  <c r="O25" i="7"/>
  <c r="O24" i="7"/>
  <c r="M26" i="7" l="1"/>
  <c r="O26" i="7" s="1"/>
  <c r="E43" i="7"/>
  <c r="E44" i="7" s="1"/>
  <c r="O14" i="7"/>
  <c r="M21" i="7"/>
  <c r="O21" i="7" s="1"/>
  <c r="G44" i="7"/>
  <c r="M17" i="7"/>
  <c r="O17" i="7" s="1"/>
  <c r="F44" i="7"/>
  <c r="M23" i="7"/>
  <c r="O23" i="7" s="1"/>
  <c r="M22" i="7"/>
  <c r="O22" i="7" s="1"/>
  <c r="M16" i="7"/>
  <c r="O16" i="7" s="1"/>
  <c r="M20" i="7"/>
  <c r="O20" i="7" s="1"/>
  <c r="M19" i="7"/>
  <c r="O19" i="7" s="1"/>
  <c r="M29" i="7" l="1"/>
  <c r="O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<sst xmlns="http://schemas.openxmlformats.org/spreadsheetml/2006/main" count="665" uniqueCount="380">
  <si>
    <t>Client</t>
  </si>
  <si>
    <t>CNG Super Fund</t>
  </si>
  <si>
    <t>Initials</t>
  </si>
  <si>
    <t>Date</t>
  </si>
  <si>
    <t>Client Code</t>
  </si>
  <si>
    <t>MCAD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</si>
  <si>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</si>
  <si>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</si>
  <si>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</si>
  <si>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</si>
  <si>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</si>
  <si>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</si>
  <si>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</si>
  <si>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</si>
  <si>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</si>
  <si>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</si>
  <si>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</si>
  <si>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</si>
  <si>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</si>
  <si>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</si>
  <si>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</si>
  <si>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</si>
  <si>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</si>
  <si>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</si>
  <si>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</si>
  <si>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</si>
  <si>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indiv trustees</t>
  </si>
  <si>
    <t>Financial Statements Supporting Workpapers</t>
  </si>
  <si>
    <t>Income tax &amp; GST</t>
  </si>
  <si>
    <t>Statement of Taxable Income</t>
  </si>
  <si>
    <t>Actuarial, ECPI &amp; ECPE reports</t>
  </si>
  <si>
    <t>Fund is 100% in pension phase, no actuarial required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</si>
  <si>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</si>
  <si>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</si>
  <si>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</si>
  <si>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</si>
  <si>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</si>
  <si>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</si>
  <si>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</si>
  <si>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</si>
  <si>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</si>
  <si>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</si>
  <si>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</si>
  <si>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</si>
  <si>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</si>
  <si>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</si>
  <si>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</si>
  <si>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</si>
  <si>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</si>
  <si>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</si>
  <si>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</si>
  <si>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</si>
  <si>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</si>
  <si>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</si>
  <si>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</si>
  <si>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</si>
  <si>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</si>
  <si>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</si>
  <si>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</si>
  <si>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</si>
  <si>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</si>
  <si>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</si>
  <si>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</si>
  <si>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</si>
  <si>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</si>
  <si>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</si>
  <si>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</si>
  <si>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</si>
  <si>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</si>
  <si>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</si>
  <si>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</si>
  <si>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</si>
  <si>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</si>
  <si>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</si>
  <si>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</si>
  <si>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</si>
  <si>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</si>
  <si>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</si>
  <si>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</si>
  <si>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</si>
  <si>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No </t>
  </si>
  <si>
    <t>Query</t>
  </si>
  <si>
    <t>Notes</t>
  </si>
  <si>
    <t>Completed</t>
  </si>
  <si>
    <t>Require confirmation of Life Art Company Pty Ltd shares - shares held, value of shares, any income/dividends paid, a copy of financial statements</t>
  </si>
  <si>
    <t>Nothing on file for 2022.</t>
  </si>
  <si>
    <t>Yes</t>
  </si>
  <si>
    <t>What date were smoke alarms installed?</t>
  </si>
  <si>
    <t xml:space="preserve">Yes - R&amp;M as each smoke alarm is less than $300. </t>
  </si>
  <si>
    <t>Variance in rental income received compared to annual statement</t>
  </si>
  <si>
    <t>Need to confirm</t>
  </si>
  <si>
    <t>MINIMUM PENSION CALCULATION 2022/23 FINANCIAL YEAR</t>
  </si>
  <si>
    <t>Member Name:</t>
  </si>
  <si>
    <t>Donald McAlpine</t>
  </si>
  <si>
    <t>Annette McAlpine</t>
  </si>
  <si>
    <t>Fund Total Min Pension</t>
  </si>
  <si>
    <t>Date of Birth:</t>
  </si>
  <si>
    <t>Total</t>
  </si>
  <si>
    <t>Age as at 01/07/2022:</t>
  </si>
  <si>
    <t>Pension Date:</t>
  </si>
  <si>
    <t>Penion A/c No:</t>
  </si>
  <si>
    <t>MCADON00004P</t>
  </si>
  <si>
    <t>MCADON00056P</t>
  </si>
  <si>
    <t>MCADON00344P</t>
  </si>
  <si>
    <t>MCAANN00002P</t>
  </si>
  <si>
    <t>MCAANN00004P</t>
  </si>
  <si>
    <t>Pension A/c Type: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</si>
  <si>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</si>
  <si>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</si>
  <si>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</si>
  <si>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</si>
  <si>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</si>
  <si>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</si>
  <si>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</si>
  <si>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</si>
  <si>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</si>
  <si>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</si>
  <si>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</si>
  <si>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</si>
  <si>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</si>
  <si>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</si>
  <si>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</si>
  <si>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</si>
  <si>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</si>
  <si>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</si>
  <si>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</si>
  <si>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</si>
  <si>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</si>
  <si>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</si>
  <si>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</si>
  <si>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</si>
  <si>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</si>
  <si>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</si>
  <si>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</si>
  <si>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</si>
  <si>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</si>
  <si>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</si>
  <si>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</si>
  <si>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</si>
  <si>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</si>
  <si>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</si>
  <si>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</si>
  <si>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</si>
  <si>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</si>
  <si>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</si>
  <si>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</si>
  <si>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</si>
  <si>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</si>
  <si>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</si>
  <si>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</si>
  <si>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</si>
  <si>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</si>
  <si>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</si>
  <si>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</si>
  <si>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</si>
  <si>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</si>
  <si>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</si>
  <si>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</si>
  <si>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</si>
  <si>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</si>
  <si>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</si>
  <si>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</si>
  <si>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</si>
  <si>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</si>
  <si>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</si>
  <si>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</si>
  <si>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</si>
  <si>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</si>
  <si>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</si>
  <si>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</si>
  <si>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</si>
  <si>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</si>
  <si>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</si>
  <si>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</si>
  <si>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60400/MBL965629231</t>
  </si>
  <si>
    <t>Macquarie Cash Management A/c 231</t>
  </si>
  <si>
    <t>60400/MBL965629264</t>
  </si>
  <si>
    <t>Macquarie Cash Management A/c 264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</si>
  <si>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</si>
  <si>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</si>
  <si>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</si>
  <si>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</si>
  <si>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</si>
  <si>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</si>
  <si>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</si>
  <si>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</si>
  <si>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</si>
  <si>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</si>
  <si>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</si>
  <si>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</si>
  <si>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</si>
  <si>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</si>
  <si>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</si>
  <si>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</si>
  <si>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</si>
  <si>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</si>
  <si>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</si>
  <si>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</si>
  <si>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</si>
  <si>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</si>
  <si>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</si>
  <si>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</si>
  <si>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</si>
  <si>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</si>
  <si>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</si>
  <si>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</si>
  <si>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</si>
  <si>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</si>
  <si>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</si>
  <si>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</si>
  <si>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</si>
  <si>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</si>
  <si>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</si>
  <si>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</si>
  <si>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</si>
  <si>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</si>
  <si>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</si>
  <si>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</si>
  <si>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</si>
  <si>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Units in Listed UT</t>
  </si>
  <si>
    <t>Units in Unlisted UT</t>
  </si>
  <si>
    <t>Market Value per Supporting Docs</t>
  </si>
  <si>
    <t xml:space="preserve">Macquarie Portfolio </t>
  </si>
  <si>
    <t>The Life Art Company Pty Ltd</t>
  </si>
  <si>
    <t>Xton Queen St</t>
  </si>
  <si>
    <t>Xton Albion Centre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</si>
  <si>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</si>
  <si>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</si>
  <si>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</si>
  <si>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</si>
  <si>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</si>
  <si>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</si>
  <si>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</si>
  <si>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</si>
  <si>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</si>
  <si>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</si>
  <si>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</si>
  <si>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</si>
  <si>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</si>
  <si>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</si>
  <si>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</si>
  <si>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</si>
  <si>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</si>
  <si>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</si>
  <si>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</si>
  <si>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</si>
  <si>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77200/MCAD4</t>
  </si>
  <si>
    <t xml:space="preserve">	14 Omega Avenue, Cleveland</t>
  </si>
  <si>
    <t>RECEIVABLES &amp; DEBTORS</t>
  </si>
  <si>
    <t>Stockland</t>
  </si>
  <si>
    <t>banked 31/8/22</t>
  </si>
  <si>
    <t>Trilogy MIT</t>
  </si>
  <si>
    <t>banked 12/7/22</t>
  </si>
  <si>
    <t>Trilogy EIF</t>
  </si>
  <si>
    <t>Xton Albion Central</t>
  </si>
  <si>
    <t>banked 7/7/22</t>
  </si>
  <si>
    <t>Xton Queen Street</t>
  </si>
  <si>
    <t>banked 8/7/22</t>
  </si>
  <si>
    <t>CREDITORS</t>
  </si>
  <si>
    <t>ACCOUNTING FEES</t>
  </si>
  <si>
    <t>Transurban</t>
  </si>
  <si>
    <t>Trilogy Enhanded Income Fund</t>
  </si>
  <si>
    <t>Trilogy Monthly Income Trust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</si>
  <si>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</si>
  <si>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</si>
  <si>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</si>
  <si>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</si>
  <si>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</si>
  <si>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</si>
  <si>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</si>
  <si>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</si>
  <si>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</si>
  <si>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</si>
  <si>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</si>
  <si>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</si>
  <si>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</si>
  <si>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</si>
  <si>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</si>
  <si>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</si>
  <si>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</si>
  <si>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</si>
  <si>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</si>
  <si>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</si>
  <si>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</si>
  <si>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</si>
  <si>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</si>
  <si>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</si>
  <si>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</si>
  <si>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</si>
  <si>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</si>
  <si>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</si>
  <si>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</si>
  <si>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</si>
  <si>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</si>
  <si>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</si>
  <si>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</si>
  <si>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</si>
  <si>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</si>
  <si>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</si>
  <si>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Xton Albion - the investment was accidentally issued in indiv names and rectified within 3 months by Xton</t>
  </si>
  <si>
    <t>Indiv name</t>
  </si>
  <si>
    <t>SF name</t>
  </si>
  <si>
    <t>total</t>
  </si>
  <si>
    <t>capital distbn - non assess</t>
  </si>
  <si>
    <t>interest</t>
  </si>
  <si>
    <t>DIVIDEND RECONCILIATION</t>
  </si>
  <si>
    <t>FC</t>
  </si>
  <si>
    <t>Foreign Income</t>
  </si>
  <si>
    <t>FITO</t>
  </si>
  <si>
    <t>Macquarie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</si>
  <si>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</si>
  <si>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</si>
  <si>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</si>
  <si>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</si>
  <si>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</si>
  <si>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</si>
  <si>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</si>
  <si>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</si>
  <si>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</si>
  <si>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</si>
  <si>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</si>
  <si>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</si>
  <si>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3</t>
  </si>
  <si>
    <t>Income</t>
  </si>
  <si>
    <t>Rent Received</t>
  </si>
  <si>
    <t>Gross Rent</t>
  </si>
  <si>
    <t>Body Corporate</t>
  </si>
  <si>
    <t>Council Rates</t>
  </si>
  <si>
    <t>Agent Fees</t>
  </si>
  <si>
    <t>R&amp;M</t>
  </si>
  <si>
    <t xml:space="preserve">Water </t>
  </si>
  <si>
    <t>Insurance</t>
  </si>
  <si>
    <t>Land Tax</t>
  </si>
  <si>
    <t>Gross Exp</t>
  </si>
  <si>
    <t>Net Rent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</si>
  <si>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</si>
  <si>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</si>
  <si>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</si>
  <si>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</si>
  <si>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</si>
  <si>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</si>
  <si>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</si>
  <si>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</si>
  <si>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</si>
  <si>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</si>
  <si>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</si>
  <si>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</si>
  <si>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</si>
  <si>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coded rent variance to agent fees so that gross rent matches records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</si>
  <si>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</si>
  <si>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</si>
  <si>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</si>
  <si>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</si>
  <si>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</si>
  <si>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</si>
  <si>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</si>
  <si>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</si>
  <si>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</si>
  <si>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</si>
  <si>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</si>
  <si>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</si>
  <si>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</si>
  <si>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</si>
  <si>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</si>
  <si>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9MCAD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</si>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</sst>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  <numFmt numFmtId="171" formatCode="_(* #,##0_);_(* \(#,##0\);_(* &quot;-&quot;??_);_(@_)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36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4" fontId="19" fillId="0" borderId="0" xfId="0" applyNumberFormat="1" applyFont="1"/>
    <xf numFmtId="164" fontId="18" fillId="0" borderId="29" xfId="0" applyNumberFormat="1" applyFont="1" applyBorder="1"/>
    <xf numFmtId="0" fontId="21" fillId="0" borderId="0" xfId="0" applyFont="1"/>
    <xf numFmtId="164" fontId="0" fillId="0" borderId="0" xfId="2" applyFont="1" applyFill="1" applyAlignment="1"/>
    <xf numFmtId="16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16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2" applyFont="1" applyBorder="1"/>
    <xf numFmtId="0" fontId="8" fillId="0" borderId="0" xfId="0" applyFont="1"/>
    <xf numFmtId="16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165" fontId="0" fillId="0" borderId="0" xfId="2" applyNumberFormat="1" applyFont="1"/>
    <xf numFmtId="165" fontId="0" fillId="0" borderId="0" xfId="0" applyNumberFormat="1"/>
    <xf numFmtId="165" fontId="0" fillId="0" borderId="0" xfId="1" applyFont="1" applyBorder="1"/>
    <xf numFmtId="165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164" fontId="0" fillId="0" borderId="12" xfId="2" applyFont="1" applyBorder="1"/>
    <xf numFmtId="164" fontId="3" fillId="0" borderId="0" xfId="2" applyFont="1" applyBorder="1" applyAlignment="1">
      <alignment horizontal="center"/>
    </xf>
    <xf numFmtId="164" fontId="0" fillId="5" borderId="0" xfId="2" applyFont="1" applyFill="1" applyBorder="1"/>
    <xf numFmtId="164" fontId="0" fillId="5" borderId="26" xfId="2" applyFont="1" applyFill="1" applyBorder="1"/>
    <xf numFmtId="164" fontId="0" fillId="0" borderId="26" xfId="2" applyFont="1" applyBorder="1"/>
    <xf numFmtId="9" fontId="0" fillId="0" borderId="0" xfId="3" applyFont="1"/>
    <xf numFmtId="0" fontId="0" fillId="5" borderId="0" xfId="0" applyFill="1"/>
    <xf numFmtId="164" fontId="0" fillId="0" borderId="0" xfId="0" applyNumberFormat="1"/>
    <xf numFmtId="164" fontId="0" fillId="0" borderId="26" xfId="0" applyNumberFormat="1" applyBorder="1"/>
    <xf numFmtId="165" fontId="0" fillId="0" borderId="0" xfId="1" applyFont="1"/>
    <xf numFmtId="165" fontId="2" fillId="0" borderId="0" xfId="0" applyNumberFormat="1" applyFont="1"/>
    <xf numFmtId="16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164" fontId="3" fillId="0" borderId="0" xfId="6" applyFont="1" applyAlignment="1">
      <alignment horizontal="center"/>
    </xf>
    <xf numFmtId="165" fontId="0" fillId="0" borderId="0" xfId="7" applyFont="1"/>
    <xf numFmtId="0" fontId="3" fillId="6" borderId="0" xfId="0" applyFont="1" applyFill="1" applyAlignment="1">
      <alignment horizontal="center"/>
    </xf>
    <xf numFmtId="164" fontId="3" fillId="0" borderId="0" xfId="2" applyFont="1" applyFill="1" applyBorder="1" applyAlignment="1">
      <alignment horizontal="center"/>
    </xf>
    <xf numFmtId="16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165" fontId="0" fillId="0" borderId="0" xfId="1" applyFont="1" applyFill="1"/>
    <xf numFmtId="165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4" fontId="0" fillId="0" borderId="30" xfId="2" applyFont="1" applyBorder="1"/>
    <xf numFmtId="0" fontId="29" fillId="0" borderId="0" xfId="0" applyFont="1" applyAlignment="1">
      <alignment horizontal="center" wrapText="1"/>
    </xf>
    <xf numFmtId="167" fontId="0" fillId="4" borderId="0" xfId="1" applyNumberFormat="1" applyFont="1" applyFill="1"/>
    <xf numFmtId="0" fontId="29" fillId="0" borderId="0" xfId="0" applyFont="1"/>
    <xf numFmtId="165" fontId="0" fillId="0" borderId="26" xfId="1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165" fontId="0" fillId="5" borderId="0" xfId="0" applyNumberFormat="1" applyFill="1"/>
    <xf numFmtId="165" fontId="0" fillId="5" borderId="31" xfId="0" applyNumberFormat="1" applyFill="1" applyBorder="1"/>
    <xf numFmtId="16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4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4" fontId="8" fillId="0" borderId="11" xfId="2" applyFont="1" applyBorder="1" applyAlignment="1">
      <alignment horizontal="center" vertical="center" wrapText="1"/>
    </xf>
    <xf numFmtId="16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5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5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5" fontId="29" fillId="0" borderId="49" xfId="1" applyFont="1" applyBorder="1"/>
    <xf numFmtId="0" fontId="29" fillId="0" borderId="0" xfId="0" applyFont="1" applyAlignment="1">
      <alignment horizontal="center"/>
    </xf>
    <xf numFmtId="165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12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vertical="center" wrapText="1"/>
    </xf>
    <xf numFmtId="0" fontId="32" fillId="0" borderId="65" xfId="5" quotePrefix="1" applyFont="1" applyBorder="1" applyAlignment="1">
      <alignment horizontal="center" vertical="center" wrapText="1"/>
    </xf>
    <xf numFmtId="44" fontId="0" fillId="0" borderId="0" xfId="0" applyNumberFormat="1"/>
    <xf numFmtId="164" fontId="0" fillId="4" borderId="0" xfId="2" applyFont="1" applyFill="1"/>
    <xf numFmtId="164" fontId="0" fillId="0" borderId="0" xfId="2" applyFont="1" applyFill="1"/>
    <xf numFmtId="165" fontId="0" fillId="0" borderId="28" xfId="1" applyFont="1" applyBorder="1"/>
    <xf numFmtId="164" fontId="0" fillId="4" borderId="0" xfId="2" applyFont="1" applyFill="1" applyBorder="1"/>
    <xf numFmtId="164" fontId="0" fillId="4" borderId="31" xfId="2" applyFont="1" applyFill="1" applyBorder="1"/>
    <xf numFmtId="165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4" fontId="3" fillId="0" borderId="0" xfId="6" applyFont="1" applyAlignment="1">
      <alignment horizontal="center" wrapText="1"/>
    </xf>
    <xf numFmtId="164" fontId="0" fillId="0" borderId="9" xfId="2" applyFont="1" applyBorder="1"/>
    <xf numFmtId="0" fontId="33" fillId="0" borderId="0" xfId="0" applyFont="1"/>
    <xf numFmtId="0" fontId="34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5" fontId="21" fillId="0" borderId="0" xfId="1" applyFont="1"/>
    <xf numFmtId="165" fontId="21" fillId="0" borderId="0" xfId="1" applyFont="1" applyFill="1"/>
    <xf numFmtId="165" fontId="22" fillId="0" borderId="0" xfId="1" applyFont="1"/>
    <xf numFmtId="165" fontId="5" fillId="0" borderId="0" xfId="1" applyFont="1"/>
    <xf numFmtId="165" fontId="5" fillId="0" borderId="0" xfId="1" applyFont="1" applyFill="1"/>
    <xf numFmtId="165" fontId="4" fillId="0" borderId="0" xfId="1" applyFont="1"/>
    <xf numFmtId="165" fontId="4" fillId="0" borderId="1" xfId="1" applyFont="1" applyBorder="1" applyAlignment="1">
      <alignment horizontal="center" vertical="center" wrapText="1"/>
    </xf>
    <xf numFmtId="165" fontId="3" fillId="0" borderId="0" xfId="1" applyFont="1" applyAlignment="1">
      <alignment horizontal="center"/>
    </xf>
    <xf numFmtId="165" fontId="2" fillId="0" borderId="9" xfId="1" applyFont="1" applyBorder="1"/>
    <xf numFmtId="0" fontId="0" fillId="6" borderId="0" xfId="0" applyFill="1"/>
    <xf numFmtId="165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5" fontId="3" fillId="6" borderId="0" xfId="1" applyFont="1" applyFill="1" applyAlignment="1">
      <alignment horizontal="center" vertical="center" wrapText="1"/>
    </xf>
    <xf numFmtId="165" fontId="0" fillId="4" borderId="1" xfId="0" applyNumberFormat="1" applyFill="1" applyBorder="1"/>
    <xf numFmtId="165" fontId="0" fillId="4" borderId="1" xfId="1" applyFont="1" applyFill="1" applyBorder="1"/>
    <xf numFmtId="165" fontId="0" fillId="7" borderId="1" xfId="1" applyFont="1" applyFill="1" applyBorder="1"/>
    <xf numFmtId="165" fontId="0" fillId="4" borderId="16" xfId="0" applyNumberFormat="1" applyFill="1" applyBorder="1"/>
    <xf numFmtId="165" fontId="0" fillId="4" borderId="16" xfId="1" applyFont="1" applyFill="1" applyBorder="1"/>
    <xf numFmtId="165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5" fontId="0" fillId="4" borderId="20" xfId="0" applyNumberFormat="1" applyFill="1" applyBorder="1"/>
    <xf numFmtId="165" fontId="0" fillId="4" borderId="20" xfId="1" applyFont="1" applyFill="1" applyBorder="1"/>
    <xf numFmtId="165" fontId="0" fillId="7" borderId="20" xfId="1" applyFont="1" applyFill="1" applyBorder="1"/>
    <xf numFmtId="0" fontId="0" fillId="4" borderId="51" xfId="0" applyFill="1" applyBorder="1"/>
    <xf numFmtId="165" fontId="0" fillId="4" borderId="51" xfId="1" applyFont="1" applyFill="1" applyBorder="1"/>
    <xf numFmtId="165" fontId="0" fillId="7" borderId="51" xfId="1" applyFont="1" applyFill="1" applyBorder="1"/>
    <xf numFmtId="165" fontId="1" fillId="4" borderId="62" xfId="1" applyFont="1" applyFill="1" applyBorder="1" applyAlignment="1">
      <alignment horizontal="center" vertical="center"/>
    </xf>
    <xf numFmtId="165" fontId="1" fillId="7" borderId="62" xfId="1" applyFont="1" applyFill="1" applyBorder="1" applyAlignment="1">
      <alignment horizontal="center" vertical="center"/>
    </xf>
    <xf numFmtId="165" fontId="3" fillId="6" borderId="0" xfId="1" applyFont="1" applyFill="1" applyAlignment="1">
      <alignment vertical="center"/>
    </xf>
    <xf numFmtId="165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5" fontId="0" fillId="0" borderId="12" xfId="1" applyFont="1" applyFill="1" applyBorder="1" applyAlignment="1">
      <alignment horizontal="center" vertical="center"/>
    </xf>
    <xf numFmtId="165" fontId="0" fillId="0" borderId="12" xfId="1" applyFont="1" applyFill="1" applyBorder="1"/>
    <xf numFmtId="165" fontId="0" fillId="0" borderId="26" xfId="1" applyFont="1" applyFill="1" applyBorder="1" applyAlignment="1">
      <alignment horizontal="center" vertical="center"/>
    </xf>
    <xf numFmtId="165" fontId="0" fillId="0" borderId="26" xfId="1" applyFont="1" applyFill="1" applyBorder="1"/>
    <xf numFmtId="165" fontId="0" fillId="0" borderId="0" xfId="1" applyFont="1" applyFill="1" applyAlignment="1">
      <alignment horizontal="center" vertical="center"/>
    </xf>
    <xf numFmtId="0" fontId="0" fillId="0" borderId="9" xfId="0" applyBorder="1"/>
    <xf numFmtId="165" fontId="1" fillId="0" borderId="9" xfId="1" applyFont="1" applyFill="1" applyBorder="1" applyAlignment="1">
      <alignment horizontal="center" vertical="center"/>
    </xf>
    <xf numFmtId="165" fontId="0" fillId="0" borderId="9" xfId="1" applyFont="1" applyFill="1" applyBorder="1"/>
    <xf numFmtId="165" fontId="1" fillId="0" borderId="43" xfId="1" applyFont="1" applyFill="1" applyBorder="1" applyAlignment="1">
      <alignment horizontal="center" vertical="center"/>
    </xf>
    <xf numFmtId="165" fontId="29" fillId="0" borderId="0" xfId="1" applyFont="1" applyFill="1"/>
    <xf numFmtId="0" fontId="35" fillId="0" borderId="0" xfId="0" applyFont="1"/>
    <xf numFmtId="164" fontId="2" fillId="0" borderId="9" xfId="2" applyFont="1" applyBorder="1"/>
    <xf numFmtId="165" fontId="29" fillId="0" borderId="0" xfId="1" applyFont="1"/>
    <xf numFmtId="0" fontId="3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165" fontId="0" fillId="0" borderId="0" xfId="7" applyFont="1" applyBorder="1"/>
    <xf numFmtId="164" fontId="0" fillId="0" borderId="0" xfId="2" applyFont="1" applyFill="1" applyBorder="1"/>
    <xf numFmtId="165" fontId="0" fillId="0" borderId="0" xfId="1" quotePrefix="1" applyFont="1" applyFill="1"/>
    <xf numFmtId="165" fontId="0" fillId="0" borderId="0" xfId="1" applyFont="1" applyFill="1" applyBorder="1"/>
    <xf numFmtId="164" fontId="0" fillId="11" borderId="0" xfId="2" applyFont="1" applyFill="1" applyBorder="1"/>
    <xf numFmtId="171" fontId="0" fillId="0" borderId="0" xfId="0" applyNumberFormat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66" xfId="0" applyFont="1" applyBorder="1" applyAlignment="1">
      <alignment horizontal="left" vertical="center" wrapText="1"/>
    </xf>
    <xf numFmtId="0" fontId="11" fillId="0" borderId="67" xfId="0" applyFont="1" applyBorder="1" applyAlignment="1">
      <alignment horizontal="left" vertical="center" wrapText="1"/>
    </xf>
    <xf numFmtId="0" fontId="11" fillId="0" borderId="68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8D1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9</xdr:col>
      <xdr:colOff>615914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opLeftCell="A52" workbookViewId="0">
      <selection activeCell="F21" sqref="F21:H21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5703125" bestFit="1" customWidth="1"/>
  </cols>
  <sheetData>
    <row r="1" spans="1:9" ht="18">
      <c r="A1" s="117" t="s">
        <v>0</v>
      </c>
      <c r="B1" s="120"/>
      <c r="C1" s="118" t="s">
        <v>1</v>
      </c>
      <c r="F1" s="54"/>
      <c r="H1" s="56" t="s">
        <v>2</v>
      </c>
      <c r="I1" s="56" t="s">
        <v>3</v>
      </c>
    </row>
    <row r="2" spans="1:9" ht="18">
      <c r="A2" s="117" t="s">
        <v>4</v>
      </c>
      <c r="B2" s="121"/>
      <c r="C2" s="118" t="s">
        <v>5</v>
      </c>
      <c r="D2" s="53"/>
      <c r="E2" s="53"/>
      <c r="F2" s="55"/>
      <c r="G2" s="59" t="s">
        <v>6</v>
      </c>
      <c r="H2" s="60" t="s">
        <v>7</v>
      </c>
      <c r="I2" s="61">
        <v>45027</v>
      </c>
    </row>
    <row r="3" spans="1:9" ht="18">
      <c r="A3" s="117" t="s">
        <v>8</v>
      </c>
      <c r="B3" s="121"/>
      <c r="C3" s="119">
        <v>44742</v>
      </c>
      <c r="D3" s="53"/>
      <c r="E3" s="53"/>
      <c r="F3" s="55"/>
      <c r="G3" s="59" t="s">
        <v>9</v>
      </c>
      <c r="H3" s="60" t="s">
        <v>10</v>
      </c>
      <c r="I3" s="61">
        <v>45034</v>
      </c>
    </row>
    <row r="4" spans="1:9" ht="18">
      <c r="A4" s="122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03" t="s">
        <v>15</v>
      </c>
      <c r="G7" s="304"/>
      <c r="H7" s="305"/>
    </row>
    <row r="8" spans="1:9" ht="20.100000000000001" customHeight="1">
      <c r="A8" s="306" t="s">
        <v>16</v>
      </c>
      <c r="B8" s="307"/>
      <c r="C8" s="308"/>
      <c r="D8" s="216"/>
      <c r="E8" s="10" t="s">
        <v>17</v>
      </c>
      <c r="F8" s="300"/>
      <c r="G8" s="301"/>
      <c r="H8" s="302"/>
    </row>
    <row r="9" spans="1:9" ht="20.100000000000001" customHeight="1">
      <c r="A9" s="11"/>
      <c r="B9" s="12">
        <v>1</v>
      </c>
      <c r="C9" s="13" t="s">
        <v>18</v>
      </c>
      <c r="D9" s="216"/>
      <c r="E9" s="10" t="s">
        <v>17</v>
      </c>
      <c r="F9" s="300"/>
      <c r="G9" s="301"/>
      <c r="H9" s="302"/>
    </row>
    <row r="10" spans="1:9" ht="20.100000000000001" customHeight="1">
      <c r="A10" s="11"/>
      <c r="B10" s="12">
        <v>2</v>
      </c>
      <c r="C10" s="13" t="s">
        <v>19</v>
      </c>
      <c r="D10" s="216"/>
      <c r="E10" s="10" t="s">
        <v>17</v>
      </c>
      <c r="F10" s="300"/>
      <c r="G10" s="301"/>
      <c r="H10" s="302"/>
    </row>
    <row r="11" spans="1:9" ht="20.100000000000001" customHeight="1">
      <c r="A11" s="11"/>
      <c r="B11" s="12">
        <v>3</v>
      </c>
      <c r="C11" s="13" t="s">
        <v>20</v>
      </c>
      <c r="D11" s="216"/>
      <c r="E11" s="10" t="s">
        <v>17</v>
      </c>
      <c r="F11" s="300"/>
      <c r="G11" s="301"/>
      <c r="H11" s="302"/>
    </row>
    <row r="12" spans="1:9" ht="20.100000000000001" customHeight="1">
      <c r="A12" s="11"/>
      <c r="B12" s="12">
        <v>4</v>
      </c>
      <c r="C12" s="13" t="s">
        <v>21</v>
      </c>
      <c r="D12" s="216"/>
      <c r="E12" s="10" t="s">
        <v>17</v>
      </c>
      <c r="F12" s="300"/>
      <c r="G12" s="301"/>
      <c r="H12" s="302"/>
    </row>
    <row r="13" spans="1:9" ht="20.100000000000001" customHeight="1">
      <c r="A13" s="11"/>
      <c r="B13" s="12">
        <v>5</v>
      </c>
      <c r="C13" s="12" t="s">
        <v>22</v>
      </c>
      <c r="D13" s="216"/>
      <c r="E13" s="10" t="s">
        <v>17</v>
      </c>
      <c r="F13" s="300"/>
      <c r="G13" s="301"/>
      <c r="H13" s="302"/>
    </row>
    <row r="14" spans="1:9" ht="20.100000000000001" customHeight="1">
      <c r="A14" s="11"/>
      <c r="B14" s="12">
        <v>6</v>
      </c>
      <c r="C14" s="14" t="s">
        <v>23</v>
      </c>
      <c r="D14" s="216"/>
      <c r="E14" s="10" t="s">
        <v>17</v>
      </c>
      <c r="F14" s="300"/>
      <c r="G14" s="301"/>
      <c r="H14" s="302"/>
    </row>
    <row r="15" spans="1:9" ht="20.100000000000001" customHeight="1">
      <c r="A15" s="15"/>
      <c r="B15" s="16">
        <v>7</v>
      </c>
      <c r="C15" s="12" t="s">
        <v>24</v>
      </c>
      <c r="D15" s="216"/>
      <c r="E15" s="10" t="s">
        <v>17</v>
      </c>
      <c r="F15" s="300"/>
      <c r="G15" s="301"/>
      <c r="H15" s="302"/>
    </row>
    <row r="16" spans="1:9" ht="20.100000000000001" customHeight="1">
      <c r="A16" s="15"/>
      <c r="B16" s="16">
        <v>8</v>
      </c>
      <c r="C16" s="12" t="s">
        <v>25</v>
      </c>
      <c r="D16" s="216"/>
      <c r="E16" s="10"/>
      <c r="F16" s="300" t="s">
        <v>26</v>
      </c>
      <c r="G16" s="301"/>
      <c r="H16" s="302"/>
    </row>
    <row r="17" spans="1:10" ht="20.100000000000001" customHeight="1">
      <c r="A17" s="297" t="s">
        <v>27</v>
      </c>
      <c r="B17" s="298"/>
      <c r="C17" s="299"/>
      <c r="D17" s="216"/>
      <c r="E17" s="17"/>
      <c r="F17" s="300"/>
      <c r="G17" s="301"/>
      <c r="H17" s="302"/>
      <c r="J17" s="18"/>
    </row>
    <row r="18" spans="1:10" ht="20.100000000000001" customHeight="1">
      <c r="A18" s="19">
        <v>2</v>
      </c>
      <c r="B18" s="20" t="s">
        <v>28</v>
      </c>
      <c r="C18" s="21"/>
      <c r="D18" s="216"/>
      <c r="E18" s="17"/>
      <c r="F18" s="300"/>
      <c r="G18" s="301"/>
      <c r="H18" s="302"/>
    </row>
    <row r="19" spans="1:10" ht="20.100000000000001" customHeight="1">
      <c r="A19" s="22"/>
      <c r="B19" s="23"/>
      <c r="C19" s="24" t="s">
        <v>29</v>
      </c>
      <c r="D19" s="216"/>
      <c r="E19" s="10" t="s">
        <v>17</v>
      </c>
      <c r="F19" s="300"/>
      <c r="G19" s="301"/>
      <c r="H19" s="302"/>
    </row>
    <row r="20" spans="1:10" ht="20.100000000000001" customHeight="1">
      <c r="A20" s="22"/>
      <c r="B20" s="23"/>
      <c r="C20" s="24" t="s">
        <v>30</v>
      </c>
      <c r="D20" s="216"/>
      <c r="E20" s="10" t="s">
        <v>17</v>
      </c>
      <c r="F20" s="300" t="s">
        <v>31</v>
      </c>
      <c r="G20" s="301"/>
      <c r="H20" s="302"/>
    </row>
    <row r="21" spans="1:10" ht="20.100000000000001" customHeight="1">
      <c r="A21" s="11"/>
      <c r="B21" s="25"/>
      <c r="C21" s="14" t="s">
        <v>32</v>
      </c>
      <c r="D21" s="216"/>
      <c r="E21" s="10" t="s">
        <v>17</v>
      </c>
      <c r="F21" s="300"/>
      <c r="G21" s="301"/>
      <c r="H21" s="302"/>
    </row>
    <row r="22" spans="1:10" ht="20.100000000000001" customHeight="1">
      <c r="A22" s="11"/>
      <c r="B22" s="26"/>
      <c r="C22" s="14" t="s">
        <v>33</v>
      </c>
      <c r="D22" s="217" t="s">
        <v>34</v>
      </c>
      <c r="E22" s="10"/>
      <c r="F22" s="300"/>
      <c r="G22" s="301"/>
      <c r="H22" s="302"/>
    </row>
    <row r="23" spans="1:10" ht="20.100000000000001" customHeight="1">
      <c r="A23" s="19">
        <v>3</v>
      </c>
      <c r="B23" s="27" t="s">
        <v>35</v>
      </c>
      <c r="C23" s="21"/>
      <c r="D23" s="216"/>
      <c r="E23" s="17"/>
      <c r="F23" s="300"/>
      <c r="G23" s="301"/>
      <c r="H23" s="302"/>
    </row>
    <row r="24" spans="1:10" ht="20.100000000000001" customHeight="1">
      <c r="A24" s="11"/>
      <c r="B24" s="28"/>
      <c r="C24" s="14" t="s">
        <v>36</v>
      </c>
      <c r="D24" s="236" t="s">
        <v>34</v>
      </c>
      <c r="E24" s="10" t="s">
        <v>17</v>
      </c>
      <c r="F24" s="300"/>
      <c r="G24" s="301"/>
      <c r="H24" s="302"/>
    </row>
    <row r="25" spans="1:10" ht="20.100000000000001" customHeight="1">
      <c r="A25" s="19">
        <v>4</v>
      </c>
      <c r="B25" s="27" t="s">
        <v>37</v>
      </c>
      <c r="C25" s="27"/>
      <c r="D25" s="216"/>
      <c r="E25" s="10"/>
      <c r="F25" s="300"/>
      <c r="G25" s="301"/>
      <c r="H25" s="302"/>
    </row>
    <row r="26" spans="1:10" ht="20.100000000000001" customHeight="1">
      <c r="A26" s="22"/>
      <c r="B26" s="23"/>
      <c r="C26" s="24" t="s">
        <v>38</v>
      </c>
      <c r="D26" s="217" t="s">
        <v>34</v>
      </c>
      <c r="E26" s="10"/>
      <c r="F26" s="300"/>
      <c r="G26" s="301"/>
      <c r="H26" s="302"/>
    </row>
    <row r="27" spans="1:10" ht="20.100000000000001" customHeight="1">
      <c r="A27" s="11"/>
      <c r="B27" s="25"/>
      <c r="C27" s="14" t="s">
        <v>39</v>
      </c>
      <c r="D27" s="217" t="s">
        <v>34</v>
      </c>
      <c r="E27" s="10" t="s">
        <v>17</v>
      </c>
      <c r="F27" s="300"/>
      <c r="G27" s="301"/>
      <c r="H27" s="302"/>
    </row>
    <row r="28" spans="1:10" ht="20.100000000000001" customHeight="1">
      <c r="A28" s="11"/>
      <c r="B28" s="26"/>
      <c r="C28" s="14" t="s">
        <v>40</v>
      </c>
      <c r="D28" s="217" t="s">
        <v>34</v>
      </c>
      <c r="E28" s="10"/>
      <c r="F28" s="300"/>
      <c r="G28" s="301"/>
      <c r="H28" s="302"/>
    </row>
    <row r="29" spans="1:10" ht="20.100000000000001" customHeight="1">
      <c r="A29" s="11"/>
      <c r="B29" s="26"/>
      <c r="C29" s="14" t="s">
        <v>41</v>
      </c>
      <c r="D29" s="217" t="s">
        <v>34</v>
      </c>
      <c r="E29" s="10"/>
      <c r="F29" s="300"/>
      <c r="G29" s="301"/>
      <c r="H29" s="302"/>
    </row>
    <row r="30" spans="1:10" ht="20.100000000000001" customHeight="1">
      <c r="A30" s="11"/>
      <c r="B30" s="26"/>
      <c r="C30" s="14" t="s">
        <v>42</v>
      </c>
      <c r="D30" s="217" t="s">
        <v>34</v>
      </c>
      <c r="E30" s="10"/>
      <c r="F30" s="300"/>
      <c r="G30" s="301"/>
      <c r="H30" s="302"/>
    </row>
    <row r="31" spans="1:10" ht="20.100000000000001" customHeight="1">
      <c r="A31" s="19">
        <v>5</v>
      </c>
      <c r="B31" s="27" t="s">
        <v>43</v>
      </c>
      <c r="C31" s="27"/>
      <c r="D31" s="216"/>
      <c r="E31" s="10"/>
      <c r="F31" s="300"/>
      <c r="G31" s="301"/>
      <c r="H31" s="302"/>
    </row>
    <row r="32" spans="1:10" ht="20.100000000000001" customHeight="1">
      <c r="A32" s="22"/>
      <c r="B32" s="28"/>
      <c r="C32" s="14" t="s">
        <v>44</v>
      </c>
      <c r="D32" s="216"/>
      <c r="E32" s="10"/>
      <c r="F32" s="300"/>
      <c r="G32" s="301"/>
      <c r="H32" s="302"/>
    </row>
    <row r="33" spans="1:8" ht="20.100000000000001" customHeight="1">
      <c r="A33" s="11"/>
      <c r="B33" s="28"/>
      <c r="C33" s="14" t="s">
        <v>45</v>
      </c>
      <c r="D33" s="217" t="s">
        <v>34</v>
      </c>
      <c r="E33" s="10" t="s">
        <v>17</v>
      </c>
      <c r="F33" s="300"/>
      <c r="G33" s="301"/>
      <c r="H33" s="302"/>
    </row>
    <row r="34" spans="1:8" ht="20.100000000000001" customHeight="1">
      <c r="A34" s="11"/>
      <c r="B34" s="28"/>
      <c r="C34" s="14" t="s">
        <v>46</v>
      </c>
      <c r="D34" s="216"/>
      <c r="E34" s="10"/>
      <c r="F34" s="300"/>
      <c r="G34" s="301"/>
      <c r="H34" s="302"/>
    </row>
    <row r="35" spans="1:8" ht="20.100000000000001" customHeight="1">
      <c r="A35" s="11"/>
      <c r="B35" s="28"/>
      <c r="C35" s="14" t="s">
        <v>47</v>
      </c>
      <c r="D35" s="217" t="s">
        <v>34</v>
      </c>
      <c r="E35" s="10"/>
      <c r="F35" s="300"/>
      <c r="G35" s="301"/>
      <c r="H35" s="302"/>
    </row>
    <row r="36" spans="1:8" ht="20.100000000000001" customHeight="1">
      <c r="A36" s="11"/>
      <c r="B36" s="28"/>
      <c r="C36" s="14" t="s">
        <v>48</v>
      </c>
      <c r="D36" s="216"/>
      <c r="E36" s="10" t="s">
        <v>17</v>
      </c>
      <c r="F36" s="300"/>
      <c r="G36" s="301"/>
      <c r="H36" s="302"/>
    </row>
    <row r="37" spans="1:8" ht="20.100000000000001" customHeight="1">
      <c r="A37" s="11"/>
      <c r="B37" s="28"/>
      <c r="C37" s="14" t="s">
        <v>49</v>
      </c>
      <c r="D37" s="216"/>
      <c r="E37" s="10" t="s">
        <v>17</v>
      </c>
      <c r="F37" s="300"/>
      <c r="G37" s="301"/>
      <c r="H37" s="302"/>
    </row>
    <row r="38" spans="1:8" ht="20.100000000000001" customHeight="1">
      <c r="A38" s="11"/>
      <c r="B38" s="28"/>
      <c r="C38" s="14" t="s">
        <v>50</v>
      </c>
      <c r="D38" s="217" t="s">
        <v>34</v>
      </c>
      <c r="E38" s="10" t="s">
        <v>17</v>
      </c>
      <c r="F38" s="300"/>
      <c r="G38" s="301"/>
      <c r="H38" s="302"/>
    </row>
    <row r="39" spans="1:8" ht="20.100000000000001" customHeight="1">
      <c r="A39" s="19">
        <v>6</v>
      </c>
      <c r="B39" s="27" t="s">
        <v>51</v>
      </c>
      <c r="C39" s="27"/>
      <c r="D39" s="216"/>
      <c r="E39" s="10"/>
      <c r="F39" s="300"/>
      <c r="G39" s="301"/>
      <c r="H39" s="302"/>
    </row>
    <row r="40" spans="1:8" ht="20.100000000000001" customHeight="1">
      <c r="A40" s="11"/>
      <c r="B40" s="28"/>
      <c r="C40" s="14" t="s">
        <v>52</v>
      </c>
      <c r="D40" s="216"/>
      <c r="E40" s="17"/>
      <c r="F40" s="300"/>
      <c r="G40" s="301"/>
      <c r="H40" s="302"/>
    </row>
    <row r="41" spans="1:8" ht="20.100000000000001" customHeight="1">
      <c r="A41" s="11"/>
      <c r="B41" s="28"/>
      <c r="C41" s="14" t="s">
        <v>53</v>
      </c>
      <c r="D41" s="216"/>
      <c r="E41" s="17"/>
      <c r="F41" s="300"/>
      <c r="G41" s="301"/>
      <c r="H41" s="302"/>
    </row>
    <row r="42" spans="1:8" ht="20.100000000000001" customHeight="1">
      <c r="A42" s="11"/>
      <c r="B42" s="28"/>
      <c r="C42" s="14" t="s">
        <v>54</v>
      </c>
      <c r="D42" s="216"/>
      <c r="E42" s="17"/>
      <c r="F42" s="300"/>
      <c r="G42" s="301"/>
      <c r="H42" s="302"/>
    </row>
    <row r="43" spans="1:8" ht="20.100000000000001" customHeight="1">
      <c r="A43" s="11"/>
      <c r="B43" s="28"/>
      <c r="C43" s="14" t="s">
        <v>55</v>
      </c>
      <c r="D43" s="216"/>
      <c r="E43" s="10" t="s">
        <v>17</v>
      </c>
      <c r="F43" s="300"/>
      <c r="G43" s="301"/>
      <c r="H43" s="302"/>
    </row>
    <row r="44" spans="1:8" ht="20.100000000000001" customHeight="1">
      <c r="A44" s="11"/>
      <c r="B44" s="28"/>
      <c r="C44" s="14" t="s">
        <v>56</v>
      </c>
      <c r="D44" s="216"/>
      <c r="E44" s="17"/>
      <c r="F44" s="300"/>
      <c r="G44" s="301"/>
      <c r="H44" s="302"/>
    </row>
    <row r="45" spans="1:8" ht="20.100000000000001" customHeight="1">
      <c r="A45" s="11"/>
      <c r="B45" s="28"/>
      <c r="C45" s="14" t="s">
        <v>57</v>
      </c>
      <c r="D45" s="216"/>
      <c r="E45" s="10" t="s">
        <v>17</v>
      </c>
      <c r="F45" s="300"/>
      <c r="G45" s="301"/>
      <c r="H45" s="302"/>
    </row>
    <row r="46" spans="1:8" ht="20.100000000000001" customHeight="1">
      <c r="A46" s="19">
        <v>7</v>
      </c>
      <c r="B46" s="27" t="s">
        <v>58</v>
      </c>
      <c r="C46" s="27"/>
      <c r="D46" s="216"/>
      <c r="E46" s="17"/>
      <c r="F46" s="300"/>
      <c r="G46" s="301"/>
      <c r="H46" s="302"/>
    </row>
    <row r="47" spans="1:8" ht="20.100000000000001" customHeight="1">
      <c r="A47" s="11"/>
      <c r="B47" s="28"/>
      <c r="C47" s="14" t="s">
        <v>59</v>
      </c>
      <c r="D47" s="217" t="s">
        <v>34</v>
      </c>
      <c r="E47" s="10"/>
      <c r="F47" s="300"/>
      <c r="G47" s="301"/>
      <c r="H47" s="302"/>
    </row>
    <row r="48" spans="1:8" ht="20.100000000000001" customHeight="1">
      <c r="A48" s="11"/>
      <c r="B48" s="29"/>
      <c r="C48" s="14" t="s">
        <v>60</v>
      </c>
      <c r="D48" s="216"/>
      <c r="E48" s="17"/>
      <c r="F48" s="300"/>
      <c r="G48" s="301"/>
      <c r="H48" s="302"/>
    </row>
    <row r="49" spans="1:8" ht="20.100000000000001" customHeight="1">
      <c r="A49" s="19">
        <v>8</v>
      </c>
      <c r="B49" s="27" t="s">
        <v>61</v>
      </c>
      <c r="C49" s="27"/>
      <c r="D49" s="216"/>
      <c r="E49" s="17"/>
      <c r="F49" s="300"/>
      <c r="G49" s="301"/>
      <c r="H49" s="302"/>
    </row>
    <row r="50" spans="1:8" ht="20.100000000000001" customHeight="1">
      <c r="A50" s="11"/>
      <c r="B50" s="28"/>
      <c r="C50" s="24" t="s">
        <v>62</v>
      </c>
      <c r="D50" s="216"/>
      <c r="E50" s="10" t="s">
        <v>17</v>
      </c>
      <c r="F50" s="300"/>
      <c r="G50" s="301"/>
      <c r="H50" s="302"/>
    </row>
    <row r="51" spans="1:8" ht="20.100000000000001" customHeight="1">
      <c r="A51" s="11"/>
      <c r="B51" s="30"/>
      <c r="C51" s="14" t="s">
        <v>63</v>
      </c>
      <c r="D51" s="217" t="s">
        <v>34</v>
      </c>
      <c r="E51" s="10" t="s">
        <v>17</v>
      </c>
      <c r="F51" s="300"/>
      <c r="G51" s="301"/>
      <c r="H51" s="302"/>
    </row>
    <row r="52" spans="1:8" ht="20.100000000000001" customHeight="1">
      <c r="A52" s="11"/>
      <c r="B52" s="30"/>
      <c r="C52" s="24" t="s">
        <v>64</v>
      </c>
      <c r="D52" s="216"/>
      <c r="E52" s="10" t="s">
        <v>17</v>
      </c>
      <c r="F52" s="300"/>
      <c r="G52" s="301"/>
      <c r="H52" s="302"/>
    </row>
    <row r="53" spans="1:8" ht="20.100000000000001" customHeight="1">
      <c r="A53" s="11"/>
      <c r="B53" s="30"/>
      <c r="C53" s="24" t="s">
        <v>65</v>
      </c>
      <c r="D53" s="217" t="s">
        <v>34</v>
      </c>
      <c r="E53" s="10"/>
      <c r="F53" s="300"/>
      <c r="G53" s="301"/>
      <c r="H53" s="302"/>
    </row>
    <row r="54" spans="1:8" ht="20.100000000000001" customHeight="1">
      <c r="A54" s="11"/>
      <c r="B54" s="30"/>
      <c r="C54" s="24" t="s">
        <v>66</v>
      </c>
      <c r="D54" s="217" t="s">
        <v>34</v>
      </c>
      <c r="E54" s="10" t="s">
        <v>17</v>
      </c>
      <c r="F54" s="300"/>
      <c r="G54" s="301"/>
      <c r="H54" s="302"/>
    </row>
    <row r="55" spans="1:8" ht="20.100000000000001" customHeight="1">
      <c r="A55" s="11"/>
      <c r="B55" s="30"/>
      <c r="C55" s="24" t="s">
        <v>67</v>
      </c>
      <c r="D55" s="216"/>
      <c r="E55" s="10" t="s">
        <v>17</v>
      </c>
      <c r="F55" s="300"/>
      <c r="G55" s="301"/>
      <c r="H55" s="302"/>
    </row>
    <row r="56" spans="1:8" ht="20.100000000000001" customHeight="1">
      <c r="A56" s="11"/>
      <c r="B56" s="30"/>
      <c r="C56" s="24" t="s">
        <v>68</v>
      </c>
      <c r="D56" s="216"/>
      <c r="E56" s="10"/>
      <c r="F56" s="300"/>
      <c r="G56" s="301"/>
      <c r="H56" s="302"/>
    </row>
    <row r="57" spans="1:8" ht="20.100000000000001" customHeight="1">
      <c r="A57" s="11"/>
      <c r="B57" s="30"/>
      <c r="C57" s="24" t="s">
        <v>69</v>
      </c>
      <c r="D57" s="216"/>
      <c r="E57" s="10" t="s">
        <v>17</v>
      </c>
      <c r="F57" s="300"/>
      <c r="G57" s="301"/>
      <c r="H57" s="302"/>
    </row>
    <row r="58" spans="1:8" ht="20.100000000000001" customHeight="1">
      <c r="A58" s="19">
        <v>9</v>
      </c>
      <c r="B58" s="27" t="s">
        <v>70</v>
      </c>
      <c r="C58" s="27"/>
      <c r="D58" s="216"/>
      <c r="E58" s="17"/>
      <c r="F58" s="300"/>
      <c r="G58" s="301"/>
      <c r="H58" s="302"/>
    </row>
    <row r="59" spans="1:8" ht="20.100000000000001" customHeight="1">
      <c r="A59" s="31"/>
      <c r="B59" s="26"/>
      <c r="C59" s="14" t="s">
        <v>71</v>
      </c>
      <c r="D59" s="217" t="s">
        <v>34</v>
      </c>
      <c r="E59" s="10" t="s">
        <v>17</v>
      </c>
      <c r="F59" s="300"/>
      <c r="G59" s="301"/>
      <c r="H59" s="302"/>
    </row>
    <row r="60" spans="1:8" ht="20.100000000000001" customHeight="1">
      <c r="A60" s="11"/>
      <c r="B60" s="26"/>
      <c r="C60" s="14" t="s">
        <v>72</v>
      </c>
      <c r="D60" s="216"/>
      <c r="E60" s="10"/>
      <c r="F60" s="300"/>
      <c r="G60" s="301"/>
      <c r="H60" s="302"/>
    </row>
    <row r="61" spans="1:8" ht="20.100000000000001" customHeight="1">
      <c r="A61" s="11"/>
      <c r="B61" s="26"/>
      <c r="C61" s="14" t="s">
        <v>73</v>
      </c>
      <c r="D61" s="217" t="s">
        <v>34</v>
      </c>
      <c r="E61" s="10" t="s">
        <v>17</v>
      </c>
      <c r="F61" s="300"/>
      <c r="G61" s="301"/>
      <c r="H61" s="302"/>
    </row>
    <row r="62" spans="1:8" ht="20.100000000000001" customHeight="1">
      <c r="A62" s="11"/>
      <c r="B62" s="30"/>
      <c r="C62" s="24" t="s">
        <v>50</v>
      </c>
      <c r="D62" s="216"/>
      <c r="E62" s="10" t="s">
        <v>17</v>
      </c>
      <c r="F62" s="300"/>
      <c r="G62" s="301"/>
      <c r="H62" s="302"/>
    </row>
    <row r="63" spans="1:8" ht="20.100000000000001" customHeight="1">
      <c r="A63" s="19">
        <v>10</v>
      </c>
      <c r="B63" s="27" t="s">
        <v>74</v>
      </c>
      <c r="C63" s="27"/>
      <c r="D63" s="216"/>
      <c r="E63" s="17"/>
      <c r="F63" s="312"/>
      <c r="G63" s="313"/>
      <c r="H63" s="314"/>
    </row>
    <row r="64" spans="1:8" ht="20.100000000000001" customHeight="1">
      <c r="A64" s="11"/>
      <c r="B64" s="30"/>
      <c r="C64" s="24" t="s">
        <v>75</v>
      </c>
      <c r="D64" s="216"/>
      <c r="E64" s="10" t="s">
        <v>17</v>
      </c>
      <c r="F64" s="300" t="s">
        <v>76</v>
      </c>
      <c r="G64" s="301"/>
      <c r="H64" s="302"/>
    </row>
    <row r="65" spans="1:8" ht="20.100000000000001" customHeight="1">
      <c r="A65" s="19">
        <v>11</v>
      </c>
      <c r="B65" s="27" t="s">
        <v>77</v>
      </c>
      <c r="C65" s="27"/>
      <c r="D65" s="216"/>
      <c r="E65" s="17"/>
      <c r="F65" s="300"/>
      <c r="G65" s="301"/>
      <c r="H65" s="302"/>
    </row>
    <row r="66" spans="1:8" ht="20.100000000000001" customHeight="1">
      <c r="A66" s="31"/>
      <c r="B66" s="26"/>
      <c r="C66" s="14" t="s">
        <v>78</v>
      </c>
      <c r="D66" s="217" t="s">
        <v>34</v>
      </c>
      <c r="E66" s="10" t="s">
        <v>17</v>
      </c>
      <c r="F66" s="300"/>
      <c r="G66" s="301"/>
      <c r="H66" s="302"/>
    </row>
    <row r="67" spans="1:8" ht="20.100000000000001" customHeight="1">
      <c r="A67" s="218"/>
      <c r="B67" s="219"/>
      <c r="C67" s="220" t="s">
        <v>79</v>
      </c>
      <c r="D67" s="221" t="s">
        <v>34</v>
      </c>
      <c r="E67" s="10"/>
      <c r="F67" s="309"/>
      <c r="G67" s="310"/>
      <c r="H67" s="311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E8D1FF"/>
  </sheetPr>
  <dimension ref="A1:L34"/>
  <sheetViews>
    <sheetView workbookViewId="0"/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2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2" ht="18">
      <c r="A4" s="122"/>
      <c r="B4" s="53"/>
      <c r="D4" s="55"/>
      <c r="E4"/>
      <c r="G4" s="123"/>
      <c r="H4" s="65"/>
      <c r="I4" s="66"/>
    </row>
    <row r="5" spans="1:12" ht="18">
      <c r="A5" s="53" t="s">
        <v>239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6" t="s">
        <v>119</v>
      </c>
      <c r="B8" s="319" t="s">
        <v>120</v>
      </c>
      <c r="C8" s="320"/>
      <c r="D8" s="321"/>
      <c r="E8" s="137" t="s">
        <v>121</v>
      </c>
      <c r="F8" s="319" t="s">
        <v>169</v>
      </c>
      <c r="G8" s="328"/>
      <c r="H8" s="329"/>
    </row>
    <row r="10" spans="1:12">
      <c r="D10" s="356" t="s">
        <v>159</v>
      </c>
      <c r="E10" s="356"/>
      <c r="F10" s="356"/>
    </row>
    <row r="11" spans="1:12" ht="30">
      <c r="D11" s="113" t="s">
        <v>240</v>
      </c>
      <c r="E11" s="179" t="s">
        <v>241</v>
      </c>
      <c r="F11" s="179" t="s">
        <v>97</v>
      </c>
      <c r="H11" t="s">
        <v>242</v>
      </c>
      <c r="J11" s="179" t="s">
        <v>243</v>
      </c>
      <c r="K11" s="179" t="s">
        <v>244</v>
      </c>
      <c r="L11" s="179" t="s">
        <v>245</v>
      </c>
    </row>
    <row r="12" spans="1:12">
      <c r="A12" s="71"/>
      <c r="B12" s="71"/>
      <c r="E12" s="70"/>
    </row>
    <row r="13" spans="1:12">
      <c r="A13" t="s">
        <v>246</v>
      </c>
      <c r="B13" s="71"/>
      <c r="C13" t="s">
        <v>247</v>
      </c>
      <c r="D13" s="228">
        <v>501.38</v>
      </c>
      <c r="E13" s="93">
        <f>+H13-D13</f>
        <v>909498.62</v>
      </c>
      <c r="F13" s="93">
        <f>+D13+E13</f>
        <v>910000</v>
      </c>
      <c r="G13" s="93"/>
      <c r="H13" s="93">
        <f>SUM(J13:K13)/2</f>
        <v>910000</v>
      </c>
      <c r="I13" s="93"/>
      <c r="J13" s="228">
        <v>900000</v>
      </c>
      <c r="K13" s="228">
        <v>920000</v>
      </c>
      <c r="L13" s="114"/>
    </row>
    <row r="14" spans="1:12">
      <c r="B14" s="71"/>
      <c r="D14" s="228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28"/>
      <c r="K14" s="228"/>
      <c r="L14" s="114"/>
    </row>
    <row r="15" spans="1:12">
      <c r="B15" s="71"/>
      <c r="D15" s="228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28"/>
      <c r="K15" s="228"/>
      <c r="L15" s="114"/>
    </row>
    <row r="17" spans="1:8" ht="15.75" thickBot="1">
      <c r="D17" s="112">
        <f>SUM(D13:D16)</f>
        <v>501.38</v>
      </c>
      <c r="E17" s="112">
        <f>SUM(E13:E16)</f>
        <v>909498.62</v>
      </c>
      <c r="F17" s="112">
        <f>SUM(F13:F16)</f>
        <v>910000</v>
      </c>
      <c r="H17" s="112">
        <f>SUM(H13:H16)</f>
        <v>910000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8D1FF"/>
  </sheetPr>
  <dimension ref="A1:J43"/>
  <sheetViews>
    <sheetView workbookViewId="0"/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0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0" ht="18">
      <c r="A4" s="122"/>
      <c r="B4" s="53"/>
      <c r="D4" s="55"/>
      <c r="F4"/>
      <c r="G4" s="123"/>
      <c r="H4" s="65"/>
      <c r="I4" s="66"/>
    </row>
    <row r="5" spans="1:10" ht="18">
      <c r="A5" s="53" t="s">
        <v>248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6" t="s">
        <v>119</v>
      </c>
      <c r="B8" s="319" t="s">
        <v>120</v>
      </c>
      <c r="C8" s="320"/>
      <c r="D8" s="320"/>
      <c r="E8" s="321"/>
      <c r="F8" s="137" t="s">
        <v>121</v>
      </c>
      <c r="G8" s="319" t="s">
        <v>169</v>
      </c>
      <c r="H8" s="328"/>
      <c r="I8" s="329"/>
    </row>
    <row r="10" spans="1:10">
      <c r="F10" s="70"/>
    </row>
    <row r="11" spans="1:10">
      <c r="A11" s="71">
        <v>61800</v>
      </c>
      <c r="B11" s="71"/>
      <c r="C11" s="71" t="s">
        <v>39</v>
      </c>
    </row>
    <row r="12" spans="1:10">
      <c r="A12" s="71"/>
      <c r="B12" s="71"/>
      <c r="C12" s="115"/>
      <c r="E12" s="294"/>
    </row>
    <row r="13" spans="1:10">
      <c r="A13" s="71"/>
      <c r="B13" s="71"/>
      <c r="C13" s="115" t="s">
        <v>249</v>
      </c>
      <c r="E13" s="294"/>
      <c r="F13" s="58">
        <v>584</v>
      </c>
      <c r="G13" t="s">
        <v>250</v>
      </c>
    </row>
    <row r="14" spans="1:10">
      <c r="A14" s="71"/>
      <c r="B14" s="71"/>
      <c r="C14" s="115" t="s">
        <v>251</v>
      </c>
      <c r="F14" s="58">
        <f>490.97-79.19</f>
        <v>411.78000000000003</v>
      </c>
      <c r="G14" t="s">
        <v>252</v>
      </c>
    </row>
    <row r="15" spans="1:10">
      <c r="A15" s="71"/>
      <c r="B15" s="71"/>
      <c r="C15" s="115" t="s">
        <v>253</v>
      </c>
      <c r="F15" s="58">
        <f>263.01-28.77</f>
        <v>234.23999999999998</v>
      </c>
      <c r="G15" t="s">
        <v>252</v>
      </c>
    </row>
    <row r="16" spans="1:10">
      <c r="C16" s="115" t="s">
        <v>254</v>
      </c>
      <c r="F16" s="58">
        <v>667</v>
      </c>
      <c r="G16" t="s">
        <v>255</v>
      </c>
    </row>
    <row r="17" spans="1:7">
      <c r="C17" s="115" t="s">
        <v>256</v>
      </c>
      <c r="F17" s="58">
        <v>667</v>
      </c>
      <c r="G17" t="s">
        <v>257</v>
      </c>
    </row>
    <row r="18" spans="1:7">
      <c r="C18" s="115"/>
    </row>
    <row r="19" spans="1:7" ht="15.75" thickBot="1">
      <c r="F19" s="112">
        <f>SUM(F12:F18)</f>
        <v>2564.02</v>
      </c>
    </row>
    <row r="21" spans="1:7">
      <c r="A21" s="71"/>
      <c r="B21" s="71"/>
      <c r="C21" s="77"/>
      <c r="F21" s="292"/>
    </row>
    <row r="22" spans="1:7">
      <c r="A22" s="71"/>
      <c r="B22" s="71"/>
      <c r="C22" s="77"/>
      <c r="D22" s="47"/>
      <c r="E22" s="47"/>
      <c r="F22" s="102"/>
    </row>
    <row r="23" spans="1:7">
      <c r="A23" s="71"/>
      <c r="B23" s="71"/>
      <c r="D23" s="294"/>
      <c r="E23" s="294"/>
      <c r="F23" s="292"/>
    </row>
    <row r="24" spans="1:7">
      <c r="A24" s="71"/>
      <c r="B24" s="71"/>
      <c r="F24" s="292"/>
    </row>
    <row r="25" spans="1:7">
      <c r="A25" s="71"/>
      <c r="B25" s="71"/>
      <c r="F25" s="292"/>
    </row>
    <row r="26" spans="1:7">
      <c r="A26" s="71"/>
      <c r="B26" s="71"/>
      <c r="F26" s="292"/>
    </row>
    <row r="27" spans="1:7">
      <c r="A27" s="77"/>
      <c r="B27" s="77"/>
      <c r="C27" s="71"/>
      <c r="F27" s="292"/>
    </row>
    <row r="28" spans="1:7">
      <c r="F28" s="292"/>
    </row>
    <row r="29" spans="1:7">
      <c r="F29" s="292"/>
    </row>
    <row r="30" spans="1:7">
      <c r="F30" s="292"/>
    </row>
    <row r="31" spans="1:7">
      <c r="F31" s="292"/>
    </row>
    <row r="32" spans="1:7">
      <c r="F32" s="292"/>
    </row>
    <row r="33" spans="1:6">
      <c r="A33" s="71"/>
      <c r="B33" s="71"/>
      <c r="F33" s="292"/>
    </row>
    <row r="34" spans="1:6">
      <c r="A34" s="77"/>
      <c r="B34" s="77"/>
      <c r="C34" s="71"/>
      <c r="F34" s="292"/>
    </row>
    <row r="35" spans="1:6">
      <c r="F35" s="292"/>
    </row>
    <row r="36" spans="1:6">
      <c r="F36" s="292"/>
    </row>
    <row r="37" spans="1:6">
      <c r="F37" s="292"/>
    </row>
    <row r="38" spans="1:6">
      <c r="F38" s="292"/>
    </row>
    <row r="39" spans="1:6">
      <c r="F39" s="292"/>
    </row>
    <row r="40" spans="1:6">
      <c r="F40" s="292"/>
    </row>
    <row r="41" spans="1:6">
      <c r="F41" s="80"/>
    </row>
    <row r="43" spans="1:6">
      <c r="C43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H34" sqref="H3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0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258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6" t="s">
        <v>119</v>
      </c>
      <c r="B8" s="319" t="s">
        <v>120</v>
      </c>
      <c r="C8" s="320"/>
      <c r="D8" s="320"/>
      <c r="E8" s="321"/>
      <c r="F8" s="137" t="s">
        <v>121</v>
      </c>
      <c r="G8" s="319" t="s">
        <v>169</v>
      </c>
      <c r="H8" s="328"/>
      <c r="I8" s="329"/>
    </row>
    <row r="10" spans="1:10">
      <c r="F10" s="70"/>
    </row>
    <row r="11" spans="1:10">
      <c r="A11" s="71">
        <v>88000</v>
      </c>
      <c r="B11" s="71"/>
      <c r="C11" s="71" t="s">
        <v>59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8D1FF"/>
  </sheetPr>
  <dimension ref="A1:R53"/>
  <sheetViews>
    <sheetView workbookViewId="0">
      <selection activeCell="H33" sqref="H33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10" width="12.5703125" customWidth="1"/>
    <col min="11" max="11" width="11.140625" customWidth="1"/>
    <col min="12" max="12" width="18.7109375" customWidth="1"/>
    <col min="13" max="15" width="15.140625" customWidth="1"/>
  </cols>
  <sheetData>
    <row r="1" spans="1:18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J1" s="56" t="s">
        <v>2</v>
      </c>
      <c r="K1" s="56" t="s">
        <v>3</v>
      </c>
    </row>
    <row r="2" spans="1:18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59"/>
      <c r="I2" s="59"/>
      <c r="J2" s="60" t="str">
        <f>Index!$H$2</f>
        <v>MM</v>
      </c>
      <c r="K2" s="61">
        <f>Index!$I$2</f>
        <v>45027</v>
      </c>
    </row>
    <row r="3" spans="1:18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59"/>
      <c r="I3" s="59"/>
      <c r="J3" s="60" t="str">
        <f>Index!$H$3</f>
        <v>DB</v>
      </c>
      <c r="K3" s="61">
        <f>Index!$I$3</f>
        <v>45034</v>
      </c>
    </row>
    <row r="4" spans="1:18" ht="18">
      <c r="D4" s="53"/>
      <c r="E4" s="53"/>
      <c r="F4" s="64"/>
      <c r="G4" s="65"/>
      <c r="H4" s="65"/>
      <c r="I4" s="65"/>
      <c r="K4" s="66"/>
    </row>
    <row r="5" spans="1:18" ht="18">
      <c r="A5" s="124" t="s">
        <v>259</v>
      </c>
      <c r="D5" s="53"/>
      <c r="E5" s="53"/>
      <c r="F5" s="64"/>
      <c r="G5" s="65"/>
      <c r="H5" s="65"/>
      <c r="I5" s="65"/>
      <c r="K5" s="66"/>
    </row>
    <row r="6" spans="1:18" ht="18">
      <c r="D6" s="53"/>
      <c r="E6" s="53"/>
      <c r="F6" s="53"/>
      <c r="G6" s="53"/>
      <c r="H6" s="53"/>
      <c r="I6" s="53"/>
      <c r="J6" s="64"/>
      <c r="K6" s="65"/>
      <c r="M6" s="66"/>
    </row>
    <row r="7" spans="1:18">
      <c r="J7" s="58"/>
    </row>
    <row r="8" spans="1:18" ht="30">
      <c r="A8" s="136" t="s">
        <v>119</v>
      </c>
      <c r="B8" s="319" t="s">
        <v>120</v>
      </c>
      <c r="C8" s="321"/>
      <c r="D8" s="137" t="s">
        <v>121</v>
      </c>
      <c r="E8" s="137"/>
      <c r="F8" s="137"/>
      <c r="G8" s="137"/>
      <c r="H8" s="137"/>
      <c r="I8" s="137"/>
      <c r="J8" s="137" t="s">
        <v>121</v>
      </c>
      <c r="K8" s="319" t="s">
        <v>169</v>
      </c>
      <c r="L8" s="328"/>
      <c r="M8" s="329"/>
      <c r="N8" s="69"/>
      <c r="O8" s="69"/>
      <c r="P8" s="69"/>
      <c r="Q8" s="69"/>
      <c r="R8" s="69"/>
    </row>
    <row r="9" spans="1:18">
      <c r="J9" s="58"/>
    </row>
    <row r="10" spans="1:18">
      <c r="J10" s="70"/>
    </row>
    <row r="11" spans="1:18" ht="45">
      <c r="D11" s="47" t="s">
        <v>249</v>
      </c>
      <c r="E11" s="47" t="s">
        <v>260</v>
      </c>
      <c r="F11" s="232" t="s">
        <v>261</v>
      </c>
      <c r="G11" s="232" t="s">
        <v>262</v>
      </c>
      <c r="H11" s="232" t="s">
        <v>254</v>
      </c>
      <c r="I11" s="232" t="s">
        <v>256</v>
      </c>
      <c r="J11" s="72" t="s">
        <v>97</v>
      </c>
      <c r="L11" s="77"/>
    </row>
    <row r="12" spans="1:18">
      <c r="D12" s="47"/>
      <c r="E12" s="77"/>
      <c r="F12" s="47"/>
      <c r="G12" s="47"/>
      <c r="H12" s="47"/>
      <c r="I12" s="47"/>
      <c r="J12" s="58"/>
    </row>
    <row r="13" spans="1:18">
      <c r="J13" s="58"/>
      <c r="M13" s="47" t="s">
        <v>263</v>
      </c>
      <c r="N13" s="47" t="s">
        <v>264</v>
      </c>
      <c r="O13" s="47" t="s">
        <v>265</v>
      </c>
    </row>
    <row r="14" spans="1:18">
      <c r="C14" s="77" t="s">
        <v>266</v>
      </c>
      <c r="D14" s="93">
        <v>1064</v>
      </c>
      <c r="E14" s="293">
        <v>21.84</v>
      </c>
      <c r="F14" s="93">
        <v>2597.5300000000002</v>
      </c>
      <c r="G14" s="93">
        <v>5066.6400000000003</v>
      </c>
      <c r="H14" s="93">
        <f>2001+2668+667</f>
        <v>5336</v>
      </c>
      <c r="I14" s="93">
        <v>2668</v>
      </c>
      <c r="J14" s="93">
        <f>SUM(D14:I14)</f>
        <v>16754.010000000002</v>
      </c>
      <c r="L14" t="s">
        <v>267</v>
      </c>
      <c r="M14" s="93">
        <f>+J40</f>
        <v>16754.010000000002</v>
      </c>
      <c r="N14" s="93">
        <v>16754.009999999998</v>
      </c>
      <c r="O14" s="93">
        <f>+M14-N14</f>
        <v>0</v>
      </c>
    </row>
    <row r="15" spans="1:18">
      <c r="C15" t="s">
        <v>268</v>
      </c>
      <c r="D15" s="93">
        <v>595.1</v>
      </c>
      <c r="E15" s="105"/>
      <c r="F15" s="93"/>
      <c r="G15" s="93"/>
      <c r="H15" s="93">
        <v>2668</v>
      </c>
      <c r="I15" s="93"/>
      <c r="J15" s="93">
        <f t="shared" ref="J15:J40" si="0">SUM(D15:I15)</f>
        <v>3263.1</v>
      </c>
      <c r="L15" t="s">
        <v>269</v>
      </c>
      <c r="M15" s="93">
        <f>+J26</f>
        <v>21.84</v>
      </c>
      <c r="N15" s="93">
        <v>21.84</v>
      </c>
      <c r="O15" s="93">
        <f t="shared" ref="O15:O27" si="1">+M15-N15</f>
        <v>0</v>
      </c>
    </row>
    <row r="16" spans="1:18">
      <c r="C16" t="s">
        <v>270</v>
      </c>
      <c r="D16" s="93"/>
      <c r="E16" s="105"/>
      <c r="F16" s="93"/>
      <c r="G16" s="93"/>
      <c r="H16" s="93"/>
      <c r="I16" s="93"/>
      <c r="J16" s="93">
        <f t="shared" si="0"/>
        <v>0</v>
      </c>
      <c r="L16" t="s">
        <v>271</v>
      </c>
      <c r="M16" s="93">
        <f>+J24+J25</f>
        <v>0</v>
      </c>
      <c r="N16" s="93"/>
      <c r="O16" s="93">
        <f t="shared" si="1"/>
        <v>0</v>
      </c>
    </row>
    <row r="17" spans="3:15">
      <c r="C17" s="138" t="s">
        <v>272</v>
      </c>
      <c r="D17" s="93"/>
      <c r="E17" s="105"/>
      <c r="F17" s="93"/>
      <c r="G17" s="93"/>
      <c r="H17" s="93"/>
      <c r="I17" s="93"/>
      <c r="J17" s="93">
        <f t="shared" si="0"/>
        <v>0</v>
      </c>
      <c r="L17" t="s">
        <v>273</v>
      </c>
      <c r="M17" s="93">
        <f>+J15+J28</f>
        <v>10927.27</v>
      </c>
      <c r="N17" s="93">
        <v>10927.27</v>
      </c>
      <c r="O17" s="93">
        <f t="shared" si="1"/>
        <v>0</v>
      </c>
    </row>
    <row r="18" spans="3:15">
      <c r="C18" s="138" t="s">
        <v>274</v>
      </c>
      <c r="D18" s="93"/>
      <c r="E18" s="105"/>
      <c r="F18" s="93"/>
      <c r="G18" s="93"/>
      <c r="H18" s="93"/>
      <c r="I18" s="93"/>
      <c r="J18" s="93">
        <f t="shared" si="0"/>
        <v>0</v>
      </c>
      <c r="L18" t="s">
        <v>275</v>
      </c>
      <c r="M18" s="93">
        <f>+J27</f>
        <v>9.36</v>
      </c>
      <c r="N18" s="93">
        <v>9.36</v>
      </c>
      <c r="O18" s="93">
        <f t="shared" si="1"/>
        <v>0</v>
      </c>
    </row>
    <row r="19" spans="3:15">
      <c r="C19" t="s">
        <v>276</v>
      </c>
      <c r="D19" s="93"/>
      <c r="E19" s="105"/>
      <c r="F19" s="93"/>
      <c r="G19" s="93"/>
      <c r="H19" s="93"/>
      <c r="I19" s="93"/>
      <c r="J19" s="93">
        <f t="shared" si="0"/>
        <v>0</v>
      </c>
      <c r="L19" t="s">
        <v>277</v>
      </c>
      <c r="M19" s="93">
        <f>+J20+J21-J36</f>
        <v>66.569999999999993</v>
      </c>
      <c r="N19" s="93">
        <v>66.569999999999993</v>
      </c>
      <c r="O19" s="93">
        <f t="shared" si="1"/>
        <v>0</v>
      </c>
    </row>
    <row r="20" spans="3:15">
      <c r="C20" s="138" t="s">
        <v>272</v>
      </c>
      <c r="D20" s="93">
        <v>66.569999999999993</v>
      </c>
      <c r="E20" s="105"/>
      <c r="F20" s="93"/>
      <c r="G20" s="93"/>
      <c r="H20" s="93"/>
      <c r="I20" s="93"/>
      <c r="J20" s="93">
        <f t="shared" si="0"/>
        <v>66.569999999999993</v>
      </c>
      <c r="L20" t="s">
        <v>278</v>
      </c>
      <c r="M20" s="93">
        <f>+J20+J21</f>
        <v>66.569999999999993</v>
      </c>
      <c r="N20" s="93">
        <v>66.569999999999993</v>
      </c>
      <c r="O20" s="93">
        <f t="shared" si="1"/>
        <v>0</v>
      </c>
    </row>
    <row r="21" spans="3:15">
      <c r="C21" s="138" t="s">
        <v>274</v>
      </c>
      <c r="D21" s="93"/>
      <c r="E21" s="105"/>
      <c r="F21" s="93"/>
      <c r="G21" s="93"/>
      <c r="H21" s="93"/>
      <c r="I21" s="93"/>
      <c r="J21" s="93">
        <f t="shared" si="0"/>
        <v>0</v>
      </c>
      <c r="L21" t="s">
        <v>279</v>
      </c>
      <c r="M21" s="93">
        <f>+J17+J18</f>
        <v>0</v>
      </c>
      <c r="N21" s="93"/>
      <c r="O21" s="93">
        <f t="shared" si="1"/>
        <v>0</v>
      </c>
    </row>
    <row r="22" spans="3:15">
      <c r="C22" t="s">
        <v>280</v>
      </c>
      <c r="D22" s="93"/>
      <c r="E22" s="105"/>
      <c r="F22" s="93"/>
      <c r="G22" s="93"/>
      <c r="H22" s="93"/>
      <c r="I22" s="93"/>
      <c r="J22" s="93">
        <f t="shared" si="0"/>
        <v>0</v>
      </c>
      <c r="L22" t="s">
        <v>281</v>
      </c>
      <c r="M22" s="93">
        <f>+J22-J35</f>
        <v>0</v>
      </c>
      <c r="N22" s="93"/>
      <c r="O22" s="93">
        <f t="shared" si="1"/>
        <v>0</v>
      </c>
    </row>
    <row r="23" spans="3:15">
      <c r="C23" t="s">
        <v>282</v>
      </c>
      <c r="D23" s="93"/>
      <c r="E23" s="105"/>
      <c r="F23" s="93"/>
      <c r="G23" s="93"/>
      <c r="H23" s="93"/>
      <c r="I23" s="93"/>
      <c r="J23" s="93">
        <f t="shared" si="0"/>
        <v>0</v>
      </c>
      <c r="L23" t="s">
        <v>283</v>
      </c>
      <c r="M23" s="93">
        <f>+J35+J36</f>
        <v>0</v>
      </c>
      <c r="N23" s="93"/>
      <c r="O23" s="93">
        <f t="shared" si="1"/>
        <v>0</v>
      </c>
    </row>
    <row r="24" spans="3:15">
      <c r="C24" s="138" t="s">
        <v>284</v>
      </c>
      <c r="D24" s="93"/>
      <c r="E24" s="105"/>
      <c r="F24" s="93"/>
      <c r="G24" s="93"/>
      <c r="H24" s="93"/>
      <c r="I24" s="93"/>
      <c r="J24" s="93">
        <f t="shared" si="0"/>
        <v>0</v>
      </c>
      <c r="L24" t="s">
        <v>285</v>
      </c>
      <c r="M24" s="93">
        <v>0</v>
      </c>
      <c r="N24" s="93"/>
      <c r="O24" s="93">
        <f t="shared" si="1"/>
        <v>0</v>
      </c>
    </row>
    <row r="25" spans="3:15">
      <c r="C25" s="138" t="s">
        <v>286</v>
      </c>
      <c r="D25" s="93"/>
      <c r="E25" s="105"/>
      <c r="F25" s="93"/>
      <c r="G25" s="93"/>
      <c r="H25" s="93"/>
      <c r="I25" s="93"/>
      <c r="J25" s="93">
        <f t="shared" si="0"/>
        <v>0</v>
      </c>
      <c r="L25" t="s">
        <v>287</v>
      </c>
      <c r="M25" s="93">
        <v>0</v>
      </c>
      <c r="N25" s="93"/>
      <c r="O25" s="93">
        <f t="shared" si="1"/>
        <v>0</v>
      </c>
    </row>
    <row r="26" spans="3:15">
      <c r="C26" s="138" t="s">
        <v>288</v>
      </c>
      <c r="D26" s="93"/>
      <c r="E26" s="293">
        <v>21.84</v>
      </c>
      <c r="F26" s="93"/>
      <c r="G26" s="93"/>
      <c r="H26" s="93"/>
      <c r="I26" s="93"/>
      <c r="J26" s="93">
        <f t="shared" si="0"/>
        <v>21.84</v>
      </c>
      <c r="L26" t="s">
        <v>289</v>
      </c>
      <c r="M26" s="93">
        <f>J31-J38</f>
        <v>5671.76</v>
      </c>
      <c r="N26" s="93">
        <v>5671.76</v>
      </c>
      <c r="O26" s="93">
        <f t="shared" si="1"/>
        <v>0</v>
      </c>
    </row>
    <row r="27" spans="3:15">
      <c r="C27" s="138" t="s">
        <v>290</v>
      </c>
      <c r="D27" s="93"/>
      <c r="E27" s="105">
        <v>9.36</v>
      </c>
      <c r="F27" s="93"/>
      <c r="G27" s="93"/>
      <c r="H27" s="93"/>
      <c r="I27" s="93"/>
      <c r="J27" s="93">
        <f t="shared" si="0"/>
        <v>9.36</v>
      </c>
      <c r="L27" t="s">
        <v>70</v>
      </c>
      <c r="M27" s="93">
        <f>+J33</f>
        <v>0</v>
      </c>
      <c r="N27" s="93"/>
      <c r="O27" s="93">
        <f t="shared" si="1"/>
        <v>0</v>
      </c>
    </row>
    <row r="28" spans="3:15">
      <c r="C28" t="s">
        <v>291</v>
      </c>
      <c r="D28" s="93"/>
      <c r="E28" s="105"/>
      <c r="F28" s="93">
        <v>2597.5300000000002</v>
      </c>
      <c r="G28" s="93">
        <v>5066.6400000000003</v>
      </c>
      <c r="H28" s="93"/>
      <c r="I28" s="93"/>
      <c r="J28" s="93">
        <f t="shared" si="0"/>
        <v>7664.17</v>
      </c>
    </row>
    <row r="29" spans="3:15">
      <c r="C29" t="s">
        <v>278</v>
      </c>
      <c r="D29" s="93">
        <v>66.569999999999993</v>
      </c>
      <c r="E29" s="105"/>
      <c r="F29" s="93"/>
      <c r="G29" s="93"/>
      <c r="H29" s="93"/>
      <c r="I29" s="93"/>
      <c r="J29" s="93">
        <f t="shared" si="0"/>
        <v>66.569999999999993</v>
      </c>
      <c r="L29" t="s">
        <v>292</v>
      </c>
      <c r="M29" s="79">
        <f>+M15+M16+M17+M19+M20+M21+M22+M26-M14+M27</f>
        <v>0</v>
      </c>
      <c r="N29" s="93">
        <f>+N15+N16+N17+N19+N20+N21+N22+N26-N14+N27</f>
        <v>3.637978807091713E-12</v>
      </c>
      <c r="O29" s="93">
        <f>+M29-N29</f>
        <v>-3.637978807091713E-12</v>
      </c>
    </row>
    <row r="30" spans="3:15">
      <c r="C30" t="s">
        <v>287</v>
      </c>
      <c r="D30" s="93"/>
      <c r="E30" s="105"/>
      <c r="F30" s="93"/>
      <c r="G30" s="93"/>
      <c r="H30" s="93"/>
      <c r="I30" s="93"/>
      <c r="J30" s="93">
        <f t="shared" si="0"/>
        <v>0</v>
      </c>
    </row>
    <row r="31" spans="3:15">
      <c r="C31" t="s">
        <v>293</v>
      </c>
      <c r="D31" s="93"/>
      <c r="E31" s="105"/>
      <c r="F31" s="93"/>
      <c r="G31" s="93"/>
      <c r="H31" s="93"/>
      <c r="I31" s="93"/>
      <c r="J31" s="93">
        <f t="shared" si="0"/>
        <v>0</v>
      </c>
    </row>
    <row r="32" spans="3:15">
      <c r="C32" t="s">
        <v>285</v>
      </c>
      <c r="D32" s="93"/>
      <c r="E32" s="105"/>
      <c r="F32" s="93"/>
      <c r="G32" s="93"/>
      <c r="H32" s="93"/>
      <c r="I32" s="93"/>
      <c r="J32" s="93">
        <f t="shared" si="0"/>
        <v>0</v>
      </c>
      <c r="L32" s="139"/>
    </row>
    <row r="33" spans="3:12">
      <c r="C33" t="s">
        <v>70</v>
      </c>
      <c r="D33" s="93"/>
      <c r="E33" s="105"/>
      <c r="F33" s="93"/>
      <c r="G33" s="93"/>
      <c r="H33" s="93"/>
      <c r="I33" s="93"/>
      <c r="J33" s="93">
        <f t="shared" si="0"/>
        <v>0</v>
      </c>
    </row>
    <row r="34" spans="3:12">
      <c r="D34" s="93"/>
      <c r="E34" s="105"/>
      <c r="F34" s="93"/>
      <c r="G34" s="93"/>
      <c r="H34" s="93"/>
      <c r="I34" s="93"/>
      <c r="J34" s="93">
        <f t="shared" si="0"/>
        <v>0</v>
      </c>
    </row>
    <row r="35" spans="3:12">
      <c r="C35" t="s">
        <v>283</v>
      </c>
      <c r="D35" s="93"/>
      <c r="E35" s="293"/>
      <c r="F35" s="93"/>
      <c r="G35" s="93"/>
      <c r="H35" s="93"/>
      <c r="I35" s="93"/>
      <c r="J35" s="93">
        <f t="shared" si="0"/>
        <v>0</v>
      </c>
      <c r="L35" s="139"/>
    </row>
    <row r="36" spans="3:12">
      <c r="C36" t="s">
        <v>294</v>
      </c>
      <c r="D36" s="93"/>
      <c r="E36" s="105">
        <f>-E35</f>
        <v>0</v>
      </c>
      <c r="F36" s="93"/>
      <c r="G36" s="93"/>
      <c r="H36" s="93"/>
      <c r="I36" s="93"/>
      <c r="J36" s="93">
        <f t="shared" si="0"/>
        <v>0</v>
      </c>
    </row>
    <row r="37" spans="3:12">
      <c r="C37" t="s">
        <v>295</v>
      </c>
      <c r="D37" s="93"/>
      <c r="E37" s="105"/>
      <c r="F37" s="93"/>
      <c r="G37" s="93"/>
      <c r="H37" s="93"/>
      <c r="I37" s="93"/>
      <c r="J37" s="93">
        <f t="shared" si="0"/>
        <v>0</v>
      </c>
    </row>
    <row r="38" spans="3:12">
      <c r="C38" t="s">
        <v>296</v>
      </c>
      <c r="D38" s="93">
        <v>-335.76</v>
      </c>
      <c r="E38" s="105"/>
      <c r="F38" s="93"/>
      <c r="G38" s="93"/>
      <c r="H38" s="93">
        <v>-2668</v>
      </c>
      <c r="I38" s="93">
        <v>-2668</v>
      </c>
      <c r="J38" s="93">
        <f t="shared" si="0"/>
        <v>-5671.76</v>
      </c>
    </row>
    <row r="39" spans="3:12">
      <c r="D39" s="93"/>
      <c r="E39" s="93"/>
      <c r="F39" s="93"/>
      <c r="G39" s="93"/>
      <c r="H39" s="93"/>
      <c r="I39" s="93"/>
      <c r="J39" s="93">
        <f t="shared" si="0"/>
        <v>0</v>
      </c>
    </row>
    <row r="40" spans="3:12">
      <c r="C40" s="77" t="s">
        <v>297</v>
      </c>
      <c r="D40" s="79">
        <f t="shared" ref="D40:I40" si="2">+D14-D37</f>
        <v>1064</v>
      </c>
      <c r="E40" s="79">
        <f t="shared" si="2"/>
        <v>21.84</v>
      </c>
      <c r="F40" s="79">
        <f t="shared" si="2"/>
        <v>2597.5300000000002</v>
      </c>
      <c r="G40" s="79">
        <f t="shared" si="2"/>
        <v>5066.6400000000003</v>
      </c>
      <c r="H40" s="79">
        <f t="shared" si="2"/>
        <v>5336</v>
      </c>
      <c r="I40" s="79">
        <f t="shared" si="2"/>
        <v>2668</v>
      </c>
      <c r="J40" s="93">
        <f t="shared" si="0"/>
        <v>16754.010000000002</v>
      </c>
    </row>
    <row r="41" spans="3:12">
      <c r="D41" s="79"/>
      <c r="E41" s="79"/>
      <c r="F41" s="79"/>
      <c r="G41" s="79"/>
      <c r="H41" s="79"/>
      <c r="I41" s="79"/>
      <c r="J41" s="93"/>
    </row>
    <row r="42" spans="3:12">
      <c r="D42" s="79"/>
      <c r="E42" s="79"/>
      <c r="F42" s="79"/>
      <c r="G42" s="79"/>
      <c r="H42" s="79"/>
      <c r="I42" s="79"/>
      <c r="J42" s="93"/>
    </row>
    <row r="43" spans="3:12">
      <c r="C43" s="77" t="s">
        <v>298</v>
      </c>
      <c r="D43" s="79">
        <f>SUM(D15:D33)-D27-D35-D37-D38-D36</f>
        <v>1064</v>
      </c>
      <c r="E43" s="79">
        <f>SUM(E15:E33)-E27-E35-E37-E38-E36</f>
        <v>21.84</v>
      </c>
      <c r="F43" s="79">
        <f>SUM(F15:F32)-F27-F35-F37-F38</f>
        <v>2597.5300000000002</v>
      </c>
      <c r="G43" s="79">
        <f>SUM(G15:G32)-G27-G35-G37-G38</f>
        <v>5066.6400000000003</v>
      </c>
      <c r="H43" s="79">
        <f t="shared" ref="H43:I43" si="3">SUM(H15:H32)-H27-H35-H37-H38</f>
        <v>5336</v>
      </c>
      <c r="I43" s="79">
        <f t="shared" si="3"/>
        <v>2668</v>
      </c>
      <c r="J43" s="58"/>
    </row>
    <row r="44" spans="3:12">
      <c r="C44" s="42" t="s">
        <v>194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4">
        <f t="shared" ref="H44:I44" si="4">+H43-H40</f>
        <v>0</v>
      </c>
      <c r="I44" s="94">
        <f t="shared" si="4"/>
        <v>0</v>
      </c>
      <c r="J44" s="95"/>
    </row>
    <row r="45" spans="3:12">
      <c r="D45" s="79"/>
      <c r="E45" s="79"/>
      <c r="J45" s="58"/>
    </row>
    <row r="46" spans="3:12" ht="12" customHeight="1">
      <c r="D46" s="79"/>
      <c r="E46" s="79"/>
      <c r="J46" s="58"/>
    </row>
    <row r="47" spans="3:12">
      <c r="J47" s="58"/>
    </row>
    <row r="48" spans="3:12">
      <c r="J48" s="58"/>
    </row>
    <row r="50" spans="3:6">
      <c r="C50" t="s">
        <v>299</v>
      </c>
    </row>
    <row r="51" spans="3:6">
      <c r="D51" t="s">
        <v>300</v>
      </c>
      <c r="E51" t="s">
        <v>301</v>
      </c>
      <c r="F51" t="s">
        <v>302</v>
      </c>
    </row>
    <row r="52" spans="3:6">
      <c r="C52" t="s">
        <v>303</v>
      </c>
      <c r="D52" s="296">
        <v>667</v>
      </c>
      <c r="E52" s="296">
        <v>2001</v>
      </c>
      <c r="F52" s="296">
        <f>+D52+E52</f>
        <v>2668</v>
      </c>
    </row>
    <row r="53" spans="3:6">
      <c r="C53" t="s">
        <v>304</v>
      </c>
      <c r="D53" s="296">
        <v>2668</v>
      </c>
      <c r="E53" s="296">
        <v>0</v>
      </c>
      <c r="F53" s="296">
        <f>+D53+E53</f>
        <v>2668</v>
      </c>
    </row>
  </sheetData>
  <mergeCells count="5">
    <mergeCell ref="B8:C8"/>
    <mergeCell ref="K8:M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sheetPr>
    <tabColor rgb="FFE8D1FF"/>
  </sheetPr>
  <dimension ref="A1:I19"/>
  <sheetViews>
    <sheetView workbookViewId="0">
      <selection activeCell="J24" sqref="J24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9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9" ht="18">
      <c r="D4" s="53"/>
      <c r="E4" s="53"/>
      <c r="F4" s="64"/>
      <c r="G4" s="65"/>
      <c r="I4" s="66"/>
    </row>
    <row r="5" spans="1:9" ht="18">
      <c r="A5" s="124" t="s">
        <v>305</v>
      </c>
      <c r="D5" s="238"/>
      <c r="E5" s="238"/>
      <c r="F5" s="239"/>
      <c r="G5" s="240"/>
      <c r="I5" s="66"/>
    </row>
    <row r="6" spans="1:9" ht="18.75">
      <c r="D6" s="241"/>
      <c r="E6" s="241"/>
      <c r="F6" s="242"/>
      <c r="G6" s="243"/>
      <c r="I6" s="66"/>
    </row>
    <row r="7" spans="1:9">
      <c r="G7" s="93"/>
    </row>
    <row r="8" spans="1:9" s="69" customFormat="1" ht="25.5">
      <c r="A8" s="129" t="s">
        <v>119</v>
      </c>
      <c r="B8" s="357" t="s">
        <v>120</v>
      </c>
      <c r="C8" s="358"/>
      <c r="D8" s="244" t="s">
        <v>121</v>
      </c>
      <c r="E8" s="244" t="s">
        <v>121</v>
      </c>
      <c r="F8" s="244" t="s">
        <v>121</v>
      </c>
      <c r="G8" s="357" t="s">
        <v>169</v>
      </c>
      <c r="H8" s="328"/>
      <c r="I8" s="329"/>
    </row>
    <row r="10" spans="1:9">
      <c r="D10" s="245" t="s">
        <v>269</v>
      </c>
      <c r="E10" s="245" t="s">
        <v>306</v>
      </c>
      <c r="F10" s="245" t="s">
        <v>271</v>
      </c>
      <c r="G10" s="245" t="s">
        <v>307</v>
      </c>
      <c r="H10" s="245" t="s">
        <v>308</v>
      </c>
    </row>
    <row r="11" spans="1:9">
      <c r="B11" t="s">
        <v>309</v>
      </c>
      <c r="D11" s="93">
        <f>50+330+1200+741.6+207.72+450.95</f>
        <v>2980.2699999999995</v>
      </c>
      <c r="E11" s="93">
        <f>193.27+89.02+317.83+514.28+141.43+21.43</f>
        <v>1277.2600000000002</v>
      </c>
      <c r="F11" s="93">
        <v>281.98</v>
      </c>
      <c r="G11" s="93">
        <v>66.13</v>
      </c>
      <c r="H11" s="93">
        <v>28.34</v>
      </c>
    </row>
    <row r="12" spans="1:9">
      <c r="B12" t="s">
        <v>310</v>
      </c>
      <c r="D12" s="93">
        <v>2980.27</v>
      </c>
      <c r="E12" s="93">
        <v>1277.26</v>
      </c>
      <c r="F12" s="93">
        <v>281.98</v>
      </c>
      <c r="G12" s="93">
        <v>66.13</v>
      </c>
      <c r="H12" s="93">
        <v>28.34</v>
      </c>
    </row>
    <row r="13" spans="1:9" s="42" customFormat="1">
      <c r="B13" s="42" t="s">
        <v>194</v>
      </c>
      <c r="D13" s="246">
        <f>D11-D12</f>
        <v>0</v>
      </c>
      <c r="E13" s="246">
        <f>E11-E12</f>
        <v>0</v>
      </c>
      <c r="F13" s="246">
        <f>F11-F12</f>
        <v>0</v>
      </c>
      <c r="G13" s="246">
        <f>G11-G12</f>
        <v>0</v>
      </c>
      <c r="H13" s="246">
        <f>H11-H12</f>
        <v>0</v>
      </c>
    </row>
    <row r="15" spans="1:9">
      <c r="A15" s="42" t="s">
        <v>311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G1"/>
      <c r="H1" s="56" t="s">
        <v>2</v>
      </c>
      <c r="I1" s="56" t="s">
        <v>3</v>
      </c>
    </row>
    <row r="2" spans="1:10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0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312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6" t="s">
        <v>119</v>
      </c>
      <c r="B8" s="319" t="s">
        <v>120</v>
      </c>
      <c r="C8" s="320"/>
      <c r="D8" s="320"/>
      <c r="E8" s="321"/>
      <c r="F8" s="137" t="s">
        <v>121</v>
      </c>
      <c r="G8" s="141"/>
      <c r="H8" s="319" t="s">
        <v>169</v>
      </c>
      <c r="I8" s="328"/>
      <c r="J8" s="329"/>
    </row>
    <row r="10" spans="1:10">
      <c r="A10" s="77" t="s">
        <v>313</v>
      </c>
      <c r="C10" s="47" t="s">
        <v>314</v>
      </c>
      <c r="D10" s="359" t="s">
        <v>315</v>
      </c>
      <c r="E10" s="359"/>
      <c r="F10" s="359"/>
      <c r="G10" s="101" t="s">
        <v>316</v>
      </c>
      <c r="H10" s="360" t="s">
        <v>317</v>
      </c>
      <c r="I10" s="360"/>
      <c r="J10" s="360"/>
    </row>
    <row r="11" spans="1:10">
      <c r="A11" s="71"/>
      <c r="B11" s="71"/>
      <c r="D11" s="47" t="s">
        <v>318</v>
      </c>
      <c r="E11" s="85" t="s">
        <v>319</v>
      </c>
      <c r="F11" s="72" t="s">
        <v>320</v>
      </c>
      <c r="G11" s="72"/>
      <c r="H11" s="47" t="s">
        <v>318</v>
      </c>
      <c r="I11" s="102" t="s">
        <v>319</v>
      </c>
      <c r="J11" s="103" t="s">
        <v>320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0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0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0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0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0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0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E8D1FF"/>
  </sheetPr>
  <dimension ref="A1:N111"/>
  <sheetViews>
    <sheetView zoomScale="80" zoomScaleNormal="80" workbookViewId="0">
      <selection activeCell="N41" sqref="N41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8" width="14.42578125" customWidth="1"/>
  </cols>
  <sheetData>
    <row r="1" spans="1:14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4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4" ht="18">
      <c r="D4" s="53"/>
      <c r="E4" s="53"/>
      <c r="F4" s="64"/>
      <c r="G4" s="65"/>
      <c r="I4" s="66"/>
    </row>
    <row r="5" spans="1:14" ht="18">
      <c r="A5" s="124" t="s">
        <v>321</v>
      </c>
      <c r="D5" s="53"/>
      <c r="E5" s="53"/>
      <c r="F5" s="64"/>
      <c r="G5" s="65"/>
      <c r="I5" s="66"/>
    </row>
    <row r="6" spans="1:14" ht="20.100000000000001" customHeight="1"/>
    <row r="7" spans="1:14">
      <c r="E7" s="115"/>
      <c r="F7" s="115"/>
    </row>
    <row r="8" spans="1:14">
      <c r="E8" s="115"/>
      <c r="F8" s="115"/>
    </row>
    <row r="9" spans="1:14" ht="18">
      <c r="A9" s="124" t="s">
        <v>322</v>
      </c>
      <c r="E9" s="115"/>
      <c r="F9" s="115"/>
    </row>
    <row r="10" spans="1:14">
      <c r="C10" s="247"/>
      <c r="D10" s="269" t="s">
        <v>323</v>
      </c>
      <c r="E10" s="269"/>
      <c r="F10" s="270"/>
      <c r="G10" s="270"/>
      <c r="H10" s="270"/>
      <c r="I10" s="270"/>
      <c r="J10" s="270"/>
      <c r="K10" s="270"/>
      <c r="L10" s="270"/>
      <c r="M10" s="248"/>
      <c r="N10" s="248"/>
    </row>
    <row r="11" spans="1:14" s="271" customFormat="1" ht="30">
      <c r="C11" s="249"/>
      <c r="D11" s="250" t="s">
        <v>324</v>
      </c>
      <c r="E11" s="249" t="s">
        <v>325</v>
      </c>
      <c r="F11" s="250" t="s">
        <v>326</v>
      </c>
      <c r="G11" s="250" t="s">
        <v>327</v>
      </c>
      <c r="H11" s="250" t="s">
        <v>328</v>
      </c>
      <c r="I11" s="250" t="s">
        <v>329</v>
      </c>
      <c r="J11" s="250" t="s">
        <v>330</v>
      </c>
      <c r="K11" s="250" t="s">
        <v>331</v>
      </c>
      <c r="L11" s="250" t="s">
        <v>332</v>
      </c>
      <c r="M11" s="250" t="s">
        <v>333</v>
      </c>
      <c r="N11" s="250" t="s">
        <v>334</v>
      </c>
    </row>
    <row r="12" spans="1:14">
      <c r="C12" s="259" t="s">
        <v>335</v>
      </c>
      <c r="D12" s="272">
        <v>32358.57</v>
      </c>
      <c r="E12" s="251">
        <f>SUM(D12:D12)</f>
        <v>32358.57</v>
      </c>
      <c r="F12" s="273"/>
      <c r="G12" s="273">
        <f>4279.16-408.56</f>
        <v>3870.6</v>
      </c>
      <c r="H12" s="273">
        <f>2087.79+30.8</f>
        <v>2118.59</v>
      </c>
      <c r="I12" s="273">
        <v>1002</v>
      </c>
      <c r="J12" s="273"/>
      <c r="K12" s="273">
        <v>1067.92</v>
      </c>
      <c r="L12" s="273">
        <v>1960</v>
      </c>
      <c r="M12" s="252">
        <f t="shared" ref="M12:M23" si="0">SUM(F12:J12)</f>
        <v>6991.1900000000005</v>
      </c>
      <c r="N12" s="253">
        <f>E12-M12</f>
        <v>25367.379999999997</v>
      </c>
    </row>
    <row r="13" spans="1:14">
      <c r="C13" s="257" t="s">
        <v>336</v>
      </c>
      <c r="D13" s="272"/>
      <c r="E13" s="251">
        <f t="shared" ref="E13:E23" si="1">SUM(D13:D13)</f>
        <v>0</v>
      </c>
      <c r="F13" s="273"/>
      <c r="G13" s="273"/>
      <c r="H13" s="273"/>
      <c r="I13" s="273"/>
      <c r="J13" s="273"/>
      <c r="K13" s="273"/>
      <c r="L13" s="273"/>
      <c r="M13" s="252">
        <f t="shared" si="0"/>
        <v>0</v>
      </c>
      <c r="N13" s="253">
        <f t="shared" ref="N13:N23" si="2">E13-M13</f>
        <v>0</v>
      </c>
    </row>
    <row r="14" spans="1:14">
      <c r="C14" s="257" t="s">
        <v>337</v>
      </c>
      <c r="D14" s="274"/>
      <c r="E14" s="254">
        <f t="shared" si="1"/>
        <v>0</v>
      </c>
      <c r="F14" s="275"/>
      <c r="G14" s="275"/>
      <c r="H14" s="275"/>
      <c r="I14" s="275"/>
      <c r="J14" s="275"/>
      <c r="K14" s="275"/>
      <c r="L14" s="275"/>
      <c r="M14" s="255">
        <f t="shared" si="0"/>
        <v>0</v>
      </c>
      <c r="N14" s="256">
        <f t="shared" si="2"/>
        <v>0</v>
      </c>
    </row>
    <row r="15" spans="1:14">
      <c r="C15" s="257" t="s">
        <v>338</v>
      </c>
      <c r="D15" s="274"/>
      <c r="E15" s="254">
        <f t="shared" si="1"/>
        <v>0</v>
      </c>
      <c r="F15" s="275"/>
      <c r="G15" s="275"/>
      <c r="H15" s="275"/>
      <c r="I15" s="275"/>
      <c r="J15" s="275"/>
      <c r="K15" s="275"/>
      <c r="L15" s="275"/>
      <c r="M15" s="255">
        <f t="shared" si="0"/>
        <v>0</v>
      </c>
      <c r="N15" s="256">
        <f t="shared" si="2"/>
        <v>0</v>
      </c>
    </row>
    <row r="16" spans="1:14">
      <c r="C16" s="257" t="s">
        <v>339</v>
      </c>
      <c r="D16" s="274"/>
      <c r="E16" s="254">
        <f t="shared" si="1"/>
        <v>0</v>
      </c>
      <c r="F16" s="275"/>
      <c r="G16" s="275"/>
      <c r="H16" s="275"/>
      <c r="I16" s="275"/>
      <c r="J16" s="275"/>
      <c r="K16" s="275"/>
      <c r="L16" s="275"/>
      <c r="M16" s="255">
        <f t="shared" si="0"/>
        <v>0</v>
      </c>
      <c r="N16" s="256">
        <f t="shared" si="2"/>
        <v>0</v>
      </c>
    </row>
    <row r="17" spans="3:14">
      <c r="C17" s="257" t="s">
        <v>340</v>
      </c>
      <c r="D17" s="274"/>
      <c r="E17" s="254">
        <f t="shared" si="1"/>
        <v>0</v>
      </c>
      <c r="F17" s="275"/>
      <c r="G17" s="275"/>
      <c r="H17" s="275"/>
      <c r="I17" s="275"/>
      <c r="J17" s="275"/>
      <c r="K17" s="275"/>
      <c r="L17" s="275"/>
      <c r="M17" s="255">
        <f t="shared" si="0"/>
        <v>0</v>
      </c>
      <c r="N17" s="256">
        <f t="shared" si="2"/>
        <v>0</v>
      </c>
    </row>
    <row r="18" spans="3:14" ht="15" customHeight="1">
      <c r="C18" s="257" t="s">
        <v>341</v>
      </c>
      <c r="D18" s="274"/>
      <c r="E18" s="254">
        <f t="shared" si="1"/>
        <v>0</v>
      </c>
      <c r="F18" s="275"/>
      <c r="G18" s="275"/>
      <c r="H18" s="275"/>
      <c r="I18" s="275"/>
      <c r="J18" s="275"/>
      <c r="K18" s="275"/>
      <c r="L18" s="275"/>
      <c r="M18" s="255">
        <f t="shared" si="0"/>
        <v>0</v>
      </c>
      <c r="N18" s="256">
        <f t="shared" si="2"/>
        <v>0</v>
      </c>
    </row>
    <row r="19" spans="3:14" ht="15" customHeight="1">
      <c r="C19" s="257" t="s">
        <v>342</v>
      </c>
      <c r="D19" s="274"/>
      <c r="E19" s="254">
        <f t="shared" si="1"/>
        <v>0</v>
      </c>
      <c r="F19" s="275"/>
      <c r="G19" s="275"/>
      <c r="H19" s="275"/>
      <c r="I19" s="275"/>
      <c r="J19" s="275"/>
      <c r="K19" s="275"/>
      <c r="L19" s="275"/>
      <c r="M19" s="255">
        <f t="shared" si="0"/>
        <v>0</v>
      </c>
      <c r="N19" s="256">
        <f t="shared" si="2"/>
        <v>0</v>
      </c>
    </row>
    <row r="20" spans="3:14" ht="15" customHeight="1">
      <c r="C20" s="258" t="s">
        <v>343</v>
      </c>
      <c r="D20" s="274"/>
      <c r="E20" s="254">
        <f t="shared" si="1"/>
        <v>0</v>
      </c>
      <c r="F20" s="275"/>
      <c r="G20" s="275"/>
      <c r="H20" s="275"/>
      <c r="I20" s="275"/>
      <c r="J20" s="275"/>
      <c r="K20" s="275"/>
      <c r="L20" s="275"/>
      <c r="M20" s="255">
        <f t="shared" si="0"/>
        <v>0</v>
      </c>
      <c r="N20" s="256">
        <f t="shared" si="2"/>
        <v>0</v>
      </c>
    </row>
    <row r="21" spans="3:14" ht="15" customHeight="1">
      <c r="C21" s="259" t="s">
        <v>344</v>
      </c>
      <c r="D21" s="274"/>
      <c r="E21" s="254">
        <f t="shared" si="1"/>
        <v>0</v>
      </c>
      <c r="F21" s="275"/>
      <c r="G21" s="275"/>
      <c r="H21" s="275"/>
      <c r="I21" s="275"/>
      <c r="J21" s="275"/>
      <c r="K21" s="275"/>
      <c r="L21" s="275"/>
      <c r="M21" s="255">
        <f t="shared" si="0"/>
        <v>0</v>
      </c>
      <c r="N21" s="256">
        <f t="shared" si="2"/>
        <v>0</v>
      </c>
    </row>
    <row r="22" spans="3:14" ht="15" customHeight="1">
      <c r="C22" s="258" t="s">
        <v>345</v>
      </c>
      <c r="D22" s="274"/>
      <c r="E22" s="254">
        <f t="shared" si="1"/>
        <v>0</v>
      </c>
      <c r="F22" s="275"/>
      <c r="G22" s="275"/>
      <c r="H22" s="275"/>
      <c r="I22" s="275"/>
      <c r="J22" s="275"/>
      <c r="K22" s="275"/>
      <c r="L22" s="275"/>
      <c r="M22" s="255">
        <f t="shared" si="0"/>
        <v>0</v>
      </c>
      <c r="N22" s="256">
        <f t="shared" si="2"/>
        <v>0</v>
      </c>
    </row>
    <row r="23" spans="3:14" ht="15" customHeight="1">
      <c r="C23" s="260" t="s">
        <v>346</v>
      </c>
      <c r="D23" s="276"/>
      <c r="E23" s="261">
        <f t="shared" si="1"/>
        <v>0</v>
      </c>
      <c r="F23" s="105"/>
      <c r="G23" s="105"/>
      <c r="H23" s="105"/>
      <c r="I23" s="105"/>
      <c r="J23" s="105"/>
      <c r="K23" s="105"/>
      <c r="L23" s="105"/>
      <c r="M23" s="262">
        <f t="shared" si="0"/>
        <v>0</v>
      </c>
      <c r="N23" s="263">
        <f t="shared" si="2"/>
        <v>0</v>
      </c>
    </row>
    <row r="24" spans="3:14">
      <c r="C24" s="277"/>
      <c r="D24" s="278"/>
      <c r="E24" s="264"/>
      <c r="F24" s="279"/>
      <c r="G24" s="279"/>
      <c r="H24" s="279"/>
      <c r="I24" s="279"/>
      <c r="J24" s="279"/>
      <c r="K24" s="279"/>
      <c r="L24" s="279"/>
      <c r="M24" s="265"/>
      <c r="N24" s="266"/>
    </row>
    <row r="25" spans="3:14" ht="15.75" thickBot="1">
      <c r="D25" s="280">
        <f>SUM(D12:D24)</f>
        <v>32358.57</v>
      </c>
      <c r="E25" s="267">
        <f t="shared" ref="E25:L25" si="3">SUM(E12:E24)</f>
        <v>32358.57</v>
      </c>
      <c r="F25" s="280">
        <f t="shared" si="3"/>
        <v>0</v>
      </c>
      <c r="G25" s="280">
        <f t="shared" si="3"/>
        <v>3870.6</v>
      </c>
      <c r="H25" s="280">
        <f t="shared" si="3"/>
        <v>2118.59</v>
      </c>
      <c r="I25" s="280">
        <f t="shared" si="3"/>
        <v>1002</v>
      </c>
      <c r="J25" s="280">
        <f t="shared" si="3"/>
        <v>0</v>
      </c>
      <c r="K25" s="280">
        <f t="shared" si="3"/>
        <v>1067.92</v>
      </c>
      <c r="L25" s="280">
        <f t="shared" si="3"/>
        <v>1960</v>
      </c>
      <c r="M25" s="267">
        <f>SUM(M12:M24)</f>
        <v>6991.1900000000005</v>
      </c>
      <c r="N25" s="268">
        <f>SUM(N12:N24)</f>
        <v>25367.379999999997</v>
      </c>
    </row>
    <row r="26" spans="3:14">
      <c r="F26" s="115"/>
    </row>
    <row r="27" spans="3:14">
      <c r="C27" t="s">
        <v>171</v>
      </c>
      <c r="D27" s="105">
        <v>32358.57</v>
      </c>
      <c r="E27" s="105">
        <v>32358.57</v>
      </c>
      <c r="F27" s="281"/>
      <c r="G27" s="105">
        <v>3870.6</v>
      </c>
      <c r="H27" s="105">
        <v>2045.21</v>
      </c>
      <c r="I27" s="105">
        <v>1002</v>
      </c>
      <c r="J27" s="105"/>
      <c r="K27" s="105">
        <v>1067.92</v>
      </c>
      <c r="L27" s="105">
        <v>1960</v>
      </c>
      <c r="M27" s="105"/>
      <c r="N27" s="105"/>
    </row>
    <row r="28" spans="3:14">
      <c r="C28" s="138" t="s">
        <v>347</v>
      </c>
      <c r="D28" s="229">
        <v>28000</v>
      </c>
      <c r="E28" s="229"/>
      <c r="F28" s="190">
        <v>42110</v>
      </c>
      <c r="G28" s="229">
        <v>41960</v>
      </c>
      <c r="H28" s="229">
        <v>41930</v>
      </c>
      <c r="I28" s="229">
        <v>42060</v>
      </c>
      <c r="J28" s="229">
        <v>42150</v>
      </c>
      <c r="K28" s="229"/>
      <c r="L28" s="229"/>
      <c r="M28" s="229"/>
      <c r="N28" s="229"/>
    </row>
    <row r="29" spans="3:14" s="42" customFormat="1">
      <c r="C29" s="42" t="s">
        <v>265</v>
      </c>
      <c r="D29" s="94">
        <f>D25-D27</f>
        <v>0</v>
      </c>
      <c r="E29" s="94">
        <f t="shared" ref="E29:L29" si="4">E25-E27</f>
        <v>0</v>
      </c>
      <c r="F29" s="94">
        <f t="shared" si="4"/>
        <v>0</v>
      </c>
      <c r="G29" s="94">
        <f t="shared" si="4"/>
        <v>0</v>
      </c>
      <c r="H29" s="94">
        <f t="shared" si="4"/>
        <v>73.380000000000109</v>
      </c>
      <c r="I29" s="94">
        <f t="shared" si="4"/>
        <v>0</v>
      </c>
      <c r="J29" s="94">
        <f t="shared" si="4"/>
        <v>0</v>
      </c>
      <c r="K29" s="94">
        <f t="shared" si="4"/>
        <v>0</v>
      </c>
      <c r="L29" s="94">
        <f t="shared" si="4"/>
        <v>0</v>
      </c>
    </row>
    <row r="30" spans="3:14">
      <c r="D30" s="115"/>
      <c r="H30" t="s">
        <v>348</v>
      </c>
    </row>
    <row r="31" spans="3:14">
      <c r="D31" s="115"/>
    </row>
    <row r="32" spans="3:14">
      <c r="E32" s="115"/>
      <c r="F32" s="115"/>
    </row>
    <row r="33" spans="5:6">
      <c r="E33" s="115"/>
      <c r="F33" s="115"/>
    </row>
    <row r="34" spans="5:6">
      <c r="E34" s="115"/>
      <c r="F34" s="115"/>
    </row>
    <row r="35" spans="5:6">
      <c r="E35" s="115"/>
      <c r="F35" s="115"/>
    </row>
    <row r="36" spans="5:6">
      <c r="E36" s="115"/>
      <c r="F36" s="115"/>
    </row>
    <row r="37" spans="5:6">
      <c r="E37" s="115"/>
      <c r="F37" s="115"/>
    </row>
    <row r="38" spans="5:6">
      <c r="E38" s="115"/>
      <c r="F38" s="115"/>
    </row>
    <row r="39" spans="5:6">
      <c r="E39" s="115"/>
      <c r="F39" s="115"/>
    </row>
    <row r="40" spans="5:6">
      <c r="E40" s="115"/>
      <c r="F40" s="115"/>
    </row>
    <row r="41" spans="5:6">
      <c r="E41" s="115"/>
      <c r="F41" s="115"/>
    </row>
    <row r="42" spans="5:6">
      <c r="E42" s="115"/>
      <c r="F42" s="115"/>
    </row>
    <row r="43" spans="5:6">
      <c r="E43" s="115"/>
      <c r="F43" s="115"/>
    </row>
    <row r="44" spans="5:6">
      <c r="E44" s="115"/>
      <c r="F44" s="115"/>
    </row>
    <row r="45" spans="5:6">
      <c r="E45" s="115"/>
      <c r="F45" s="115"/>
    </row>
    <row r="46" spans="5:6">
      <c r="E46" s="115"/>
      <c r="F46" s="115"/>
    </row>
    <row r="47" spans="5:6">
      <c r="E47" s="115"/>
      <c r="F47" s="115"/>
    </row>
    <row r="48" spans="5:6">
      <c r="E48" s="115"/>
      <c r="F48" s="115"/>
    </row>
    <row r="49" spans="5:6">
      <c r="E49" s="115"/>
      <c r="F49" s="115"/>
    </row>
    <row r="50" spans="5:6">
      <c r="E50" s="115"/>
      <c r="F50" s="115"/>
    </row>
    <row r="51" spans="5:6">
      <c r="E51" s="115"/>
      <c r="F51" s="115"/>
    </row>
    <row r="52" spans="5:6">
      <c r="E52" s="115"/>
      <c r="F52" s="115"/>
    </row>
    <row r="53" spans="5:6">
      <c r="E53" s="115"/>
      <c r="F53" s="115"/>
    </row>
    <row r="54" spans="5:6">
      <c r="E54" s="115"/>
      <c r="F54" s="115"/>
    </row>
    <row r="55" spans="5:6">
      <c r="E55" s="115"/>
      <c r="F55" s="115"/>
    </row>
    <row r="56" spans="5:6">
      <c r="E56" s="115"/>
      <c r="F56" s="115"/>
    </row>
    <row r="57" spans="5:6">
      <c r="E57" s="115"/>
      <c r="F57" s="115"/>
    </row>
    <row r="58" spans="5:6">
      <c r="E58" s="115"/>
      <c r="F58" s="115"/>
    </row>
    <row r="59" spans="5:6">
      <c r="E59" s="115"/>
      <c r="F59" s="115"/>
    </row>
    <row r="60" spans="5:6">
      <c r="E60" s="115"/>
      <c r="F60" s="115"/>
    </row>
    <row r="61" spans="5:6">
      <c r="E61" s="115"/>
      <c r="F61" s="115"/>
    </row>
    <row r="62" spans="5:6">
      <c r="E62" s="115"/>
      <c r="F62" s="115"/>
    </row>
    <row r="63" spans="5:6">
      <c r="E63" s="115"/>
      <c r="F63" s="115"/>
    </row>
    <row r="64" spans="5:6">
      <c r="E64" s="115"/>
      <c r="F64" s="115"/>
    </row>
    <row r="65" spans="5:6">
      <c r="E65" s="115"/>
      <c r="F65" s="115"/>
    </row>
    <row r="66" spans="5:6">
      <c r="E66" s="115"/>
      <c r="F66" s="115"/>
    </row>
    <row r="67" spans="5:6">
      <c r="E67" s="115"/>
      <c r="F67" s="115"/>
    </row>
    <row r="68" spans="5:6">
      <c r="E68" s="115"/>
      <c r="F68" s="115"/>
    </row>
    <row r="69" spans="5:6">
      <c r="E69" s="115"/>
      <c r="F69" s="115"/>
    </row>
    <row r="70" spans="5:6">
      <c r="E70" s="115"/>
      <c r="F70" s="115"/>
    </row>
    <row r="71" spans="5:6">
      <c r="E71" s="115"/>
      <c r="F71" s="115"/>
    </row>
    <row r="72" spans="5:6">
      <c r="E72" s="115"/>
      <c r="F72" s="115"/>
    </row>
    <row r="73" spans="5:6">
      <c r="E73" s="115"/>
      <c r="F73" s="115"/>
    </row>
    <row r="74" spans="5:6">
      <c r="E74" s="115"/>
      <c r="F74" s="115"/>
    </row>
    <row r="75" spans="5:6">
      <c r="E75" s="115"/>
      <c r="F75" s="115"/>
    </row>
    <row r="76" spans="5:6">
      <c r="E76" s="115"/>
      <c r="F76" s="115"/>
    </row>
    <row r="77" spans="5:6">
      <c r="E77" s="115"/>
      <c r="F77" s="115"/>
    </row>
    <row r="78" spans="5:6">
      <c r="E78" s="115"/>
      <c r="F78" s="115"/>
    </row>
    <row r="79" spans="5:6">
      <c r="E79" s="115"/>
      <c r="F79" s="115"/>
    </row>
    <row r="80" spans="5:6">
      <c r="E80" s="115"/>
      <c r="F80" s="115"/>
    </row>
    <row r="81" spans="5:6">
      <c r="E81" s="115"/>
      <c r="F81" s="115"/>
    </row>
    <row r="82" spans="5:6">
      <c r="E82" s="115"/>
      <c r="F82" s="115"/>
    </row>
    <row r="83" spans="5:6">
      <c r="E83" s="115"/>
      <c r="F83" s="115"/>
    </row>
    <row r="84" spans="5:6">
      <c r="E84" s="115"/>
      <c r="F84" s="115"/>
    </row>
    <row r="85" spans="5:6">
      <c r="E85" s="115"/>
      <c r="F85" s="115"/>
    </row>
    <row r="86" spans="5:6">
      <c r="E86" s="115"/>
      <c r="F86" s="115"/>
    </row>
    <row r="87" spans="5:6">
      <c r="E87" s="115"/>
      <c r="F87" s="115"/>
    </row>
    <row r="88" spans="5:6">
      <c r="E88" s="115"/>
      <c r="F88" s="115"/>
    </row>
    <row r="89" spans="5:6">
      <c r="E89" s="115"/>
      <c r="F89" s="115"/>
    </row>
    <row r="90" spans="5:6">
      <c r="E90" s="115"/>
      <c r="F90" s="115"/>
    </row>
    <row r="91" spans="5:6">
      <c r="E91" s="115"/>
      <c r="F91" s="115"/>
    </row>
    <row r="92" spans="5:6">
      <c r="E92" s="115"/>
      <c r="F92" s="115"/>
    </row>
    <row r="93" spans="5:6">
      <c r="E93" s="115"/>
      <c r="F93" s="115"/>
    </row>
    <row r="94" spans="5:6">
      <c r="E94" s="115"/>
      <c r="F94" s="115"/>
    </row>
    <row r="95" spans="5:6">
      <c r="E95" s="115"/>
      <c r="F95" s="115"/>
    </row>
    <row r="96" spans="5:6">
      <c r="E96" s="115"/>
      <c r="F96" s="115"/>
    </row>
    <row r="97" spans="5:6">
      <c r="E97" s="115"/>
      <c r="F97" s="115"/>
    </row>
    <row r="98" spans="5:6">
      <c r="E98" s="115"/>
      <c r="F98" s="115"/>
    </row>
    <row r="99" spans="5:6">
      <c r="E99" s="115"/>
      <c r="F99" s="115"/>
    </row>
    <row r="100" spans="5:6">
      <c r="E100" s="115"/>
      <c r="F100" s="115"/>
    </row>
    <row r="101" spans="5:6">
      <c r="E101" s="115"/>
      <c r="F101" s="115"/>
    </row>
    <row r="102" spans="5:6">
      <c r="E102" s="115"/>
      <c r="F102" s="115"/>
    </row>
    <row r="103" spans="5:6">
      <c r="E103" s="115"/>
      <c r="F103" s="115"/>
    </row>
    <row r="104" spans="5:6">
      <c r="E104" s="115"/>
      <c r="F104" s="115"/>
    </row>
    <row r="105" spans="5:6">
      <c r="E105" s="115"/>
      <c r="F105" s="115"/>
    </row>
    <row r="106" spans="5:6">
      <c r="E106" s="115"/>
      <c r="F106" s="115"/>
    </row>
    <row r="107" spans="5:6">
      <c r="E107" s="115"/>
      <c r="F107" s="115"/>
    </row>
    <row r="108" spans="5:6">
      <c r="E108" s="115"/>
      <c r="F108" s="115"/>
    </row>
    <row r="109" spans="5:6">
      <c r="E109" s="115"/>
      <c r="F109" s="115"/>
    </row>
    <row r="110" spans="5:6">
      <c r="E110" s="115"/>
      <c r="F110" s="115"/>
    </row>
    <row r="111" spans="5:6">
      <c r="E111" s="115"/>
      <c r="F111" s="115"/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8D1FF"/>
  </sheetPr>
  <dimension ref="A1:N34"/>
  <sheetViews>
    <sheetView workbookViewId="0">
      <selection activeCell="G13" sqref="G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4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4" ht="18">
      <c r="D4" s="53"/>
      <c r="E4" s="53"/>
      <c r="F4" s="64"/>
      <c r="G4" s="65"/>
      <c r="I4" s="66"/>
    </row>
    <row r="5" spans="1:14" ht="18">
      <c r="A5" s="124" t="s">
        <v>259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119</v>
      </c>
      <c r="B8" s="361" t="s">
        <v>120</v>
      </c>
      <c r="C8" s="362"/>
      <c r="D8" s="362"/>
      <c r="E8" s="363"/>
      <c r="F8" s="68" t="s">
        <v>121</v>
      </c>
      <c r="G8" s="361" t="s">
        <v>169</v>
      </c>
      <c r="H8" s="328"/>
      <c r="I8" s="329"/>
    </row>
    <row r="10" spans="1:14">
      <c r="F10" s="70"/>
    </row>
    <row r="11" spans="1:14">
      <c r="A11" s="65"/>
      <c r="B11" s="65"/>
      <c r="C11" s="65" t="s">
        <v>349</v>
      </c>
      <c r="G11" s="85" t="s">
        <v>97</v>
      </c>
      <c r="I11" s="47" t="s">
        <v>350</v>
      </c>
    </row>
    <row r="12" spans="1:14">
      <c r="A12" s="65"/>
      <c r="B12" s="65"/>
      <c r="C12" t="s">
        <v>351</v>
      </c>
      <c r="G12" s="86">
        <v>869</v>
      </c>
      <c r="I12" s="58">
        <v>0</v>
      </c>
    </row>
    <row r="13" spans="1:14">
      <c r="A13" s="65"/>
      <c r="B13" s="65"/>
      <c r="C13" t="s">
        <v>352</v>
      </c>
      <c r="G13" s="86"/>
      <c r="I13" s="58">
        <f>+G13/11*0.75</f>
        <v>0</v>
      </c>
    </row>
    <row r="14" spans="1:14">
      <c r="C14" t="s">
        <v>353</v>
      </c>
      <c r="G14" s="86">
        <v>2926</v>
      </c>
      <c r="I14" s="58">
        <v>0</v>
      </c>
    </row>
    <row r="15" spans="1:14">
      <c r="C15" t="s">
        <v>354</v>
      </c>
      <c r="G15" s="87"/>
      <c r="I15" s="88">
        <f>+G15/11*0.75</f>
        <v>0</v>
      </c>
      <c r="K15" t="s">
        <v>355</v>
      </c>
      <c r="N15" s="89">
        <f>+G15/G16</f>
        <v>0</v>
      </c>
    </row>
    <row r="16" spans="1:14">
      <c r="G16" s="70">
        <f>SUM(G12:G15)</f>
        <v>3795</v>
      </c>
      <c r="I16" s="70">
        <f>SUM(I12:I15)</f>
        <v>0</v>
      </c>
      <c r="K16" t="s">
        <v>356</v>
      </c>
      <c r="N16" s="90"/>
    </row>
    <row r="17" spans="1:14">
      <c r="A17" s="65"/>
      <c r="B17" s="65"/>
      <c r="C17" s="65"/>
      <c r="F17" s="70"/>
      <c r="K17" t="s">
        <v>357</v>
      </c>
      <c r="N17">
        <f>ROUND(N16-N18,0)</f>
        <v>0</v>
      </c>
    </row>
    <row r="18" spans="1:14">
      <c r="A18" s="77"/>
      <c r="B18" s="77"/>
      <c r="C18" s="65"/>
      <c r="F18" s="70"/>
      <c r="K18" t="s">
        <v>358</v>
      </c>
      <c r="N18">
        <f>ROUNDDOWN(N16*N15,0)</f>
        <v>0</v>
      </c>
    </row>
    <row r="19" spans="1:14">
      <c r="C19" s="77" t="s">
        <v>359</v>
      </c>
      <c r="E19" s="47" t="s">
        <v>357</v>
      </c>
      <c r="F19" s="85" t="s">
        <v>358</v>
      </c>
      <c r="G19" s="47" t="s">
        <v>97</v>
      </c>
      <c r="I19" s="47" t="s">
        <v>360</v>
      </c>
    </row>
    <row r="20" spans="1:14">
      <c r="C20" s="73">
        <v>44105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361</v>
      </c>
      <c r="F26" s="80"/>
    </row>
    <row r="27" spans="1:14">
      <c r="C27" t="s">
        <v>362</v>
      </c>
      <c r="G27" s="91">
        <f>+G12</f>
        <v>869</v>
      </c>
    </row>
    <row r="28" spans="1:14">
      <c r="C28" t="s">
        <v>363</v>
      </c>
      <c r="F28" s="80"/>
      <c r="G28" s="91">
        <f>+G13</f>
        <v>0</v>
      </c>
      <c r="I28" s="58">
        <f>+G28/11*0.75</f>
        <v>0</v>
      </c>
    </row>
    <row r="29" spans="1:14">
      <c r="C29" t="s">
        <v>357</v>
      </c>
      <c r="F29" s="79"/>
      <c r="G29" s="91">
        <f>+G14-E24</f>
        <v>2926</v>
      </c>
    </row>
    <row r="30" spans="1:14">
      <c r="C30" t="s">
        <v>358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3795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I3" sqref="I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3"/>
      <c r="C1" s="317" t="s">
        <v>1</v>
      </c>
      <c r="D1" s="317"/>
      <c r="E1" s="317"/>
      <c r="F1" s="54"/>
      <c r="H1" s="56" t="s">
        <v>2</v>
      </c>
      <c r="I1" s="56" t="s">
        <v>3</v>
      </c>
      <c r="J1" s="237"/>
    </row>
    <row r="2" spans="1:13" ht="18">
      <c r="A2" s="122" t="s">
        <v>4</v>
      </c>
      <c r="B2" s="53"/>
      <c r="C2" s="317" t="s">
        <v>364</v>
      </c>
      <c r="D2" s="317"/>
      <c r="E2" s="317"/>
      <c r="F2" s="55"/>
      <c r="G2" s="59" t="s">
        <v>6</v>
      </c>
      <c r="H2" s="60" t="s">
        <v>7</v>
      </c>
      <c r="I2" s="61">
        <v>45027</v>
      </c>
      <c r="J2" s="66"/>
    </row>
    <row r="3" spans="1:13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4" t="s">
        <v>365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5"/>
      <c r="G6" s="4"/>
      <c r="I6" s="66"/>
      <c r="J6" s="66"/>
    </row>
    <row r="8" spans="1:13" s="69" customFormat="1" ht="25.5">
      <c r="A8" s="129" t="s">
        <v>119</v>
      </c>
      <c r="B8" s="357" t="s">
        <v>120</v>
      </c>
      <c r="C8" s="358"/>
      <c r="D8" s="358"/>
      <c r="E8" s="364"/>
      <c r="F8" s="130" t="s">
        <v>121</v>
      </c>
      <c r="G8" s="357" t="s">
        <v>169</v>
      </c>
      <c r="H8" s="328"/>
      <c r="I8" s="329"/>
    </row>
    <row r="10" spans="1:13">
      <c r="F10" s="70"/>
    </row>
    <row r="11" spans="1:13">
      <c r="A11" s="77">
        <v>30900</v>
      </c>
      <c r="B11" s="77"/>
      <c r="C11" s="77" t="s">
        <v>366</v>
      </c>
      <c r="F11" s="70"/>
    </row>
    <row r="12" spans="1:13">
      <c r="C12" t="s">
        <v>367</v>
      </c>
      <c r="G12" s="226">
        <f>L13</f>
        <v>0</v>
      </c>
      <c r="K12" s="47" t="s">
        <v>368</v>
      </c>
      <c r="L12" s="47" t="s">
        <v>121</v>
      </c>
    </row>
    <row r="13" spans="1:13">
      <c r="C13" t="s">
        <v>369</v>
      </c>
      <c r="G13" s="70">
        <f>+G12/11*0.75</f>
        <v>0</v>
      </c>
      <c r="H13" t="s">
        <v>370</v>
      </c>
      <c r="K13" t="s">
        <v>371</v>
      </c>
    </row>
    <row r="14" spans="1:13">
      <c r="C14" t="s">
        <v>372</v>
      </c>
      <c r="G14" s="84">
        <f>+G12-G13</f>
        <v>0</v>
      </c>
      <c r="K14" t="s">
        <v>373</v>
      </c>
    </row>
    <row r="15" spans="1:13">
      <c r="G15" s="70"/>
      <c r="K15" t="s">
        <v>374</v>
      </c>
    </row>
    <row r="16" spans="1:13" ht="15.75" thickBot="1">
      <c r="G16" s="58"/>
      <c r="L16" s="225">
        <f>SUM(L13:L15)</f>
        <v>0</v>
      </c>
      <c r="M16" t="s">
        <v>375</v>
      </c>
    </row>
    <row r="17" spans="1:8" ht="15.75" thickTop="1">
      <c r="A17" s="77">
        <v>37500</v>
      </c>
      <c r="B17" s="77"/>
      <c r="C17" s="77" t="s">
        <v>376</v>
      </c>
      <c r="G17" s="58"/>
    </row>
    <row r="18" spans="1:8">
      <c r="C18" t="s">
        <v>377</v>
      </c>
      <c r="G18" s="223">
        <f>L14</f>
        <v>0</v>
      </c>
    </row>
    <row r="19" spans="1:8">
      <c r="C19" t="s">
        <v>378</v>
      </c>
      <c r="G19" s="227">
        <f>L15</f>
        <v>0</v>
      </c>
    </row>
    <row r="20" spans="1:8">
      <c r="G20" s="58">
        <f>SUM(G18:G19)</f>
        <v>0</v>
      </c>
    </row>
    <row r="21" spans="1:8">
      <c r="C21" t="s">
        <v>369</v>
      </c>
      <c r="G21" s="70">
        <f>+G20/11*0.75</f>
        <v>0</v>
      </c>
      <c r="H21" t="s">
        <v>370</v>
      </c>
    </row>
    <row r="22" spans="1:8">
      <c r="C22" t="s">
        <v>379</v>
      </c>
      <c r="G22" s="84">
        <f>+G20-G21</f>
        <v>0</v>
      </c>
    </row>
    <row r="27" spans="1:8">
      <c r="G27" s="22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C3F75-D273-4B16-BCA2-3D1D9FD5FCFA}">
  <dimension ref="A1:D37"/>
  <sheetViews>
    <sheetView workbookViewId="0">
      <selection activeCell="D3" sqref="D3"/>
    </sheetView>
  </sheetViews>
  <sheetFormatPr defaultRowHeight="15"/>
  <cols>
    <col min="2" max="2" width="47.28515625" customWidth="1"/>
    <col min="3" max="3" width="42.85546875" customWidth="1"/>
    <col min="4" max="4" width="14.28515625" customWidth="1"/>
  </cols>
  <sheetData>
    <row r="1" spans="1:4">
      <c r="A1" s="290" t="s">
        <v>80</v>
      </c>
      <c r="B1" s="290" t="s">
        <v>81</v>
      </c>
      <c r="C1" s="290" t="s">
        <v>82</v>
      </c>
      <c r="D1" s="290" t="s">
        <v>83</v>
      </c>
    </row>
    <row r="2" spans="1:4" ht="60">
      <c r="A2" s="286">
        <v>1</v>
      </c>
      <c r="B2" s="287" t="s">
        <v>84</v>
      </c>
      <c r="C2" s="287" t="s">
        <v>85</v>
      </c>
      <c r="D2" t="s">
        <v>86</v>
      </c>
    </row>
    <row r="3" spans="1:4">
      <c r="A3" s="286">
        <v>2</v>
      </c>
      <c r="B3" s="287" t="s">
        <v>87</v>
      </c>
      <c r="C3" s="288"/>
      <c r="D3" t="s">
        <v>88</v>
      </c>
    </row>
    <row r="4" spans="1:4" ht="30">
      <c r="A4" s="286">
        <v>3</v>
      </c>
      <c r="B4" s="287" t="s">
        <v>89</v>
      </c>
      <c r="C4" s="288" t="s">
        <v>90</v>
      </c>
      <c r="D4" t="s">
        <v>86</v>
      </c>
    </row>
    <row r="5" spans="1:4">
      <c r="A5" s="286"/>
      <c r="B5" s="287"/>
      <c r="C5" s="288"/>
    </row>
    <row r="6" spans="1:4">
      <c r="A6" s="286"/>
      <c r="B6" s="287"/>
      <c r="C6" s="288"/>
    </row>
    <row r="7" spans="1:4">
      <c r="A7" s="286"/>
      <c r="B7" s="287"/>
      <c r="C7" s="288"/>
    </row>
    <row r="8" spans="1:4">
      <c r="A8" s="286"/>
      <c r="B8" s="287"/>
      <c r="C8" s="288"/>
    </row>
    <row r="9" spans="1:4">
      <c r="A9" s="286"/>
      <c r="B9" s="287"/>
      <c r="C9" s="288"/>
    </row>
    <row r="10" spans="1:4">
      <c r="A10" s="286"/>
      <c r="B10" s="287"/>
      <c r="C10" s="288"/>
    </row>
    <row r="11" spans="1:4">
      <c r="A11" s="286"/>
      <c r="B11" s="287"/>
      <c r="C11" s="288"/>
    </row>
    <row r="12" spans="1:4">
      <c r="A12" s="286"/>
      <c r="B12" s="287"/>
      <c r="C12" s="288"/>
    </row>
    <row r="13" spans="1:4">
      <c r="A13" s="286"/>
      <c r="B13" s="287"/>
      <c r="C13" s="288"/>
    </row>
    <row r="14" spans="1:4">
      <c r="A14" s="286"/>
      <c r="B14" s="287"/>
      <c r="C14" s="288"/>
    </row>
    <row r="15" spans="1:4">
      <c r="A15" s="286"/>
      <c r="B15" s="287"/>
      <c r="C15" s="288"/>
    </row>
    <row r="16" spans="1:4">
      <c r="A16" s="286"/>
      <c r="B16" s="287"/>
      <c r="C16" s="288"/>
    </row>
    <row r="17" spans="1:3">
      <c r="A17" s="286"/>
      <c r="B17" s="287"/>
      <c r="C17" s="288"/>
    </row>
    <row r="18" spans="1:3">
      <c r="A18" s="286"/>
      <c r="B18" s="287"/>
      <c r="C18" s="288"/>
    </row>
    <row r="19" spans="1:3">
      <c r="A19" s="286"/>
      <c r="B19" s="287"/>
      <c r="C19" s="288"/>
    </row>
    <row r="20" spans="1:3">
      <c r="A20" s="286"/>
      <c r="B20" s="287"/>
      <c r="C20" s="288"/>
    </row>
    <row r="21" spans="1:3">
      <c r="A21" s="286"/>
      <c r="B21" s="287"/>
      <c r="C21" s="288"/>
    </row>
    <row r="22" spans="1:3">
      <c r="A22" s="286"/>
      <c r="B22" s="287"/>
      <c r="C22" s="288"/>
    </row>
    <row r="23" spans="1:3">
      <c r="A23" s="286"/>
      <c r="B23" s="287"/>
      <c r="C23" s="288"/>
    </row>
    <row r="24" spans="1:3">
      <c r="A24" s="286"/>
      <c r="B24" s="287"/>
      <c r="C24" s="288"/>
    </row>
    <row r="25" spans="1:3">
      <c r="A25" s="286"/>
      <c r="B25" s="287"/>
      <c r="C25" s="288"/>
    </row>
    <row r="26" spans="1:3">
      <c r="A26" s="286"/>
      <c r="B26" s="287"/>
      <c r="C26" s="288"/>
    </row>
    <row r="27" spans="1:3">
      <c r="A27" s="286"/>
      <c r="B27" s="287"/>
      <c r="C27" s="288"/>
    </row>
    <row r="28" spans="1:3">
      <c r="A28" s="286"/>
      <c r="B28" s="287"/>
      <c r="C28" s="288"/>
    </row>
    <row r="29" spans="1:3">
      <c r="A29" s="286"/>
      <c r="B29" s="287"/>
      <c r="C29" s="288"/>
    </row>
    <row r="30" spans="1:3">
      <c r="A30" s="286"/>
      <c r="B30" s="287"/>
      <c r="C30" s="288"/>
    </row>
    <row r="31" spans="1:3">
      <c r="A31" s="286"/>
      <c r="B31" s="287"/>
      <c r="C31" s="288"/>
    </row>
    <row r="32" spans="1:3">
      <c r="A32" s="286"/>
      <c r="B32" s="287"/>
      <c r="C32" s="288"/>
    </row>
    <row r="33" spans="1:3">
      <c r="A33" s="286"/>
      <c r="B33" s="287"/>
      <c r="C33" s="288"/>
    </row>
    <row r="34" spans="1:3">
      <c r="B34" s="289"/>
      <c r="C34" s="289"/>
    </row>
    <row r="35" spans="1:3">
      <c r="B35" s="289"/>
      <c r="C35" s="289"/>
    </row>
    <row r="36" spans="1:3">
      <c r="B36" s="289"/>
      <c r="C36" s="289"/>
    </row>
    <row r="37" spans="1:3">
      <c r="B37" s="289"/>
      <c r="C37" s="289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tabSelected="1" topLeftCell="A15" workbookViewId="0">
      <selection activeCell="J18" sqref="J18"/>
    </sheetView>
  </sheetViews>
  <sheetFormatPr defaultRowHeight="15"/>
  <cols>
    <col min="3" max="3" width="14" customWidth="1"/>
    <col min="4" max="6" width="17" bestFit="1" customWidth="1"/>
    <col min="7" max="7" width="12.42578125" customWidth="1"/>
    <col min="8" max="8" width="6.140625" customWidth="1"/>
    <col min="9" max="9" width="17" bestFit="1" customWidth="1"/>
    <col min="10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4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4" ht="18">
      <c r="D4" s="53"/>
      <c r="E4" s="53"/>
      <c r="F4" s="64"/>
      <c r="G4" s="65"/>
      <c r="I4" s="66"/>
    </row>
    <row r="5" spans="1:14" ht="18">
      <c r="A5" s="124" t="s">
        <v>91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5"/>
    </row>
    <row r="8" spans="1:14">
      <c r="H8" s="47"/>
    </row>
    <row r="9" spans="1:14">
      <c r="B9" t="s">
        <v>92</v>
      </c>
      <c r="D9" s="316" t="s">
        <v>93</v>
      </c>
      <c r="E9" s="316"/>
      <c r="F9" s="316"/>
      <c r="G9" s="316"/>
      <c r="I9" s="316" t="s">
        <v>94</v>
      </c>
      <c r="J9" s="316"/>
      <c r="K9" s="316"/>
      <c r="L9" s="316"/>
      <c r="N9" s="315" t="s">
        <v>95</v>
      </c>
    </row>
    <row r="10" spans="1:14">
      <c r="B10" t="s">
        <v>96</v>
      </c>
      <c r="D10" s="126">
        <v>19785</v>
      </c>
      <c r="E10" s="127">
        <f>+D10</f>
        <v>19785</v>
      </c>
      <c r="F10" s="127">
        <f>+D10</f>
        <v>19785</v>
      </c>
      <c r="G10" s="47" t="s">
        <v>97</v>
      </c>
      <c r="I10" s="126">
        <v>18743</v>
      </c>
      <c r="J10" s="127">
        <f>+I10</f>
        <v>18743</v>
      </c>
      <c r="K10" s="127">
        <f>+I10</f>
        <v>18743</v>
      </c>
      <c r="L10" s="47" t="s">
        <v>97</v>
      </c>
      <c r="N10" s="315"/>
    </row>
    <row r="11" spans="1:14">
      <c r="B11" t="s">
        <v>98</v>
      </c>
      <c r="D11" s="128">
        <f>(D14-D10)/365.25</f>
        <v>68.331279945242983</v>
      </c>
      <c r="E11" s="128">
        <f>(E14-E10)/365.25</f>
        <v>68.331279945242983</v>
      </c>
      <c r="F11" s="128">
        <f>(F14-F10)/365.25</f>
        <v>68.331279945242983</v>
      </c>
      <c r="G11" s="128"/>
      <c r="I11" s="128">
        <f>(I14-I10)/365.25</f>
        <v>71.184120465434631</v>
      </c>
      <c r="J11" s="128">
        <f>(J14-J10)/365.25</f>
        <v>71.184120465434631</v>
      </c>
      <c r="K11" s="128">
        <f>(K14-K10)/365.25</f>
        <v>71.184120465434631</v>
      </c>
      <c r="N11" s="315"/>
    </row>
    <row r="14" spans="1:14">
      <c r="B14" t="s">
        <v>99</v>
      </c>
      <c r="D14" s="127">
        <v>44743</v>
      </c>
      <c r="E14" s="127">
        <v>44743</v>
      </c>
      <c r="F14" s="127">
        <v>44743</v>
      </c>
      <c r="G14" s="127"/>
      <c r="I14" s="127">
        <v>44743</v>
      </c>
      <c r="J14" s="127">
        <v>44743</v>
      </c>
      <c r="K14" s="127">
        <v>44743</v>
      </c>
    </row>
    <row r="16" spans="1:14">
      <c r="B16" t="s">
        <v>100</v>
      </c>
      <c r="D16" s="223" t="s">
        <v>101</v>
      </c>
      <c r="E16" s="223" t="s">
        <v>102</v>
      </c>
      <c r="F16" s="223" t="s">
        <v>103</v>
      </c>
      <c r="I16" s="223" t="s">
        <v>104</v>
      </c>
      <c r="J16" s="223" t="s">
        <v>105</v>
      </c>
      <c r="K16" s="223"/>
    </row>
    <row r="17" spans="1:14">
      <c r="B17" t="s">
        <v>106</v>
      </c>
      <c r="D17" s="223" t="s">
        <v>107</v>
      </c>
      <c r="E17" s="223" t="s">
        <v>107</v>
      </c>
      <c r="F17" s="223" t="s">
        <v>107</v>
      </c>
      <c r="I17" s="223" t="s">
        <v>107</v>
      </c>
      <c r="J17" s="223" t="s">
        <v>107</v>
      </c>
      <c r="K17" s="223" t="s">
        <v>107</v>
      </c>
    </row>
    <row r="18" spans="1:14">
      <c r="B18" t="s">
        <v>108</v>
      </c>
      <c r="D18" s="223">
        <v>270493.81</v>
      </c>
      <c r="E18" s="223">
        <v>745148.9</v>
      </c>
      <c r="F18" s="223">
        <v>32891.49</v>
      </c>
      <c r="G18" s="224"/>
      <c r="I18" s="223">
        <v>60559.24</v>
      </c>
      <c r="J18" s="223">
        <v>396872.84</v>
      </c>
      <c r="K18" s="223"/>
    </row>
    <row r="20" spans="1:14">
      <c r="B20" t="s">
        <v>109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0.05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0.05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0.05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0.05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0.05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0.05</v>
      </c>
    </row>
    <row r="22" spans="1:14">
      <c r="B22" t="s">
        <v>110</v>
      </c>
      <c r="D22" s="91">
        <f>D18*D20</f>
        <v>13524.690500000001</v>
      </c>
      <c r="E22" s="91">
        <f>E18*E20</f>
        <v>37257.445</v>
      </c>
      <c r="F22" s="91">
        <f>F18*F20</f>
        <v>1644.5744999999999</v>
      </c>
      <c r="G22" s="91"/>
      <c r="I22" s="91">
        <f>I18*I20</f>
        <v>3027.962</v>
      </c>
      <c r="J22" s="91">
        <f>J18*J20</f>
        <v>19843.642000000003</v>
      </c>
      <c r="K22" s="91">
        <f>K18*K20</f>
        <v>0</v>
      </c>
    </row>
    <row r="23" spans="1:14" s="42" customFormat="1">
      <c r="B23" s="42" t="s">
        <v>111</v>
      </c>
      <c r="D23" s="43">
        <f>D18*(D20/2)</f>
        <v>6762.3452500000003</v>
      </c>
      <c r="E23" s="43">
        <f>E18*(E20/2)</f>
        <v>18628.7225</v>
      </c>
      <c r="F23" s="43">
        <f>F18*(F20/2)</f>
        <v>822.28724999999997</v>
      </c>
      <c r="G23" s="43"/>
      <c r="I23" s="43">
        <f>I18*(I20/2)</f>
        <v>1513.981</v>
      </c>
      <c r="J23" s="43">
        <f>J18*(J20/2)</f>
        <v>9921.8210000000017</v>
      </c>
      <c r="K23" s="43">
        <f>K18*(K20/2)</f>
        <v>0</v>
      </c>
    </row>
    <row r="24" spans="1:14" s="44" customFormat="1" ht="15.75" thickBot="1">
      <c r="B24" s="44" t="s">
        <v>112</v>
      </c>
      <c r="D24" s="51">
        <f>ROUND(D23,-1)</f>
        <v>6760</v>
      </c>
      <c r="E24" s="51">
        <f>ROUND(E23,-1)</f>
        <v>18630</v>
      </c>
      <c r="F24" s="51">
        <f>ROUND(F23,-1)</f>
        <v>820</v>
      </c>
      <c r="G24" s="46">
        <f>SUM(D24:F24)</f>
        <v>26210</v>
      </c>
      <c r="I24" s="51">
        <f>ROUND(I23,-1)</f>
        <v>1510</v>
      </c>
      <c r="J24" s="51">
        <f>ROUND(J23,-1)</f>
        <v>9920</v>
      </c>
      <c r="K24" s="51">
        <f>ROUND(K23,-1)</f>
        <v>0</v>
      </c>
      <c r="L24" s="46">
        <f>SUM(I24:K24)</f>
        <v>11430</v>
      </c>
      <c r="N24" s="52">
        <f>G24+L24</f>
        <v>37640</v>
      </c>
    </row>
    <row r="25" spans="1:14" ht="15.75" thickTop="1"/>
    <row r="26" spans="1:14">
      <c r="B26" t="s">
        <v>113</v>
      </c>
      <c r="D26" s="91">
        <f>IF(D17="ABP",D18,D18*0.1)</f>
        <v>270493.81</v>
      </c>
      <c r="E26" s="91">
        <f t="shared" ref="E26:F26" si="0">IF(E17="ABP",E18,E18*0.1)</f>
        <v>745148.9</v>
      </c>
      <c r="F26" s="91">
        <f t="shared" si="0"/>
        <v>32891.49</v>
      </c>
      <c r="G26" s="91"/>
      <c r="I26" s="91">
        <f t="shared" ref="I26:K26" si="1">IF(I17="ABP",I18,I18*0.1)</f>
        <v>60559.24</v>
      </c>
      <c r="J26" s="91">
        <f t="shared" si="1"/>
        <v>396872.84</v>
      </c>
      <c r="K26" s="91">
        <f t="shared" si="1"/>
        <v>0</v>
      </c>
    </row>
    <row r="30" spans="1:14">
      <c r="A30" s="49" t="s">
        <v>114</v>
      </c>
      <c r="B30" s="49" t="s">
        <v>115</v>
      </c>
      <c r="C30" s="49" t="s">
        <v>116</v>
      </c>
      <c r="D30" s="49" t="s">
        <v>117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E8D1FF"/>
  </sheetPr>
  <dimension ref="A1:L38"/>
  <sheetViews>
    <sheetView topLeftCell="A8" workbookViewId="0">
      <selection activeCell="I40" sqref="I4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9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9" ht="18">
      <c r="D4" s="53"/>
      <c r="E4" s="53"/>
      <c r="F4" s="64"/>
      <c r="G4" s="65"/>
      <c r="I4" s="66"/>
    </row>
    <row r="5" spans="1:9" ht="18">
      <c r="A5" s="124" t="s">
        <v>118</v>
      </c>
      <c r="D5" s="53"/>
      <c r="E5" s="53"/>
      <c r="F5" s="64"/>
      <c r="G5" s="65"/>
      <c r="I5" s="66"/>
    </row>
    <row r="6" spans="1:9" ht="18">
      <c r="A6" s="124"/>
      <c r="D6" s="53"/>
      <c r="E6" s="53"/>
      <c r="F6" s="64"/>
      <c r="G6" s="65"/>
      <c r="I6" s="66"/>
    </row>
    <row r="8" spans="1:9" s="69" customFormat="1" ht="30">
      <c r="A8" s="136" t="s">
        <v>119</v>
      </c>
      <c r="B8" s="319" t="s">
        <v>120</v>
      </c>
      <c r="C8" s="320"/>
      <c r="D8" s="320"/>
      <c r="E8" s="321"/>
      <c r="F8" s="137" t="s">
        <v>121</v>
      </c>
      <c r="G8" s="137" t="s">
        <v>121</v>
      </c>
      <c r="H8" s="137" t="s">
        <v>121</v>
      </c>
      <c r="I8" s="83"/>
    </row>
    <row r="10" spans="1:9">
      <c r="F10" s="70"/>
    </row>
    <row r="11" spans="1:9">
      <c r="A11" s="71"/>
      <c r="B11" s="71"/>
      <c r="C11" s="71" t="s">
        <v>122</v>
      </c>
      <c r="F11" s="72" t="s">
        <v>123</v>
      </c>
      <c r="G11" s="47" t="s">
        <v>124</v>
      </c>
      <c r="H11" s="47" t="s">
        <v>97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1">
        <v>0</v>
      </c>
      <c r="H13" s="132">
        <f>SUM(F13:G13)</f>
        <v>0</v>
      </c>
      <c r="I13" t="s">
        <v>125</v>
      </c>
    </row>
    <row r="14" spans="1:9">
      <c r="C14" s="73">
        <v>44896</v>
      </c>
      <c r="F14" s="74">
        <v>0</v>
      </c>
      <c r="G14" s="131">
        <v>0</v>
      </c>
      <c r="H14" s="132">
        <f>SUM(F14:G14)</f>
        <v>0</v>
      </c>
      <c r="I14" t="s">
        <v>126</v>
      </c>
    </row>
    <row r="15" spans="1:9">
      <c r="C15" s="73">
        <v>44986</v>
      </c>
      <c r="F15" s="74"/>
      <c r="G15" s="131"/>
      <c r="H15" s="132">
        <f>SUM(F15:G15)</f>
        <v>0</v>
      </c>
      <c r="I15" t="s">
        <v>127</v>
      </c>
    </row>
    <row r="16" spans="1:9">
      <c r="F16" s="75"/>
      <c r="G16" s="132"/>
      <c r="H16" s="132"/>
      <c r="I16" t="s">
        <v>128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129</v>
      </c>
      <c r="F19">
        <f>COUNT(F13:F15)</f>
        <v>2</v>
      </c>
      <c r="G19">
        <f>COUNT(G13:G15)</f>
        <v>2</v>
      </c>
    </row>
    <row r="21" spans="3:9">
      <c r="C21" t="s">
        <v>130</v>
      </c>
      <c r="F21" s="74"/>
      <c r="I21" t="s">
        <v>131</v>
      </c>
    </row>
    <row r="23" spans="3:9">
      <c r="C23" t="s">
        <v>132</v>
      </c>
      <c r="F23" s="78"/>
      <c r="G23" s="133">
        <v>0</v>
      </c>
      <c r="H23" s="79"/>
      <c r="I23" t="s">
        <v>133</v>
      </c>
    </row>
    <row r="24" spans="3:9">
      <c r="C24" t="s">
        <v>134</v>
      </c>
      <c r="F24" s="80"/>
      <c r="G24" s="133"/>
      <c r="H24" s="79"/>
    </row>
    <row r="25" spans="3:9">
      <c r="C25" t="s">
        <v>135</v>
      </c>
      <c r="F25" s="79"/>
      <c r="G25" s="134"/>
      <c r="H25" s="79"/>
    </row>
    <row r="26" spans="3:9">
      <c r="C26" t="s">
        <v>136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137</v>
      </c>
      <c r="F29" s="75">
        <f>ROUND(F21/4,0)</f>
        <v>0</v>
      </c>
      <c r="G29" s="132">
        <f>ROUND(G26/4,0)</f>
        <v>0</v>
      </c>
      <c r="H29" s="79"/>
    </row>
    <row r="30" spans="3:9">
      <c r="C30" t="s">
        <v>138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139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32">
        <f t="shared" ref="H33:H36" si="0">SUM(F33:G33)</f>
        <v>0</v>
      </c>
      <c r="L33" s="132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32">
        <f t="shared" si="0"/>
        <v>0</v>
      </c>
      <c r="L34" s="132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32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0</v>
      </c>
      <c r="H36" s="132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2" t="s">
        <v>0</v>
      </c>
      <c r="B1" s="317" t="str">
        <f>Index!$C$1</f>
        <v>CNG Super Fund</v>
      </c>
      <c r="C1" s="317"/>
      <c r="D1" s="317"/>
      <c r="F1" s="54"/>
      <c r="H1" s="56" t="s">
        <v>2</v>
      </c>
      <c r="I1" s="56" t="s">
        <v>3</v>
      </c>
    </row>
    <row r="2" spans="1:10" customFormat="1" ht="18">
      <c r="A2" s="122" t="s">
        <v>4</v>
      </c>
      <c r="B2" s="317" t="str">
        <f>Index!$C$2</f>
        <v>MCAD</v>
      </c>
      <c r="C2" s="317"/>
      <c r="D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0" customFormat="1" ht="18">
      <c r="A3" s="122" t="s">
        <v>8</v>
      </c>
      <c r="B3" s="318">
        <f>Index!$C$3</f>
        <v>44742</v>
      </c>
      <c r="C3" s="318"/>
      <c r="D3" s="318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0" customFormat="1" ht="18">
      <c r="A4" s="122"/>
      <c r="B4" s="53"/>
      <c r="D4" s="53"/>
      <c r="E4" s="53"/>
      <c r="F4" s="55"/>
      <c r="G4" s="123"/>
      <c r="H4" s="65"/>
      <c r="I4" s="66"/>
    </row>
    <row r="5" spans="1:10" customFormat="1" ht="18">
      <c r="A5" s="53" t="s">
        <v>140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3" customFormat="1" ht="15.75" thickBot="1">
      <c r="A7" s="145"/>
      <c r="C7" s="162"/>
      <c r="D7" s="162"/>
      <c r="E7" s="162"/>
      <c r="F7" s="115"/>
      <c r="G7" s="162"/>
      <c r="H7" s="162"/>
      <c r="I7" s="162"/>
    </row>
    <row r="8" spans="1:10" s="143" customFormat="1" ht="30.75" thickBot="1">
      <c r="A8" s="324" t="s">
        <v>141</v>
      </c>
      <c r="B8" s="325"/>
      <c r="C8" s="163" t="s">
        <v>142</v>
      </c>
      <c r="D8" s="163" t="s">
        <v>143</v>
      </c>
      <c r="E8" s="163" t="s">
        <v>144</v>
      </c>
      <c r="F8" s="163" t="s">
        <v>145</v>
      </c>
      <c r="G8" s="163" t="s">
        <v>146</v>
      </c>
      <c r="H8" s="163" t="s">
        <v>147</v>
      </c>
      <c r="I8" s="164" t="s">
        <v>148</v>
      </c>
    </row>
    <row r="9" spans="1:10" s="143" customFormat="1" ht="15">
      <c r="A9" s="165" t="s">
        <v>149</v>
      </c>
      <c r="B9" s="166"/>
      <c r="C9" s="167">
        <v>0</v>
      </c>
      <c r="D9" s="167">
        <v>0</v>
      </c>
      <c r="E9" s="167"/>
      <c r="F9" s="168">
        <v>0</v>
      </c>
      <c r="G9" s="167"/>
      <c r="H9" s="167"/>
      <c r="I9" s="167">
        <f>C9-D9+E9+F9+G9+H9</f>
        <v>0</v>
      </c>
    </row>
    <row r="10" spans="1:10" s="143" customFormat="1" ht="15">
      <c r="A10" s="169" t="s">
        <v>150</v>
      </c>
      <c r="B10" s="170"/>
      <c r="C10" s="167">
        <v>0</v>
      </c>
      <c r="D10" s="171">
        <v>0</v>
      </c>
      <c r="E10" s="171"/>
      <c r="F10" s="172">
        <v>0</v>
      </c>
      <c r="G10" s="171"/>
      <c r="H10" s="171"/>
      <c r="I10" s="167">
        <f>C10-D10+E10+F10+G10+H10</f>
        <v>0</v>
      </c>
    </row>
    <row r="11" spans="1:10" s="143" customFormat="1" ht="15">
      <c r="A11" s="169" t="s">
        <v>151</v>
      </c>
      <c r="B11" s="170"/>
      <c r="C11" s="167">
        <v>0</v>
      </c>
      <c r="D11" s="171">
        <v>0</v>
      </c>
      <c r="E11" s="171"/>
      <c r="F11" s="172">
        <v>0</v>
      </c>
      <c r="G11" s="171"/>
      <c r="H11" s="171"/>
      <c r="I11" s="167">
        <f>C11-D11+E11+F11+G11+H11</f>
        <v>0</v>
      </c>
    </row>
    <row r="12" spans="1:10" s="143" customFormat="1" ht="15">
      <c r="A12" s="169" t="s">
        <v>152</v>
      </c>
      <c r="B12" s="170"/>
      <c r="C12" s="167">
        <v>0</v>
      </c>
      <c r="D12" s="171">
        <v>0</v>
      </c>
      <c r="E12" s="171"/>
      <c r="F12" s="172">
        <v>0</v>
      </c>
      <c r="G12" s="171"/>
      <c r="H12" s="171"/>
      <c r="I12" s="167">
        <f>C12-D12+E12+F12+G12+H12</f>
        <v>0</v>
      </c>
    </row>
    <row r="13" spans="1:10" s="143" customFormat="1" ht="15">
      <c r="A13" s="173"/>
      <c r="B13" s="162" t="s">
        <v>153</v>
      </c>
      <c r="C13" s="174">
        <f t="shared" ref="C13:I13" si="0">SUM(C9:C12)</f>
        <v>0</v>
      </c>
      <c r="D13" s="174">
        <f t="shared" si="0"/>
        <v>0</v>
      </c>
      <c r="E13" s="174">
        <f t="shared" si="0"/>
        <v>0</v>
      </c>
      <c r="F13" s="174">
        <f t="shared" si="0"/>
        <v>0</v>
      </c>
      <c r="G13" s="174">
        <f t="shared" si="0"/>
        <v>0</v>
      </c>
      <c r="H13" s="174">
        <f t="shared" si="0"/>
        <v>0</v>
      </c>
      <c r="I13" s="174">
        <f t="shared" si="0"/>
        <v>0</v>
      </c>
    </row>
    <row r="14" spans="1:10" s="143" customFormat="1" ht="15.75" thickBot="1">
      <c r="A14" s="173"/>
      <c r="B14" s="173"/>
      <c r="C14" s="162"/>
      <c r="D14" s="162"/>
      <c r="E14" s="162"/>
      <c r="F14" s="115"/>
      <c r="G14" s="162"/>
      <c r="H14" s="162"/>
      <c r="I14" s="162"/>
    </row>
    <row r="15" spans="1:10" s="143" customFormat="1" ht="30.75" thickBot="1">
      <c r="A15" s="324" t="s">
        <v>154</v>
      </c>
      <c r="B15" s="365"/>
      <c r="C15" s="163" t="s">
        <v>142</v>
      </c>
      <c r="D15" s="163" t="s">
        <v>143</v>
      </c>
      <c r="E15" s="163" t="s">
        <v>144</v>
      </c>
      <c r="F15" s="163" t="s">
        <v>145</v>
      </c>
      <c r="G15" s="163" t="s">
        <v>146</v>
      </c>
      <c r="H15" s="163" t="s">
        <v>147</v>
      </c>
      <c r="I15" s="164" t="s">
        <v>148</v>
      </c>
    </row>
    <row r="16" spans="1:10" s="143" customFormat="1" ht="15">
      <c r="A16" s="175" t="s">
        <v>149</v>
      </c>
      <c r="B16" s="166"/>
      <c r="C16" s="167"/>
      <c r="D16" s="167"/>
      <c r="E16" s="167"/>
      <c r="F16" s="168"/>
      <c r="G16" s="167"/>
      <c r="H16" s="167"/>
      <c r="I16" s="167">
        <f>C16-D16+E16+F16+G16+H16</f>
        <v>0</v>
      </c>
    </row>
    <row r="17" spans="1:9" s="143" customFormat="1" ht="15">
      <c r="A17" s="176" t="s">
        <v>150</v>
      </c>
      <c r="B17" s="170"/>
      <c r="C17" s="167"/>
      <c r="D17" s="171"/>
      <c r="E17" s="171"/>
      <c r="F17" s="172"/>
      <c r="G17" s="171"/>
      <c r="H17" s="171"/>
      <c r="I17" s="167">
        <f>C17-D17+E17+F17+G17+H17</f>
        <v>0</v>
      </c>
    </row>
    <row r="18" spans="1:9" s="143" customFormat="1" ht="15">
      <c r="A18" s="176" t="s">
        <v>151</v>
      </c>
      <c r="B18" s="170"/>
      <c r="C18" s="167"/>
      <c r="D18" s="171"/>
      <c r="E18" s="171"/>
      <c r="F18" s="172"/>
      <c r="G18" s="171"/>
      <c r="H18" s="171"/>
      <c r="I18" s="167">
        <f>C18-D18+E18+F18+G18+H18</f>
        <v>0</v>
      </c>
    </row>
    <row r="19" spans="1:9" s="143" customFormat="1" ht="15">
      <c r="A19" s="176" t="s">
        <v>155</v>
      </c>
      <c r="B19" s="170"/>
      <c r="C19" s="167"/>
      <c r="D19" s="171"/>
      <c r="E19" s="171"/>
      <c r="F19" s="172"/>
      <c r="G19" s="171"/>
      <c r="H19" s="171"/>
      <c r="I19" s="167">
        <f>C19-D19+E19+F19+G19+H19</f>
        <v>0</v>
      </c>
    </row>
    <row r="20" spans="1:9" s="143" customFormat="1" ht="15">
      <c r="A20" s="173"/>
      <c r="B20" s="162" t="s">
        <v>153</v>
      </c>
      <c r="C20" s="177">
        <f t="shared" ref="C20:I20" si="1">SUM(C16:C19)</f>
        <v>0</v>
      </c>
      <c r="D20" s="177">
        <f t="shared" si="1"/>
        <v>0</v>
      </c>
      <c r="E20" s="177">
        <f t="shared" si="1"/>
        <v>0</v>
      </c>
      <c r="F20" s="177">
        <f t="shared" si="1"/>
        <v>0</v>
      </c>
      <c r="G20" s="177">
        <f t="shared" si="1"/>
        <v>0</v>
      </c>
      <c r="H20" s="177">
        <f t="shared" si="1"/>
        <v>0</v>
      </c>
      <c r="I20" s="177">
        <f t="shared" si="1"/>
        <v>0</v>
      </c>
    </row>
    <row r="21" spans="1:9" s="143" customFormat="1" ht="15">
      <c r="A21" s="145"/>
    </row>
    <row r="22" spans="1:9" s="143" customFormat="1" ht="15">
      <c r="A22" s="326" t="s">
        <v>156</v>
      </c>
      <c r="B22" s="327"/>
      <c r="C22" s="178">
        <f t="shared" ref="C22:I22" si="2">+C13-C20</f>
        <v>0</v>
      </c>
      <c r="D22" s="178">
        <f>+D13-D20</f>
        <v>0</v>
      </c>
      <c r="E22" s="178">
        <f t="shared" si="2"/>
        <v>0</v>
      </c>
      <c r="F22" s="178">
        <f t="shared" si="2"/>
        <v>0</v>
      </c>
      <c r="G22" s="178">
        <f t="shared" si="2"/>
        <v>0</v>
      </c>
      <c r="H22" s="178">
        <f t="shared" si="2"/>
        <v>0</v>
      </c>
      <c r="I22" s="178">
        <f t="shared" si="2"/>
        <v>0</v>
      </c>
    </row>
    <row r="23" spans="1:9" s="143" customFormat="1" ht="15">
      <c r="A23" s="145"/>
    </row>
    <row r="24" spans="1:9" s="143" customFormat="1" ht="15">
      <c r="A24" s="143" t="s">
        <v>157</v>
      </c>
      <c r="B24" s="144"/>
      <c r="G24" s="144"/>
    </row>
    <row r="25" spans="1:9" s="143" customFormat="1" ht="15">
      <c r="B25" s="144"/>
      <c r="C25" s="322" t="s">
        <v>158</v>
      </c>
      <c r="D25" s="322"/>
      <c r="E25" s="322" t="s">
        <v>159</v>
      </c>
      <c r="F25" s="322"/>
      <c r="G25" s="323" t="s">
        <v>160</v>
      </c>
      <c r="H25" s="323"/>
    </row>
    <row r="26" spans="1:9" s="143" customFormat="1" ht="15">
      <c r="A26" s="145" t="s">
        <v>3</v>
      </c>
      <c r="B26" s="143" t="s">
        <v>161</v>
      </c>
      <c r="C26" s="143" t="s">
        <v>142</v>
      </c>
      <c r="D26" s="143" t="s">
        <v>143</v>
      </c>
      <c r="E26" s="143" t="s">
        <v>142</v>
      </c>
      <c r="F26" s="143" t="s">
        <v>143</v>
      </c>
      <c r="G26" s="143" t="s">
        <v>142</v>
      </c>
      <c r="H26" s="143" t="s">
        <v>143</v>
      </c>
    </row>
    <row r="27" spans="1:9" s="143" customFormat="1" ht="15">
      <c r="A27" s="146"/>
      <c r="C27" s="147"/>
      <c r="D27" s="147"/>
      <c r="E27" s="147"/>
      <c r="F27" s="147"/>
      <c r="G27" s="147"/>
      <c r="H27" s="147">
        <f>D27-F27</f>
        <v>0</v>
      </c>
    </row>
    <row r="28" spans="1:9" s="143" customFormat="1" ht="15">
      <c r="A28" s="148"/>
      <c r="C28" s="147"/>
      <c r="D28" s="147"/>
      <c r="E28" s="147"/>
      <c r="F28" s="147"/>
      <c r="G28" s="147"/>
      <c r="H28" s="147">
        <f t="shared" ref="H28:H40" si="3">D28-F28</f>
        <v>0</v>
      </c>
    </row>
    <row r="29" spans="1:9" s="143" customFormat="1" ht="15">
      <c r="A29" s="146"/>
      <c r="B29" s="149"/>
      <c r="C29" s="147"/>
      <c r="D29" s="147"/>
      <c r="E29" s="147"/>
      <c r="F29" s="147"/>
      <c r="G29" s="147"/>
      <c r="H29" s="147">
        <f t="shared" si="3"/>
        <v>0</v>
      </c>
    </row>
    <row r="30" spans="1:9" s="143" customFormat="1" ht="15">
      <c r="A30" s="148"/>
      <c r="C30" s="147"/>
      <c r="D30" s="147"/>
      <c r="E30" s="147"/>
      <c r="F30" s="147"/>
      <c r="G30" s="147"/>
      <c r="H30" s="147">
        <f t="shared" si="3"/>
        <v>0</v>
      </c>
    </row>
    <row r="31" spans="1:9" s="143" customFormat="1" ht="15">
      <c r="A31" s="146"/>
      <c r="B31" s="149"/>
      <c r="C31" s="147"/>
      <c r="D31" s="147"/>
      <c r="E31" s="147"/>
      <c r="F31" s="147"/>
      <c r="G31" s="147"/>
      <c r="H31" s="147">
        <f t="shared" si="3"/>
        <v>0</v>
      </c>
    </row>
    <row r="32" spans="1:9" s="143" customFormat="1" ht="15">
      <c r="A32" s="148"/>
      <c r="B32" s="149"/>
      <c r="C32" s="147"/>
      <c r="D32" s="147"/>
      <c r="E32" s="147"/>
      <c r="F32" s="147"/>
      <c r="G32" s="147"/>
      <c r="H32" s="147">
        <f t="shared" si="3"/>
        <v>0</v>
      </c>
    </row>
    <row r="33" spans="1:8" s="143" customFormat="1" ht="15">
      <c r="A33" s="146"/>
      <c r="B33" s="149"/>
      <c r="C33" s="147"/>
      <c r="D33" s="147"/>
      <c r="E33" s="147"/>
      <c r="F33" s="147"/>
      <c r="G33" s="147"/>
      <c r="H33" s="147">
        <f t="shared" si="3"/>
        <v>0</v>
      </c>
    </row>
    <row r="34" spans="1:8" s="143" customFormat="1" ht="15">
      <c r="A34" s="145"/>
      <c r="B34" s="149"/>
      <c r="C34" s="147"/>
      <c r="D34" s="147"/>
      <c r="E34" s="147"/>
      <c r="F34" s="147"/>
      <c r="G34" s="147"/>
      <c r="H34" s="147">
        <f t="shared" si="3"/>
        <v>0</v>
      </c>
    </row>
    <row r="35" spans="1:8" s="143" customFormat="1" ht="15">
      <c r="A35" s="146"/>
      <c r="C35" s="147"/>
      <c r="D35" s="147"/>
      <c r="E35" s="147"/>
      <c r="F35" s="147"/>
      <c r="G35" s="147"/>
      <c r="H35" s="147">
        <f t="shared" si="3"/>
        <v>0</v>
      </c>
    </row>
    <row r="36" spans="1:8" s="143" customFormat="1" ht="15">
      <c r="A36" s="145"/>
      <c r="C36" s="147"/>
      <c r="D36" s="147"/>
      <c r="E36" s="147"/>
      <c r="F36" s="147"/>
      <c r="G36" s="147"/>
      <c r="H36" s="147">
        <f t="shared" si="3"/>
        <v>0</v>
      </c>
    </row>
    <row r="37" spans="1:8" s="143" customFormat="1" ht="15">
      <c r="A37" s="145"/>
      <c r="B37" s="149"/>
      <c r="C37" s="147"/>
      <c r="D37" s="147"/>
      <c r="E37" s="147"/>
      <c r="F37" s="147"/>
      <c r="G37" s="147"/>
      <c r="H37" s="147">
        <f>E37-C37</f>
        <v>0</v>
      </c>
    </row>
    <row r="38" spans="1:8" s="143" customFormat="1" ht="15">
      <c r="A38" s="145"/>
      <c r="C38" s="147"/>
      <c r="D38" s="147"/>
      <c r="E38" s="147"/>
      <c r="F38" s="147"/>
      <c r="G38" s="147"/>
      <c r="H38" s="147">
        <f t="shared" si="3"/>
        <v>0</v>
      </c>
    </row>
    <row r="39" spans="1:8" s="143" customFormat="1" ht="15">
      <c r="A39" s="145"/>
      <c r="B39" s="150" t="s">
        <v>97</v>
      </c>
      <c r="H39" s="151">
        <f>SUM(H27:H38)</f>
        <v>0</v>
      </c>
    </row>
    <row r="40" spans="1:8" s="143" customFormat="1" ht="15">
      <c r="A40" s="145"/>
      <c r="H40" s="143">
        <f t="shared" si="3"/>
        <v>0</v>
      </c>
    </row>
    <row r="41" spans="1:8" s="143" customFormat="1" ht="15.75" thickBot="1">
      <c r="A41" s="145"/>
      <c r="G41" s="143" t="s">
        <v>162</v>
      </c>
      <c r="H41" s="152">
        <f>I22+H39</f>
        <v>0</v>
      </c>
    </row>
    <row r="42" spans="1:8" s="143" customFormat="1" ht="15">
      <c r="A42" s="145"/>
      <c r="B42" s="153" t="s">
        <v>163</v>
      </c>
      <c r="C42" s="154">
        <f>I13</f>
        <v>0</v>
      </c>
      <c r="D42" s="155"/>
    </row>
    <row r="43" spans="1:8" s="143" customFormat="1" ht="15">
      <c r="A43" s="145"/>
      <c r="B43" s="156" t="s">
        <v>164</v>
      </c>
      <c r="C43" s="151">
        <f>I20</f>
        <v>0</v>
      </c>
      <c r="D43" s="157"/>
    </row>
    <row r="44" spans="1:8" s="143" customFormat="1" ht="15">
      <c r="A44" s="145"/>
      <c r="B44" s="158" t="s">
        <v>160</v>
      </c>
      <c r="C44" s="152">
        <f>C42-C43</f>
        <v>0</v>
      </c>
      <c r="D44" s="157"/>
    </row>
    <row r="45" spans="1:8" s="143" customFormat="1" ht="15">
      <c r="A45" s="145"/>
      <c r="B45" s="156"/>
      <c r="D45" s="157"/>
    </row>
    <row r="46" spans="1:8" s="143" customFormat="1" ht="15">
      <c r="A46" s="145"/>
      <c r="B46" s="156" t="s">
        <v>165</v>
      </c>
      <c r="C46" s="152">
        <v>0</v>
      </c>
      <c r="D46" s="157"/>
    </row>
    <row r="47" spans="1:8" s="143" customFormat="1" ht="15.75" thickBot="1">
      <c r="A47" s="145"/>
      <c r="B47" s="159" t="s">
        <v>166</v>
      </c>
      <c r="C47" s="160">
        <f>C46-C44</f>
        <v>0</v>
      </c>
      <c r="D47" s="161" t="s">
        <v>167</v>
      </c>
    </row>
    <row r="48" spans="1:8" s="143" customFormat="1" ht="15">
      <c r="A48" s="145"/>
    </row>
    <row r="49" spans="1:1" s="143" customFormat="1" ht="15">
      <c r="A49" s="145"/>
    </row>
    <row r="50" spans="1:1" s="143" customFormat="1" ht="15">
      <c r="A50" s="145"/>
    </row>
    <row r="51" spans="1:1" s="143" customFormat="1" ht="15">
      <c r="A51" s="145"/>
    </row>
    <row r="52" spans="1:1" s="143" customFormat="1" ht="15">
      <c r="A52" s="145"/>
    </row>
    <row r="53" spans="1:1" s="143" customFormat="1" ht="15">
      <c r="A53" s="145"/>
    </row>
    <row r="54" spans="1:1" s="143" customFormat="1" ht="15">
      <c r="A54" s="145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E8D1FF"/>
  </sheetPr>
  <dimension ref="A1:J18"/>
  <sheetViews>
    <sheetView workbookViewId="0">
      <selection activeCell="L14" sqref="L14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0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168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6" t="s">
        <v>119</v>
      </c>
      <c r="B8" s="319" t="s">
        <v>120</v>
      </c>
      <c r="C8" s="320"/>
      <c r="D8" s="321"/>
      <c r="E8" s="137" t="s">
        <v>121</v>
      </c>
      <c r="F8" s="137" t="s">
        <v>121</v>
      </c>
      <c r="G8" s="137" t="s">
        <v>121</v>
      </c>
      <c r="H8" s="319" t="s">
        <v>169</v>
      </c>
      <c r="I8" s="321"/>
    </row>
    <row r="11" spans="1:10">
      <c r="A11" s="77">
        <v>60400</v>
      </c>
      <c r="B11" s="77"/>
      <c r="C11" s="77" t="s">
        <v>170</v>
      </c>
      <c r="E11" s="47" t="s">
        <v>171</v>
      </c>
      <c r="F11" s="85" t="s">
        <v>172</v>
      </c>
      <c r="G11" s="85" t="s">
        <v>173</v>
      </c>
    </row>
    <row r="12" spans="1:10">
      <c r="A12" t="s">
        <v>174</v>
      </c>
      <c r="C12" t="s">
        <v>175</v>
      </c>
      <c r="E12" s="93">
        <v>22250.83</v>
      </c>
      <c r="F12" s="93">
        <v>22250.83</v>
      </c>
      <c r="G12" s="93">
        <f>+E12-F12</f>
        <v>0</v>
      </c>
      <c r="H12" s="93"/>
    </row>
    <row r="13" spans="1:10">
      <c r="A13" t="s">
        <v>176</v>
      </c>
      <c r="C13" t="s">
        <v>177</v>
      </c>
      <c r="E13" s="93">
        <v>2794.48</v>
      </c>
      <c r="F13" s="93">
        <v>2794.48</v>
      </c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0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178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6" t="s">
        <v>119</v>
      </c>
      <c r="B8" s="319" t="s">
        <v>120</v>
      </c>
      <c r="C8" s="320"/>
      <c r="D8" s="320"/>
      <c r="E8" s="321"/>
      <c r="F8" s="137" t="s">
        <v>121</v>
      </c>
      <c r="G8" s="319" t="s">
        <v>169</v>
      </c>
      <c r="H8" s="328"/>
      <c r="I8" s="329"/>
    </row>
    <row r="10" spans="1:10">
      <c r="F10" s="80"/>
    </row>
    <row r="11" spans="1:10">
      <c r="C11" t="s">
        <v>179</v>
      </c>
      <c r="F11" s="93"/>
      <c r="G11" s="42" t="s">
        <v>180</v>
      </c>
    </row>
    <row r="12" spans="1:10">
      <c r="C12" t="s">
        <v>181</v>
      </c>
      <c r="F12" s="116"/>
    </row>
    <row r="13" spans="1:10">
      <c r="C13" t="s">
        <v>182</v>
      </c>
      <c r="F13" s="93">
        <f>+F11-F12</f>
        <v>0</v>
      </c>
      <c r="H13" t="s">
        <v>183</v>
      </c>
      <c r="I13" s="96" t="e">
        <f>+F13/F12</f>
        <v>#DIV/0!</v>
      </c>
    </row>
    <row r="14" spans="1:10">
      <c r="C14" s="282" t="s">
        <v>184</v>
      </c>
      <c r="F14" s="284">
        <f>G45</f>
        <v>0</v>
      </c>
    </row>
    <row r="15" spans="1:10">
      <c r="C15" s="42" t="s">
        <v>185</v>
      </c>
      <c r="F15" s="283"/>
      <c r="H15" s="42" t="s">
        <v>186</v>
      </c>
      <c r="I15" s="42" t="e">
        <f>+F15/F12</f>
        <v>#DIV/0!</v>
      </c>
      <c r="J15" s="42" t="s">
        <v>187</v>
      </c>
    </row>
    <row r="16" spans="1:10">
      <c r="F16" s="95"/>
      <c r="H16" s="42"/>
      <c r="I16" s="97"/>
    </row>
    <row r="17" spans="3:7">
      <c r="C17" t="s">
        <v>188</v>
      </c>
      <c r="F17"/>
    </row>
    <row r="18" spans="3:7">
      <c r="C18" t="s">
        <v>189</v>
      </c>
    </row>
    <row r="19" spans="3:7">
      <c r="C19" t="s">
        <v>190</v>
      </c>
    </row>
    <row r="22" spans="3:7">
      <c r="C22" s="98" t="s">
        <v>191</v>
      </c>
      <c r="E22" s="47" t="s">
        <v>192</v>
      </c>
      <c r="F22" s="47" t="s">
        <v>193</v>
      </c>
      <c r="G22" s="99" t="s">
        <v>194</v>
      </c>
    </row>
    <row r="23" spans="3:7">
      <c r="C23" t="s">
        <v>195</v>
      </c>
      <c r="E23" s="93"/>
      <c r="F23" s="93"/>
      <c r="G23" s="93">
        <f t="shared" ref="G23:G44" si="0">+E23-F23</f>
        <v>0</v>
      </c>
    </row>
    <row r="24" spans="3:7">
      <c r="C24" t="s">
        <v>196</v>
      </c>
      <c r="E24" s="93"/>
      <c r="F24" s="93"/>
      <c r="G24" s="93">
        <f t="shared" si="0"/>
        <v>0</v>
      </c>
    </row>
    <row r="25" spans="3:7">
      <c r="C25" t="s">
        <v>197</v>
      </c>
      <c r="E25" s="93"/>
      <c r="F25" s="93"/>
      <c r="G25" s="93">
        <f t="shared" si="0"/>
        <v>0</v>
      </c>
    </row>
    <row r="26" spans="3:7">
      <c r="C26" t="s">
        <v>198</v>
      </c>
      <c r="E26" s="93"/>
      <c r="F26" s="93"/>
      <c r="G26" s="93">
        <f t="shared" si="0"/>
        <v>0</v>
      </c>
    </row>
    <row r="27" spans="3:7">
      <c r="C27" t="s">
        <v>199</v>
      </c>
      <c r="E27" s="93"/>
      <c r="F27" s="93"/>
      <c r="G27" s="93">
        <f t="shared" si="0"/>
        <v>0</v>
      </c>
    </row>
    <row r="28" spans="3:7">
      <c r="C28" t="s">
        <v>200</v>
      </c>
      <c r="E28" s="93"/>
      <c r="F28" s="93"/>
      <c r="G28" s="93">
        <f t="shared" si="0"/>
        <v>0</v>
      </c>
    </row>
    <row r="29" spans="3:7">
      <c r="C29" t="s">
        <v>201</v>
      </c>
      <c r="E29" s="93"/>
      <c r="F29" s="93"/>
      <c r="G29" s="93">
        <f t="shared" si="0"/>
        <v>0</v>
      </c>
    </row>
    <row r="30" spans="3:7">
      <c r="C30" t="s">
        <v>202</v>
      </c>
      <c r="E30" s="93"/>
      <c r="F30" s="93"/>
      <c r="G30" s="93">
        <f t="shared" si="0"/>
        <v>0</v>
      </c>
    </row>
    <row r="31" spans="3:7">
      <c r="C31" t="s">
        <v>203</v>
      </c>
      <c r="E31" s="93"/>
      <c r="F31" s="93"/>
      <c r="G31" s="93">
        <f t="shared" si="0"/>
        <v>0</v>
      </c>
    </row>
    <row r="32" spans="3:7">
      <c r="C32" t="s">
        <v>204</v>
      </c>
      <c r="E32" s="93"/>
      <c r="F32" s="93"/>
      <c r="G32" s="93">
        <f t="shared" si="0"/>
        <v>0</v>
      </c>
    </row>
    <row r="33" spans="3:7">
      <c r="C33" t="s">
        <v>205</v>
      </c>
      <c r="E33" s="93"/>
      <c r="F33" s="93"/>
      <c r="G33" s="93">
        <f t="shared" si="0"/>
        <v>0</v>
      </c>
    </row>
    <row r="34" spans="3:7">
      <c r="C34" t="s">
        <v>206</v>
      </c>
      <c r="E34" s="93"/>
      <c r="F34" s="93"/>
      <c r="G34" s="93">
        <f t="shared" si="0"/>
        <v>0</v>
      </c>
    </row>
    <row r="35" spans="3:7">
      <c r="C35" t="s">
        <v>207</v>
      </c>
      <c r="E35" s="93"/>
      <c r="F35" s="93"/>
      <c r="G35" s="93">
        <f t="shared" si="0"/>
        <v>0</v>
      </c>
    </row>
    <row r="36" spans="3:7">
      <c r="C36" t="s">
        <v>208</v>
      </c>
      <c r="E36" s="93"/>
      <c r="F36" s="93"/>
      <c r="G36" s="93">
        <f t="shared" si="0"/>
        <v>0</v>
      </c>
    </row>
    <row r="37" spans="3:7">
      <c r="C37" t="s">
        <v>209</v>
      </c>
      <c r="E37" s="93"/>
      <c r="F37" s="93"/>
      <c r="G37" s="93">
        <f t="shared" si="0"/>
        <v>0</v>
      </c>
    </row>
    <row r="38" spans="3:7">
      <c r="C38" t="s">
        <v>210</v>
      </c>
      <c r="E38" s="93"/>
      <c r="F38" s="93"/>
      <c r="G38" s="93">
        <f t="shared" si="0"/>
        <v>0</v>
      </c>
    </row>
    <row r="39" spans="3:7">
      <c r="C39" t="s">
        <v>211</v>
      </c>
      <c r="E39" s="93"/>
      <c r="F39" s="93"/>
      <c r="G39" s="93">
        <f t="shared" si="0"/>
        <v>0</v>
      </c>
    </row>
    <row r="40" spans="3:7">
      <c r="C40" t="s">
        <v>212</v>
      </c>
      <c r="E40" s="93"/>
      <c r="F40" s="93"/>
      <c r="G40" s="93">
        <f t="shared" si="0"/>
        <v>0</v>
      </c>
    </row>
    <row r="41" spans="3:7">
      <c r="C41" t="s">
        <v>213</v>
      </c>
      <c r="E41" s="93"/>
      <c r="F41" s="93"/>
      <c r="G41" s="93">
        <f t="shared" si="0"/>
        <v>0</v>
      </c>
    </row>
    <row r="42" spans="3:7">
      <c r="C42" t="s">
        <v>214</v>
      </c>
      <c r="E42" s="93"/>
      <c r="F42" s="93"/>
      <c r="G42" s="93">
        <f t="shared" si="0"/>
        <v>0</v>
      </c>
    </row>
    <row r="43" spans="3:7">
      <c r="C43" t="s">
        <v>215</v>
      </c>
      <c r="E43" s="93"/>
      <c r="F43" s="93"/>
      <c r="G43" s="93">
        <f t="shared" si="0"/>
        <v>0</v>
      </c>
    </row>
    <row r="44" spans="3:7">
      <c r="C44" t="s">
        <v>216</v>
      </c>
      <c r="E44" s="228"/>
      <c r="F44" s="228"/>
      <c r="G44" s="93">
        <f t="shared" si="0"/>
        <v>0</v>
      </c>
    </row>
    <row r="45" spans="3:7" ht="15.75" thickBot="1">
      <c r="E45" s="225">
        <f>SUM(E23:E44)</f>
        <v>0</v>
      </c>
      <c r="F45" s="225">
        <f>SUM(F23:F44)</f>
        <v>0</v>
      </c>
      <c r="G45" s="225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8D1FF"/>
  </sheetPr>
  <dimension ref="A1:J34"/>
  <sheetViews>
    <sheetView workbookViewId="0">
      <selection activeCell="H19" sqref="H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0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217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6" t="s">
        <v>119</v>
      </c>
      <c r="B8" s="319" t="s">
        <v>120</v>
      </c>
      <c r="C8" s="320"/>
      <c r="D8" s="320"/>
      <c r="E8" s="321"/>
      <c r="F8" s="137" t="s">
        <v>121</v>
      </c>
      <c r="G8" s="319" t="s">
        <v>169</v>
      </c>
      <c r="H8" s="328"/>
      <c r="I8" s="329"/>
    </row>
    <row r="10" spans="1:10">
      <c r="A10" s="235"/>
      <c r="F10" s="70"/>
    </row>
    <row r="11" spans="1:10">
      <c r="C11" s="77" t="s">
        <v>218</v>
      </c>
      <c r="F11" s="70"/>
    </row>
    <row r="12" spans="1:10">
      <c r="C12" t="s">
        <v>45</v>
      </c>
      <c r="F12" s="295">
        <v>136136.82</v>
      </c>
    </row>
    <row r="13" spans="1:10">
      <c r="C13" t="s">
        <v>46</v>
      </c>
      <c r="F13" s="292">
        <v>15493.5</v>
      </c>
    </row>
    <row r="14" spans="1:10">
      <c r="C14" t="s">
        <v>219</v>
      </c>
      <c r="F14" s="295">
        <v>14440</v>
      </c>
    </row>
    <row r="15" spans="1:10">
      <c r="C15" t="s">
        <v>220</v>
      </c>
      <c r="F15" s="292">
        <v>201000</v>
      </c>
    </row>
    <row r="16" spans="1:10">
      <c r="F16" s="234">
        <f>SUM(F12:F15)</f>
        <v>367070.32</v>
      </c>
    </row>
    <row r="17" spans="3:10">
      <c r="F17" s="70"/>
    </row>
    <row r="18" spans="3:10">
      <c r="C18" s="77" t="s">
        <v>221</v>
      </c>
      <c r="F18" s="70"/>
    </row>
    <row r="19" spans="3:10">
      <c r="C19" t="s">
        <v>222</v>
      </c>
      <c r="F19" s="295">
        <v>150576.82999999999</v>
      </c>
    </row>
    <row r="20" spans="3:10">
      <c r="C20" t="s">
        <v>223</v>
      </c>
      <c r="F20" s="292">
        <v>15493.5</v>
      </c>
    </row>
    <row r="21" spans="3:10">
      <c r="C21" t="s">
        <v>224</v>
      </c>
      <c r="F21" s="292">
        <v>102000</v>
      </c>
    </row>
    <row r="22" spans="3:10">
      <c r="C22" t="s">
        <v>225</v>
      </c>
      <c r="F22" s="70">
        <v>99000</v>
      </c>
    </row>
    <row r="23" spans="3:10">
      <c r="F23" s="234">
        <f>SUM(F19:F22)</f>
        <v>367070.32999999996</v>
      </c>
    </row>
    <row r="24" spans="3:10">
      <c r="F24" s="70"/>
    </row>
    <row r="25" spans="3:10">
      <c r="C25" t="s">
        <v>185</v>
      </c>
      <c r="F25" s="70">
        <f>+F16-F23</f>
        <v>-9.9999999511055648E-3</v>
      </c>
      <c r="H25" s="42" t="s">
        <v>186</v>
      </c>
      <c r="I25" s="97">
        <f>F25/F16</f>
        <v>-2.7242736353910512E-8</v>
      </c>
      <c r="J25" s="42" t="s">
        <v>187</v>
      </c>
    </row>
    <row r="26" spans="3:10">
      <c r="F26" s="70"/>
    </row>
    <row r="27" spans="3:10">
      <c r="F27" s="70"/>
    </row>
    <row r="28" spans="3:10">
      <c r="C28" s="42"/>
      <c r="F28" s="70"/>
    </row>
    <row r="29" spans="3:10">
      <c r="C29" s="230"/>
      <c r="D29" s="231"/>
      <c r="E29" s="232"/>
      <c r="F29" s="232"/>
      <c r="G29" s="233"/>
    </row>
    <row r="30" spans="3:10">
      <c r="E30" s="100"/>
      <c r="F30" s="100"/>
      <c r="G30" s="91"/>
    </row>
    <row r="31" spans="3:10">
      <c r="E31" s="100"/>
      <c r="F31" s="100"/>
      <c r="G31" s="91"/>
    </row>
    <row r="32" spans="3:10">
      <c r="E32" s="100"/>
      <c r="F32" s="100"/>
      <c r="G32" s="91"/>
    </row>
    <row r="33" spans="5:7">
      <c r="E33" s="291"/>
      <c r="F33" s="291"/>
      <c r="G33" s="91"/>
    </row>
    <row r="34" spans="5:7">
      <c r="E34" s="79"/>
      <c r="F34" s="79"/>
      <c r="G34" s="79"/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3"/>
      <c r="C1" s="317" t="str">
        <f>Index!$C$1</f>
        <v>CNG Super Fund</v>
      </c>
      <c r="D1" s="317"/>
      <c r="E1" s="317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17" t="str">
        <f>Index!$C$2</f>
        <v>MCAD</v>
      </c>
      <c r="D2" s="317"/>
      <c r="E2" s="317"/>
      <c r="F2" s="55"/>
      <c r="G2" s="59" t="s">
        <v>6</v>
      </c>
      <c r="H2" s="60" t="str">
        <f>Index!$H$2</f>
        <v>MM</v>
      </c>
      <c r="I2" s="61">
        <f>Index!$I$2</f>
        <v>45027</v>
      </c>
    </row>
    <row r="3" spans="1:12" ht="18">
      <c r="A3" s="122" t="s">
        <v>8</v>
      </c>
      <c r="B3" s="53"/>
      <c r="C3" s="318">
        <f>Index!$C$3</f>
        <v>44742</v>
      </c>
      <c r="D3" s="317"/>
      <c r="E3" s="317"/>
      <c r="F3" s="55"/>
      <c r="G3" s="59" t="s">
        <v>9</v>
      </c>
      <c r="H3" s="60" t="str">
        <f>Index!$H$3</f>
        <v>DB</v>
      </c>
      <c r="I3" s="61">
        <f>Index!$I$3</f>
        <v>45034</v>
      </c>
    </row>
    <row r="4" spans="1:12" ht="18">
      <c r="A4" s="122"/>
      <c r="B4" s="53"/>
      <c r="D4" s="55"/>
      <c r="G4" s="123"/>
      <c r="H4" s="65"/>
      <c r="I4" s="66"/>
    </row>
    <row r="5" spans="1:12" ht="18">
      <c r="A5" s="53" t="s">
        <v>217</v>
      </c>
      <c r="C5" s="57"/>
      <c r="F5" s="58"/>
      <c r="G5" s="58"/>
      <c r="H5" s="65"/>
      <c r="J5" s="66"/>
    </row>
    <row r="6" spans="1:12" s="107" customFormat="1" ht="18">
      <c r="A6" s="285" t="s">
        <v>226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0"/>
      <c r="H7" s="333"/>
      <c r="I7" s="333"/>
      <c r="J7" s="333"/>
      <c r="K7" s="333"/>
      <c r="L7" s="333"/>
    </row>
    <row r="8" spans="1:12" ht="42.75" customHeight="1" thickBot="1">
      <c r="A8" s="181" t="s">
        <v>119</v>
      </c>
      <c r="B8" s="334" t="s">
        <v>227</v>
      </c>
      <c r="C8" s="335"/>
      <c r="D8" s="336"/>
      <c r="E8" s="182" t="s">
        <v>228</v>
      </c>
      <c r="F8" s="182" t="s">
        <v>229</v>
      </c>
      <c r="G8" s="183" t="s">
        <v>230</v>
      </c>
      <c r="H8" s="184"/>
      <c r="I8" s="184"/>
      <c r="J8" s="184"/>
      <c r="K8" s="185"/>
      <c r="L8" s="185"/>
    </row>
    <row r="9" spans="1:12" ht="15.95" customHeight="1">
      <c r="A9" s="186"/>
      <c r="B9" s="337"/>
      <c r="C9" s="337"/>
      <c r="D9" s="337"/>
      <c r="E9" s="187"/>
      <c r="F9" s="188"/>
      <c r="G9" s="189" t="str">
        <f t="shared" ref="G9:G20" si="0">IF(E9=0,IF(F9=0,"",F9),F9*E9)</f>
        <v/>
      </c>
      <c r="H9" s="190"/>
      <c r="I9" s="190"/>
      <c r="J9" s="190"/>
      <c r="K9" s="190"/>
      <c r="L9" s="190"/>
    </row>
    <row r="10" spans="1:12" ht="15.95" customHeight="1">
      <c r="A10" s="186"/>
      <c r="B10" s="338" t="s">
        <v>231</v>
      </c>
      <c r="C10" s="338"/>
      <c r="D10" s="338"/>
      <c r="E10" s="187"/>
      <c r="F10" s="188"/>
      <c r="G10" s="191" t="str">
        <f t="shared" si="0"/>
        <v/>
      </c>
      <c r="H10" s="190"/>
      <c r="I10" s="190"/>
      <c r="J10" s="190"/>
      <c r="K10" s="190"/>
      <c r="L10" s="190"/>
    </row>
    <row r="11" spans="1:12" ht="15.95" customHeight="1">
      <c r="A11" s="186"/>
      <c r="B11" s="330"/>
      <c r="C11" s="331"/>
      <c r="D11" s="332"/>
      <c r="E11" s="193"/>
      <c r="F11" s="188">
        <v>1</v>
      </c>
      <c r="G11" s="194">
        <f t="shared" si="0"/>
        <v>1</v>
      </c>
      <c r="H11" s="190"/>
      <c r="I11" s="190"/>
      <c r="J11" s="190"/>
      <c r="K11" s="190"/>
      <c r="L11" s="190"/>
    </row>
    <row r="12" spans="1:12" ht="15.95" customHeight="1">
      <c r="A12" s="186"/>
      <c r="B12" s="330"/>
      <c r="C12" s="331"/>
      <c r="D12" s="332"/>
      <c r="E12" s="193">
        <v>0</v>
      </c>
      <c r="F12" s="188">
        <v>1</v>
      </c>
      <c r="G12" s="194">
        <v>0</v>
      </c>
      <c r="H12" s="190"/>
      <c r="I12" s="190"/>
      <c r="J12" s="190"/>
      <c r="K12" s="190"/>
      <c r="L12" s="190"/>
    </row>
    <row r="13" spans="1:12" ht="15.95" customHeight="1">
      <c r="A13" s="186"/>
      <c r="B13" s="330"/>
      <c r="C13" s="331"/>
      <c r="D13" s="332"/>
      <c r="E13" s="193">
        <v>1</v>
      </c>
      <c r="F13" s="188"/>
      <c r="G13" s="194">
        <f t="shared" si="0"/>
        <v>0</v>
      </c>
      <c r="H13" s="190"/>
      <c r="I13" s="190"/>
      <c r="J13" s="190"/>
      <c r="K13" s="190"/>
      <c r="L13" s="190"/>
    </row>
    <row r="14" spans="1:12" ht="15.95" customHeight="1">
      <c r="A14" s="186"/>
      <c r="B14" s="339" t="s">
        <v>232</v>
      </c>
      <c r="C14" s="340"/>
      <c r="D14" s="341"/>
      <c r="E14" s="195"/>
      <c r="F14" s="196"/>
      <c r="G14" s="197">
        <f>SUM(G11:G13)</f>
        <v>1</v>
      </c>
      <c r="H14" s="190"/>
      <c r="I14" s="190"/>
      <c r="J14" s="190"/>
      <c r="K14" s="190"/>
      <c r="L14" s="190"/>
    </row>
    <row r="15" spans="1:12" ht="15.95" customHeight="1">
      <c r="A15" s="186"/>
      <c r="B15" s="342"/>
      <c r="C15" s="343"/>
      <c r="D15" s="344"/>
      <c r="E15" s="187"/>
      <c r="F15" s="188"/>
      <c r="G15" s="194" t="str">
        <f t="shared" si="0"/>
        <v/>
      </c>
      <c r="H15" s="190"/>
      <c r="I15" s="190"/>
      <c r="J15" s="190"/>
      <c r="K15" s="190"/>
      <c r="L15" s="190"/>
    </row>
    <row r="16" spans="1:12" ht="15.95" customHeight="1">
      <c r="A16" s="186"/>
      <c r="B16" s="338" t="s">
        <v>58</v>
      </c>
      <c r="C16" s="338"/>
      <c r="D16" s="338"/>
      <c r="E16" s="187"/>
      <c r="F16" s="188"/>
      <c r="G16" s="194" t="str">
        <f t="shared" si="0"/>
        <v/>
      </c>
      <c r="H16" s="190"/>
      <c r="I16" s="190"/>
      <c r="J16" s="190"/>
      <c r="K16" s="190"/>
      <c r="L16" s="190"/>
    </row>
    <row r="17" spans="1:12" ht="15.95" customHeight="1">
      <c r="A17" s="186"/>
      <c r="B17" s="345"/>
      <c r="C17" s="345"/>
      <c r="D17" s="345"/>
      <c r="E17" s="187"/>
      <c r="F17" s="188">
        <v>1</v>
      </c>
      <c r="G17" s="194">
        <f t="shared" si="0"/>
        <v>1</v>
      </c>
      <c r="H17" s="190"/>
      <c r="I17" s="190"/>
      <c r="J17" s="190"/>
      <c r="K17" s="190"/>
      <c r="L17" s="190"/>
    </row>
    <row r="18" spans="1:12" ht="15.95" customHeight="1">
      <c r="A18" s="186"/>
      <c r="B18" s="330"/>
      <c r="C18" s="331"/>
      <c r="D18" s="332"/>
      <c r="E18" s="187"/>
      <c r="F18" s="188">
        <v>1</v>
      </c>
      <c r="G18" s="194">
        <f t="shared" si="0"/>
        <v>1</v>
      </c>
      <c r="H18" s="190"/>
      <c r="I18" s="190"/>
      <c r="J18" s="190"/>
      <c r="K18" s="190"/>
      <c r="L18" s="190"/>
    </row>
    <row r="19" spans="1:12" ht="15.95" customHeight="1">
      <c r="A19" s="186"/>
      <c r="B19" s="350" t="s">
        <v>233</v>
      </c>
      <c r="C19" s="350"/>
      <c r="D19" s="350"/>
      <c r="E19" s="195"/>
      <c r="F19" s="196"/>
      <c r="G19" s="198">
        <f>SUM(G17:G18)</f>
        <v>2</v>
      </c>
      <c r="H19" s="190"/>
      <c r="I19" s="190"/>
      <c r="J19" s="190"/>
      <c r="K19" s="190"/>
      <c r="L19" s="190"/>
    </row>
    <row r="20" spans="1:12" ht="15.95" customHeight="1">
      <c r="A20" s="186"/>
      <c r="B20" s="342"/>
      <c r="C20" s="343"/>
      <c r="D20" s="344"/>
      <c r="E20" s="187"/>
      <c r="F20" s="188"/>
      <c r="G20" s="199" t="str">
        <f t="shared" si="0"/>
        <v/>
      </c>
      <c r="H20" s="190"/>
      <c r="I20" s="190"/>
      <c r="J20" s="190"/>
      <c r="K20" s="190"/>
      <c r="L20" s="190"/>
    </row>
    <row r="21" spans="1:12" ht="15.95" customHeight="1">
      <c r="A21" s="186"/>
      <c r="B21" s="351" t="s">
        <v>234</v>
      </c>
      <c r="C21" s="352"/>
      <c r="D21" s="353"/>
      <c r="E21" s="195"/>
      <c r="F21" s="196"/>
      <c r="G21" s="198">
        <f>G14-G19</f>
        <v>-1</v>
      </c>
      <c r="H21" s="190"/>
      <c r="I21" s="190"/>
      <c r="J21" s="190"/>
      <c r="K21" s="190"/>
      <c r="L21" s="190"/>
    </row>
    <row r="22" spans="1:12" ht="15.95" customHeight="1" thickBot="1">
      <c r="A22" s="186"/>
      <c r="B22" s="354"/>
      <c r="C22" s="354"/>
      <c r="D22" s="354"/>
      <c r="E22" s="187"/>
      <c r="F22" s="188"/>
      <c r="G22" s="200" t="str">
        <f t="shared" ref="G22:G32" si="1">IF(E22=0,IF(F22=0,"",F22),F22*E22)</f>
        <v/>
      </c>
      <c r="H22" s="190"/>
      <c r="I22" s="190"/>
      <c r="J22" s="190"/>
      <c r="K22" s="190"/>
      <c r="L22" s="190"/>
    </row>
    <row r="23" spans="1:12" ht="15.95" customHeight="1">
      <c r="A23" s="201"/>
      <c r="B23" s="347" t="s">
        <v>235</v>
      </c>
      <c r="C23" s="348"/>
      <c r="D23" s="349"/>
      <c r="E23" s="202"/>
      <c r="F23" s="188"/>
      <c r="G23" s="200" t="str">
        <f t="shared" si="1"/>
        <v/>
      </c>
      <c r="H23" s="190"/>
      <c r="I23" s="190"/>
      <c r="J23" s="190"/>
      <c r="K23" s="190"/>
      <c r="L23" s="190"/>
    </row>
    <row r="24" spans="1:12" ht="15.95" customHeight="1">
      <c r="A24" s="201"/>
      <c r="B24" s="186" t="s">
        <v>236</v>
      </c>
      <c r="C24" s="203"/>
      <c r="D24" s="204"/>
      <c r="E24" s="202"/>
      <c r="F24" s="188"/>
      <c r="G24" s="200" t="str">
        <f t="shared" si="1"/>
        <v/>
      </c>
      <c r="H24" s="190"/>
      <c r="I24" s="190"/>
      <c r="J24" s="190"/>
      <c r="K24" s="190"/>
      <c r="L24" s="190"/>
    </row>
    <row r="25" spans="1:12" ht="15.95" customHeight="1" thickBot="1">
      <c r="A25" s="201"/>
      <c r="B25" s="205" t="s">
        <v>237</v>
      </c>
      <c r="C25" s="206"/>
      <c r="D25" s="207" t="e">
        <f>G21/D24</f>
        <v>#DIV/0!</v>
      </c>
      <c r="E25" s="202"/>
      <c r="F25" s="188"/>
      <c r="G25" s="200" t="str">
        <f t="shared" si="1"/>
        <v/>
      </c>
      <c r="H25" s="190"/>
      <c r="I25" s="190"/>
      <c r="J25" s="190"/>
      <c r="K25" s="190"/>
      <c r="L25" s="190"/>
    </row>
    <row r="26" spans="1:12" ht="15.95" customHeight="1" thickBot="1">
      <c r="A26" s="186"/>
      <c r="B26" s="355"/>
      <c r="C26" s="355"/>
      <c r="D26" s="355"/>
      <c r="E26" s="187"/>
      <c r="F26" s="188"/>
      <c r="G26" s="200" t="str">
        <f t="shared" si="1"/>
        <v/>
      </c>
      <c r="H26" s="190"/>
      <c r="I26" s="190"/>
      <c r="J26" s="190"/>
      <c r="K26" s="190"/>
      <c r="L26" s="190"/>
    </row>
    <row r="27" spans="1:12" ht="15.95" customHeight="1">
      <c r="A27" s="201"/>
      <c r="B27" s="347" t="s">
        <v>238</v>
      </c>
      <c r="C27" s="348"/>
      <c r="D27" s="349"/>
      <c r="E27" s="202"/>
      <c r="F27" s="188"/>
      <c r="G27" s="200" t="str">
        <f t="shared" si="1"/>
        <v/>
      </c>
      <c r="H27" s="190"/>
      <c r="I27" s="190"/>
      <c r="J27" s="190"/>
      <c r="K27" s="190"/>
      <c r="L27" s="190"/>
    </row>
    <row r="28" spans="1:12" ht="15.95" customHeight="1">
      <c r="A28" s="201"/>
      <c r="B28" s="208" t="s">
        <v>35</v>
      </c>
      <c r="C28" s="192"/>
      <c r="D28" s="209">
        <f>(SUM(G11:G12))/G14</f>
        <v>1</v>
      </c>
      <c r="E28" s="202"/>
      <c r="F28" s="188"/>
      <c r="G28" s="200" t="str">
        <f t="shared" si="1"/>
        <v/>
      </c>
      <c r="H28" s="190"/>
      <c r="I28" s="190"/>
      <c r="J28" s="190"/>
      <c r="K28" s="190"/>
      <c r="L28" s="190"/>
    </row>
    <row r="29" spans="1:12" ht="15.95" customHeight="1" thickBot="1">
      <c r="A29" s="201"/>
      <c r="B29" s="210" t="s">
        <v>50</v>
      </c>
      <c r="C29" s="211"/>
      <c r="D29" s="212">
        <f>G13/G14</f>
        <v>0</v>
      </c>
      <c r="E29" s="202"/>
      <c r="F29" s="188"/>
      <c r="G29" s="200" t="str">
        <f t="shared" si="1"/>
        <v/>
      </c>
      <c r="H29" s="190"/>
      <c r="I29" s="190"/>
      <c r="J29" s="190"/>
      <c r="K29" s="190"/>
      <c r="L29" s="190"/>
    </row>
    <row r="30" spans="1:12" ht="15.95" customHeight="1">
      <c r="A30" s="186"/>
      <c r="B30" s="342"/>
      <c r="C30" s="343"/>
      <c r="D30" s="344"/>
      <c r="E30" s="187"/>
      <c r="F30" s="188"/>
      <c r="G30" s="200" t="str">
        <f t="shared" si="1"/>
        <v/>
      </c>
      <c r="H30" s="190"/>
      <c r="I30" s="190"/>
      <c r="J30" s="190"/>
      <c r="K30" s="190"/>
      <c r="L30" s="190"/>
    </row>
    <row r="31" spans="1:12" ht="15.95" customHeight="1">
      <c r="A31" s="186"/>
      <c r="B31" s="342"/>
      <c r="C31" s="343"/>
      <c r="D31" s="344"/>
      <c r="E31" s="187"/>
      <c r="F31" s="188"/>
      <c r="G31" s="200" t="str">
        <f t="shared" si="1"/>
        <v/>
      </c>
      <c r="H31" s="190"/>
      <c r="I31" s="190"/>
      <c r="J31" s="190"/>
      <c r="K31" s="190"/>
      <c r="L31" s="190"/>
    </row>
    <row r="32" spans="1:12" ht="15.95" customHeight="1">
      <c r="A32" s="186"/>
      <c r="B32" s="337"/>
      <c r="C32" s="337"/>
      <c r="D32" s="337"/>
      <c r="E32" s="187"/>
      <c r="F32" s="188"/>
      <c r="G32" s="200" t="str">
        <f t="shared" si="1"/>
        <v/>
      </c>
      <c r="H32" s="190"/>
      <c r="I32" s="190"/>
      <c r="J32" s="190"/>
      <c r="K32" s="190"/>
      <c r="L32" s="190"/>
    </row>
    <row r="33" spans="1:12">
      <c r="A33" s="186"/>
      <c r="B33" s="337"/>
      <c r="C33" s="337"/>
      <c r="D33" s="337"/>
      <c r="E33" s="187"/>
      <c r="F33" s="188"/>
      <c r="G33" s="200"/>
      <c r="H33" s="190"/>
      <c r="I33" s="190"/>
      <c r="J33" s="190"/>
      <c r="K33" s="190"/>
      <c r="L33" s="190"/>
    </row>
    <row r="34" spans="1:12">
      <c r="A34" s="186"/>
      <c r="B34" s="337"/>
      <c r="C34" s="337"/>
      <c r="D34" s="337"/>
      <c r="E34" s="187"/>
      <c r="F34" s="188"/>
      <c r="G34" s="200"/>
      <c r="H34" s="190"/>
      <c r="I34" s="190"/>
      <c r="J34" s="190"/>
      <c r="K34" s="190"/>
      <c r="L34" s="190"/>
    </row>
    <row r="35" spans="1:12" ht="15.75" thickBot="1">
      <c r="A35" s="205"/>
      <c r="B35" s="346"/>
      <c r="C35" s="346"/>
      <c r="D35" s="346"/>
      <c r="E35" s="213"/>
      <c r="F35" s="214"/>
      <c r="G35" s="215"/>
      <c r="H35" s="190"/>
      <c r="I35" s="190"/>
      <c r="J35" s="190"/>
      <c r="K35" s="190"/>
      <c r="L35" s="190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C9D2DC-4118-4448-8C98-C6BBEEB275CD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2023-04-20T01:46:56Z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