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1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inisgroup.sharepoint.com/sites/suitefiles/Shared Documents/Clients/Chicco Coffee Pty Ltd/2021/Taxation Working Papers/"/>
    </mc:Choice>
  </mc:AlternateContent>
  <xr:revisionPtr revIDLastSave="16" documentId="13_ncr:1_{E22C249F-01B2-4F36-9556-3995841179CA}" xr6:coauthVersionLast="47" xr6:coauthVersionMax="47" xr10:uidLastSave="{C99C391E-ADD0-4DE7-8581-E86768DB88C5}"/>
  <bookViews>
    <workbookView xWindow="-120" yWindow="-120" windowWidth="29040" windowHeight="15840" xr2:uid="{00000000-000D-0000-FFFF-FFFF00000000}"/>
  </bookViews>
  <sheets>
    <sheet name="01VARLEA" sheetId="1" r:id="rId1"/>
  </sheets>
  <definedNames>
    <definedName name="_Regression_Int" localSheetId="0" hidden="1">1</definedName>
    <definedName name="_xlnm.Print_Area" localSheetId="0">'01VARLEA'!$A$1:$N$97</definedName>
    <definedName name="Print_Area_MI" localSheetId="0">'01VARLEA'!$A$1:$N$96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0" i="1" l="1"/>
  <c r="P93" i="1"/>
  <c r="P91" i="1"/>
  <c r="V94" i="1" l="1"/>
  <c r="I7" i="1" l="1"/>
  <c r="I8" i="1"/>
  <c r="O7" i="1"/>
  <c r="P7" i="1" s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H7" i="1"/>
  <c r="AA1" i="1"/>
  <c r="Z2" i="1"/>
  <c r="AA2" i="1" s="1"/>
  <c r="Y3" i="1"/>
  <c r="D8" i="1" s="1"/>
  <c r="E97" i="1"/>
  <c r="D84" i="1"/>
  <c r="D83" i="1"/>
  <c r="D82" i="1"/>
  <c r="D81" i="1"/>
  <c r="D80" i="1"/>
  <c r="D79" i="1"/>
  <c r="E96" i="1"/>
  <c r="E95" i="1"/>
  <c r="E94" i="1"/>
  <c r="E93" i="1"/>
  <c r="E92" i="1"/>
  <c r="E91" i="1"/>
  <c r="D7" i="1"/>
  <c r="AA3" i="1" l="1"/>
  <c r="Z3" i="1"/>
  <c r="Y4" i="1"/>
  <c r="S7" i="1"/>
  <c r="Q8" i="1"/>
  <c r="E7" i="1"/>
  <c r="O8" i="1"/>
  <c r="D9" i="1" l="1"/>
  <c r="Y5" i="1"/>
  <c r="Z4" i="1"/>
  <c r="AA4" i="1"/>
  <c r="O9" i="1"/>
  <c r="P8" i="1"/>
  <c r="D10" i="1" l="1"/>
  <c r="AA5" i="1"/>
  <c r="Z5" i="1"/>
  <c r="Y6" i="1"/>
  <c r="S8" i="1"/>
  <c r="Q9" i="1"/>
  <c r="E8" i="1"/>
  <c r="R8" i="1"/>
  <c r="P9" i="1"/>
  <c r="O10" i="1"/>
  <c r="Z6" i="1" l="1"/>
  <c r="AA6" i="1"/>
  <c r="D11" i="1"/>
  <c r="Y7" i="1"/>
  <c r="O11" i="1"/>
  <c r="P10" i="1"/>
  <c r="R9" i="1"/>
  <c r="Q10" i="1"/>
  <c r="E9" i="1"/>
  <c r="S9" i="1"/>
  <c r="AA7" i="1" l="1"/>
  <c r="Y8" i="1"/>
  <c r="D12" i="1"/>
  <c r="Z7" i="1"/>
  <c r="S10" i="1"/>
  <c r="E10" i="1"/>
  <c r="R10" i="1"/>
  <c r="Q11" i="1"/>
  <c r="P11" i="1"/>
  <c r="O12" i="1"/>
  <c r="Z8" i="1" l="1"/>
  <c r="D13" i="1"/>
  <c r="AA8" i="1"/>
  <c r="Y9" i="1"/>
  <c r="O13" i="1"/>
  <c r="P12" i="1"/>
  <c r="S11" i="1"/>
  <c r="E11" i="1"/>
  <c r="Q12" i="1"/>
  <c r="R11" i="1"/>
  <c r="AA9" i="1" l="1"/>
  <c r="D14" i="1"/>
  <c r="Z9" i="1"/>
  <c r="Y10" i="1"/>
  <c r="S12" i="1"/>
  <c r="R12" i="1"/>
  <c r="Q13" i="1"/>
  <c r="E12" i="1"/>
  <c r="O14" i="1"/>
  <c r="P13" i="1"/>
  <c r="D15" i="1" l="1"/>
  <c r="Y11" i="1"/>
  <c r="Z10" i="1"/>
  <c r="AA10" i="1"/>
  <c r="E13" i="1"/>
  <c r="Q14" i="1"/>
  <c r="S13" i="1"/>
  <c r="O15" i="1"/>
  <c r="P14" i="1"/>
  <c r="Z11" i="1" l="1"/>
  <c r="D16" i="1"/>
  <c r="AA11" i="1"/>
  <c r="Y12" i="1"/>
  <c r="E14" i="1"/>
  <c r="S14" i="1"/>
  <c r="Q15" i="1"/>
  <c r="P15" i="1"/>
  <c r="O16" i="1"/>
  <c r="D17" i="1" l="1"/>
  <c r="AA12" i="1"/>
  <c r="Y13" i="1"/>
  <c r="Z12" i="1"/>
  <c r="Q16" i="1"/>
  <c r="E15" i="1"/>
  <c r="S15" i="1"/>
  <c r="P16" i="1"/>
  <c r="O17" i="1"/>
  <c r="D18" i="1" l="1"/>
  <c r="Y14" i="1"/>
  <c r="AA13" i="1"/>
  <c r="Z13" i="1"/>
  <c r="P17" i="1"/>
  <c r="O18" i="1"/>
  <c r="S16" i="1"/>
  <c r="Q17" i="1"/>
  <c r="E16" i="1"/>
  <c r="Y15" i="1" l="1"/>
  <c r="Z14" i="1"/>
  <c r="AA14" i="1"/>
  <c r="D19" i="1"/>
  <c r="P18" i="1"/>
  <c r="O19" i="1"/>
  <c r="S17" i="1"/>
  <c r="E17" i="1"/>
  <c r="R17" i="1"/>
  <c r="Q18" i="1"/>
  <c r="AA15" i="1" l="1"/>
  <c r="Y16" i="1"/>
  <c r="D20" i="1"/>
  <c r="Z15" i="1"/>
  <c r="P19" i="1"/>
  <c r="O20" i="1"/>
  <c r="S18" i="1"/>
  <c r="J91" i="1" s="1"/>
  <c r="R18" i="1"/>
  <c r="E18" i="1"/>
  <c r="Q19" i="1"/>
  <c r="Z16" i="1" l="1"/>
  <c r="Y17" i="1"/>
  <c r="D21" i="1"/>
  <c r="AA16" i="1"/>
  <c r="O21" i="1"/>
  <c r="P20" i="1"/>
  <c r="Q20" i="1"/>
  <c r="S19" i="1"/>
  <c r="R19" i="1"/>
  <c r="E19" i="1"/>
  <c r="Z17" i="1" l="1"/>
  <c r="Y18" i="1"/>
  <c r="AA17" i="1"/>
  <c r="D22" i="1"/>
  <c r="O22" i="1"/>
  <c r="P21" i="1"/>
  <c r="Q21" i="1"/>
  <c r="S20" i="1"/>
  <c r="E20" i="1"/>
  <c r="R20" i="1"/>
  <c r="AA18" i="1" l="1"/>
  <c r="D23" i="1"/>
  <c r="Y19" i="1"/>
  <c r="Z18" i="1"/>
  <c r="Q22" i="1"/>
  <c r="S21" i="1"/>
  <c r="E21" i="1"/>
  <c r="R21" i="1"/>
  <c r="P22" i="1"/>
  <c r="O23" i="1"/>
  <c r="AA19" i="1" l="1"/>
  <c r="D24" i="1"/>
  <c r="Z19" i="1"/>
  <c r="Y20" i="1"/>
  <c r="P23" i="1"/>
  <c r="O24" i="1"/>
  <c r="R22" i="1"/>
  <c r="Q23" i="1"/>
  <c r="S22" i="1"/>
  <c r="E22" i="1"/>
  <c r="D25" i="1" l="1"/>
  <c r="Y21" i="1"/>
  <c r="AA20" i="1"/>
  <c r="Z20" i="1"/>
  <c r="O25" i="1"/>
  <c r="P24" i="1"/>
  <c r="Q24" i="1"/>
  <c r="R23" i="1"/>
  <c r="E23" i="1"/>
  <c r="S23" i="1"/>
  <c r="D26" i="1" l="1"/>
  <c r="Z21" i="1"/>
  <c r="AA21" i="1"/>
  <c r="Y22" i="1"/>
  <c r="Q25" i="1"/>
  <c r="R24" i="1"/>
  <c r="S24" i="1"/>
  <c r="E24" i="1"/>
  <c r="O26" i="1"/>
  <c r="P25" i="1"/>
  <c r="Z22" i="1" l="1"/>
  <c r="D27" i="1"/>
  <c r="Y23" i="1"/>
  <c r="AA22" i="1"/>
  <c r="S25" i="1"/>
  <c r="Q26" i="1"/>
  <c r="E25" i="1"/>
  <c r="O27" i="1"/>
  <c r="P26" i="1"/>
  <c r="D28" i="1" l="1"/>
  <c r="Z23" i="1"/>
  <c r="AA23" i="1"/>
  <c r="Y24" i="1"/>
  <c r="E26" i="1"/>
  <c r="S26" i="1"/>
  <c r="Q27" i="1"/>
  <c r="O28" i="1"/>
  <c r="P27" i="1"/>
  <c r="Y25" i="1" l="1"/>
  <c r="AA24" i="1"/>
  <c r="D29" i="1"/>
  <c r="Z24" i="1"/>
  <c r="P28" i="1"/>
  <c r="O29" i="1"/>
  <c r="E27" i="1"/>
  <c r="Q28" i="1"/>
  <c r="S27" i="1"/>
  <c r="AA25" i="1" l="1"/>
  <c r="Y26" i="1"/>
  <c r="Z25" i="1"/>
  <c r="D30" i="1"/>
  <c r="P29" i="1"/>
  <c r="O30" i="1"/>
  <c r="S28" i="1"/>
  <c r="Q29" i="1"/>
  <c r="E28" i="1"/>
  <c r="D31" i="1" l="1"/>
  <c r="Z26" i="1"/>
  <c r="AA26" i="1"/>
  <c r="Y27" i="1"/>
  <c r="P30" i="1"/>
  <c r="O31" i="1"/>
  <c r="S29" i="1"/>
  <c r="Q30" i="1"/>
  <c r="R29" i="1"/>
  <c r="E29" i="1"/>
  <c r="AA27" i="1" l="1"/>
  <c r="D32" i="1"/>
  <c r="Z27" i="1"/>
  <c r="Y28" i="1"/>
  <c r="O32" i="1"/>
  <c r="P31" i="1"/>
  <c r="E30" i="1"/>
  <c r="Q31" i="1"/>
  <c r="S30" i="1"/>
  <c r="J92" i="1" s="1"/>
  <c r="R30" i="1"/>
  <c r="Z28" i="1" l="1"/>
  <c r="Y29" i="1"/>
  <c r="AA28" i="1"/>
  <c r="D33" i="1"/>
  <c r="S31" i="1"/>
  <c r="R31" i="1"/>
  <c r="Q32" i="1"/>
  <c r="E31" i="1"/>
  <c r="O33" i="1"/>
  <c r="P32" i="1"/>
  <c r="Y30" i="1" l="1"/>
  <c r="Z29" i="1"/>
  <c r="D34" i="1"/>
  <c r="AA29" i="1"/>
  <c r="Q33" i="1"/>
  <c r="R32" i="1"/>
  <c r="E32" i="1"/>
  <c r="S32" i="1"/>
  <c r="O34" i="1"/>
  <c r="P33" i="1"/>
  <c r="Y31" i="1" l="1"/>
  <c r="Z30" i="1"/>
  <c r="AA30" i="1"/>
  <c r="D35" i="1"/>
  <c r="E33" i="1"/>
  <c r="R33" i="1"/>
  <c r="S33" i="1"/>
  <c r="Q34" i="1"/>
  <c r="P34" i="1"/>
  <c r="O35" i="1"/>
  <c r="Z31" i="1" l="1"/>
  <c r="Y32" i="1"/>
  <c r="AA31" i="1"/>
  <c r="D36" i="1"/>
  <c r="P35" i="1"/>
  <c r="O36" i="1"/>
  <c r="E34" i="1"/>
  <c r="Q35" i="1"/>
  <c r="R34" i="1"/>
  <c r="S34" i="1"/>
  <c r="Z32" i="1" l="1"/>
  <c r="D37" i="1"/>
  <c r="Y33" i="1"/>
  <c r="AA32" i="1"/>
  <c r="O37" i="1"/>
  <c r="P36" i="1"/>
  <c r="E35" i="1"/>
  <c r="S35" i="1"/>
  <c r="R35" i="1"/>
  <c r="Q36" i="1"/>
  <c r="AA33" i="1" l="1"/>
  <c r="D38" i="1"/>
  <c r="Y34" i="1"/>
  <c r="Z33" i="1"/>
  <c r="O38" i="1"/>
  <c r="P37" i="1"/>
  <c r="E36" i="1"/>
  <c r="R36" i="1"/>
  <c r="Q37" i="1"/>
  <c r="S36" i="1"/>
  <c r="Z34" i="1" l="1"/>
  <c r="Y35" i="1"/>
  <c r="AA34" i="1"/>
  <c r="D39" i="1"/>
  <c r="S37" i="1"/>
  <c r="E37" i="1"/>
  <c r="Q38" i="1"/>
  <c r="O39" i="1"/>
  <c r="P38" i="1"/>
  <c r="Y36" i="1" l="1"/>
  <c r="AA35" i="1"/>
  <c r="Z35" i="1"/>
  <c r="D40" i="1"/>
  <c r="Q39" i="1"/>
  <c r="E38" i="1"/>
  <c r="S38" i="1"/>
  <c r="O40" i="1"/>
  <c r="P39" i="1"/>
  <c r="Z36" i="1" l="1"/>
  <c r="Y37" i="1"/>
  <c r="AA36" i="1"/>
  <c r="D41" i="1"/>
  <c r="P40" i="1"/>
  <c r="O41" i="1"/>
  <c r="E39" i="1"/>
  <c r="Q40" i="1"/>
  <c r="S39" i="1"/>
  <c r="Y38" i="1" l="1"/>
  <c r="D42" i="1"/>
  <c r="Z37" i="1"/>
  <c r="AA37" i="1" s="1"/>
  <c r="P41" i="1"/>
  <c r="O42" i="1"/>
  <c r="Q41" i="1"/>
  <c r="S40" i="1"/>
  <c r="E40" i="1"/>
  <c r="Y39" i="1" l="1"/>
  <c r="Z38" i="1"/>
  <c r="D43" i="1"/>
  <c r="AA38" i="1"/>
  <c r="O43" i="1"/>
  <c r="P42" i="1"/>
  <c r="Q42" i="1"/>
  <c r="E41" i="1"/>
  <c r="R41" i="1"/>
  <c r="S41" i="1"/>
  <c r="D44" i="1" l="1"/>
  <c r="Z39" i="1"/>
  <c r="Y40" i="1"/>
  <c r="AA39" i="1"/>
  <c r="R42" i="1"/>
  <c r="Q43" i="1"/>
  <c r="S42" i="1"/>
  <c r="J93" i="1" s="1"/>
  <c r="E42" i="1"/>
  <c r="P43" i="1"/>
  <c r="O44" i="1"/>
  <c r="Z40" i="1" l="1"/>
  <c r="D45" i="1"/>
  <c r="AA40" i="1"/>
  <c r="Y41" i="1"/>
  <c r="O45" i="1"/>
  <c r="P44" i="1"/>
  <c r="E43" i="1"/>
  <c r="R43" i="1"/>
  <c r="S43" i="1"/>
  <c r="Q44" i="1"/>
  <c r="AA41" i="1" l="1"/>
  <c r="D46" i="1"/>
  <c r="Z41" i="1"/>
  <c r="Y42" i="1"/>
  <c r="Q45" i="1"/>
  <c r="R44" i="1"/>
  <c r="E44" i="1"/>
  <c r="S44" i="1"/>
  <c r="O46" i="1"/>
  <c r="P45" i="1"/>
  <c r="Y43" i="1" l="1"/>
  <c r="Z42" i="1"/>
  <c r="AA42" i="1"/>
  <c r="D47" i="1"/>
  <c r="S45" i="1"/>
  <c r="R45" i="1"/>
  <c r="Q46" i="1"/>
  <c r="E45" i="1"/>
  <c r="O47" i="1"/>
  <c r="P46" i="1"/>
  <c r="AA43" i="1" l="1"/>
  <c r="D48" i="1"/>
  <c r="Z43" i="1"/>
  <c r="Y44" i="1"/>
  <c r="E46" i="1"/>
  <c r="R46" i="1"/>
  <c r="S46" i="1"/>
  <c r="Q47" i="1"/>
  <c r="P47" i="1"/>
  <c r="O48" i="1"/>
  <c r="D49" i="1" l="1"/>
  <c r="Z44" i="1"/>
  <c r="AA44" i="1"/>
  <c r="Y45" i="1"/>
  <c r="S47" i="1"/>
  <c r="R47" i="1"/>
  <c r="Q48" i="1"/>
  <c r="E47" i="1"/>
  <c r="O49" i="1"/>
  <c r="P48" i="1"/>
  <c r="Z45" i="1" l="1"/>
  <c r="Y46" i="1"/>
  <c r="D50" i="1"/>
  <c r="AA45" i="1"/>
  <c r="E48" i="1"/>
  <c r="S48" i="1"/>
  <c r="R48" i="1"/>
  <c r="Q49" i="1"/>
  <c r="O50" i="1"/>
  <c r="P49" i="1"/>
  <c r="D51" i="1" l="1"/>
  <c r="Y47" i="1"/>
  <c r="Z46" i="1"/>
  <c r="AA46" i="1"/>
  <c r="E49" i="1"/>
  <c r="Q50" i="1"/>
  <c r="P50" i="1"/>
  <c r="O51" i="1"/>
  <c r="Z47" i="1" l="1"/>
  <c r="Y48" i="1"/>
  <c r="D52" i="1"/>
  <c r="AA47" i="1"/>
  <c r="O52" i="1"/>
  <c r="P51" i="1"/>
  <c r="E50" i="1"/>
  <c r="Q51" i="1"/>
  <c r="D53" i="1" l="1"/>
  <c r="Z48" i="1"/>
  <c r="AA48" i="1"/>
  <c r="Y49" i="1"/>
  <c r="Q52" i="1"/>
  <c r="E51" i="1"/>
  <c r="P52" i="1"/>
  <c r="O53" i="1"/>
  <c r="AA49" i="1" l="1"/>
  <c r="Z49" i="1"/>
  <c r="Y50" i="1"/>
  <c r="D54" i="1"/>
  <c r="O54" i="1"/>
  <c r="P53" i="1"/>
  <c r="Q53" i="1"/>
  <c r="E52" i="1"/>
  <c r="Z50" i="1" l="1"/>
  <c r="AA50" i="1" s="1"/>
  <c r="Y51" i="1"/>
  <c r="D55" i="1"/>
  <c r="E53" i="1"/>
  <c r="R53" i="1"/>
  <c r="S53" i="1"/>
  <c r="Q54" i="1"/>
  <c r="O55" i="1"/>
  <c r="P54" i="1"/>
  <c r="AA51" i="1" l="1"/>
  <c r="Z51" i="1"/>
  <c r="D56" i="1"/>
  <c r="Y52" i="1"/>
  <c r="P55" i="1"/>
  <c r="O56" i="1"/>
  <c r="Q55" i="1"/>
  <c r="R54" i="1"/>
  <c r="S54" i="1"/>
  <c r="E54" i="1"/>
  <c r="Q83" i="1"/>
  <c r="AA52" i="1" l="1"/>
  <c r="D57" i="1"/>
  <c r="Z52" i="1"/>
  <c r="Y53" i="1"/>
  <c r="P56" i="1"/>
  <c r="O57" i="1"/>
  <c r="S55" i="1"/>
  <c r="Q84" i="1"/>
  <c r="Q56" i="1"/>
  <c r="R55" i="1"/>
  <c r="E55" i="1"/>
  <c r="Y54" i="1" l="1"/>
  <c r="Z53" i="1"/>
  <c r="D58" i="1"/>
  <c r="AA53" i="1"/>
  <c r="P57" i="1"/>
  <c r="O58" i="1"/>
  <c r="Q85" i="1"/>
  <c r="E56" i="1"/>
  <c r="S56" i="1"/>
  <c r="R56" i="1"/>
  <c r="Q57" i="1"/>
  <c r="D59" i="1" l="1"/>
  <c r="Z54" i="1"/>
  <c r="AA54" i="1"/>
  <c r="Y55" i="1"/>
  <c r="O59" i="1"/>
  <c r="P58" i="1"/>
  <c r="S57" i="1"/>
  <c r="Q86" i="1"/>
  <c r="Q58" i="1"/>
  <c r="E57" i="1"/>
  <c r="R57" i="1"/>
  <c r="Y56" i="1" l="1"/>
  <c r="AA55" i="1"/>
  <c r="D60" i="1"/>
  <c r="Z55" i="1"/>
  <c r="P59" i="1"/>
  <c r="O60" i="1"/>
  <c r="E58" i="1"/>
  <c r="R58" i="1"/>
  <c r="S58" i="1"/>
  <c r="Q87" i="1"/>
  <c r="Q59" i="1"/>
  <c r="AA56" i="1" l="1"/>
  <c r="Y57" i="1"/>
  <c r="Z56" i="1"/>
  <c r="D61" i="1"/>
  <c r="O61" i="1"/>
  <c r="P60" i="1"/>
  <c r="E59" i="1"/>
  <c r="R59" i="1"/>
  <c r="Q88" i="1"/>
  <c r="S59" i="1"/>
  <c r="Q60" i="1"/>
  <c r="Z57" i="1" l="1"/>
  <c r="AA57" i="1"/>
  <c r="Y58" i="1"/>
  <c r="D62" i="1"/>
  <c r="R60" i="1"/>
  <c r="E60" i="1"/>
  <c r="S60" i="1"/>
  <c r="Q61" i="1"/>
  <c r="P61" i="1"/>
  <c r="O62" i="1"/>
  <c r="Z58" i="1" l="1"/>
  <c r="AA58" i="1"/>
  <c r="Y59" i="1"/>
  <c r="D63" i="1"/>
  <c r="O63" i="1"/>
  <c r="P62" i="1"/>
  <c r="E61" i="1"/>
  <c r="Q62" i="1"/>
  <c r="D64" i="1" l="1"/>
  <c r="Z59" i="1"/>
  <c r="AA59" i="1"/>
  <c r="Y60" i="1"/>
  <c r="Q63" i="1"/>
  <c r="E62" i="1"/>
  <c r="O64" i="1"/>
  <c r="P63" i="1"/>
  <c r="Y61" i="1" l="1"/>
  <c r="AA60" i="1"/>
  <c r="D65" i="1"/>
  <c r="Z60" i="1"/>
  <c r="O65" i="1"/>
  <c r="P64" i="1"/>
  <c r="E63" i="1"/>
  <c r="Q64" i="1"/>
  <c r="Y62" i="1" l="1"/>
  <c r="D66" i="1"/>
  <c r="Z61" i="1"/>
  <c r="AA61" i="1" s="1"/>
  <c r="Q65" i="1"/>
  <c r="E64" i="1"/>
  <c r="O66" i="1"/>
  <c r="P65" i="1"/>
  <c r="Y63" i="1" l="1"/>
  <c r="D67" i="1"/>
  <c r="Z62" i="1"/>
  <c r="AA62" i="1" s="1"/>
  <c r="O67" i="1"/>
  <c r="P66" i="1"/>
  <c r="E65" i="1"/>
  <c r="S65" i="1"/>
  <c r="Q66" i="1"/>
  <c r="R65" i="1"/>
  <c r="D68" i="1" l="1"/>
  <c r="Z63" i="1"/>
  <c r="AA63" i="1" s="1"/>
  <c r="Y64" i="1"/>
  <c r="Q67" i="1"/>
  <c r="S66" i="1"/>
  <c r="E66" i="1"/>
  <c r="R66" i="1"/>
  <c r="P67" i="1"/>
  <c r="O68" i="1"/>
  <c r="Y65" i="1" l="1"/>
  <c r="Z64" i="1"/>
  <c r="D69" i="1"/>
  <c r="AA64" i="1"/>
  <c r="E67" i="1"/>
  <c r="R67" i="1"/>
  <c r="Q68" i="1"/>
  <c r="S67" i="1"/>
  <c r="P68" i="1"/>
  <c r="O69" i="1"/>
  <c r="Y66" i="1" l="1"/>
  <c r="Z65" i="1"/>
  <c r="AA65" i="1"/>
  <c r="D70" i="1"/>
  <c r="E68" i="1"/>
  <c r="Q69" i="1"/>
  <c r="P69" i="1"/>
  <c r="O70" i="1"/>
  <c r="AA66" i="1" l="1"/>
  <c r="Y67" i="1"/>
  <c r="Z66" i="1"/>
  <c r="D71" i="1"/>
  <c r="O71" i="1"/>
  <c r="P70" i="1"/>
  <c r="Q70" i="1"/>
  <c r="E69" i="1"/>
  <c r="D72" i="1" l="1"/>
  <c r="AA67" i="1"/>
  <c r="Z67" i="1"/>
  <c r="Y68" i="1"/>
  <c r="O72" i="1"/>
  <c r="P71" i="1"/>
  <c r="S70" i="1"/>
  <c r="E70" i="1"/>
  <c r="R70" i="1"/>
  <c r="Q71" i="1"/>
  <c r="D73" i="1" l="1"/>
  <c r="Z68" i="1"/>
  <c r="AA68" i="1"/>
  <c r="Y69" i="1"/>
  <c r="E71" i="1"/>
  <c r="S71" i="1"/>
  <c r="Q72" i="1"/>
  <c r="R71" i="1"/>
  <c r="P72" i="1"/>
  <c r="O73" i="1"/>
  <c r="Y70" i="1" l="1"/>
  <c r="D74" i="1"/>
  <c r="AA69" i="1"/>
  <c r="Z69" i="1"/>
  <c r="E72" i="1"/>
  <c r="Q73" i="1"/>
  <c r="P73" i="1"/>
  <c r="O74" i="1"/>
  <c r="AA70" i="1" l="1"/>
  <c r="Y71" i="1"/>
  <c r="D75" i="1"/>
  <c r="Z70" i="1"/>
  <c r="E73" i="1"/>
  <c r="Q74" i="1"/>
  <c r="P74" i="1"/>
  <c r="O75" i="1"/>
  <c r="Y72" i="1" l="1"/>
  <c r="AA71" i="1"/>
  <c r="D76" i="1"/>
  <c r="Z71" i="1"/>
  <c r="E74" i="1"/>
  <c r="Q75" i="1"/>
  <c r="P75" i="1"/>
  <c r="O76" i="1"/>
  <c r="AA72" i="1" l="1"/>
  <c r="Y73" i="1"/>
  <c r="Z72" i="1"/>
  <c r="D77" i="1"/>
  <c r="O77" i="1"/>
  <c r="P76" i="1"/>
  <c r="E75" i="1"/>
  <c r="Q76" i="1"/>
  <c r="AA73" i="1" l="1"/>
  <c r="D78" i="1"/>
  <c r="Z73" i="1"/>
  <c r="P77" i="1"/>
  <c r="O78" i="1"/>
  <c r="Q77" i="1"/>
  <c r="E76" i="1"/>
  <c r="C13" i="1" l="1"/>
  <c r="J7" i="1" s="1"/>
  <c r="P78" i="1"/>
  <c r="O79" i="1"/>
  <c r="E77" i="1"/>
  <c r="Q78" i="1"/>
  <c r="R77" i="1"/>
  <c r="S77" i="1"/>
  <c r="K7" i="1" l="1"/>
  <c r="M7" i="1"/>
  <c r="N7" i="1"/>
  <c r="R7" i="1" s="1"/>
  <c r="L7" i="1"/>
  <c r="H8" i="1" s="1"/>
  <c r="J8" i="1" s="1"/>
  <c r="P79" i="1"/>
  <c r="O80" i="1"/>
  <c r="Q79" i="1"/>
  <c r="S78" i="1"/>
  <c r="R78" i="1"/>
  <c r="E78" i="1"/>
  <c r="K8" i="1" l="1"/>
  <c r="N8" i="1" s="1"/>
  <c r="E79" i="1"/>
  <c r="Q80" i="1"/>
  <c r="P80" i="1"/>
  <c r="O81" i="1"/>
  <c r="L8" i="1" l="1"/>
  <c r="P81" i="1"/>
  <c r="O82" i="1"/>
  <c r="Q81" i="1"/>
  <c r="E80" i="1"/>
  <c r="H9" i="1" l="1"/>
  <c r="M8" i="1"/>
  <c r="P82" i="1"/>
  <c r="O83" i="1"/>
  <c r="Q82" i="1"/>
  <c r="E81" i="1"/>
  <c r="J9" i="1" l="1"/>
  <c r="O84" i="1"/>
  <c r="P83" i="1"/>
  <c r="E82" i="1"/>
  <c r="R82" i="1"/>
  <c r="S82" i="1"/>
  <c r="K9" i="1" l="1"/>
  <c r="R83" i="1"/>
  <c r="E83" i="1"/>
  <c r="S83" i="1"/>
  <c r="P84" i="1"/>
  <c r="O85" i="1"/>
  <c r="N9" i="1" l="1"/>
  <c r="L9" i="1"/>
  <c r="E84" i="1"/>
  <c r="O86" i="1"/>
  <c r="P85" i="1"/>
  <c r="M9" i="1" l="1"/>
  <c r="H10" i="1"/>
  <c r="P86" i="1"/>
  <c r="O87" i="1"/>
  <c r="J10" i="1" l="1"/>
  <c r="P87" i="1"/>
  <c r="O88" i="1"/>
  <c r="P88" i="1" s="1"/>
  <c r="K10" i="1" l="1"/>
  <c r="N10" i="1" l="1"/>
  <c r="L10" i="1"/>
  <c r="M10" i="1" l="1"/>
  <c r="H11" i="1"/>
  <c r="J11" i="1" l="1"/>
  <c r="K11" i="1" l="1"/>
  <c r="N11" i="1" l="1"/>
  <c r="L11" i="1"/>
  <c r="H12" i="1" l="1"/>
  <c r="M11" i="1"/>
  <c r="J12" i="1" l="1"/>
  <c r="K12" i="1" l="1"/>
  <c r="N12" i="1" l="1"/>
  <c r="L12" i="1"/>
  <c r="M12" i="1" l="1"/>
  <c r="H13" i="1"/>
  <c r="J13" i="1" l="1"/>
  <c r="K13" i="1" s="1"/>
  <c r="N13" i="1" s="1"/>
  <c r="R13" i="1" s="1"/>
  <c r="L13" i="1" l="1"/>
  <c r="M13" i="1" s="1"/>
  <c r="H14" i="1" l="1"/>
  <c r="J14" i="1" s="1"/>
  <c r="K14" i="1" s="1"/>
  <c r="N14" i="1" s="1"/>
  <c r="R14" i="1" s="1"/>
  <c r="L14" i="1" l="1"/>
  <c r="M14" i="1" l="1"/>
  <c r="H15" i="1"/>
  <c r="J15" i="1" l="1"/>
  <c r="K15" i="1" s="1"/>
  <c r="N15" i="1" s="1"/>
  <c r="R15" i="1" s="1"/>
  <c r="L15" i="1" l="1"/>
  <c r="M15" i="1" s="1"/>
  <c r="H16" i="1"/>
  <c r="J16" i="1" l="1"/>
  <c r="K16" i="1" s="1"/>
  <c r="N16" i="1" s="1"/>
  <c r="R16" i="1" s="1"/>
  <c r="H91" i="1" s="1"/>
  <c r="I91" i="1" s="1"/>
  <c r="L16" i="1"/>
  <c r="M16" i="1" l="1"/>
  <c r="H17" i="1"/>
  <c r="J17" i="1" l="1"/>
  <c r="K17" i="1" s="1"/>
  <c r="N17" i="1" s="1"/>
  <c r="L17" i="1" l="1"/>
  <c r="H18" i="1" s="1"/>
  <c r="M17" i="1" l="1"/>
  <c r="J18" i="1"/>
  <c r="K18" i="1" s="1"/>
  <c r="N18" i="1" s="1"/>
  <c r="L18" i="1" l="1"/>
  <c r="M18" i="1" s="1"/>
  <c r="H19" i="1" l="1"/>
  <c r="J19" i="1" s="1"/>
  <c r="K19" i="1" s="1"/>
  <c r="N19" i="1" s="1"/>
  <c r="L19" i="1" l="1"/>
  <c r="M19" i="1"/>
  <c r="H20" i="1"/>
  <c r="J20" i="1" l="1"/>
  <c r="K20" i="1" s="1"/>
  <c r="N20" i="1" s="1"/>
  <c r="L20" i="1" l="1"/>
  <c r="M20" i="1" s="1"/>
  <c r="H21" i="1" l="1"/>
  <c r="J21" i="1" s="1"/>
  <c r="K21" i="1" s="1"/>
  <c r="N21" i="1" s="1"/>
  <c r="L21" i="1" l="1"/>
  <c r="H22" i="1" l="1"/>
  <c r="J22" i="1" s="1"/>
  <c r="K22" i="1" s="1"/>
  <c r="N22" i="1" s="1"/>
  <c r="M21" i="1"/>
  <c r="L22" i="1"/>
  <c r="H23" i="1" s="1"/>
  <c r="M22" i="1" l="1"/>
  <c r="J23" i="1"/>
  <c r="K23" i="1" s="1"/>
  <c r="N23" i="1" s="1"/>
  <c r="L23" i="1" l="1"/>
  <c r="M23" i="1" l="1"/>
  <c r="H24" i="1"/>
  <c r="J24" i="1" l="1"/>
  <c r="K24" i="1" s="1"/>
  <c r="N24" i="1" s="1"/>
  <c r="L24" i="1" l="1"/>
  <c r="M24" i="1" l="1"/>
  <c r="H25" i="1"/>
  <c r="J25" i="1" l="1"/>
  <c r="K25" i="1" s="1"/>
  <c r="N25" i="1" s="1"/>
  <c r="R25" i="1" s="1"/>
  <c r="L25" i="1" l="1"/>
  <c r="H26" i="1" s="1"/>
  <c r="M25" i="1" l="1"/>
  <c r="J26" i="1"/>
  <c r="K26" i="1" s="1"/>
  <c r="N26" i="1" s="1"/>
  <c r="R26" i="1" s="1"/>
  <c r="L26" i="1" l="1"/>
  <c r="M26" i="1" l="1"/>
  <c r="H27" i="1"/>
  <c r="J27" i="1" l="1"/>
  <c r="K27" i="1" s="1"/>
  <c r="N27" i="1" s="1"/>
  <c r="R27" i="1" s="1"/>
  <c r="L27" i="1" l="1"/>
  <c r="M27" i="1" l="1"/>
  <c r="H28" i="1"/>
  <c r="J28" i="1" l="1"/>
  <c r="K28" i="1" s="1"/>
  <c r="N28" i="1" s="1"/>
  <c r="R28" i="1" s="1"/>
  <c r="K91" i="1" s="1"/>
  <c r="H92" i="1" s="1"/>
  <c r="I92" i="1" s="1"/>
  <c r="L28" i="1" l="1"/>
  <c r="M28" i="1" l="1"/>
  <c r="H29" i="1"/>
  <c r="J29" i="1" l="1"/>
  <c r="K29" i="1" s="1"/>
  <c r="N29" i="1" s="1"/>
  <c r="L29" i="1" l="1"/>
  <c r="H30" i="1" l="1"/>
  <c r="M29" i="1"/>
  <c r="J30" i="1" l="1"/>
  <c r="K30" i="1" s="1"/>
  <c r="N30" i="1" s="1"/>
  <c r="L30" i="1" l="1"/>
  <c r="H31" i="1" l="1"/>
  <c r="M30" i="1"/>
  <c r="J31" i="1" l="1"/>
  <c r="K31" i="1" s="1"/>
  <c r="N31" i="1" s="1"/>
  <c r="L31" i="1" l="1"/>
  <c r="M31" i="1" l="1"/>
  <c r="H32" i="1"/>
  <c r="J32" i="1" l="1"/>
  <c r="K32" i="1" s="1"/>
  <c r="N32" i="1" s="1"/>
  <c r="L32" i="1" l="1"/>
  <c r="M32" i="1" l="1"/>
  <c r="H33" i="1"/>
  <c r="J33" i="1" l="1"/>
  <c r="K33" i="1" s="1"/>
  <c r="N33" i="1" s="1"/>
  <c r="L33" i="1" l="1"/>
  <c r="H34" i="1" l="1"/>
  <c r="M33" i="1"/>
  <c r="J34" i="1" l="1"/>
  <c r="K34" i="1" s="1"/>
  <c r="N34" i="1" s="1"/>
  <c r="L34" i="1" l="1"/>
  <c r="M34" i="1" l="1"/>
  <c r="H35" i="1"/>
  <c r="J35" i="1" l="1"/>
  <c r="K35" i="1" s="1"/>
  <c r="N35" i="1" s="1"/>
  <c r="L35" i="1" l="1"/>
  <c r="M35" i="1" l="1"/>
  <c r="H36" i="1"/>
  <c r="J36" i="1" l="1"/>
  <c r="K36" i="1" s="1"/>
  <c r="N36" i="1" s="1"/>
  <c r="L36" i="1" l="1"/>
  <c r="M36" i="1" l="1"/>
  <c r="H37" i="1"/>
  <c r="J37" i="1" l="1"/>
  <c r="K37" i="1" s="1"/>
  <c r="N37" i="1" s="1"/>
  <c r="R37" i="1" s="1"/>
  <c r="L37" i="1" l="1"/>
  <c r="H38" i="1" l="1"/>
  <c r="M37" i="1"/>
  <c r="J38" i="1" l="1"/>
  <c r="K38" i="1" s="1"/>
  <c r="N38" i="1" s="1"/>
  <c r="R38" i="1" s="1"/>
  <c r="L38" i="1" l="1"/>
  <c r="M38" i="1" l="1"/>
  <c r="H39" i="1"/>
  <c r="J39" i="1" l="1"/>
  <c r="K39" i="1" s="1"/>
  <c r="N39" i="1" s="1"/>
  <c r="R39" i="1" s="1"/>
  <c r="L39" i="1" l="1"/>
  <c r="M39" i="1" l="1"/>
  <c r="H40" i="1"/>
  <c r="J40" i="1" l="1"/>
  <c r="K40" i="1" s="1"/>
  <c r="N40" i="1" s="1"/>
  <c r="R40" i="1" s="1"/>
  <c r="K92" i="1" s="1"/>
  <c r="H93" i="1" s="1"/>
  <c r="I93" i="1" s="1"/>
  <c r="L40" i="1" l="1"/>
  <c r="M40" i="1" l="1"/>
  <c r="H41" i="1"/>
  <c r="J41" i="1" l="1"/>
  <c r="K41" i="1" s="1"/>
  <c r="N41" i="1" s="1"/>
  <c r="L41" i="1" l="1"/>
  <c r="H42" i="1" l="1"/>
  <c r="M41" i="1"/>
  <c r="J42" i="1" l="1"/>
  <c r="I42" i="1"/>
  <c r="K42" i="1" l="1"/>
  <c r="N42" i="1" l="1"/>
  <c r="L42" i="1"/>
  <c r="M42" i="1" l="1"/>
  <c r="H43" i="1"/>
  <c r="I43" i="1" l="1"/>
  <c r="J43" i="1"/>
  <c r="K43" i="1" l="1"/>
  <c r="N43" i="1" s="1"/>
  <c r="L43" i="1" l="1"/>
  <c r="H44" i="1" s="1"/>
  <c r="M43" i="1" l="1"/>
  <c r="J44" i="1"/>
  <c r="I44" i="1"/>
  <c r="K44" i="1" l="1"/>
  <c r="N44" i="1" s="1"/>
  <c r="L44" i="1" l="1"/>
  <c r="H45" i="1" s="1"/>
  <c r="M44" i="1" l="1"/>
  <c r="J45" i="1"/>
  <c r="I45" i="1"/>
  <c r="K45" i="1" l="1"/>
  <c r="N45" i="1" l="1"/>
  <c r="L45" i="1"/>
  <c r="H46" i="1" l="1"/>
  <c r="M45" i="1"/>
  <c r="J46" i="1" l="1"/>
  <c r="I46" i="1"/>
  <c r="K46" i="1" l="1"/>
  <c r="N46" i="1" s="1"/>
  <c r="L46" i="1" l="1"/>
  <c r="H47" i="1" s="1"/>
  <c r="M46" i="1" l="1"/>
  <c r="I47" i="1"/>
  <c r="J47" i="1"/>
  <c r="K47" i="1" l="1"/>
  <c r="N47" i="1" s="1"/>
  <c r="L47" i="1" l="1"/>
  <c r="H48" i="1" s="1"/>
  <c r="M47" i="1" l="1"/>
  <c r="J48" i="1"/>
  <c r="I48" i="1"/>
  <c r="K48" i="1" l="1"/>
  <c r="N48" i="1" s="1"/>
  <c r="L48" i="1" l="1"/>
  <c r="H49" i="1" s="1"/>
  <c r="M48" i="1" l="1"/>
  <c r="J49" i="1"/>
  <c r="I49" i="1"/>
  <c r="S49" i="1" s="1"/>
  <c r="K49" i="1" l="1"/>
  <c r="N49" i="1" l="1"/>
  <c r="R49" i="1" s="1"/>
  <c r="L49" i="1"/>
  <c r="M49" i="1" l="1"/>
  <c r="H50" i="1"/>
  <c r="J50" i="1" l="1"/>
  <c r="I50" i="1"/>
  <c r="S50" i="1" s="1"/>
  <c r="K50" i="1" l="1"/>
  <c r="N50" i="1" s="1"/>
  <c r="R50" i="1" s="1"/>
  <c r="L50" i="1" l="1"/>
  <c r="M50" i="1" s="1"/>
  <c r="H51" i="1" l="1"/>
  <c r="I51" i="1" s="1"/>
  <c r="S51" i="1" s="1"/>
  <c r="J51" i="1" l="1"/>
  <c r="K51" i="1" s="1"/>
  <c r="N51" i="1" s="1"/>
  <c r="R51" i="1" s="1"/>
  <c r="L51" i="1" l="1"/>
  <c r="M51" i="1" s="1"/>
  <c r="H52" i="1" l="1"/>
  <c r="J52" i="1" s="1"/>
  <c r="I52" i="1" l="1"/>
  <c r="S52" i="1" s="1"/>
  <c r="J94" i="1" s="1"/>
  <c r="K52" i="1" l="1"/>
  <c r="N52" i="1" l="1"/>
  <c r="R52" i="1" s="1"/>
  <c r="K93" i="1" s="1"/>
  <c r="H94" i="1" s="1"/>
  <c r="I94" i="1" s="1"/>
  <c r="L52" i="1"/>
  <c r="M52" i="1" l="1"/>
  <c r="H53" i="1"/>
  <c r="J53" i="1" l="1"/>
  <c r="I53" i="1"/>
  <c r="K53" i="1" l="1"/>
  <c r="N53" i="1" l="1"/>
  <c r="L53" i="1"/>
  <c r="M53" i="1" l="1"/>
  <c r="H54" i="1"/>
  <c r="J54" i="1" l="1"/>
  <c r="I54" i="1"/>
  <c r="K54" i="1" s="1"/>
  <c r="N54" i="1" s="1"/>
  <c r="L54" i="1" l="1"/>
  <c r="M54" i="1" l="1"/>
  <c r="H55" i="1"/>
  <c r="I55" i="1" l="1"/>
  <c r="J55" i="1"/>
  <c r="K55" i="1" l="1"/>
  <c r="N55" i="1" l="1"/>
  <c r="L55" i="1"/>
  <c r="H56" i="1" l="1"/>
  <c r="M55" i="1"/>
  <c r="J56" i="1" l="1"/>
  <c r="I56" i="1"/>
  <c r="K56" i="1" s="1"/>
  <c r="N56" i="1" s="1"/>
  <c r="L56" i="1"/>
  <c r="H57" i="1" l="1"/>
  <c r="M56" i="1"/>
  <c r="J57" i="1" l="1"/>
  <c r="I57" i="1"/>
  <c r="K57" i="1" l="1"/>
  <c r="N57" i="1" s="1"/>
  <c r="L57" i="1"/>
  <c r="M57" i="1" l="1"/>
  <c r="H58" i="1"/>
  <c r="J58" i="1" l="1"/>
  <c r="I58" i="1"/>
  <c r="K58" i="1" s="1"/>
  <c r="N58" i="1" s="1"/>
  <c r="L58" i="1"/>
  <c r="M58" i="1" s="1"/>
  <c r="H59" i="1" l="1"/>
  <c r="J59" i="1" s="1"/>
  <c r="I59" i="1" l="1"/>
  <c r="K59" i="1" s="1"/>
  <c r="N59" i="1" l="1"/>
  <c r="L59" i="1"/>
  <c r="H60" i="1" l="1"/>
  <c r="M59" i="1"/>
  <c r="I60" i="1" l="1"/>
  <c r="J60" i="1"/>
  <c r="K60" i="1" l="1"/>
  <c r="N60" i="1" l="1"/>
  <c r="L60" i="1"/>
  <c r="M60" i="1" l="1"/>
  <c r="H61" i="1"/>
  <c r="I61" i="1" l="1"/>
  <c r="S61" i="1" s="1"/>
  <c r="J61" i="1"/>
  <c r="K61" i="1" l="1"/>
  <c r="N61" i="1" l="1"/>
  <c r="R61" i="1" s="1"/>
  <c r="L61" i="1"/>
  <c r="H62" i="1" l="1"/>
  <c r="M61" i="1"/>
  <c r="I62" i="1" l="1"/>
  <c r="S62" i="1" s="1"/>
  <c r="J62" i="1"/>
  <c r="K62" i="1" l="1"/>
  <c r="N62" i="1" l="1"/>
  <c r="R62" i="1" s="1"/>
  <c r="L62" i="1"/>
  <c r="H63" i="1" l="1"/>
  <c r="M62" i="1"/>
  <c r="J63" i="1" l="1"/>
  <c r="I63" i="1"/>
  <c r="K63" i="1" l="1"/>
  <c r="N63" i="1" s="1"/>
  <c r="R63" i="1" s="1"/>
  <c r="S63" i="1"/>
  <c r="L63" i="1" l="1"/>
  <c r="M63" i="1" s="1"/>
  <c r="H64" i="1"/>
  <c r="I64" i="1" s="1"/>
  <c r="S64" i="1" s="1"/>
  <c r="J95" i="1" s="1"/>
  <c r="J64" i="1" l="1"/>
  <c r="K64" i="1"/>
  <c r="N64" i="1" s="1"/>
  <c r="R64" i="1" s="1"/>
  <c r="K94" i="1" s="1"/>
  <c r="H95" i="1" s="1"/>
  <c r="I95" i="1" s="1"/>
  <c r="L64" i="1" l="1"/>
  <c r="M64" i="1" s="1"/>
  <c r="H65" i="1" l="1"/>
  <c r="I65" i="1"/>
  <c r="J65" i="1"/>
  <c r="K65" i="1" l="1"/>
  <c r="N65" i="1" l="1"/>
  <c r="L65" i="1"/>
  <c r="M65" i="1" l="1"/>
  <c r="H66" i="1"/>
  <c r="I66" i="1" l="1"/>
  <c r="J66" i="1"/>
  <c r="K66" i="1" l="1"/>
  <c r="N66" i="1" l="1"/>
  <c r="L66" i="1"/>
  <c r="M66" i="1" l="1"/>
  <c r="H67" i="1"/>
  <c r="I67" i="1" l="1"/>
  <c r="J67" i="1"/>
  <c r="K67" i="1" l="1"/>
  <c r="N67" i="1" l="1"/>
  <c r="L67" i="1"/>
  <c r="H68" i="1" l="1"/>
  <c r="M67" i="1"/>
  <c r="I68" i="1" l="1"/>
  <c r="S68" i="1" s="1"/>
  <c r="J68" i="1"/>
  <c r="K68" i="1" l="1"/>
  <c r="N68" i="1" l="1"/>
  <c r="R68" i="1" s="1"/>
  <c r="L68" i="1"/>
  <c r="M68" i="1" l="1"/>
  <c r="H69" i="1"/>
  <c r="J69" i="1" l="1"/>
  <c r="I69" i="1"/>
  <c r="S69" i="1" s="1"/>
  <c r="K69" i="1" l="1"/>
  <c r="N69" i="1" s="1"/>
  <c r="R69" i="1" s="1"/>
  <c r="L69" i="1" l="1"/>
  <c r="M69" i="1"/>
  <c r="H70" i="1"/>
  <c r="I70" i="1" l="1"/>
  <c r="J70" i="1"/>
  <c r="K70" i="1" l="1"/>
  <c r="N70" i="1" l="1"/>
  <c r="L70" i="1"/>
  <c r="M70" i="1" l="1"/>
  <c r="H71" i="1"/>
  <c r="I71" i="1" l="1"/>
  <c r="J71" i="1"/>
  <c r="K71" i="1" l="1"/>
  <c r="N71" i="1" l="1"/>
  <c r="L71" i="1"/>
  <c r="H72" i="1" l="1"/>
  <c r="M71" i="1"/>
  <c r="J72" i="1" l="1"/>
  <c r="I72" i="1"/>
  <c r="K72" i="1" l="1"/>
  <c r="N72" i="1" s="1"/>
  <c r="R72" i="1" s="1"/>
  <c r="S72" i="1"/>
  <c r="L72" i="1"/>
  <c r="M72" i="1" s="1"/>
  <c r="H73" i="1" l="1"/>
  <c r="I73" i="1" s="1"/>
  <c r="S73" i="1" s="1"/>
  <c r="J73" i="1" l="1"/>
  <c r="K73" i="1" s="1"/>
  <c r="N73" i="1" s="1"/>
  <c r="R73" i="1" s="1"/>
  <c r="L73" i="1" l="1"/>
  <c r="M73" i="1" s="1"/>
  <c r="H74" i="1" l="1"/>
  <c r="I74" i="1"/>
  <c r="S74" i="1" s="1"/>
  <c r="J74" i="1"/>
  <c r="K74" i="1" l="1"/>
  <c r="N74" i="1" l="1"/>
  <c r="R74" i="1" s="1"/>
  <c r="L74" i="1"/>
  <c r="M74" i="1" l="1"/>
  <c r="H75" i="1"/>
  <c r="J75" i="1" l="1"/>
  <c r="I75" i="1"/>
  <c r="S75" i="1" s="1"/>
  <c r="K75" i="1" l="1"/>
  <c r="N75" i="1" s="1"/>
  <c r="R75" i="1" s="1"/>
  <c r="L75" i="1" l="1"/>
  <c r="H76" i="1" l="1"/>
  <c r="M75" i="1"/>
  <c r="I76" i="1" l="1"/>
  <c r="S76" i="1" s="1"/>
  <c r="J96" i="1" s="1"/>
  <c r="J76" i="1"/>
  <c r="K76" i="1" l="1"/>
  <c r="L76" i="1" l="1"/>
  <c r="N76" i="1"/>
  <c r="R76" i="1" s="1"/>
  <c r="K95" i="1" s="1"/>
  <c r="H96" i="1" s="1"/>
  <c r="L91" i="1" l="1"/>
  <c r="I96" i="1"/>
  <c r="M91" i="1" s="1"/>
  <c r="M76" i="1"/>
  <c r="H77" i="1"/>
  <c r="J77" i="1" l="1"/>
  <c r="I77" i="1"/>
  <c r="K77" i="1" l="1"/>
  <c r="N77" i="1" s="1"/>
  <c r="L77" i="1" l="1"/>
  <c r="M77" i="1" s="1"/>
  <c r="H78" i="1"/>
  <c r="I78" i="1" l="1"/>
  <c r="J78" i="1"/>
  <c r="K78" i="1" l="1"/>
  <c r="N78" i="1" l="1"/>
  <c r="L78" i="1"/>
  <c r="H79" i="1" l="1"/>
  <c r="M78" i="1"/>
  <c r="I79" i="1" l="1"/>
  <c r="S79" i="1" s="1"/>
  <c r="J79" i="1"/>
  <c r="K79" i="1" l="1"/>
  <c r="N79" i="1" l="1"/>
  <c r="R79" i="1" s="1"/>
  <c r="L79" i="1"/>
  <c r="H80" i="1" l="1"/>
  <c r="M79" i="1"/>
  <c r="I80" i="1" l="1"/>
  <c r="S80" i="1" s="1"/>
  <c r="J80" i="1"/>
  <c r="K80" i="1" l="1"/>
  <c r="L80" i="1" l="1"/>
  <c r="N80" i="1"/>
  <c r="R80" i="1" s="1"/>
  <c r="M80" i="1" l="1"/>
  <c r="H81" i="1"/>
  <c r="J81" i="1" l="1"/>
  <c r="I81" i="1"/>
  <c r="S81" i="1" s="1"/>
  <c r="K81" i="1" l="1"/>
  <c r="N81" i="1" l="1"/>
  <c r="R81" i="1" s="1"/>
  <c r="L81" i="1"/>
  <c r="M81" i="1" l="1"/>
  <c r="H82" i="1"/>
  <c r="J82" i="1" l="1"/>
  <c r="I82" i="1"/>
  <c r="K82" i="1" l="1"/>
  <c r="N82" i="1" s="1"/>
  <c r="L82" i="1"/>
  <c r="M82" i="1"/>
  <c r="H83" i="1"/>
  <c r="I83" i="1" l="1"/>
  <c r="S87" i="1" s="1"/>
  <c r="J83" i="1"/>
  <c r="J84" i="1" s="1"/>
  <c r="S88" i="1" l="1"/>
  <c r="S86" i="1"/>
  <c r="S85" i="1"/>
  <c r="S84" i="1"/>
  <c r="S89" i="1"/>
  <c r="I84" i="1"/>
  <c r="K83" i="1"/>
  <c r="J97" i="1" l="1"/>
  <c r="K84" i="1"/>
  <c r="N83" i="1"/>
  <c r="L83" i="1"/>
  <c r="R86" i="1" l="1"/>
  <c r="R87" i="1"/>
  <c r="R84" i="1"/>
  <c r="R88" i="1"/>
  <c r="R89" i="1"/>
  <c r="R85" i="1"/>
  <c r="H84" i="1"/>
  <c r="M83" i="1"/>
  <c r="K96" i="1" l="1"/>
  <c r="H97" i="1" s="1"/>
  <c r="L93" i="1" s="1"/>
  <c r="L94" i="1" l="1"/>
  <c r="K97" i="1"/>
  <c r="I97" i="1"/>
  <c r="M93" i="1" s="1"/>
  <c r="L95" i="1"/>
  <c r="L92" i="1"/>
  <c r="M95" i="1"/>
  <c r="M94" i="1" l="1"/>
  <c r="M92" i="1"/>
</calcChain>
</file>

<file path=xl/sharedStrings.xml><?xml version="1.0" encoding="utf-8"?>
<sst xmlns="http://schemas.openxmlformats.org/spreadsheetml/2006/main" count="37" uniqueCount="27">
  <si>
    <t>Chicco Coffee Pty Ltd  2nd Hand Crown forklift</t>
  </si>
  <si>
    <t>Borrowed amount is $14,675.70 including interest  Less upfront payment of $1,512.87.</t>
  </si>
  <si>
    <t>ENTER THE FOLLOWING -</t>
  </si>
  <si>
    <t>MONTHLY PAYMENT--&gt;</t>
  </si>
  <si>
    <t>OPENING</t>
  </si>
  <si>
    <t>CLOSING</t>
  </si>
  <si>
    <t>INTEREST</t>
  </si>
  <si>
    <t>PRINCIPAL</t>
  </si>
  <si>
    <t>RESIDUAL---------&gt;</t>
  </si>
  <si>
    <t>PAYMENT</t>
  </si>
  <si>
    <t>PAID</t>
  </si>
  <si>
    <t>CAPITAL COST-----&gt;</t>
  </si>
  <si>
    <t>START MTH (JAN=1)&gt;</t>
  </si>
  <si>
    <t>START YEAR-------&gt;</t>
  </si>
  <si>
    <t>BALANCE DATE MTH-&gt;</t>
  </si>
  <si>
    <t>No. OF PAYMENTS</t>
  </si>
  <si>
    <t>INTEREST RATE =</t>
  </si>
  <si>
    <t>SUMMARY AT BALANCE DATES</t>
  </si>
  <si>
    <t>------------------------</t>
  </si>
  <si>
    <t>|-------DURING THE YEAR------|</t>
  </si>
  <si>
    <t>|--------AT END OF YEAR-------|</t>
  </si>
  <si>
    <t>TOTAL</t>
  </si>
  <si>
    <t>PRINCIPAL TO BE PAID</t>
  </si>
  <si>
    <t>PAYMENTS</t>
  </si>
  <si>
    <t>CURRENT</t>
  </si>
  <si>
    <t>NON-CURRENT</t>
  </si>
  <si>
    <t>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</si>
</sst>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_)"/>
    <numFmt numFmtId="165" formatCode="0_)"/>
    <numFmt numFmtId="166" formatCode="mmm\-yy_)"/>
    <numFmt numFmtId="167" formatCode="General_)"/>
    <numFmt numFmtId="168" formatCode="0.00000%"/>
  </numFmts>
  <fonts count="11">
    <font>
      <sz val="6"/>
      <name val="Helv"/>
    </font>
    <font>
      <sz val="12"/>
      <name val="Arial"/>
      <family val="2"/>
    </font>
    <font>
      <sz val="6"/>
      <color indexed="12"/>
      <name val="Helv"/>
    </font>
    <font>
      <b/>
      <sz val="6"/>
      <name val="Helv"/>
    </font>
    <font>
      <sz val="8"/>
      <name val="Helv"/>
    </font>
    <font>
      <sz val="8"/>
      <color indexed="12"/>
      <name val="Helv"/>
    </font>
    <font>
      <b/>
      <sz val="8"/>
      <color indexed="12"/>
      <name val="Helv"/>
    </font>
    <font>
      <b/>
      <sz val="8"/>
      <name val="Helv"/>
    </font>
    <font>
      <b/>
      <sz val="12"/>
      <name val="Helv"/>
    </font>
    <font>
      <b/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30">
    <xf numFmtId="164" fontId="0" fillId="0" borderId="0" xfId="0"/>
    <xf numFmtId="165" fontId="2" fillId="0" borderId="0" xfId="0" applyNumberFormat="1" applyFont="1" applyProtection="1">
      <protection locked="0"/>
    </xf>
    <xf numFmtId="164" fontId="2" fillId="0" borderId="0" xfId="0" applyFont="1" applyProtection="1">
      <protection locked="0"/>
    </xf>
    <xf numFmtId="165" fontId="0" fillId="0" borderId="0" xfId="0" applyNumberFormat="1"/>
    <xf numFmtId="164" fontId="3" fillId="0" borderId="0" xfId="0" applyFont="1"/>
    <xf numFmtId="166" fontId="4" fillId="0" borderId="0" xfId="0" applyNumberFormat="1" applyFont="1"/>
    <xf numFmtId="164" fontId="4" fillId="0" borderId="0" xfId="0" applyFont="1"/>
    <xf numFmtId="164" fontId="5" fillId="0" borderId="0" xfId="0" applyFont="1" applyProtection="1">
      <protection locked="0"/>
    </xf>
    <xf numFmtId="165" fontId="4" fillId="0" borderId="0" xfId="0" applyNumberFormat="1" applyFont="1"/>
    <xf numFmtId="164" fontId="6" fillId="0" borderId="0" xfId="0" applyFont="1" applyAlignment="1" applyProtection="1">
      <alignment horizontal="left"/>
      <protection locked="0"/>
    </xf>
    <xf numFmtId="164" fontId="7" fillId="0" borderId="0" xfId="0" applyFont="1"/>
    <xf numFmtId="164" fontId="4" fillId="0" borderId="0" xfId="0" applyFont="1" applyAlignment="1">
      <alignment horizontal="left"/>
    </xf>
    <xf numFmtId="164" fontId="4" fillId="0" borderId="0" xfId="0" applyFont="1" applyAlignment="1">
      <alignment horizontal="center"/>
    </xf>
    <xf numFmtId="167" fontId="4" fillId="0" borderId="0" xfId="0" applyNumberFormat="1" applyFont="1"/>
    <xf numFmtId="164" fontId="4" fillId="0" borderId="0" xfId="0" quotePrefix="1" applyFont="1" applyAlignment="1">
      <alignment horizontal="left"/>
    </xf>
    <xf numFmtId="2" fontId="4" fillId="0" borderId="0" xfId="0" applyNumberFormat="1" applyFont="1"/>
    <xf numFmtId="43" fontId="4" fillId="0" borderId="0" xfId="1" applyFont="1" applyAlignment="1"/>
    <xf numFmtId="164" fontId="8" fillId="0" borderId="0" xfId="0" applyFont="1"/>
    <xf numFmtId="164" fontId="5" fillId="2" borderId="0" xfId="0" applyFont="1" applyFill="1" applyProtection="1">
      <protection locked="0"/>
    </xf>
    <xf numFmtId="165" fontId="5" fillId="2" borderId="0" xfId="0" applyNumberFormat="1" applyFont="1" applyFill="1" applyProtection="1">
      <protection locked="0"/>
    </xf>
    <xf numFmtId="168" fontId="4" fillId="0" borderId="0" xfId="0" applyNumberFormat="1" applyFont="1"/>
    <xf numFmtId="164" fontId="9" fillId="0" borderId="0" xfId="0" applyFont="1"/>
    <xf numFmtId="164" fontId="10" fillId="0" borderId="0" xfId="0" applyFont="1" applyAlignment="1" applyProtection="1">
      <alignment horizontal="left"/>
      <protection locked="0"/>
    </xf>
    <xf numFmtId="166" fontId="4" fillId="3" borderId="0" xfId="0" applyNumberFormat="1" applyFont="1" applyFill="1"/>
    <xf numFmtId="164" fontId="4" fillId="3" borderId="0" xfId="0" applyFont="1" applyFill="1"/>
    <xf numFmtId="164" fontId="5" fillId="3" borderId="0" xfId="0" applyFont="1" applyFill="1" applyProtection="1">
      <protection locked="0"/>
    </xf>
    <xf numFmtId="166" fontId="4" fillId="0" borderId="1" xfId="0" applyNumberFormat="1" applyFont="1" applyBorder="1"/>
    <xf numFmtId="164" fontId="4" fillId="0" borderId="1" xfId="0" applyFont="1" applyBorder="1"/>
    <xf numFmtId="164" fontId="5" fillId="0" borderId="1" xfId="0" applyFont="1" applyBorder="1" applyProtection="1">
      <protection locked="0"/>
    </xf>
    <xf numFmtId="164" fontId="4" fillId="3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61" transitionEvaluation="1"/>
  <dimension ref="A1:AB100"/>
  <sheetViews>
    <sheetView showGridLines="0" tabSelected="1" workbookViewId="0">
      <selection activeCell="J24" sqref="J24:J26"/>
    </sheetView>
  </sheetViews>
  <sheetFormatPr defaultColWidth="10" defaultRowHeight="8.25"/>
  <cols>
    <col min="2" max="2" width="12.796875" customWidth="1"/>
    <col min="3" max="3" width="14.59765625" customWidth="1"/>
    <col min="4" max="4" width="11.59765625" customWidth="1"/>
    <col min="5" max="5" width="11.3984375" customWidth="1"/>
    <col min="6" max="7" width="2" customWidth="1"/>
    <col min="8" max="8" width="15.3984375" customWidth="1"/>
    <col min="9" max="9" width="14.59765625" customWidth="1"/>
    <col min="10" max="10" width="15.19921875" customWidth="1"/>
    <col min="11" max="11" width="14.796875" customWidth="1"/>
    <col min="12" max="12" width="15.3984375" customWidth="1"/>
    <col min="13" max="13" width="15" customWidth="1"/>
    <col min="14" max="14" width="14" customWidth="1"/>
    <col min="18" max="18" width="12.19921875" customWidth="1"/>
    <col min="27" max="27" width="12" customWidth="1"/>
  </cols>
  <sheetData>
    <row r="1" spans="1:28" ht="15.75">
      <c r="A1" s="17" t="s">
        <v>0</v>
      </c>
      <c r="B1" s="4"/>
      <c r="C1" s="4"/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AA1">
        <f>-C6</f>
        <v>-10735.63</v>
      </c>
    </row>
    <row r="2" spans="1:28" ht="18" customHeight="1">
      <c r="A2" s="21" t="s">
        <v>1</v>
      </c>
      <c r="B2" s="21"/>
      <c r="C2" s="21"/>
      <c r="D2" s="22"/>
      <c r="E2" s="21"/>
      <c r="F2" s="21"/>
      <c r="G2" s="21"/>
      <c r="H2" s="21"/>
      <c r="I2" s="10"/>
      <c r="J2" s="10"/>
      <c r="K2" s="10"/>
      <c r="L2" s="10"/>
      <c r="M2" s="10"/>
      <c r="N2" s="10"/>
      <c r="Y2" s="1">
        <v>1</v>
      </c>
      <c r="Z2" s="2">
        <f t="shared" ref="Z2:Z33" si="0">IF(Y2=$C$10+1,$C$5,0)</f>
        <v>0</v>
      </c>
      <c r="AA2" s="2">
        <f t="shared" ref="AA2:AA33" si="1">IF(Y2&lt;=$C$10+1,IF(Y2=$C$10+1,Z2,$C$4),0)</f>
        <v>219.37</v>
      </c>
      <c r="AB2">
        <v>0.01</v>
      </c>
    </row>
    <row r="3" spans="1:28" ht="18" customHeight="1">
      <c r="A3" s="11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Y3" s="1">
        <f t="shared" ref="Y3:Y34" si="2">IF(Y2&lt;$C$10+1,Y2+1,100)</f>
        <v>2</v>
      </c>
      <c r="Z3" s="2">
        <f t="shared" si="0"/>
        <v>0</v>
      </c>
      <c r="AA3" s="2">
        <f t="shared" si="1"/>
        <v>219.37</v>
      </c>
    </row>
    <row r="4" spans="1:28" ht="18" customHeight="1">
      <c r="A4" s="11" t="s">
        <v>3</v>
      </c>
      <c r="B4" s="6"/>
      <c r="C4" s="18">
        <v>219.37</v>
      </c>
      <c r="D4" s="6"/>
      <c r="E4" s="6"/>
      <c r="F4" s="6"/>
      <c r="G4" s="6"/>
      <c r="H4" s="11" t="s">
        <v>4</v>
      </c>
      <c r="I4" s="6"/>
      <c r="J4" s="6"/>
      <c r="K4" s="6"/>
      <c r="L4" s="11" t="s">
        <v>5</v>
      </c>
      <c r="M4" s="11" t="s">
        <v>6</v>
      </c>
      <c r="N4" s="11" t="s">
        <v>7</v>
      </c>
      <c r="Y4" s="1">
        <f t="shared" si="2"/>
        <v>3</v>
      </c>
      <c r="Z4" s="2">
        <f t="shared" si="0"/>
        <v>0</v>
      </c>
      <c r="AA4" s="2">
        <f t="shared" si="1"/>
        <v>219.37</v>
      </c>
    </row>
    <row r="5" spans="1:28" ht="10.5">
      <c r="A5" s="11" t="s">
        <v>8</v>
      </c>
      <c r="B5" s="6"/>
      <c r="C5" s="18">
        <v>220</v>
      </c>
      <c r="D5" s="6"/>
      <c r="E5" s="6"/>
      <c r="F5" s="6"/>
      <c r="G5" s="6"/>
      <c r="H5" s="11" t="s">
        <v>7</v>
      </c>
      <c r="I5" s="12" t="s">
        <v>9</v>
      </c>
      <c r="J5" s="11" t="s">
        <v>6</v>
      </c>
      <c r="K5" s="11" t="s">
        <v>7</v>
      </c>
      <c r="L5" s="11" t="s">
        <v>7</v>
      </c>
      <c r="M5" s="12" t="s">
        <v>10</v>
      </c>
      <c r="N5" s="12" t="s">
        <v>10</v>
      </c>
      <c r="Y5" s="1">
        <f t="shared" si="2"/>
        <v>4</v>
      </c>
      <c r="Z5" s="2">
        <f t="shared" si="0"/>
        <v>0</v>
      </c>
      <c r="AA5" s="2">
        <f t="shared" si="1"/>
        <v>219.37</v>
      </c>
    </row>
    <row r="6" spans="1:28" ht="10.5">
      <c r="A6" s="11" t="s">
        <v>11</v>
      </c>
      <c r="B6" s="6"/>
      <c r="C6" s="18">
        <v>10735.63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Y6" s="1">
        <f t="shared" si="2"/>
        <v>5</v>
      </c>
      <c r="Z6" s="2">
        <f t="shared" si="0"/>
        <v>0</v>
      </c>
      <c r="AA6" s="2">
        <f t="shared" si="1"/>
        <v>219.37</v>
      </c>
    </row>
    <row r="7" spans="1:28" ht="10.5">
      <c r="A7" s="11" t="s">
        <v>12</v>
      </c>
      <c r="B7" s="6"/>
      <c r="C7" s="19">
        <v>11</v>
      </c>
      <c r="D7" s="8">
        <f t="shared" ref="D7:D38" si="3">Y2</f>
        <v>1</v>
      </c>
      <c r="E7" s="5">
        <f>DATE(+$C$8-1900+SUM(Q7),+P7,1)</f>
        <v>44136</v>
      </c>
      <c r="F7" s="13"/>
      <c r="G7" s="6"/>
      <c r="H7" s="7">
        <f>IF(C6&gt;0,C6,0)</f>
        <v>10735.63</v>
      </c>
      <c r="I7" s="7">
        <f t="shared" ref="I7:I41" si="4">$C$4</f>
        <v>219.37</v>
      </c>
      <c r="J7" s="6">
        <f t="shared" ref="J7:J55" si="5">H7*$C$13</f>
        <v>74.521732262037617</v>
      </c>
      <c r="K7" s="6">
        <f t="shared" ref="K7:K55" si="6">I7-J7</f>
        <v>144.84826773796237</v>
      </c>
      <c r="L7" s="6">
        <f t="shared" ref="L7:L55" si="7">H7-K7</f>
        <v>10590.781732262038</v>
      </c>
      <c r="M7" s="6">
        <f>J7</f>
        <v>74.521732262037617</v>
      </c>
      <c r="N7" s="6">
        <f>K7</f>
        <v>144.84826773796237</v>
      </c>
      <c r="O7" s="3">
        <f>C7</f>
        <v>11</v>
      </c>
      <c r="P7" s="3">
        <f t="shared" ref="P7:P58" si="8">IF(O7=60,12,IF(O7=12,12,IF(O7=24,12,IF(O7=36,12,IF(O7=48,12,MOD(O7,12))))))</f>
        <v>11</v>
      </c>
      <c r="Q7">
        <v>0</v>
      </c>
      <c r="R7">
        <f t="shared" ref="R7:R55" si="9">IF(P7=$C$9,N7,0)</f>
        <v>0</v>
      </c>
      <c r="S7">
        <f>IF(P7=$C$9,SUM($I$7:I7),0)</f>
        <v>0</v>
      </c>
      <c r="Y7" s="1">
        <f t="shared" si="2"/>
        <v>6</v>
      </c>
      <c r="Z7" s="2">
        <f t="shared" si="0"/>
        <v>0</v>
      </c>
      <c r="AA7" s="2">
        <f t="shared" si="1"/>
        <v>219.37</v>
      </c>
    </row>
    <row r="8" spans="1:28" ht="10.5">
      <c r="A8" s="11" t="s">
        <v>13</v>
      </c>
      <c r="B8" s="6"/>
      <c r="C8" s="19">
        <v>2020</v>
      </c>
      <c r="D8" s="8">
        <f t="shared" si="3"/>
        <v>2</v>
      </c>
      <c r="E8" s="5">
        <f>DATE(+$C$8-1900+SUM($Q$7:Q8),+P8,1)</f>
        <v>44166</v>
      </c>
      <c r="F8" s="6"/>
      <c r="G8" s="6"/>
      <c r="H8" s="7">
        <f t="shared" ref="H8:H54" si="10">IF(L7&gt;0,L7,0)</f>
        <v>10590.781732262038</v>
      </c>
      <c r="I8" s="7">
        <f t="shared" si="4"/>
        <v>219.37</v>
      </c>
      <c r="J8" s="6">
        <f t="shared" si="5"/>
        <v>73.516263199952931</v>
      </c>
      <c r="K8" s="6">
        <f t="shared" si="6"/>
        <v>145.85373680004707</v>
      </c>
      <c r="L8" s="6">
        <f t="shared" si="7"/>
        <v>10444.927995461991</v>
      </c>
      <c r="M8" s="6">
        <f t="shared" ref="M8:M55" si="11">IF(L8&gt;0,M7+J8,0)</f>
        <v>148.03799546199053</v>
      </c>
      <c r="N8" s="6">
        <f t="shared" ref="N8:N55" si="12">N7+K8</f>
        <v>290.70200453800942</v>
      </c>
      <c r="O8" s="3">
        <f t="shared" ref="O8:O55" si="13">O7+1</f>
        <v>12</v>
      </c>
      <c r="P8" s="3">
        <f t="shared" si="8"/>
        <v>12</v>
      </c>
      <c r="Q8">
        <f t="shared" ref="Q8:Q55" si="14">IF(P7=12,1,0)</f>
        <v>0</v>
      </c>
      <c r="R8">
        <f t="shared" si="9"/>
        <v>0</v>
      </c>
      <c r="S8">
        <f>IF(P8=$C$9,SUM($I$7:I8),0)</f>
        <v>0</v>
      </c>
      <c r="Y8" s="1">
        <f t="shared" si="2"/>
        <v>7</v>
      </c>
      <c r="Z8" s="2">
        <f t="shared" si="0"/>
        <v>0</v>
      </c>
      <c r="AA8" s="2">
        <f t="shared" si="1"/>
        <v>219.37</v>
      </c>
    </row>
    <row r="9" spans="1:28" ht="10.5">
      <c r="A9" s="11" t="s">
        <v>14</v>
      </c>
      <c r="B9" s="6"/>
      <c r="C9" s="19">
        <v>6</v>
      </c>
      <c r="D9" s="8">
        <f t="shared" si="3"/>
        <v>3</v>
      </c>
      <c r="E9" s="5">
        <f>DATE(+$C$8-1900+SUM($Q$7:Q9),+P9,1)</f>
        <v>44197</v>
      </c>
      <c r="F9" s="6"/>
      <c r="G9" s="6"/>
      <c r="H9" s="7">
        <f t="shared" si="10"/>
        <v>10444.927995461991</v>
      </c>
      <c r="I9" s="7">
        <f t="shared" si="4"/>
        <v>219.37</v>
      </c>
      <c r="J9" s="6">
        <f t="shared" si="5"/>
        <v>72.503814640974014</v>
      </c>
      <c r="K9" s="6">
        <f t="shared" si="6"/>
        <v>146.86618535902599</v>
      </c>
      <c r="L9" s="6">
        <f t="shared" si="7"/>
        <v>10298.061810102965</v>
      </c>
      <c r="M9" s="6">
        <f t="shared" si="11"/>
        <v>220.54181010296455</v>
      </c>
      <c r="N9" s="6">
        <f t="shared" si="12"/>
        <v>437.56818989703538</v>
      </c>
      <c r="O9" s="3">
        <f t="shared" si="13"/>
        <v>13</v>
      </c>
      <c r="P9" s="3">
        <f t="shared" si="8"/>
        <v>1</v>
      </c>
      <c r="Q9">
        <f t="shared" si="14"/>
        <v>1</v>
      </c>
      <c r="R9">
        <f t="shared" si="9"/>
        <v>0</v>
      </c>
      <c r="S9">
        <f>IF(P9=$C$9,SUM($I$7:I9),0)</f>
        <v>0</v>
      </c>
      <c r="Y9" s="1">
        <f t="shared" si="2"/>
        <v>8</v>
      </c>
      <c r="Z9" s="2">
        <f t="shared" si="0"/>
        <v>0</v>
      </c>
      <c r="AA9" s="2">
        <f t="shared" si="1"/>
        <v>219.37</v>
      </c>
    </row>
    <row r="10" spans="1:28" ht="10.5">
      <c r="A10" s="11" t="s">
        <v>15</v>
      </c>
      <c r="B10" s="6"/>
      <c r="C10" s="19">
        <v>59</v>
      </c>
      <c r="D10" s="8">
        <f t="shared" si="3"/>
        <v>4</v>
      </c>
      <c r="E10" s="5">
        <f>DATE(+$C$8-1900+SUM($Q$7:Q10),+P10,1)</f>
        <v>44228</v>
      </c>
      <c r="F10" s="6"/>
      <c r="G10" s="6"/>
      <c r="H10" s="7">
        <f t="shared" si="10"/>
        <v>10298.061810102965</v>
      </c>
      <c r="I10" s="7">
        <f t="shared" si="4"/>
        <v>219.37</v>
      </c>
      <c r="J10" s="6">
        <f t="shared" si="5"/>
        <v>71.484338136691349</v>
      </c>
      <c r="K10" s="6">
        <f t="shared" si="6"/>
        <v>147.88566186330866</v>
      </c>
      <c r="L10" s="6">
        <f t="shared" si="7"/>
        <v>10150.176148239656</v>
      </c>
      <c r="M10" s="6">
        <f t="shared" si="11"/>
        <v>292.02614823965587</v>
      </c>
      <c r="N10" s="6">
        <f t="shared" si="12"/>
        <v>585.45385176034404</v>
      </c>
      <c r="O10" s="3">
        <f t="shared" si="13"/>
        <v>14</v>
      </c>
      <c r="P10" s="3">
        <f t="shared" si="8"/>
        <v>2</v>
      </c>
      <c r="Q10">
        <f t="shared" si="14"/>
        <v>0</v>
      </c>
      <c r="R10">
        <f t="shared" si="9"/>
        <v>0</v>
      </c>
      <c r="S10">
        <f>IF(P10=$C$9,SUM($I$7:I10),0)</f>
        <v>0</v>
      </c>
      <c r="Y10" s="1">
        <f t="shared" si="2"/>
        <v>9</v>
      </c>
      <c r="Z10" s="2">
        <f t="shared" si="0"/>
        <v>0</v>
      </c>
      <c r="AA10" s="2">
        <f t="shared" si="1"/>
        <v>219.37</v>
      </c>
    </row>
    <row r="11" spans="1:28" ht="10.5">
      <c r="A11" s="6"/>
      <c r="B11" s="6"/>
      <c r="C11" s="6"/>
      <c r="D11" s="8">
        <f t="shared" si="3"/>
        <v>5</v>
      </c>
      <c r="E11" s="5">
        <f>DATE(+$C$8-1900+SUM($Q$7:Q11),+P11,1)</f>
        <v>44256</v>
      </c>
      <c r="F11" s="6"/>
      <c r="G11" s="6"/>
      <c r="H11" s="7">
        <f t="shared" si="10"/>
        <v>10150.176148239656</v>
      </c>
      <c r="I11" s="7">
        <f t="shared" si="4"/>
        <v>219.37</v>
      </c>
      <c r="J11" s="6">
        <f t="shared" si="5"/>
        <v>70.45778490238915</v>
      </c>
      <c r="K11" s="6">
        <f t="shared" si="6"/>
        <v>148.91221509761084</v>
      </c>
      <c r="L11" s="6">
        <f t="shared" si="7"/>
        <v>10001.263933142045</v>
      </c>
      <c r="M11" s="6">
        <f t="shared" si="11"/>
        <v>362.48393314204503</v>
      </c>
      <c r="N11" s="6">
        <f t="shared" si="12"/>
        <v>734.36606685795482</v>
      </c>
      <c r="O11" s="3">
        <f t="shared" si="13"/>
        <v>15</v>
      </c>
      <c r="P11" s="3">
        <f t="shared" si="8"/>
        <v>3</v>
      </c>
      <c r="Q11">
        <f t="shared" si="14"/>
        <v>0</v>
      </c>
      <c r="R11">
        <f t="shared" si="9"/>
        <v>0</v>
      </c>
      <c r="S11">
        <f>IF(P11=$C$9,SUM($I$7:I11),0)</f>
        <v>0</v>
      </c>
      <c r="Y11" s="1">
        <f t="shared" si="2"/>
        <v>10</v>
      </c>
      <c r="Z11" s="2">
        <f t="shared" si="0"/>
        <v>0</v>
      </c>
      <c r="AA11" s="2">
        <f t="shared" si="1"/>
        <v>219.37</v>
      </c>
    </row>
    <row r="12" spans="1:28" ht="10.5">
      <c r="A12" s="6"/>
      <c r="B12" s="6"/>
      <c r="C12" s="6"/>
      <c r="D12" s="8">
        <f t="shared" si="3"/>
        <v>6</v>
      </c>
      <c r="E12" s="5">
        <f>DATE(+$C$8-1900+SUM($Q$7:Q12),+P12,1)</f>
        <v>44287</v>
      </c>
      <c r="F12" s="6"/>
      <c r="G12" s="6"/>
      <c r="H12" s="7">
        <f t="shared" si="10"/>
        <v>10001.263933142045</v>
      </c>
      <c r="I12" s="7">
        <f t="shared" si="4"/>
        <v>219.37</v>
      </c>
      <c r="J12" s="6">
        <f t="shared" si="5"/>
        <v>69.424105814710913</v>
      </c>
      <c r="K12" s="6">
        <f t="shared" si="6"/>
        <v>149.94589418528909</v>
      </c>
      <c r="L12" s="6">
        <f t="shared" si="7"/>
        <v>9851.3180389567551</v>
      </c>
      <c r="M12" s="6">
        <f t="shared" si="11"/>
        <v>431.90803895675595</v>
      </c>
      <c r="N12" s="6">
        <f t="shared" si="12"/>
        <v>884.31196104324385</v>
      </c>
      <c r="O12" s="3">
        <f t="shared" si="13"/>
        <v>16</v>
      </c>
      <c r="P12" s="3">
        <f t="shared" si="8"/>
        <v>4</v>
      </c>
      <c r="Q12">
        <f t="shared" si="14"/>
        <v>0</v>
      </c>
      <c r="R12">
        <f t="shared" si="9"/>
        <v>0</v>
      </c>
      <c r="S12">
        <f>IF(P12=$C$9,SUM($I$7:I12),0)</f>
        <v>0</v>
      </c>
      <c r="Y12" s="1">
        <f t="shared" si="2"/>
        <v>11</v>
      </c>
      <c r="Z12" s="2">
        <f t="shared" si="0"/>
        <v>0</v>
      </c>
      <c r="AA12" s="2">
        <f t="shared" si="1"/>
        <v>219.37</v>
      </c>
    </row>
    <row r="13" spans="1:28" ht="10.5">
      <c r="A13" s="11" t="s">
        <v>16</v>
      </c>
      <c r="B13" s="6"/>
      <c r="C13" s="20">
        <f>IRR(AA1:AA73,AB2)</f>
        <v>6.9415332180819966E-3</v>
      </c>
      <c r="D13" s="8">
        <f t="shared" si="3"/>
        <v>7</v>
      </c>
      <c r="E13" s="5">
        <f>DATE(+$C$8-1900+SUM($Q$7:Q13),+P13,1)</f>
        <v>44317</v>
      </c>
      <c r="F13" s="6"/>
      <c r="G13" s="6"/>
      <c r="H13" s="7">
        <f t="shared" si="10"/>
        <v>9851.3180389567551</v>
      </c>
      <c r="I13" s="7">
        <f t="shared" si="4"/>
        <v>219.37</v>
      </c>
      <c r="J13" s="6">
        <f t="shared" si="5"/>
        <v>68.383251409308713</v>
      </c>
      <c r="K13" s="6">
        <f t="shared" si="6"/>
        <v>150.98674859069129</v>
      </c>
      <c r="L13" s="6">
        <f t="shared" si="7"/>
        <v>9700.3312903660644</v>
      </c>
      <c r="M13" s="6">
        <f t="shared" si="11"/>
        <v>500.29129036606469</v>
      </c>
      <c r="N13" s="6">
        <f t="shared" si="12"/>
        <v>1035.2987096339352</v>
      </c>
      <c r="O13" s="3">
        <f t="shared" si="13"/>
        <v>17</v>
      </c>
      <c r="P13" s="3">
        <f t="shared" si="8"/>
        <v>5</v>
      </c>
      <c r="Q13">
        <f t="shared" si="14"/>
        <v>0</v>
      </c>
      <c r="R13">
        <f t="shared" si="9"/>
        <v>0</v>
      </c>
      <c r="S13">
        <f>IF(P13=$C$9,SUM($I$7:I13),0)</f>
        <v>0</v>
      </c>
      <c r="Y13" s="1">
        <f t="shared" si="2"/>
        <v>12</v>
      </c>
      <c r="Z13" s="2">
        <f t="shared" si="0"/>
        <v>0</v>
      </c>
      <c r="AA13" s="2">
        <f t="shared" si="1"/>
        <v>219.37</v>
      </c>
    </row>
    <row r="14" spans="1:28" ht="10.5">
      <c r="A14" s="6"/>
      <c r="B14" s="6"/>
      <c r="C14" s="6"/>
      <c r="D14" s="8">
        <f t="shared" si="3"/>
        <v>8</v>
      </c>
      <c r="E14" s="23">
        <f>DATE(+$C$8-1900+SUM($Q$7:Q14),+P14,1)</f>
        <v>44348</v>
      </c>
      <c r="F14" s="24"/>
      <c r="G14" s="24"/>
      <c r="H14" s="25">
        <f t="shared" si="10"/>
        <v>9700.3312903660644</v>
      </c>
      <c r="I14" s="25">
        <f t="shared" si="4"/>
        <v>219.37</v>
      </c>
      <c r="J14" s="24">
        <f t="shared" si="5"/>
        <v>67.335171878476231</v>
      </c>
      <c r="K14" s="24">
        <f t="shared" si="6"/>
        <v>152.03482812152379</v>
      </c>
      <c r="L14" s="24">
        <f t="shared" si="7"/>
        <v>9548.2964622445397</v>
      </c>
      <c r="M14" s="24">
        <f t="shared" si="11"/>
        <v>567.6264622445409</v>
      </c>
      <c r="N14" s="24">
        <f t="shared" si="12"/>
        <v>1187.333537755459</v>
      </c>
      <c r="O14" s="3">
        <f t="shared" si="13"/>
        <v>18</v>
      </c>
      <c r="P14" s="3">
        <f t="shared" si="8"/>
        <v>6</v>
      </c>
      <c r="Q14">
        <f t="shared" si="14"/>
        <v>0</v>
      </c>
      <c r="R14">
        <f t="shared" si="9"/>
        <v>1187.333537755459</v>
      </c>
      <c r="S14">
        <f>IF(P14=$C$9,SUM($I$7:I14),0)</f>
        <v>1754.9599999999996</v>
      </c>
      <c r="Y14" s="1">
        <f t="shared" si="2"/>
        <v>13</v>
      </c>
      <c r="Z14" s="2">
        <f t="shared" si="0"/>
        <v>0</v>
      </c>
      <c r="AA14" s="2">
        <f t="shared" si="1"/>
        <v>219.37</v>
      </c>
    </row>
    <row r="15" spans="1:28" ht="10.5">
      <c r="A15" s="6"/>
      <c r="B15" s="6"/>
      <c r="C15" s="6"/>
      <c r="D15" s="8">
        <f t="shared" si="3"/>
        <v>9</v>
      </c>
      <c r="E15" s="5">
        <f>DATE(+$C$8-1900+SUM($Q$7:Q15),+P15,1)</f>
        <v>44378</v>
      </c>
      <c r="F15" s="6"/>
      <c r="G15" s="6"/>
      <c r="H15" s="7">
        <f t="shared" si="10"/>
        <v>9548.2964622445397</v>
      </c>
      <c r="I15" s="7">
        <f t="shared" si="4"/>
        <v>219.37</v>
      </c>
      <c r="J15" s="24">
        <f t="shared" si="5"/>
        <v>66.279817068765283</v>
      </c>
      <c r="K15" s="6">
        <f t="shared" si="6"/>
        <v>153.09018293123472</v>
      </c>
      <c r="L15" s="6">
        <f t="shared" si="7"/>
        <v>9395.2062793133045</v>
      </c>
      <c r="M15" s="6">
        <f t="shared" si="11"/>
        <v>633.90627931330619</v>
      </c>
      <c r="N15" s="6">
        <f t="shared" si="12"/>
        <v>1340.4237206866937</v>
      </c>
      <c r="O15" s="3">
        <f t="shared" si="13"/>
        <v>19</v>
      </c>
      <c r="P15" s="3">
        <f t="shared" si="8"/>
        <v>7</v>
      </c>
      <c r="Q15">
        <f t="shared" si="14"/>
        <v>0</v>
      </c>
      <c r="R15">
        <f t="shared" si="9"/>
        <v>0</v>
      </c>
      <c r="S15">
        <f>IF(P15=$C$9,SUM($I$7:I15),0)</f>
        <v>0</v>
      </c>
      <c r="Y15" s="1">
        <f t="shared" si="2"/>
        <v>14</v>
      </c>
      <c r="Z15" s="2">
        <f t="shared" si="0"/>
        <v>0</v>
      </c>
      <c r="AA15" s="2">
        <f t="shared" si="1"/>
        <v>219.37</v>
      </c>
    </row>
    <row r="16" spans="1:28" ht="10.5">
      <c r="D16" s="8">
        <f t="shared" si="3"/>
        <v>10</v>
      </c>
      <c r="E16" s="5">
        <f>DATE(+$C$8-1900+SUM($Q$7:Q16),+P16,1)</f>
        <v>44409</v>
      </c>
      <c r="F16" s="6"/>
      <c r="G16" s="6"/>
      <c r="H16" s="7">
        <f t="shared" si="10"/>
        <v>9395.2062793133045</v>
      </c>
      <c r="I16" s="7">
        <f t="shared" si="4"/>
        <v>219.37</v>
      </c>
      <c r="J16" s="24">
        <f t="shared" si="5"/>
        <v>65.217136478585871</v>
      </c>
      <c r="K16" s="6">
        <f t="shared" si="6"/>
        <v>154.15286352141413</v>
      </c>
      <c r="L16" s="6">
        <f t="shared" si="7"/>
        <v>9241.0534157918901</v>
      </c>
      <c r="M16" s="6">
        <f t="shared" si="11"/>
        <v>699.12341579189206</v>
      </c>
      <c r="N16" s="6">
        <f t="shared" si="12"/>
        <v>1494.5765842081078</v>
      </c>
      <c r="O16" s="3">
        <f t="shared" si="13"/>
        <v>20</v>
      </c>
      <c r="P16" s="3">
        <f t="shared" si="8"/>
        <v>8</v>
      </c>
      <c r="Q16">
        <f t="shared" si="14"/>
        <v>0</v>
      </c>
      <c r="R16">
        <f t="shared" si="9"/>
        <v>0</v>
      </c>
      <c r="S16">
        <f>IF(P16=$C$9,SUM($I$7:I16),0)</f>
        <v>0</v>
      </c>
      <c r="Y16" s="1">
        <f t="shared" si="2"/>
        <v>15</v>
      </c>
      <c r="Z16" s="2">
        <f t="shared" si="0"/>
        <v>0</v>
      </c>
      <c r="AA16" s="2">
        <f t="shared" si="1"/>
        <v>219.37</v>
      </c>
    </row>
    <row r="17" spans="4:27" ht="10.5">
      <c r="D17" s="8">
        <f t="shared" si="3"/>
        <v>11</v>
      </c>
      <c r="E17" s="5">
        <f>DATE(+$C$8-1900+SUM($Q$7:Q17),+P17,1)</f>
        <v>44440</v>
      </c>
      <c r="F17" s="6"/>
      <c r="G17" s="6"/>
      <c r="H17" s="7">
        <f t="shared" si="10"/>
        <v>9241.0534157918901</v>
      </c>
      <c r="I17" s="7">
        <f t="shared" si="4"/>
        <v>219.37</v>
      </c>
      <c r="J17" s="24">
        <f t="shared" si="5"/>
        <v>64.147079255789507</v>
      </c>
      <c r="K17" s="6">
        <f t="shared" si="6"/>
        <v>155.22292074421051</v>
      </c>
      <c r="L17" s="6">
        <f t="shared" si="7"/>
        <v>9085.8304950476795</v>
      </c>
      <c r="M17" s="6">
        <f t="shared" si="11"/>
        <v>763.27049504768161</v>
      </c>
      <c r="N17" s="6">
        <f t="shared" si="12"/>
        <v>1649.7995049523183</v>
      </c>
      <c r="O17" s="3">
        <f t="shared" si="13"/>
        <v>21</v>
      </c>
      <c r="P17" s="3">
        <f t="shared" si="8"/>
        <v>9</v>
      </c>
      <c r="Q17">
        <f t="shared" si="14"/>
        <v>0</v>
      </c>
      <c r="R17">
        <f t="shared" si="9"/>
        <v>0</v>
      </c>
      <c r="S17">
        <f>IF(P17=$C$9,SUM($I$7:I17),0)</f>
        <v>0</v>
      </c>
      <c r="Y17" s="1">
        <f t="shared" si="2"/>
        <v>16</v>
      </c>
      <c r="Z17" s="2">
        <f t="shared" si="0"/>
        <v>0</v>
      </c>
      <c r="AA17" s="2">
        <f t="shared" si="1"/>
        <v>219.37</v>
      </c>
    </row>
    <row r="18" spans="4:27" ht="10.5">
      <c r="D18" s="8">
        <f t="shared" si="3"/>
        <v>12</v>
      </c>
      <c r="E18" s="5">
        <f>DATE(+$C$8-1900+SUM($Q$7:Q18),+P18,1)</f>
        <v>44470</v>
      </c>
      <c r="F18" s="6"/>
      <c r="G18" s="6"/>
      <c r="H18" s="7">
        <f t="shared" si="10"/>
        <v>9085.8304950476795</v>
      </c>
      <c r="I18" s="7">
        <f t="shared" si="4"/>
        <v>219.37</v>
      </c>
      <c r="J18" s="24">
        <f t="shared" si="5"/>
        <v>63.069594195235858</v>
      </c>
      <c r="K18" s="6">
        <f t="shared" si="6"/>
        <v>156.30040580476415</v>
      </c>
      <c r="L18" s="6">
        <f t="shared" si="7"/>
        <v>8929.530089242915</v>
      </c>
      <c r="M18" s="6">
        <f t="shared" si="11"/>
        <v>826.34008924291743</v>
      </c>
      <c r="N18" s="6">
        <f t="shared" si="12"/>
        <v>1806.0999107570824</v>
      </c>
      <c r="O18" s="3">
        <f t="shared" si="13"/>
        <v>22</v>
      </c>
      <c r="P18" s="3">
        <f t="shared" si="8"/>
        <v>10</v>
      </c>
      <c r="Q18">
        <f t="shared" si="14"/>
        <v>0</v>
      </c>
      <c r="R18">
        <f t="shared" si="9"/>
        <v>0</v>
      </c>
      <c r="S18">
        <f>IF(P18=$C$9,SUM($I$7:I18),0)</f>
        <v>0</v>
      </c>
      <c r="Y18" s="1">
        <f t="shared" si="2"/>
        <v>17</v>
      </c>
      <c r="Z18" s="2">
        <f t="shared" si="0"/>
        <v>0</v>
      </c>
      <c r="AA18" s="2">
        <f t="shared" si="1"/>
        <v>219.37</v>
      </c>
    </row>
    <row r="19" spans="4:27" ht="10.5">
      <c r="D19" s="8">
        <f t="shared" si="3"/>
        <v>13</v>
      </c>
      <c r="E19" s="5">
        <f>DATE(+$C$8-1900+SUM($Q$7:Q19),+P19,1)</f>
        <v>44501</v>
      </c>
      <c r="F19" s="6"/>
      <c r="G19" s="6"/>
      <c r="H19" s="7">
        <f t="shared" si="10"/>
        <v>8929.530089242915</v>
      </c>
      <c r="I19" s="7">
        <f t="shared" si="4"/>
        <v>219.37</v>
      </c>
      <c r="J19" s="24">
        <f t="shared" si="5"/>
        <v>61.984629736342391</v>
      </c>
      <c r="K19" s="6">
        <f t="shared" si="6"/>
        <v>157.38537026365762</v>
      </c>
      <c r="L19" s="6">
        <f t="shared" si="7"/>
        <v>8772.144718979258</v>
      </c>
      <c r="M19" s="6">
        <f t="shared" si="11"/>
        <v>888.32471897925984</v>
      </c>
      <c r="N19" s="6">
        <f t="shared" si="12"/>
        <v>1963.4852810207401</v>
      </c>
      <c r="O19" s="3">
        <f t="shared" si="13"/>
        <v>23</v>
      </c>
      <c r="P19" s="3">
        <f t="shared" si="8"/>
        <v>11</v>
      </c>
      <c r="Q19">
        <f t="shared" si="14"/>
        <v>0</v>
      </c>
      <c r="R19">
        <f t="shared" si="9"/>
        <v>0</v>
      </c>
      <c r="S19">
        <f>IF(P19=$C$9,SUM($I$7:I19),0)</f>
        <v>0</v>
      </c>
      <c r="Y19" s="1">
        <f t="shared" si="2"/>
        <v>18</v>
      </c>
      <c r="Z19" s="2">
        <f t="shared" si="0"/>
        <v>0</v>
      </c>
      <c r="AA19" s="2">
        <f t="shared" si="1"/>
        <v>219.37</v>
      </c>
    </row>
    <row r="20" spans="4:27" ht="10.5">
      <c r="D20" s="8">
        <f t="shared" si="3"/>
        <v>14</v>
      </c>
      <c r="E20" s="5">
        <f>DATE(+$C$8-1900+SUM($Q$7:Q20),+P20,1)</f>
        <v>44531</v>
      </c>
      <c r="F20" s="6"/>
      <c r="G20" s="6"/>
      <c r="H20" s="7">
        <f t="shared" si="10"/>
        <v>8772.144718979258</v>
      </c>
      <c r="I20" s="7">
        <f t="shared" si="4"/>
        <v>219.37</v>
      </c>
      <c r="J20" s="24">
        <f t="shared" si="5"/>
        <v>60.89213396061708</v>
      </c>
      <c r="K20" s="6">
        <f t="shared" si="6"/>
        <v>158.47786603938292</v>
      </c>
      <c r="L20" s="6">
        <f t="shared" si="7"/>
        <v>8613.6668529398758</v>
      </c>
      <c r="M20" s="6">
        <f t="shared" si="11"/>
        <v>949.21685293987696</v>
      </c>
      <c r="N20" s="6">
        <f t="shared" si="12"/>
        <v>2121.963147060123</v>
      </c>
      <c r="O20" s="3">
        <f t="shared" si="13"/>
        <v>24</v>
      </c>
      <c r="P20" s="3">
        <f t="shared" si="8"/>
        <v>12</v>
      </c>
      <c r="Q20">
        <f t="shared" si="14"/>
        <v>0</v>
      </c>
      <c r="R20">
        <f t="shared" si="9"/>
        <v>0</v>
      </c>
      <c r="S20">
        <f>IF(P20=$C$9,SUM($I$7:I20),0)</f>
        <v>0</v>
      </c>
      <c r="Y20" s="1">
        <f t="shared" si="2"/>
        <v>19</v>
      </c>
      <c r="Z20" s="2">
        <f t="shared" si="0"/>
        <v>0</v>
      </c>
      <c r="AA20" s="2">
        <f t="shared" si="1"/>
        <v>219.37</v>
      </c>
    </row>
    <row r="21" spans="4:27" ht="10.5">
      <c r="D21" s="8">
        <f t="shared" si="3"/>
        <v>15</v>
      </c>
      <c r="E21" s="5">
        <f>DATE(+$C$8-1900+SUM($Q$7:Q21),+P21,1)</f>
        <v>44562</v>
      </c>
      <c r="F21" s="6"/>
      <c r="G21" s="6"/>
      <c r="H21" s="7">
        <f t="shared" si="10"/>
        <v>8613.6668529398758</v>
      </c>
      <c r="I21" s="7">
        <f t="shared" si="4"/>
        <v>219.37</v>
      </c>
      <c r="J21" s="24">
        <f t="shared" si="5"/>
        <v>59.792054589173958</v>
      </c>
      <c r="K21" s="6">
        <f t="shared" si="6"/>
        <v>159.57794541082603</v>
      </c>
      <c r="L21" s="6">
        <f t="shared" si="7"/>
        <v>8454.0889075290506</v>
      </c>
      <c r="M21" s="6">
        <f t="shared" si="11"/>
        <v>1009.0089075290509</v>
      </c>
      <c r="N21" s="6">
        <f t="shared" si="12"/>
        <v>2281.541092470949</v>
      </c>
      <c r="O21" s="3">
        <f t="shared" si="13"/>
        <v>25</v>
      </c>
      <c r="P21" s="3">
        <f t="shared" si="8"/>
        <v>1</v>
      </c>
      <c r="Q21">
        <f t="shared" si="14"/>
        <v>1</v>
      </c>
      <c r="R21">
        <f t="shared" si="9"/>
        <v>0</v>
      </c>
      <c r="S21">
        <f>IF(P21=$C$9,SUM($I$7:I21),0)</f>
        <v>0</v>
      </c>
      <c r="Y21" s="1">
        <f t="shared" si="2"/>
        <v>20</v>
      </c>
      <c r="Z21" s="2">
        <f t="shared" si="0"/>
        <v>0</v>
      </c>
      <c r="AA21" s="2">
        <f t="shared" si="1"/>
        <v>219.37</v>
      </c>
    </row>
    <row r="22" spans="4:27" ht="10.5">
      <c r="D22" s="8">
        <f t="shared" si="3"/>
        <v>16</v>
      </c>
      <c r="E22" s="5">
        <f>DATE(+$C$8-1900+SUM($Q$7:Q22),+P22,1)</f>
        <v>44593</v>
      </c>
      <c r="F22" s="6"/>
      <c r="G22" s="6"/>
      <c r="H22" s="7">
        <f t="shared" si="10"/>
        <v>8454.0889075290506</v>
      </c>
      <c r="I22" s="7">
        <f t="shared" si="4"/>
        <v>219.37</v>
      </c>
      <c r="J22" s="24">
        <f t="shared" si="5"/>
        <v>58.684338980231445</v>
      </c>
      <c r="K22" s="6">
        <f t="shared" si="6"/>
        <v>160.68566101976856</v>
      </c>
      <c r="L22" s="6">
        <f t="shared" si="7"/>
        <v>8293.4032465092823</v>
      </c>
      <c r="M22" s="6">
        <f t="shared" si="11"/>
        <v>1067.6932465092823</v>
      </c>
      <c r="N22" s="6">
        <f t="shared" si="12"/>
        <v>2442.2267534907178</v>
      </c>
      <c r="O22" s="3">
        <f t="shared" si="13"/>
        <v>26</v>
      </c>
      <c r="P22" s="3">
        <f t="shared" si="8"/>
        <v>2</v>
      </c>
      <c r="Q22">
        <f t="shared" si="14"/>
        <v>0</v>
      </c>
      <c r="R22">
        <f t="shared" si="9"/>
        <v>0</v>
      </c>
      <c r="S22">
        <f>IF(P22=$C$9,SUM($I$7:I22),0)</f>
        <v>0</v>
      </c>
      <c r="Y22" s="1">
        <f t="shared" si="2"/>
        <v>21</v>
      </c>
      <c r="Z22" s="2">
        <f t="shared" si="0"/>
        <v>0</v>
      </c>
      <c r="AA22" s="2">
        <f t="shared" si="1"/>
        <v>219.37</v>
      </c>
    </row>
    <row r="23" spans="4:27" ht="10.5">
      <c r="D23" s="8">
        <f t="shared" si="3"/>
        <v>17</v>
      </c>
      <c r="E23" s="5">
        <f>DATE(+$C$8-1900+SUM($Q$7:Q23),+P23,1)</f>
        <v>44621</v>
      </c>
      <c r="F23" s="6"/>
      <c r="G23" s="6"/>
      <c r="H23" s="7">
        <f t="shared" si="10"/>
        <v>8293.4032465092823</v>
      </c>
      <c r="I23" s="7">
        <f t="shared" si="4"/>
        <v>219.37</v>
      </c>
      <c r="J23" s="24">
        <f t="shared" si="5"/>
        <v>57.568934126593255</v>
      </c>
      <c r="K23" s="6">
        <f t="shared" si="6"/>
        <v>161.80106587340674</v>
      </c>
      <c r="L23" s="6">
        <f t="shared" si="7"/>
        <v>8131.6021806358758</v>
      </c>
      <c r="M23" s="6">
        <f t="shared" si="11"/>
        <v>1125.2621806358754</v>
      </c>
      <c r="N23" s="6">
        <f t="shared" si="12"/>
        <v>2604.0278193641243</v>
      </c>
      <c r="O23" s="3">
        <f t="shared" si="13"/>
        <v>27</v>
      </c>
      <c r="P23" s="3">
        <f t="shared" si="8"/>
        <v>3</v>
      </c>
      <c r="Q23">
        <f t="shared" si="14"/>
        <v>0</v>
      </c>
      <c r="R23">
        <f t="shared" si="9"/>
        <v>0</v>
      </c>
      <c r="S23">
        <f>IF(P23=$C$9,SUM($I$7:I23),0)</f>
        <v>0</v>
      </c>
      <c r="Y23" s="1">
        <f t="shared" si="2"/>
        <v>22</v>
      </c>
      <c r="Z23" s="2">
        <f t="shared" si="0"/>
        <v>0</v>
      </c>
      <c r="AA23" s="2">
        <f t="shared" si="1"/>
        <v>219.37</v>
      </c>
    </row>
    <row r="24" spans="4:27" ht="10.5">
      <c r="D24" s="8">
        <f t="shared" si="3"/>
        <v>18</v>
      </c>
      <c r="E24" s="5">
        <f>DATE(+$C$8-1900+SUM($Q$7:Q24),+P24,1)</f>
        <v>44652</v>
      </c>
      <c r="F24" s="6"/>
      <c r="G24" s="6"/>
      <c r="H24" s="7">
        <f t="shared" si="10"/>
        <v>8131.6021806358758</v>
      </c>
      <c r="I24" s="7">
        <f t="shared" si="4"/>
        <v>219.37</v>
      </c>
      <c r="J24" s="24">
        <f t="shared" si="5"/>
        <v>56.445786653111931</v>
      </c>
      <c r="K24" s="6">
        <f t="shared" si="6"/>
        <v>162.92421334688808</v>
      </c>
      <c r="L24" s="6">
        <f t="shared" si="7"/>
        <v>7968.6779672889879</v>
      </c>
      <c r="M24" s="6">
        <f t="shared" si="11"/>
        <v>1181.7079672889874</v>
      </c>
      <c r="N24" s="6">
        <f t="shared" si="12"/>
        <v>2766.9520327110122</v>
      </c>
      <c r="O24" s="3">
        <f t="shared" si="13"/>
        <v>28</v>
      </c>
      <c r="P24" s="3">
        <f t="shared" si="8"/>
        <v>4</v>
      </c>
      <c r="Q24">
        <f t="shared" si="14"/>
        <v>0</v>
      </c>
      <c r="R24">
        <f t="shared" si="9"/>
        <v>0</v>
      </c>
      <c r="S24">
        <f>IF(P24=$C$9,SUM($I$7:I24),0)</f>
        <v>0</v>
      </c>
      <c r="Y24" s="1">
        <f t="shared" si="2"/>
        <v>23</v>
      </c>
      <c r="Z24" s="2">
        <f t="shared" si="0"/>
        <v>0</v>
      </c>
      <c r="AA24" s="2">
        <f t="shared" si="1"/>
        <v>219.37</v>
      </c>
    </row>
    <row r="25" spans="4:27" ht="10.5">
      <c r="D25" s="8">
        <f t="shared" si="3"/>
        <v>19</v>
      </c>
      <c r="E25" s="5">
        <f>DATE(+$C$8-1900+SUM($Q$7:Q25),+P25,1)</f>
        <v>44682</v>
      </c>
      <c r="F25" s="6"/>
      <c r="G25" s="6"/>
      <c r="H25" s="7">
        <f t="shared" si="10"/>
        <v>7968.6779672889879</v>
      </c>
      <c r="I25" s="7">
        <f t="shared" si="4"/>
        <v>219.37</v>
      </c>
      <c r="J25" s="24">
        <f t="shared" si="5"/>
        <v>55.314842814134629</v>
      </c>
      <c r="K25" s="6">
        <f t="shared" si="6"/>
        <v>164.05515718586537</v>
      </c>
      <c r="L25" s="6">
        <f t="shared" si="7"/>
        <v>7804.6228101031229</v>
      </c>
      <c r="M25" s="6">
        <f t="shared" si="11"/>
        <v>1237.0228101031221</v>
      </c>
      <c r="N25" s="6">
        <f t="shared" si="12"/>
        <v>2931.0071898968777</v>
      </c>
      <c r="O25" s="3">
        <f t="shared" si="13"/>
        <v>29</v>
      </c>
      <c r="P25" s="3">
        <f t="shared" si="8"/>
        <v>5</v>
      </c>
      <c r="Q25">
        <f t="shared" si="14"/>
        <v>0</v>
      </c>
      <c r="R25">
        <f t="shared" si="9"/>
        <v>0</v>
      </c>
      <c r="S25">
        <f>IF(P25=$C$9,SUM($I$7:I25),0)</f>
        <v>0</v>
      </c>
      <c r="Y25" s="1">
        <f t="shared" si="2"/>
        <v>24</v>
      </c>
      <c r="Z25" s="2">
        <f t="shared" si="0"/>
        <v>0</v>
      </c>
      <c r="AA25" s="2">
        <f t="shared" si="1"/>
        <v>219.37</v>
      </c>
    </row>
    <row r="26" spans="4:27" ht="10.5">
      <c r="D26" s="8">
        <f t="shared" si="3"/>
        <v>20</v>
      </c>
      <c r="E26" s="26">
        <f>DATE(+$C$8-1900+SUM($Q$7:Q26),+P26,1)</f>
        <v>44713</v>
      </c>
      <c r="F26" s="27"/>
      <c r="G26" s="27"/>
      <c r="H26" s="28">
        <f t="shared" si="10"/>
        <v>7804.6228101031229</v>
      </c>
      <c r="I26" s="28">
        <f t="shared" si="4"/>
        <v>219.37</v>
      </c>
      <c r="J26" s="29">
        <f t="shared" si="5"/>
        <v>54.176048490931286</v>
      </c>
      <c r="K26" s="27">
        <f t="shared" si="6"/>
        <v>165.19395150906871</v>
      </c>
      <c r="L26" s="27">
        <f t="shared" si="7"/>
        <v>7639.428858594054</v>
      </c>
      <c r="M26" s="27">
        <f t="shared" si="11"/>
        <v>1291.1988585940533</v>
      </c>
      <c r="N26" s="27">
        <f t="shared" si="12"/>
        <v>3096.2011414059461</v>
      </c>
      <c r="O26" s="3">
        <f t="shared" si="13"/>
        <v>30</v>
      </c>
      <c r="P26" s="3">
        <f t="shared" si="8"/>
        <v>6</v>
      </c>
      <c r="Q26">
        <f t="shared" si="14"/>
        <v>0</v>
      </c>
      <c r="R26">
        <f t="shared" si="9"/>
        <v>3096.2011414059461</v>
      </c>
      <c r="S26">
        <f>IF(P26=$C$9,SUM($I$7:I26),0)</f>
        <v>4387.3999999999987</v>
      </c>
      <c r="Y26" s="1">
        <f t="shared" si="2"/>
        <v>25</v>
      </c>
      <c r="Z26" s="2">
        <f t="shared" si="0"/>
        <v>0</v>
      </c>
      <c r="AA26" s="2">
        <f t="shared" si="1"/>
        <v>219.37</v>
      </c>
    </row>
    <row r="27" spans="4:27" ht="10.5">
      <c r="D27" s="8">
        <f t="shared" si="3"/>
        <v>21</v>
      </c>
      <c r="E27" s="5">
        <f>DATE(+$C$8-1900+SUM($Q$7:Q27),+P27,1)</f>
        <v>44743</v>
      </c>
      <c r="F27" s="6"/>
      <c r="G27" s="6"/>
      <c r="H27" s="7">
        <f t="shared" si="10"/>
        <v>7639.428858594054</v>
      </c>
      <c r="I27" s="7">
        <f t="shared" si="4"/>
        <v>219.37</v>
      </c>
      <c r="J27" s="6">
        <f t="shared" si="5"/>
        <v>53.029349189104856</v>
      </c>
      <c r="K27" s="6">
        <f t="shared" si="6"/>
        <v>166.34065081089514</v>
      </c>
      <c r="L27" s="6">
        <f t="shared" si="7"/>
        <v>7473.0882077831584</v>
      </c>
      <c r="M27" s="6">
        <f t="shared" si="11"/>
        <v>1344.228207783158</v>
      </c>
      <c r="N27" s="6">
        <f t="shared" si="12"/>
        <v>3262.5417922168413</v>
      </c>
      <c r="O27" s="3">
        <f t="shared" si="13"/>
        <v>31</v>
      </c>
      <c r="P27" s="3">
        <f t="shared" si="8"/>
        <v>7</v>
      </c>
      <c r="Q27">
        <f t="shared" si="14"/>
        <v>0</v>
      </c>
      <c r="R27">
        <f t="shared" si="9"/>
        <v>0</v>
      </c>
      <c r="S27">
        <f>IF(P27=$C$9,SUM($I$7:I27),0)</f>
        <v>0</v>
      </c>
      <c r="Y27" s="1">
        <f t="shared" si="2"/>
        <v>26</v>
      </c>
      <c r="Z27" s="2">
        <f t="shared" si="0"/>
        <v>0</v>
      </c>
      <c r="AA27" s="2">
        <f t="shared" si="1"/>
        <v>219.37</v>
      </c>
    </row>
    <row r="28" spans="4:27" ht="10.5">
      <c r="D28" s="8">
        <f t="shared" si="3"/>
        <v>22</v>
      </c>
      <c r="E28" s="5">
        <f>DATE(+$C$8-1900+SUM($Q$7:Q28),+P28,1)</f>
        <v>44774</v>
      </c>
      <c r="F28" s="6"/>
      <c r="G28" s="6"/>
      <c r="H28" s="7">
        <f t="shared" si="10"/>
        <v>7473.0882077831584</v>
      </c>
      <c r="I28" s="7">
        <f t="shared" si="4"/>
        <v>219.37</v>
      </c>
      <c r="J28" s="6">
        <f t="shared" si="5"/>
        <v>51.874690035983647</v>
      </c>
      <c r="K28" s="6">
        <f t="shared" si="6"/>
        <v>167.49530996401637</v>
      </c>
      <c r="L28" s="6">
        <f t="shared" si="7"/>
        <v>7305.5928978191423</v>
      </c>
      <c r="M28" s="6">
        <f t="shared" si="11"/>
        <v>1396.1028978191416</v>
      </c>
      <c r="N28" s="6">
        <f t="shared" si="12"/>
        <v>3430.0371021808578</v>
      </c>
      <c r="O28" s="3">
        <f t="shared" si="13"/>
        <v>32</v>
      </c>
      <c r="P28" s="3">
        <f t="shared" si="8"/>
        <v>8</v>
      </c>
      <c r="Q28">
        <f t="shared" si="14"/>
        <v>0</v>
      </c>
      <c r="R28">
        <f t="shared" si="9"/>
        <v>0</v>
      </c>
      <c r="S28">
        <f>IF(P28=$C$9,SUM($I$7:I28),0)</f>
        <v>0</v>
      </c>
      <c r="Y28" s="1">
        <f t="shared" si="2"/>
        <v>27</v>
      </c>
      <c r="Z28" s="2">
        <f t="shared" si="0"/>
        <v>0</v>
      </c>
      <c r="AA28" s="2">
        <f t="shared" si="1"/>
        <v>219.37</v>
      </c>
    </row>
    <row r="29" spans="4:27" ht="10.5">
      <c r="D29" s="8">
        <f t="shared" si="3"/>
        <v>23</v>
      </c>
      <c r="E29" s="5">
        <f>DATE(+$C$8-1900+SUM($Q$7:Q29),+P29,1)</f>
        <v>44805</v>
      </c>
      <c r="F29" s="6"/>
      <c r="G29" s="6"/>
      <c r="H29" s="7">
        <f t="shared" si="10"/>
        <v>7305.5928978191423</v>
      </c>
      <c r="I29" s="7">
        <f t="shared" si="4"/>
        <v>219.37</v>
      </c>
      <c r="J29" s="6">
        <f t="shared" si="5"/>
        <v>50.712015777995489</v>
      </c>
      <c r="K29" s="6">
        <f t="shared" si="6"/>
        <v>168.65798422200453</v>
      </c>
      <c r="L29" s="6">
        <f t="shared" si="7"/>
        <v>7136.9349135971379</v>
      </c>
      <c r="M29" s="6">
        <f t="shared" si="11"/>
        <v>1446.8149135971371</v>
      </c>
      <c r="N29" s="6">
        <f t="shared" si="12"/>
        <v>3598.6950864028622</v>
      </c>
      <c r="O29" s="3">
        <f t="shared" si="13"/>
        <v>33</v>
      </c>
      <c r="P29" s="3">
        <f t="shared" si="8"/>
        <v>9</v>
      </c>
      <c r="Q29">
        <f t="shared" si="14"/>
        <v>0</v>
      </c>
      <c r="R29">
        <f t="shared" si="9"/>
        <v>0</v>
      </c>
      <c r="S29">
        <f>IF(P29=$C$9,SUM($I$7:I29),0)</f>
        <v>0</v>
      </c>
      <c r="Y29" s="1">
        <f t="shared" si="2"/>
        <v>28</v>
      </c>
      <c r="Z29" s="2">
        <f t="shared" si="0"/>
        <v>0</v>
      </c>
      <c r="AA29" s="2">
        <f t="shared" si="1"/>
        <v>219.37</v>
      </c>
    </row>
    <row r="30" spans="4:27" ht="10.5">
      <c r="D30" s="8">
        <f t="shared" si="3"/>
        <v>24</v>
      </c>
      <c r="E30" s="5">
        <f>DATE(+$C$8-1900+SUM($Q$7:Q30),+P30,1)</f>
        <v>44835</v>
      </c>
      <c r="F30" s="6"/>
      <c r="G30" s="6"/>
      <c r="H30" s="7">
        <f t="shared" si="10"/>
        <v>7136.9349135971379</v>
      </c>
      <c r="I30" s="7">
        <f t="shared" si="4"/>
        <v>219.37</v>
      </c>
      <c r="J30" s="6">
        <f t="shared" si="5"/>
        <v>49.541270778023694</v>
      </c>
      <c r="K30" s="6">
        <f t="shared" si="6"/>
        <v>169.82872922197632</v>
      </c>
      <c r="L30" s="6">
        <f t="shared" si="7"/>
        <v>6967.1061843751613</v>
      </c>
      <c r="M30" s="6">
        <f t="shared" si="11"/>
        <v>1496.3561843751609</v>
      </c>
      <c r="N30" s="6">
        <f t="shared" si="12"/>
        <v>3768.5238156248383</v>
      </c>
      <c r="O30" s="3">
        <f t="shared" si="13"/>
        <v>34</v>
      </c>
      <c r="P30" s="3">
        <f t="shared" si="8"/>
        <v>10</v>
      </c>
      <c r="Q30">
        <f t="shared" si="14"/>
        <v>0</v>
      </c>
      <c r="R30">
        <f t="shared" si="9"/>
        <v>0</v>
      </c>
      <c r="S30">
        <f>IF(P30=$C$9,SUM($I$7:I30),0)</f>
        <v>0</v>
      </c>
      <c r="Y30" s="1">
        <f t="shared" si="2"/>
        <v>29</v>
      </c>
      <c r="Z30" s="2">
        <f t="shared" si="0"/>
        <v>0</v>
      </c>
      <c r="AA30" s="2">
        <f t="shared" si="1"/>
        <v>219.37</v>
      </c>
    </row>
    <row r="31" spans="4:27" ht="10.5">
      <c r="D31" s="8">
        <f t="shared" si="3"/>
        <v>25</v>
      </c>
      <c r="E31" s="5">
        <f>DATE(+$C$8-1900+SUM($Q$7:Q31),+P31,1)</f>
        <v>44866</v>
      </c>
      <c r="F31" s="6"/>
      <c r="G31" s="6"/>
      <c r="H31" s="7">
        <f t="shared" si="10"/>
        <v>6967.1061843751613</v>
      </c>
      <c r="I31" s="7">
        <f t="shared" si="4"/>
        <v>219.37</v>
      </c>
      <c r="J31" s="6">
        <f t="shared" si="5"/>
        <v>48.362399012744696</v>
      </c>
      <c r="K31" s="6">
        <f t="shared" si="6"/>
        <v>171.0076009872553</v>
      </c>
      <c r="L31" s="6">
        <f t="shared" si="7"/>
        <v>6796.0985833879058</v>
      </c>
      <c r="M31" s="6">
        <f t="shared" si="11"/>
        <v>1544.7185833879055</v>
      </c>
      <c r="N31" s="6">
        <f t="shared" si="12"/>
        <v>3939.5314166120938</v>
      </c>
      <c r="O31" s="3">
        <f t="shared" si="13"/>
        <v>35</v>
      </c>
      <c r="P31" s="3">
        <f t="shared" si="8"/>
        <v>11</v>
      </c>
      <c r="Q31">
        <f t="shared" si="14"/>
        <v>0</v>
      </c>
      <c r="R31">
        <f t="shared" si="9"/>
        <v>0</v>
      </c>
      <c r="S31">
        <f>IF(P31=$C$9,SUM($I$7:I31),0)</f>
        <v>0</v>
      </c>
      <c r="Y31" s="1">
        <f t="shared" si="2"/>
        <v>30</v>
      </c>
      <c r="Z31" s="2">
        <f t="shared" si="0"/>
        <v>0</v>
      </c>
      <c r="AA31" s="2">
        <f t="shared" si="1"/>
        <v>219.37</v>
      </c>
    </row>
    <row r="32" spans="4:27" ht="10.5">
      <c r="D32" s="8">
        <f t="shared" si="3"/>
        <v>26</v>
      </c>
      <c r="E32" s="5">
        <f>DATE(+$C$8-1900+SUM($Q$7:Q32),+P32,1)</f>
        <v>44896</v>
      </c>
      <c r="F32" s="6"/>
      <c r="G32" s="6"/>
      <c r="H32" s="7">
        <f t="shared" si="10"/>
        <v>6796.0985833879058</v>
      </c>
      <c r="I32" s="7">
        <f t="shared" si="4"/>
        <v>219.37</v>
      </c>
      <c r="J32" s="6">
        <f t="shared" si="5"/>
        <v>47.175344069947151</v>
      </c>
      <c r="K32" s="6">
        <f t="shared" si="6"/>
        <v>172.19465593005285</v>
      </c>
      <c r="L32" s="6">
        <f t="shared" si="7"/>
        <v>6623.9039274578527</v>
      </c>
      <c r="M32" s="6">
        <f t="shared" si="11"/>
        <v>1591.8939274578527</v>
      </c>
      <c r="N32" s="6">
        <f t="shared" si="12"/>
        <v>4111.7260725421465</v>
      </c>
      <c r="O32" s="3">
        <f t="shared" si="13"/>
        <v>36</v>
      </c>
      <c r="P32" s="3">
        <f t="shared" si="8"/>
        <v>12</v>
      </c>
      <c r="Q32">
        <f t="shared" si="14"/>
        <v>0</v>
      </c>
      <c r="R32">
        <f t="shared" si="9"/>
        <v>0</v>
      </c>
      <c r="S32">
        <f>IF(P32=$C$9,SUM($I$7:I32),0)</f>
        <v>0</v>
      </c>
      <c r="Y32" s="1">
        <f t="shared" si="2"/>
        <v>31</v>
      </c>
      <c r="Z32" s="2">
        <f t="shared" si="0"/>
        <v>0</v>
      </c>
      <c r="AA32" s="2">
        <f t="shared" si="1"/>
        <v>219.37</v>
      </c>
    </row>
    <row r="33" spans="4:27" ht="10.5">
      <c r="D33" s="8">
        <f t="shared" si="3"/>
        <v>27</v>
      </c>
      <c r="E33" s="5">
        <f>DATE(+$C$8-1900+SUM($Q$7:Q33),+P33,1)</f>
        <v>44927</v>
      </c>
      <c r="F33" s="6"/>
      <c r="G33" s="6"/>
      <c r="H33" s="7">
        <f t="shared" si="10"/>
        <v>6623.9039274578527</v>
      </c>
      <c r="I33" s="7">
        <f t="shared" si="4"/>
        <v>219.37</v>
      </c>
      <c r="J33" s="6">
        <f t="shared" si="5"/>
        <v>45.980049145832481</v>
      </c>
      <c r="K33" s="6">
        <f t="shared" si="6"/>
        <v>173.38995085416752</v>
      </c>
      <c r="L33" s="6">
        <f t="shared" si="7"/>
        <v>6450.5139766036855</v>
      </c>
      <c r="M33" s="6">
        <f t="shared" si="11"/>
        <v>1637.8739766036852</v>
      </c>
      <c r="N33" s="6">
        <f t="shared" si="12"/>
        <v>4285.1160233963137</v>
      </c>
      <c r="O33" s="3">
        <f t="shared" si="13"/>
        <v>37</v>
      </c>
      <c r="P33" s="3">
        <f t="shared" si="8"/>
        <v>1</v>
      </c>
      <c r="Q33">
        <f t="shared" si="14"/>
        <v>1</v>
      </c>
      <c r="R33">
        <f t="shared" si="9"/>
        <v>0</v>
      </c>
      <c r="S33">
        <f>IF(P33=$C$9,SUM($I$7:I33),0)</f>
        <v>0</v>
      </c>
      <c r="Y33" s="1">
        <f t="shared" si="2"/>
        <v>32</v>
      </c>
      <c r="Z33" s="2">
        <f t="shared" si="0"/>
        <v>0</v>
      </c>
      <c r="AA33" s="2">
        <f t="shared" si="1"/>
        <v>219.37</v>
      </c>
    </row>
    <row r="34" spans="4:27" ht="10.5">
      <c r="D34" s="8">
        <f t="shared" si="3"/>
        <v>28</v>
      </c>
      <c r="E34" s="5">
        <f>DATE(+$C$8-1900+SUM($Q$7:Q34),+P34,1)</f>
        <v>44958</v>
      </c>
      <c r="F34" s="6"/>
      <c r="G34" s="6"/>
      <c r="H34" s="7">
        <f t="shared" si="10"/>
        <v>6450.5139766036855</v>
      </c>
      <c r="I34" s="7">
        <f t="shared" si="4"/>
        <v>219.37</v>
      </c>
      <c r="J34" s="6">
        <f t="shared" si="5"/>
        <v>44.776457042296677</v>
      </c>
      <c r="K34" s="6">
        <f t="shared" si="6"/>
        <v>174.59354295770333</v>
      </c>
      <c r="L34" s="6">
        <f t="shared" si="7"/>
        <v>6275.9204336459825</v>
      </c>
      <c r="M34" s="6">
        <f t="shared" si="11"/>
        <v>1682.6504336459818</v>
      </c>
      <c r="N34" s="6">
        <f t="shared" si="12"/>
        <v>4459.7095663540167</v>
      </c>
      <c r="O34" s="3">
        <f t="shared" si="13"/>
        <v>38</v>
      </c>
      <c r="P34" s="3">
        <f t="shared" si="8"/>
        <v>2</v>
      </c>
      <c r="Q34">
        <f t="shared" si="14"/>
        <v>0</v>
      </c>
      <c r="R34">
        <f t="shared" si="9"/>
        <v>0</v>
      </c>
      <c r="S34">
        <f>IF(P34=$C$9,SUM($I$7:I34),0)</f>
        <v>0</v>
      </c>
      <c r="Y34" s="1">
        <f t="shared" si="2"/>
        <v>33</v>
      </c>
      <c r="Z34" s="2">
        <f t="shared" ref="Z34:Z54" si="15">IF(Y34=$C$10+1,$C$5,0)</f>
        <v>0</v>
      </c>
      <c r="AA34" s="2">
        <f t="shared" ref="AA34:AA54" si="16">IF(Y34&lt;=$C$10+1,IF(Y34=$C$10+1,Z34,$C$4),0)</f>
        <v>219.37</v>
      </c>
    </row>
    <row r="35" spans="4:27" ht="10.5">
      <c r="D35" s="8">
        <f t="shared" si="3"/>
        <v>29</v>
      </c>
      <c r="E35" s="5">
        <f>DATE(+$C$8-1900+SUM($Q$7:Q35),+P35,1)</f>
        <v>44986</v>
      </c>
      <c r="F35" s="6"/>
      <c r="G35" s="6"/>
      <c r="H35" s="7">
        <f t="shared" si="10"/>
        <v>6275.9204336459825</v>
      </c>
      <c r="I35" s="7">
        <f t="shared" si="4"/>
        <v>219.37</v>
      </c>
      <c r="J35" s="6">
        <f t="shared" si="5"/>
        <v>43.564510164193159</v>
      </c>
      <c r="K35" s="6">
        <f t="shared" si="6"/>
        <v>175.80548983580684</v>
      </c>
      <c r="L35" s="6">
        <f t="shared" si="7"/>
        <v>6100.1149438101756</v>
      </c>
      <c r="M35" s="6">
        <f t="shared" si="11"/>
        <v>1726.2149438101749</v>
      </c>
      <c r="N35" s="6">
        <f t="shared" si="12"/>
        <v>4635.5150561898236</v>
      </c>
      <c r="O35" s="3">
        <f t="shared" si="13"/>
        <v>39</v>
      </c>
      <c r="P35" s="3">
        <f t="shared" si="8"/>
        <v>3</v>
      </c>
      <c r="Q35">
        <f t="shared" si="14"/>
        <v>0</v>
      </c>
      <c r="R35">
        <f t="shared" si="9"/>
        <v>0</v>
      </c>
      <c r="S35">
        <f>IF(P35=$C$9,SUM($I$7:I35),0)</f>
        <v>0</v>
      </c>
      <c r="Y35" s="1">
        <f t="shared" ref="Y35:Y55" si="17">IF(Y34&lt;$C$10+1,Y34+1,100)</f>
        <v>34</v>
      </c>
      <c r="Z35" s="2">
        <f t="shared" si="15"/>
        <v>0</v>
      </c>
      <c r="AA35" s="2">
        <f t="shared" si="16"/>
        <v>219.37</v>
      </c>
    </row>
    <row r="36" spans="4:27" ht="10.5">
      <c r="D36" s="8">
        <f t="shared" si="3"/>
        <v>30</v>
      </c>
      <c r="E36" s="5">
        <f>DATE(+$C$8-1900+SUM($Q$7:Q36),+P36,1)</f>
        <v>45017</v>
      </c>
      <c r="F36" s="6"/>
      <c r="G36" s="6"/>
      <c r="H36" s="7">
        <f t="shared" si="10"/>
        <v>6100.1149438101756</v>
      </c>
      <c r="I36" s="7">
        <f t="shared" si="4"/>
        <v>219.37</v>
      </c>
      <c r="J36" s="6">
        <f t="shared" si="5"/>
        <v>42.344150516576725</v>
      </c>
      <c r="K36" s="6">
        <f t="shared" si="6"/>
        <v>177.02584948342329</v>
      </c>
      <c r="L36" s="6">
        <f t="shared" si="7"/>
        <v>5923.0890943267523</v>
      </c>
      <c r="M36" s="6">
        <f t="shared" si="11"/>
        <v>1768.5590943267516</v>
      </c>
      <c r="N36" s="6">
        <f t="shared" si="12"/>
        <v>4812.5409056732469</v>
      </c>
      <c r="O36" s="3">
        <f t="shared" si="13"/>
        <v>40</v>
      </c>
      <c r="P36" s="3">
        <f t="shared" si="8"/>
        <v>4</v>
      </c>
      <c r="Q36">
        <f t="shared" si="14"/>
        <v>0</v>
      </c>
      <c r="R36">
        <f t="shared" si="9"/>
        <v>0</v>
      </c>
      <c r="S36">
        <f>IF(P36=$C$9,SUM($I$7:I36),0)</f>
        <v>0</v>
      </c>
      <c r="Y36" s="1">
        <f t="shared" si="17"/>
        <v>35</v>
      </c>
      <c r="Z36" s="2">
        <f t="shared" si="15"/>
        <v>0</v>
      </c>
      <c r="AA36" s="2">
        <f t="shared" si="16"/>
        <v>219.37</v>
      </c>
    </row>
    <row r="37" spans="4:27" ht="10.5">
      <c r="D37" s="8">
        <f t="shared" si="3"/>
        <v>31</v>
      </c>
      <c r="E37" s="5">
        <f>DATE(+$C$8-1900+SUM($Q$7:Q37),+P37,1)</f>
        <v>45047</v>
      </c>
      <c r="F37" s="6"/>
      <c r="G37" s="6"/>
      <c r="H37" s="7">
        <f t="shared" si="10"/>
        <v>5923.0890943267523</v>
      </c>
      <c r="I37" s="7">
        <f t="shared" si="4"/>
        <v>219.37</v>
      </c>
      <c r="J37" s="6">
        <f t="shared" si="5"/>
        <v>41.115319701928357</v>
      </c>
      <c r="K37" s="6">
        <f t="shared" si="6"/>
        <v>178.25468029807166</v>
      </c>
      <c r="L37" s="6">
        <f t="shared" si="7"/>
        <v>5744.8344140286808</v>
      </c>
      <c r="M37" s="6">
        <f t="shared" si="11"/>
        <v>1809.6744140286801</v>
      </c>
      <c r="N37" s="6">
        <f t="shared" si="12"/>
        <v>4990.7955859713184</v>
      </c>
      <c r="O37" s="3">
        <f t="shared" si="13"/>
        <v>41</v>
      </c>
      <c r="P37" s="3">
        <f t="shared" si="8"/>
        <v>5</v>
      </c>
      <c r="Q37">
        <f t="shared" si="14"/>
        <v>0</v>
      </c>
      <c r="R37">
        <f t="shared" si="9"/>
        <v>0</v>
      </c>
      <c r="S37">
        <f>IF(P37=$C$9,SUM($I$7:I37),0)</f>
        <v>0</v>
      </c>
      <c r="Y37" s="1">
        <f t="shared" si="17"/>
        <v>36</v>
      </c>
      <c r="Z37" s="2">
        <f t="shared" si="15"/>
        <v>0</v>
      </c>
      <c r="AA37" s="2">
        <f t="shared" si="16"/>
        <v>219.37</v>
      </c>
    </row>
    <row r="38" spans="4:27" ht="10.5">
      <c r="D38" s="8">
        <f t="shared" si="3"/>
        <v>32</v>
      </c>
      <c r="E38" s="5">
        <f>DATE(+$C$8-1900+SUM($Q$7:Q38),+P38,1)</f>
        <v>45078</v>
      </c>
      <c r="F38" s="6"/>
      <c r="G38" s="6"/>
      <c r="H38" s="7">
        <f t="shared" si="10"/>
        <v>5744.8344140286808</v>
      </c>
      <c r="I38" s="7">
        <f t="shared" si="4"/>
        <v>219.37</v>
      </c>
      <c r="J38" s="6">
        <f t="shared" si="5"/>
        <v>39.877958917360708</v>
      </c>
      <c r="K38" s="6">
        <f t="shared" si="6"/>
        <v>179.4920410826393</v>
      </c>
      <c r="L38" s="6">
        <f t="shared" si="7"/>
        <v>5565.3423729460419</v>
      </c>
      <c r="M38" s="6">
        <f t="shared" si="11"/>
        <v>1849.5523729460408</v>
      </c>
      <c r="N38" s="6">
        <f t="shared" si="12"/>
        <v>5170.2876270539573</v>
      </c>
      <c r="O38" s="3">
        <f t="shared" si="13"/>
        <v>42</v>
      </c>
      <c r="P38" s="3">
        <f t="shared" si="8"/>
        <v>6</v>
      </c>
      <c r="Q38">
        <f t="shared" si="14"/>
        <v>0</v>
      </c>
      <c r="R38">
        <f t="shared" si="9"/>
        <v>5170.2876270539573</v>
      </c>
      <c r="S38">
        <f>IF(P38=$C$9,SUM($I$7:I38),0)</f>
        <v>7019.8399999999974</v>
      </c>
      <c r="Y38" s="1">
        <f t="shared" si="17"/>
        <v>37</v>
      </c>
      <c r="Z38" s="2">
        <f t="shared" si="15"/>
        <v>0</v>
      </c>
      <c r="AA38" s="2">
        <f t="shared" si="16"/>
        <v>219.37</v>
      </c>
    </row>
    <row r="39" spans="4:27" ht="10.5">
      <c r="D39" s="8">
        <f t="shared" ref="D39:D70" si="18">Y34</f>
        <v>33</v>
      </c>
      <c r="E39" s="5">
        <f>DATE(+$C$8-1900+SUM($Q$7:Q39),+P39,1)</f>
        <v>45108</v>
      </c>
      <c r="F39" s="6"/>
      <c r="G39" s="6"/>
      <c r="H39" s="7">
        <f t="shared" si="10"/>
        <v>5565.3423729460419</v>
      </c>
      <c r="I39" s="7">
        <f t="shared" si="4"/>
        <v>219.37</v>
      </c>
      <c r="J39" s="6">
        <f t="shared" si="5"/>
        <v>38.632008951804231</v>
      </c>
      <c r="K39" s="6">
        <f t="shared" si="6"/>
        <v>180.73799104819577</v>
      </c>
      <c r="L39" s="6">
        <f t="shared" si="7"/>
        <v>5384.604381897846</v>
      </c>
      <c r="M39" s="6">
        <f t="shared" si="11"/>
        <v>1888.184381897845</v>
      </c>
      <c r="N39" s="6">
        <f t="shared" si="12"/>
        <v>5351.0256181021532</v>
      </c>
      <c r="O39" s="3">
        <f t="shared" si="13"/>
        <v>43</v>
      </c>
      <c r="P39" s="3">
        <f t="shared" si="8"/>
        <v>7</v>
      </c>
      <c r="Q39">
        <f t="shared" si="14"/>
        <v>0</v>
      </c>
      <c r="R39">
        <f t="shared" si="9"/>
        <v>0</v>
      </c>
      <c r="S39">
        <f>IF(P39=$C$9,SUM($I$7:I39),0)</f>
        <v>0</v>
      </c>
      <c r="Y39" s="1">
        <f t="shared" si="17"/>
        <v>38</v>
      </c>
      <c r="Z39" s="2">
        <f t="shared" si="15"/>
        <v>0</v>
      </c>
      <c r="AA39" s="2">
        <f t="shared" si="16"/>
        <v>219.37</v>
      </c>
    </row>
    <row r="40" spans="4:27" ht="10.5">
      <c r="D40" s="8">
        <f t="shared" si="18"/>
        <v>34</v>
      </c>
      <c r="E40" s="5">
        <f>DATE(+$C$8-1900+SUM($Q$7:Q40),+P40,1)</f>
        <v>45139</v>
      </c>
      <c r="F40" s="6"/>
      <c r="G40" s="6"/>
      <c r="H40" s="7">
        <f t="shared" si="10"/>
        <v>5384.604381897846</v>
      </c>
      <c r="I40" s="7">
        <f t="shared" si="4"/>
        <v>219.37</v>
      </c>
      <c r="J40" s="6">
        <f t="shared" si="5"/>
        <v>37.377410183173772</v>
      </c>
      <c r="K40" s="6">
        <f t="shared" si="6"/>
        <v>181.99258981682624</v>
      </c>
      <c r="L40" s="6">
        <f t="shared" si="7"/>
        <v>5202.6117920810193</v>
      </c>
      <c r="M40" s="6">
        <f t="shared" si="11"/>
        <v>1925.5617920810189</v>
      </c>
      <c r="N40" s="6">
        <f t="shared" si="12"/>
        <v>5533.0182079189799</v>
      </c>
      <c r="O40" s="3">
        <f t="shared" si="13"/>
        <v>44</v>
      </c>
      <c r="P40" s="3">
        <f t="shared" si="8"/>
        <v>8</v>
      </c>
      <c r="Q40">
        <f t="shared" si="14"/>
        <v>0</v>
      </c>
      <c r="R40">
        <f t="shared" si="9"/>
        <v>0</v>
      </c>
      <c r="S40">
        <f>IF(P40=$C$9,SUM($I$7:I40),0)</f>
        <v>0</v>
      </c>
      <c r="Y40" s="1">
        <f t="shared" si="17"/>
        <v>39</v>
      </c>
      <c r="Z40" s="2">
        <f t="shared" si="15"/>
        <v>0</v>
      </c>
      <c r="AA40" s="2">
        <f t="shared" si="16"/>
        <v>219.37</v>
      </c>
    </row>
    <row r="41" spans="4:27" ht="10.5">
      <c r="D41" s="8">
        <f t="shared" si="18"/>
        <v>35</v>
      </c>
      <c r="E41" s="5">
        <f>DATE(+$C$8-1900+SUM($Q$7:Q41),+P41,1)</f>
        <v>45170</v>
      </c>
      <c r="F41" s="6"/>
      <c r="G41" s="6"/>
      <c r="H41" s="7">
        <f t="shared" si="10"/>
        <v>5202.6117920810193</v>
      </c>
      <c r="I41" s="7">
        <f t="shared" si="4"/>
        <v>219.37</v>
      </c>
      <c r="J41" s="6">
        <f t="shared" si="5"/>
        <v>36.114102575515503</v>
      </c>
      <c r="K41" s="6">
        <f t="shared" si="6"/>
        <v>183.25589742448449</v>
      </c>
      <c r="L41" s="6">
        <f t="shared" si="7"/>
        <v>5019.3558946565345</v>
      </c>
      <c r="M41" s="6">
        <f t="shared" si="11"/>
        <v>1961.6758946565344</v>
      </c>
      <c r="N41" s="6">
        <f t="shared" si="12"/>
        <v>5716.2741053434647</v>
      </c>
      <c r="O41" s="3">
        <f t="shared" si="13"/>
        <v>45</v>
      </c>
      <c r="P41" s="3">
        <f t="shared" si="8"/>
        <v>9</v>
      </c>
      <c r="Q41">
        <f t="shared" si="14"/>
        <v>0</v>
      </c>
      <c r="R41">
        <f t="shared" si="9"/>
        <v>0</v>
      </c>
      <c r="S41">
        <f>IF(P41=$C$9,SUM($I$7:I41),0)</f>
        <v>0</v>
      </c>
      <c r="Y41" s="1">
        <f t="shared" si="17"/>
        <v>40</v>
      </c>
      <c r="Z41" s="2">
        <f t="shared" si="15"/>
        <v>0</v>
      </c>
      <c r="AA41" s="2">
        <f t="shared" si="16"/>
        <v>219.37</v>
      </c>
    </row>
    <row r="42" spans="4:27" ht="10.5">
      <c r="D42" s="8">
        <f t="shared" si="18"/>
        <v>36</v>
      </c>
      <c r="E42" s="5">
        <f>DATE(+$C$8-1900+SUM($Q$7:Q42),+P42,1)</f>
        <v>45200</v>
      </c>
      <c r="F42" s="6"/>
      <c r="G42" s="6"/>
      <c r="H42" s="7">
        <f t="shared" si="10"/>
        <v>5019.3558946565345</v>
      </c>
      <c r="I42" s="7">
        <f t="shared" ref="I42:I57" si="19">IF(H42&gt;0,AA37,0)</f>
        <v>219.37</v>
      </c>
      <c r="J42" s="6">
        <f t="shared" si="5"/>
        <v>34.842025676134014</v>
      </c>
      <c r="K42" s="6">
        <f t="shared" si="6"/>
        <v>184.52797432386598</v>
      </c>
      <c r="L42" s="6">
        <f t="shared" si="7"/>
        <v>4834.8279203326683</v>
      </c>
      <c r="M42" s="6">
        <f t="shared" si="11"/>
        <v>1996.5179203326684</v>
      </c>
      <c r="N42" s="6">
        <f t="shared" si="12"/>
        <v>5900.8020796673309</v>
      </c>
      <c r="O42" s="3">
        <f t="shared" si="13"/>
        <v>46</v>
      </c>
      <c r="P42" s="3">
        <f t="shared" si="8"/>
        <v>10</v>
      </c>
      <c r="Q42">
        <f t="shared" si="14"/>
        <v>0</v>
      </c>
      <c r="R42">
        <f t="shared" si="9"/>
        <v>0</v>
      </c>
      <c r="S42">
        <f>IF(P42=$C$9,SUM($I$7:I42),0)</f>
        <v>0</v>
      </c>
      <c r="Y42" s="1">
        <f t="shared" si="17"/>
        <v>41</v>
      </c>
      <c r="Z42" s="2">
        <f t="shared" si="15"/>
        <v>0</v>
      </c>
      <c r="AA42" s="2">
        <f t="shared" si="16"/>
        <v>219.37</v>
      </c>
    </row>
    <row r="43" spans="4:27" ht="10.5">
      <c r="D43" s="8">
        <f t="shared" si="18"/>
        <v>37</v>
      </c>
      <c r="E43" s="5">
        <f>DATE(+$C$8-1900+SUM($Q$7:Q43),+P43,1)</f>
        <v>45231</v>
      </c>
      <c r="F43" s="6"/>
      <c r="G43" s="6"/>
      <c r="H43" s="7">
        <f t="shared" si="10"/>
        <v>4834.8279203326683</v>
      </c>
      <c r="I43" s="7">
        <f t="shared" si="19"/>
        <v>219.37</v>
      </c>
      <c r="J43" s="6">
        <f t="shared" si="5"/>
        <v>33.561118612699516</v>
      </c>
      <c r="K43" s="6">
        <f t="shared" si="6"/>
        <v>185.80888138730049</v>
      </c>
      <c r="L43" s="6">
        <f t="shared" si="7"/>
        <v>4649.0190389453683</v>
      </c>
      <c r="M43" s="6">
        <f t="shared" si="11"/>
        <v>2030.079038945368</v>
      </c>
      <c r="N43" s="6">
        <f t="shared" si="12"/>
        <v>6086.6109610546309</v>
      </c>
      <c r="O43" s="3">
        <f t="shared" si="13"/>
        <v>47</v>
      </c>
      <c r="P43" s="3">
        <f t="shared" si="8"/>
        <v>11</v>
      </c>
      <c r="Q43">
        <f t="shared" si="14"/>
        <v>0</v>
      </c>
      <c r="R43">
        <f t="shared" si="9"/>
        <v>0</v>
      </c>
      <c r="S43">
        <f>IF(P43=$C$9,SUM($I$7:I43),0)</f>
        <v>0</v>
      </c>
      <c r="Y43" s="1">
        <f t="shared" si="17"/>
        <v>42</v>
      </c>
      <c r="Z43" s="2">
        <f t="shared" si="15"/>
        <v>0</v>
      </c>
      <c r="AA43" s="2">
        <f t="shared" si="16"/>
        <v>219.37</v>
      </c>
    </row>
    <row r="44" spans="4:27" ht="10.5">
      <c r="D44" s="8">
        <f t="shared" si="18"/>
        <v>38</v>
      </c>
      <c r="E44" s="5">
        <f>DATE(+$C$8-1900+SUM($Q$7:Q44),+P44,1)</f>
        <v>45261</v>
      </c>
      <c r="F44" s="6"/>
      <c r="G44" s="6"/>
      <c r="H44" s="7">
        <f t="shared" si="10"/>
        <v>4649.0190389453683</v>
      </c>
      <c r="I44" s="7">
        <f t="shared" si="19"/>
        <v>219.37</v>
      </c>
      <c r="J44" s="6">
        <f t="shared" si="5"/>
        <v>32.27132009033491</v>
      </c>
      <c r="K44" s="6">
        <f t="shared" si="6"/>
        <v>187.09867990966509</v>
      </c>
      <c r="L44" s="6">
        <f t="shared" si="7"/>
        <v>4461.9203590357029</v>
      </c>
      <c r="M44" s="6">
        <f t="shared" si="11"/>
        <v>2062.3503590357027</v>
      </c>
      <c r="N44" s="6">
        <f t="shared" si="12"/>
        <v>6273.7096409642963</v>
      </c>
      <c r="O44" s="3">
        <f t="shared" si="13"/>
        <v>48</v>
      </c>
      <c r="P44" s="3">
        <f t="shared" si="8"/>
        <v>12</v>
      </c>
      <c r="Q44">
        <f t="shared" si="14"/>
        <v>0</v>
      </c>
      <c r="R44">
        <f t="shared" si="9"/>
        <v>0</v>
      </c>
      <c r="S44">
        <f>IF(P44=$C$9,SUM($I$7:I44),0)</f>
        <v>0</v>
      </c>
      <c r="Y44" s="1">
        <f t="shared" si="17"/>
        <v>43</v>
      </c>
      <c r="Z44" s="2">
        <f t="shared" si="15"/>
        <v>0</v>
      </c>
      <c r="AA44" s="2">
        <f t="shared" si="16"/>
        <v>219.37</v>
      </c>
    </row>
    <row r="45" spans="4:27" ht="10.5">
      <c r="D45" s="8">
        <f t="shared" si="18"/>
        <v>39</v>
      </c>
      <c r="E45" s="5">
        <f>DATE(+$C$8-1900+SUM($Q$7:Q45),+P45,1)</f>
        <v>45292</v>
      </c>
      <c r="F45" s="6"/>
      <c r="G45" s="6"/>
      <c r="H45" s="7">
        <f t="shared" si="10"/>
        <v>4461.9203590357029</v>
      </c>
      <c r="I45" s="7">
        <f t="shared" si="19"/>
        <v>219.37</v>
      </c>
      <c r="J45" s="6">
        <f t="shared" si="5"/>
        <v>30.972568388682681</v>
      </c>
      <c r="K45" s="6">
        <f t="shared" si="6"/>
        <v>188.39743161131733</v>
      </c>
      <c r="L45" s="6">
        <f t="shared" si="7"/>
        <v>4273.5229274243857</v>
      </c>
      <c r="M45" s="6">
        <f t="shared" si="11"/>
        <v>2093.3229274243854</v>
      </c>
      <c r="N45" s="6">
        <f t="shared" si="12"/>
        <v>6462.1070725756135</v>
      </c>
      <c r="O45" s="3">
        <f t="shared" si="13"/>
        <v>49</v>
      </c>
      <c r="P45" s="3">
        <f t="shared" si="8"/>
        <v>1</v>
      </c>
      <c r="Q45">
        <f t="shared" si="14"/>
        <v>1</v>
      </c>
      <c r="R45">
        <f t="shared" si="9"/>
        <v>0</v>
      </c>
      <c r="S45">
        <f>IF(P45=$C$9,SUM($I$7:I45),0)</f>
        <v>0</v>
      </c>
      <c r="Y45" s="1">
        <f t="shared" si="17"/>
        <v>44</v>
      </c>
      <c r="Z45" s="2">
        <f t="shared" si="15"/>
        <v>0</v>
      </c>
      <c r="AA45" s="2">
        <f t="shared" si="16"/>
        <v>219.37</v>
      </c>
    </row>
    <row r="46" spans="4:27" ht="10.5">
      <c r="D46" s="8">
        <f t="shared" si="18"/>
        <v>40</v>
      </c>
      <c r="E46" s="5">
        <f>DATE(+$C$8-1900+SUM($Q$7:Q46),+P46,1)</f>
        <v>45323</v>
      </c>
      <c r="F46" s="6"/>
      <c r="G46" s="6"/>
      <c r="H46" s="7">
        <f t="shared" si="10"/>
        <v>4273.5229274243857</v>
      </c>
      <c r="I46" s="7">
        <f t="shared" si="19"/>
        <v>219.37</v>
      </c>
      <c r="J46" s="6">
        <f t="shared" si="5"/>
        <v>29.66480135895139</v>
      </c>
      <c r="K46" s="6">
        <f t="shared" si="6"/>
        <v>189.70519864104861</v>
      </c>
      <c r="L46" s="6">
        <f t="shared" si="7"/>
        <v>4083.8177287833369</v>
      </c>
      <c r="M46" s="6">
        <f t="shared" si="11"/>
        <v>2122.9877287833369</v>
      </c>
      <c r="N46" s="6">
        <f t="shared" si="12"/>
        <v>6651.8122712166623</v>
      </c>
      <c r="O46" s="3">
        <f t="shared" si="13"/>
        <v>50</v>
      </c>
      <c r="P46" s="3">
        <f t="shared" si="8"/>
        <v>2</v>
      </c>
      <c r="Q46">
        <f t="shared" si="14"/>
        <v>0</v>
      </c>
      <c r="R46">
        <f t="shared" si="9"/>
        <v>0</v>
      </c>
      <c r="S46">
        <f>IF(P46=$C$9,SUM($I$7:I46),0)</f>
        <v>0</v>
      </c>
      <c r="Y46" s="1">
        <f t="shared" si="17"/>
        <v>45</v>
      </c>
      <c r="Z46" s="2">
        <f t="shared" si="15"/>
        <v>0</v>
      </c>
      <c r="AA46" s="2">
        <f t="shared" si="16"/>
        <v>219.37</v>
      </c>
    </row>
    <row r="47" spans="4:27" ht="10.5">
      <c r="D47" s="8">
        <f t="shared" si="18"/>
        <v>41</v>
      </c>
      <c r="E47" s="5">
        <f>DATE(+$C$8-1900+SUM($Q$7:Q47),+P47,1)</f>
        <v>45352</v>
      </c>
      <c r="F47" s="6"/>
      <c r="G47" s="6"/>
      <c r="H47" s="7">
        <f t="shared" si="10"/>
        <v>4083.8177287833369</v>
      </c>
      <c r="I47" s="7">
        <f t="shared" si="19"/>
        <v>219.37</v>
      </c>
      <c r="J47" s="6">
        <f t="shared" si="5"/>
        <v>28.347956420941706</v>
      </c>
      <c r="K47" s="6">
        <f t="shared" si="6"/>
        <v>191.02204357905831</v>
      </c>
      <c r="L47" s="6">
        <f t="shared" si="7"/>
        <v>3892.7956852042785</v>
      </c>
      <c r="M47" s="6">
        <f t="shared" si="11"/>
        <v>2151.3356852042784</v>
      </c>
      <c r="N47" s="6">
        <f t="shared" si="12"/>
        <v>6842.8343147957203</v>
      </c>
      <c r="O47" s="3">
        <f t="shared" si="13"/>
        <v>51</v>
      </c>
      <c r="P47" s="3">
        <f t="shared" si="8"/>
        <v>3</v>
      </c>
      <c r="Q47">
        <f t="shared" si="14"/>
        <v>0</v>
      </c>
      <c r="R47">
        <f t="shared" si="9"/>
        <v>0</v>
      </c>
      <c r="S47">
        <f>IF(P47=$C$9,SUM($I$7:I47),0)</f>
        <v>0</v>
      </c>
      <c r="Y47" s="1">
        <f t="shared" si="17"/>
        <v>46</v>
      </c>
      <c r="Z47" s="2">
        <f t="shared" si="15"/>
        <v>0</v>
      </c>
      <c r="AA47" s="2">
        <f t="shared" si="16"/>
        <v>219.37</v>
      </c>
    </row>
    <row r="48" spans="4:27" ht="10.5">
      <c r="D48" s="8">
        <f t="shared" si="18"/>
        <v>42</v>
      </c>
      <c r="E48" s="5">
        <f>DATE(+$C$8-1900+SUM($Q$7:Q48),+P48,1)</f>
        <v>45383</v>
      </c>
      <c r="F48" s="6"/>
      <c r="G48" s="6"/>
      <c r="H48" s="7">
        <f t="shared" si="10"/>
        <v>3892.7956852042785</v>
      </c>
      <c r="I48" s="7">
        <f t="shared" si="19"/>
        <v>219.37</v>
      </c>
      <c r="J48" s="6">
        <f t="shared" si="5"/>
        <v>27.021970560051766</v>
      </c>
      <c r="K48" s="6">
        <f t="shared" si="6"/>
        <v>192.34802943994825</v>
      </c>
      <c r="L48" s="6">
        <f t="shared" si="7"/>
        <v>3700.4476557643302</v>
      </c>
      <c r="M48" s="6">
        <f t="shared" si="11"/>
        <v>2178.35765576433</v>
      </c>
      <c r="N48" s="6">
        <f t="shared" si="12"/>
        <v>7035.1823442356681</v>
      </c>
      <c r="O48" s="3">
        <f t="shared" si="13"/>
        <v>52</v>
      </c>
      <c r="P48" s="3">
        <f t="shared" si="8"/>
        <v>4</v>
      </c>
      <c r="Q48">
        <f t="shared" si="14"/>
        <v>0</v>
      </c>
      <c r="R48">
        <f t="shared" si="9"/>
        <v>0</v>
      </c>
      <c r="S48">
        <f>IF(P48=$C$9,SUM($I$7:I48),0)</f>
        <v>0</v>
      </c>
      <c r="Y48" s="1">
        <f t="shared" si="17"/>
        <v>47</v>
      </c>
      <c r="Z48" s="2">
        <f t="shared" si="15"/>
        <v>0</v>
      </c>
      <c r="AA48" s="2">
        <f t="shared" si="16"/>
        <v>219.37</v>
      </c>
    </row>
    <row r="49" spans="4:27" ht="10.5">
      <c r="D49" s="8">
        <f t="shared" si="18"/>
        <v>43</v>
      </c>
      <c r="E49" s="5">
        <f>DATE(+$C$8-1900+SUM($Q$7:Q49),+P49,1)</f>
        <v>45413</v>
      </c>
      <c r="F49" s="6"/>
      <c r="G49" s="6"/>
      <c r="H49" s="7">
        <f t="shared" si="10"/>
        <v>3700.4476557643302</v>
      </c>
      <c r="I49" s="7">
        <f t="shared" si="19"/>
        <v>219.37</v>
      </c>
      <c r="J49" s="6">
        <f t="shared" si="5"/>
        <v>25.686780324261751</v>
      </c>
      <c r="K49" s="6">
        <f t="shared" si="6"/>
        <v>193.68321967573826</v>
      </c>
      <c r="L49" s="6">
        <f t="shared" si="7"/>
        <v>3506.764436088592</v>
      </c>
      <c r="M49" s="6">
        <f t="shared" si="11"/>
        <v>2204.0444360885917</v>
      </c>
      <c r="N49" s="6">
        <f t="shared" si="12"/>
        <v>7228.8655639114068</v>
      </c>
      <c r="O49" s="3">
        <f t="shared" si="13"/>
        <v>53</v>
      </c>
      <c r="P49" s="3">
        <f t="shared" si="8"/>
        <v>5</v>
      </c>
      <c r="Q49">
        <f t="shared" si="14"/>
        <v>0</v>
      </c>
      <c r="R49">
        <f t="shared" si="9"/>
        <v>0</v>
      </c>
      <c r="S49">
        <f>IF(P49=$C$9,SUM($I$7:I49),0)</f>
        <v>0</v>
      </c>
      <c r="Y49" s="1">
        <f t="shared" si="17"/>
        <v>48</v>
      </c>
      <c r="Z49" s="2">
        <f t="shared" si="15"/>
        <v>0</v>
      </c>
      <c r="AA49" s="2">
        <f t="shared" si="16"/>
        <v>219.37</v>
      </c>
    </row>
    <row r="50" spans="4:27" ht="10.5">
      <c r="D50" s="8">
        <f t="shared" si="18"/>
        <v>44</v>
      </c>
      <c r="E50" s="5">
        <f>DATE(+$C$8-1900+SUM($Q$7:Q50),+P50,1)</f>
        <v>45444</v>
      </c>
      <c r="F50" s="6"/>
      <c r="G50" s="6"/>
      <c r="H50" s="7">
        <f t="shared" si="10"/>
        <v>3506.764436088592</v>
      </c>
      <c r="I50" s="7">
        <f t="shared" si="19"/>
        <v>219.37</v>
      </c>
      <c r="J50" s="6">
        <f t="shared" si="5"/>
        <v>24.342321821097542</v>
      </c>
      <c r="K50" s="6">
        <f t="shared" si="6"/>
        <v>195.02767817890248</v>
      </c>
      <c r="L50" s="6">
        <f t="shared" si="7"/>
        <v>3311.7367579096895</v>
      </c>
      <c r="M50" s="6">
        <f t="shared" si="11"/>
        <v>2228.3867579096891</v>
      </c>
      <c r="N50" s="6">
        <f t="shared" si="12"/>
        <v>7423.8932420903093</v>
      </c>
      <c r="O50" s="3">
        <f t="shared" si="13"/>
        <v>54</v>
      </c>
      <c r="P50" s="3">
        <f t="shared" si="8"/>
        <v>6</v>
      </c>
      <c r="Q50">
        <f t="shared" si="14"/>
        <v>0</v>
      </c>
      <c r="R50">
        <f t="shared" si="9"/>
        <v>7423.8932420903093</v>
      </c>
      <c r="S50">
        <f>IF(P50=$C$9,SUM($I$7:I50),0)</f>
        <v>9652.2800000000025</v>
      </c>
      <c r="Y50" s="1">
        <f t="shared" si="17"/>
        <v>49</v>
      </c>
      <c r="Z50" s="2">
        <f t="shared" si="15"/>
        <v>0</v>
      </c>
      <c r="AA50" s="2">
        <f t="shared" si="16"/>
        <v>219.37</v>
      </c>
    </row>
    <row r="51" spans="4:27" ht="10.5">
      <c r="D51" s="8">
        <f t="shared" si="18"/>
        <v>45</v>
      </c>
      <c r="E51" s="5">
        <f>DATE(+$C$8-1900+SUM($Q$7:Q51),+P51,1)</f>
        <v>45474</v>
      </c>
      <c r="F51" s="6"/>
      <c r="G51" s="6"/>
      <c r="H51" s="7">
        <f t="shared" si="10"/>
        <v>3311.7367579096895</v>
      </c>
      <c r="I51" s="7">
        <f t="shared" si="19"/>
        <v>219.37</v>
      </c>
      <c r="J51" s="6">
        <f t="shared" si="5"/>
        <v>22.988530714573287</v>
      </c>
      <c r="K51" s="6">
        <f t="shared" si="6"/>
        <v>196.3814692854267</v>
      </c>
      <c r="L51" s="6">
        <f t="shared" si="7"/>
        <v>3115.3552886242628</v>
      </c>
      <c r="M51" s="6">
        <f t="shared" si="11"/>
        <v>2251.3752886242623</v>
      </c>
      <c r="N51" s="6">
        <f t="shared" si="12"/>
        <v>7620.2747113757359</v>
      </c>
      <c r="O51" s="3">
        <f t="shared" si="13"/>
        <v>55</v>
      </c>
      <c r="P51" s="3">
        <f t="shared" si="8"/>
        <v>7</v>
      </c>
      <c r="Q51">
        <f t="shared" si="14"/>
        <v>0</v>
      </c>
      <c r="R51">
        <f t="shared" si="9"/>
        <v>0</v>
      </c>
      <c r="S51">
        <f>IF(P51=$C$9,SUM($I$7:I51),0)</f>
        <v>0</v>
      </c>
      <c r="Y51" s="1">
        <f t="shared" si="17"/>
        <v>50</v>
      </c>
      <c r="Z51" s="2">
        <f t="shared" si="15"/>
        <v>0</v>
      </c>
      <c r="AA51" s="2">
        <f t="shared" si="16"/>
        <v>219.37</v>
      </c>
    </row>
    <row r="52" spans="4:27" ht="10.5">
      <c r="D52" s="8">
        <f t="shared" si="18"/>
        <v>46</v>
      </c>
      <c r="E52" s="5">
        <f>DATE(+$C$8-1900+SUM($Q$7:Q52),+P52,1)</f>
        <v>45505</v>
      </c>
      <c r="F52" s="6"/>
      <c r="G52" s="6"/>
      <c r="H52" s="7">
        <f t="shared" si="10"/>
        <v>3115.3552886242628</v>
      </c>
      <c r="I52" s="7">
        <f t="shared" si="19"/>
        <v>219.37</v>
      </c>
      <c r="J52" s="6">
        <f t="shared" si="5"/>
        <v>21.625342222112746</v>
      </c>
      <c r="K52" s="6">
        <f t="shared" si="6"/>
        <v>197.74465777788726</v>
      </c>
      <c r="L52" s="6">
        <f t="shared" si="7"/>
        <v>2917.6106308463754</v>
      </c>
      <c r="M52" s="6">
        <f t="shared" si="11"/>
        <v>2273.0006308463749</v>
      </c>
      <c r="N52" s="6">
        <f t="shared" si="12"/>
        <v>7818.0193691536233</v>
      </c>
      <c r="O52" s="3">
        <f t="shared" si="13"/>
        <v>56</v>
      </c>
      <c r="P52" s="3">
        <f t="shared" si="8"/>
        <v>8</v>
      </c>
      <c r="Q52">
        <f t="shared" si="14"/>
        <v>0</v>
      </c>
      <c r="R52">
        <f t="shared" si="9"/>
        <v>0</v>
      </c>
      <c r="S52">
        <f>IF(P52=$C$9,SUM($I$7:I52),0)</f>
        <v>0</v>
      </c>
      <c r="Y52" s="1">
        <f t="shared" si="17"/>
        <v>51</v>
      </c>
      <c r="Z52" s="2">
        <f t="shared" si="15"/>
        <v>0</v>
      </c>
      <c r="AA52" s="2">
        <f t="shared" si="16"/>
        <v>219.37</v>
      </c>
    </row>
    <row r="53" spans="4:27" ht="10.5">
      <c r="D53" s="8">
        <f t="shared" si="18"/>
        <v>47</v>
      </c>
      <c r="E53" s="5">
        <f>DATE(+$C$8-1900+SUM($Q$7:Q53),+P53,1)</f>
        <v>45536</v>
      </c>
      <c r="F53" s="6"/>
      <c r="G53" s="6"/>
      <c r="H53" s="7">
        <f t="shared" si="10"/>
        <v>2917.6106308463754</v>
      </c>
      <c r="I53" s="7">
        <f t="shared" si="19"/>
        <v>219.37</v>
      </c>
      <c r="J53" s="6">
        <f t="shared" si="5"/>
        <v>20.252691111449284</v>
      </c>
      <c r="K53" s="6">
        <f t="shared" si="6"/>
        <v>199.11730888855072</v>
      </c>
      <c r="L53" s="6">
        <f t="shared" si="7"/>
        <v>2718.4933219578247</v>
      </c>
      <c r="M53" s="6">
        <f t="shared" si="11"/>
        <v>2293.253321957824</v>
      </c>
      <c r="N53" s="6">
        <f t="shared" si="12"/>
        <v>8017.136678042174</v>
      </c>
      <c r="O53" s="3">
        <f t="shared" si="13"/>
        <v>57</v>
      </c>
      <c r="P53" s="3">
        <f t="shared" si="8"/>
        <v>9</v>
      </c>
      <c r="Q53">
        <f t="shared" si="14"/>
        <v>0</v>
      </c>
      <c r="R53">
        <f t="shared" si="9"/>
        <v>0</v>
      </c>
      <c r="S53">
        <f>IF(P53=$C$9,SUM($I$7:I53),0)</f>
        <v>0</v>
      </c>
      <c r="Y53" s="1">
        <f t="shared" si="17"/>
        <v>52</v>
      </c>
      <c r="Z53" s="2">
        <f t="shared" si="15"/>
        <v>0</v>
      </c>
      <c r="AA53" s="2">
        <f t="shared" si="16"/>
        <v>219.37</v>
      </c>
    </row>
    <row r="54" spans="4:27" ht="10.5">
      <c r="D54" s="8">
        <f t="shared" si="18"/>
        <v>48</v>
      </c>
      <c r="E54" s="5">
        <f>DATE(+$C$8-1900+SUM($Q$7:Q54),+P54,1)</f>
        <v>45566</v>
      </c>
      <c r="F54" s="6"/>
      <c r="G54" s="6"/>
      <c r="H54" s="7">
        <f t="shared" si="10"/>
        <v>2718.4933219578247</v>
      </c>
      <c r="I54" s="7">
        <f t="shared" si="19"/>
        <v>219.37</v>
      </c>
      <c r="J54" s="6">
        <f t="shared" si="5"/>
        <v>18.870511697504316</v>
      </c>
      <c r="K54" s="6">
        <f t="shared" si="6"/>
        <v>200.49948830249568</v>
      </c>
      <c r="L54" s="6">
        <f t="shared" si="7"/>
        <v>2517.9938336553291</v>
      </c>
      <c r="M54" s="6">
        <f t="shared" si="11"/>
        <v>2312.1238336553283</v>
      </c>
      <c r="N54" s="6">
        <f t="shared" si="12"/>
        <v>8217.6361663446696</v>
      </c>
      <c r="O54" s="3">
        <f t="shared" si="13"/>
        <v>58</v>
      </c>
      <c r="P54" s="3">
        <f t="shared" si="8"/>
        <v>10</v>
      </c>
      <c r="Q54">
        <f t="shared" si="14"/>
        <v>0</v>
      </c>
      <c r="R54">
        <f t="shared" si="9"/>
        <v>0</v>
      </c>
      <c r="S54">
        <f>IF(P54=$C$9,SUM($I$7:I54),0)</f>
        <v>0</v>
      </c>
      <c r="Y54" s="1">
        <f t="shared" si="17"/>
        <v>53</v>
      </c>
      <c r="Z54" s="2">
        <f t="shared" si="15"/>
        <v>0</v>
      </c>
      <c r="AA54" s="2">
        <f t="shared" si="16"/>
        <v>219.37</v>
      </c>
    </row>
    <row r="55" spans="4:27" ht="10.5">
      <c r="D55" s="8">
        <f t="shared" si="18"/>
        <v>49</v>
      </c>
      <c r="E55" s="5">
        <f>DATE(+$C$8-1900+SUM($Q$7:Q55),+P55,1)</f>
        <v>45597</v>
      </c>
      <c r="F55" s="6"/>
      <c r="G55" s="6"/>
      <c r="H55" s="7">
        <f t="shared" ref="H55:H70" si="20">IF(L54&gt;0,L54,0)</f>
        <v>2517.9938336553291</v>
      </c>
      <c r="I55" s="7">
        <f t="shared" si="19"/>
        <v>219.37</v>
      </c>
      <c r="J55" s="6">
        <f t="shared" si="5"/>
        <v>17.478737839244101</v>
      </c>
      <c r="K55" s="6">
        <f t="shared" si="6"/>
        <v>201.8912621607559</v>
      </c>
      <c r="L55" s="6">
        <f t="shared" si="7"/>
        <v>2316.1025714945731</v>
      </c>
      <c r="M55" s="6">
        <f t="shared" si="11"/>
        <v>2329.6025714945722</v>
      </c>
      <c r="N55" s="6">
        <f t="shared" si="12"/>
        <v>8419.5274285054256</v>
      </c>
      <c r="O55" s="3">
        <f t="shared" si="13"/>
        <v>59</v>
      </c>
      <c r="P55" s="3">
        <f t="shared" si="8"/>
        <v>11</v>
      </c>
      <c r="Q55">
        <f t="shared" si="14"/>
        <v>0</v>
      </c>
      <c r="R55">
        <f t="shared" si="9"/>
        <v>0</v>
      </c>
      <c r="S55">
        <f>IF(P55=$C$9,SUM($I$7:I55),0)</f>
        <v>0</v>
      </c>
      <c r="Y55" s="1">
        <f t="shared" si="17"/>
        <v>54</v>
      </c>
      <c r="Z55" s="2">
        <f t="shared" ref="Z55:Z70" si="21">IF(Y55=$C$10+1,$C$5,0)</f>
        <v>0</v>
      </c>
      <c r="AA55" s="2">
        <f t="shared" ref="AA55:AA70" si="22">IF(Y55&lt;=$C$10+1,IF(Y55=$C$10+1,Z55,$C$4),0)</f>
        <v>219.37</v>
      </c>
    </row>
    <row r="56" spans="4:27" ht="10.5">
      <c r="D56" s="8">
        <f t="shared" si="18"/>
        <v>50</v>
      </c>
      <c r="E56" s="5">
        <f>DATE(+$C$8-1900+SUM($Q$7:Q56),+P56,1)</f>
        <v>45627</v>
      </c>
      <c r="F56" s="6"/>
      <c r="G56" s="6"/>
      <c r="H56" s="7">
        <f t="shared" si="20"/>
        <v>2316.1025714945731</v>
      </c>
      <c r="I56" s="7">
        <f t="shared" si="19"/>
        <v>219.37</v>
      </c>
      <c r="J56" s="6">
        <f t="shared" ref="J56:J71" si="23">H56*$C$13</f>
        <v>16.077302936514712</v>
      </c>
      <c r="K56" s="6">
        <f t="shared" ref="K56:K71" si="24">I56-J56</f>
        <v>203.29269706348529</v>
      </c>
      <c r="L56" s="6">
        <f t="shared" ref="L56:L71" si="25">H56-K56</f>
        <v>2112.8098744310878</v>
      </c>
      <c r="M56" s="6">
        <f t="shared" ref="M56:M71" si="26">IF(L56&gt;0,M55+J56,0)</f>
        <v>2345.6798744310868</v>
      </c>
      <c r="N56" s="6">
        <f t="shared" ref="N56:N71" si="27">N55+K56</f>
        <v>8622.820125568911</v>
      </c>
      <c r="O56" s="3">
        <f t="shared" ref="O56:O71" si="28">O55+1</f>
        <v>60</v>
      </c>
      <c r="P56" s="3">
        <f t="shared" si="8"/>
        <v>12</v>
      </c>
      <c r="Q56">
        <f t="shared" ref="Q56:Q71" si="29">IF(P55=12,1,0)</f>
        <v>0</v>
      </c>
      <c r="R56">
        <f t="shared" ref="R56:R71" si="30">IF(P56=$C$9,N56,0)</f>
        <v>0</v>
      </c>
      <c r="S56">
        <f>IF(P56=$C$9,SUM($I$7:I56),0)</f>
        <v>0</v>
      </c>
      <c r="Y56" s="1">
        <f t="shared" ref="Y56:Y71" si="31">IF(Y55&lt;$C$10+1,Y55+1,100)</f>
        <v>55</v>
      </c>
      <c r="Z56" s="2">
        <f t="shared" si="21"/>
        <v>0</v>
      </c>
      <c r="AA56" s="2">
        <f t="shared" si="22"/>
        <v>219.37</v>
      </c>
    </row>
    <row r="57" spans="4:27" ht="10.5">
      <c r="D57" s="8">
        <f t="shared" si="18"/>
        <v>51</v>
      </c>
      <c r="E57" s="5">
        <f>DATE(+$C$8-1900+SUM($Q$7:Q57),+P57,1)</f>
        <v>45658</v>
      </c>
      <c r="F57" s="6"/>
      <c r="G57" s="6"/>
      <c r="H57" s="7">
        <f t="shared" si="20"/>
        <v>2112.8098744310878</v>
      </c>
      <c r="I57" s="7">
        <f t="shared" si="19"/>
        <v>219.37</v>
      </c>
      <c r="J57" s="6">
        <f t="shared" si="23"/>
        <v>14.666139926855047</v>
      </c>
      <c r="K57" s="6">
        <f t="shared" si="24"/>
        <v>204.70386007314497</v>
      </c>
      <c r="L57" s="6">
        <f t="shared" si="25"/>
        <v>1908.1060143579427</v>
      </c>
      <c r="M57" s="6">
        <f t="shared" si="26"/>
        <v>2360.3460143579418</v>
      </c>
      <c r="N57" s="6">
        <f t="shared" si="27"/>
        <v>8827.5239856420558</v>
      </c>
      <c r="O57" s="3">
        <f t="shared" si="28"/>
        <v>61</v>
      </c>
      <c r="P57" s="3">
        <f t="shared" si="8"/>
        <v>1</v>
      </c>
      <c r="Q57">
        <f t="shared" si="29"/>
        <v>1</v>
      </c>
      <c r="R57">
        <f t="shared" si="30"/>
        <v>0</v>
      </c>
      <c r="S57">
        <f>IF(P57=$C$9,SUM($I$7:I57),0)</f>
        <v>0</v>
      </c>
      <c r="Y57" s="1">
        <f t="shared" si="31"/>
        <v>56</v>
      </c>
      <c r="Z57" s="2">
        <f t="shared" si="21"/>
        <v>0</v>
      </c>
      <c r="AA57" s="2">
        <f t="shared" si="22"/>
        <v>219.37</v>
      </c>
    </row>
    <row r="58" spans="4:27" ht="10.5">
      <c r="D58" s="8">
        <f t="shared" si="18"/>
        <v>52</v>
      </c>
      <c r="E58" s="5">
        <f>DATE(+$C$8-1900+SUM($Q$7:Q58),+P58,1)</f>
        <v>45689</v>
      </c>
      <c r="F58" s="6"/>
      <c r="G58" s="6"/>
      <c r="H58" s="7">
        <f t="shared" si="20"/>
        <v>1908.1060143579427</v>
      </c>
      <c r="I58" s="7">
        <f t="shared" ref="I58:I73" si="32">IF(H58&gt;0,AA53,0)</f>
        <v>219.37</v>
      </c>
      <c r="J58" s="6">
        <f t="shared" si="23"/>
        <v>13.245181282287703</v>
      </c>
      <c r="K58" s="6">
        <f t="shared" si="24"/>
        <v>206.12481871771229</v>
      </c>
      <c r="L58" s="6">
        <f t="shared" si="25"/>
        <v>1701.9811956402305</v>
      </c>
      <c r="M58" s="6">
        <f t="shared" si="26"/>
        <v>2373.5911956402297</v>
      </c>
      <c r="N58" s="6">
        <f t="shared" si="27"/>
        <v>9033.6488043597674</v>
      </c>
      <c r="O58" s="3">
        <f t="shared" si="28"/>
        <v>62</v>
      </c>
      <c r="P58" s="3">
        <f t="shared" si="8"/>
        <v>2</v>
      </c>
      <c r="Q58">
        <f t="shared" si="29"/>
        <v>0</v>
      </c>
      <c r="R58">
        <f t="shared" si="30"/>
        <v>0</v>
      </c>
      <c r="S58">
        <f>IF(P58=$C$9,SUM($I$7:I58),0)</f>
        <v>0</v>
      </c>
      <c r="Y58" s="1">
        <f t="shared" si="31"/>
        <v>57</v>
      </c>
      <c r="Z58" s="2">
        <f t="shared" si="21"/>
        <v>0</v>
      </c>
      <c r="AA58" s="2">
        <f t="shared" si="22"/>
        <v>219.37</v>
      </c>
    </row>
    <row r="59" spans="4:27" ht="10.5">
      <c r="D59" s="8">
        <f t="shared" si="18"/>
        <v>53</v>
      </c>
      <c r="E59" s="5">
        <f>DATE(+$C$8-1900+SUM($Q$7:Q59),+P59,1)</f>
        <v>45717</v>
      </c>
      <c r="F59" s="6"/>
      <c r="G59" s="6"/>
      <c r="H59" s="7">
        <f t="shared" si="20"/>
        <v>1701.9811956402305</v>
      </c>
      <c r="I59" s="7">
        <f>IF(H59&gt;0,AA55,0)</f>
        <v>219.37</v>
      </c>
      <c r="J59" s="6">
        <f t="shared" si="23"/>
        <v>11.814359006087573</v>
      </c>
      <c r="K59" s="6">
        <f t="shared" si="24"/>
        <v>207.55564099391242</v>
      </c>
      <c r="L59" s="6">
        <f t="shared" si="25"/>
        <v>1494.425554646318</v>
      </c>
      <c r="M59" s="6">
        <f t="shared" si="26"/>
        <v>2385.4055546463173</v>
      </c>
      <c r="N59" s="6">
        <f t="shared" si="27"/>
        <v>9241.2044453536801</v>
      </c>
      <c r="O59" s="3">
        <f t="shared" si="28"/>
        <v>63</v>
      </c>
      <c r="P59" s="3">
        <f>IF(O59=60,12,IF(O59=12,12,IF(O59=24,12,IF(O59=36,12,IF(O59=48,12,MOD(O59,12))))))</f>
        <v>3</v>
      </c>
      <c r="Q59">
        <f t="shared" si="29"/>
        <v>0</v>
      </c>
      <c r="R59">
        <f t="shared" si="30"/>
        <v>0</v>
      </c>
      <c r="S59">
        <f>IF(P59=$C$9,SUM($I$7:I59),0)</f>
        <v>0</v>
      </c>
      <c r="Y59" s="1">
        <f t="shared" si="31"/>
        <v>58</v>
      </c>
      <c r="Z59" s="2">
        <f t="shared" si="21"/>
        <v>0</v>
      </c>
      <c r="AA59" s="2">
        <f t="shared" si="22"/>
        <v>219.37</v>
      </c>
    </row>
    <row r="60" spans="4:27" ht="10.5">
      <c r="D60" s="8">
        <f t="shared" si="18"/>
        <v>54</v>
      </c>
      <c r="E60" s="5">
        <f>DATE(+$C$8-1900+SUM($Q$7:Q60),+P60,1)</f>
        <v>45748</v>
      </c>
      <c r="F60" s="6"/>
      <c r="G60" s="6"/>
      <c r="H60" s="7">
        <f t="shared" si="20"/>
        <v>1494.425554646318</v>
      </c>
      <c r="I60" s="7">
        <f>IF(H60&gt;0,AA56,0)</f>
        <v>219.37</v>
      </c>
      <c r="J60" s="6">
        <f t="shared" si="23"/>
        <v>10.373604629528028</v>
      </c>
      <c r="K60" s="6">
        <f t="shared" si="24"/>
        <v>208.99639537047199</v>
      </c>
      <c r="L60" s="6">
        <f t="shared" si="25"/>
        <v>1285.4291592758459</v>
      </c>
      <c r="M60" s="6">
        <f t="shared" si="26"/>
        <v>2395.7791592758454</v>
      </c>
      <c r="N60" s="6">
        <f t="shared" si="27"/>
        <v>9450.2008407241519</v>
      </c>
      <c r="O60" s="3">
        <f t="shared" si="28"/>
        <v>64</v>
      </c>
      <c r="P60" s="3">
        <f t="shared" ref="P60:P88" si="33">IF(O60=60,12,IF(O60=12,12,IF(O60=24,12,IF(O60=36,12,IF(O60=48,12,MOD(O60,12))))))</f>
        <v>4</v>
      </c>
      <c r="Q60">
        <f t="shared" si="29"/>
        <v>0</v>
      </c>
      <c r="R60">
        <f t="shared" si="30"/>
        <v>0</v>
      </c>
      <c r="S60">
        <f>IF(P60=$C$9,SUM($I$7:I60),0)</f>
        <v>0</v>
      </c>
      <c r="Y60" s="1">
        <f t="shared" si="31"/>
        <v>59</v>
      </c>
      <c r="Z60" s="2">
        <f t="shared" si="21"/>
        <v>0</v>
      </c>
      <c r="AA60" s="2">
        <f t="shared" si="22"/>
        <v>219.37</v>
      </c>
    </row>
    <row r="61" spans="4:27" ht="10.5">
      <c r="D61" s="8">
        <f t="shared" si="18"/>
        <v>55</v>
      </c>
      <c r="E61" s="5">
        <f>DATE(+$C$8-1900+SUM($Q$7:Q61),+P61,1)</f>
        <v>45778</v>
      </c>
      <c r="F61" s="6"/>
      <c r="G61" s="6"/>
      <c r="H61" s="7">
        <f t="shared" si="20"/>
        <v>1285.4291592758459</v>
      </c>
      <c r="I61" s="7">
        <f t="shared" si="32"/>
        <v>219.37</v>
      </c>
      <c r="J61" s="6">
        <f t="shared" si="23"/>
        <v>8.9228492086044984</v>
      </c>
      <c r="K61" s="6">
        <f t="shared" si="24"/>
        <v>210.4471507913955</v>
      </c>
      <c r="L61" s="6">
        <f t="shared" si="25"/>
        <v>1074.9820084844505</v>
      </c>
      <c r="M61" s="6">
        <f t="shared" si="26"/>
        <v>2404.7020084844498</v>
      </c>
      <c r="N61" s="6">
        <f t="shared" si="27"/>
        <v>9660.6479915155469</v>
      </c>
      <c r="O61" s="3">
        <f t="shared" si="28"/>
        <v>65</v>
      </c>
      <c r="P61" s="3">
        <f t="shared" si="33"/>
        <v>5</v>
      </c>
      <c r="Q61">
        <f t="shared" si="29"/>
        <v>0</v>
      </c>
      <c r="R61">
        <f t="shared" si="30"/>
        <v>0</v>
      </c>
      <c r="S61">
        <f>IF(P61=$C$9,SUM($I$7:I61),0)</f>
        <v>0</v>
      </c>
      <c r="Y61" s="1">
        <f t="shared" si="31"/>
        <v>60</v>
      </c>
      <c r="Z61" s="2">
        <f t="shared" si="21"/>
        <v>220</v>
      </c>
      <c r="AA61" s="2">
        <f t="shared" si="22"/>
        <v>220</v>
      </c>
    </row>
    <row r="62" spans="4:27" ht="10.5">
      <c r="D62" s="8">
        <f t="shared" si="18"/>
        <v>56</v>
      </c>
      <c r="E62" s="5">
        <f>DATE(+$C$8-1900+SUM($Q$7:Q62),+P62,1)</f>
        <v>45809</v>
      </c>
      <c r="F62" s="6"/>
      <c r="G62" s="6"/>
      <c r="H62" s="7">
        <f t="shared" si="20"/>
        <v>1074.9820084844505</v>
      </c>
      <c r="I62" s="7">
        <f t="shared" si="32"/>
        <v>219.37</v>
      </c>
      <c r="J62" s="6">
        <f t="shared" si="23"/>
        <v>7.4620233207353159</v>
      </c>
      <c r="K62" s="6">
        <f t="shared" si="24"/>
        <v>211.90797667926469</v>
      </c>
      <c r="L62" s="6">
        <f t="shared" si="25"/>
        <v>863.07403180518577</v>
      </c>
      <c r="M62" s="6">
        <f t="shared" si="26"/>
        <v>2412.164031805185</v>
      </c>
      <c r="N62" s="6">
        <f t="shared" si="27"/>
        <v>9872.5559681948107</v>
      </c>
      <c r="O62" s="3">
        <f t="shared" si="28"/>
        <v>66</v>
      </c>
      <c r="P62" s="3">
        <f t="shared" si="33"/>
        <v>6</v>
      </c>
      <c r="Q62">
        <f t="shared" si="29"/>
        <v>0</v>
      </c>
      <c r="R62">
        <f t="shared" si="30"/>
        <v>9872.5559681948107</v>
      </c>
      <c r="S62">
        <f>IF(P62=$C$9,SUM($I$7:I62),0)</f>
        <v>12284.720000000012</v>
      </c>
      <c r="Y62" s="1">
        <f t="shared" si="31"/>
        <v>100</v>
      </c>
      <c r="Z62" s="2">
        <f t="shared" si="21"/>
        <v>0</v>
      </c>
      <c r="AA62" s="2">
        <f t="shared" si="22"/>
        <v>0</v>
      </c>
    </row>
    <row r="63" spans="4:27" ht="10.5">
      <c r="D63" s="8">
        <f t="shared" si="18"/>
        <v>57</v>
      </c>
      <c r="E63" s="5">
        <f>DATE(+$C$8-1900+SUM($Q$7:Q63),+P63,1)</f>
        <v>45839</v>
      </c>
      <c r="F63" s="6"/>
      <c r="G63" s="6"/>
      <c r="H63" s="7">
        <f t="shared" si="20"/>
        <v>863.07403180518577</v>
      </c>
      <c r="I63" s="7">
        <f t="shared" si="32"/>
        <v>219.37</v>
      </c>
      <c r="J63" s="6">
        <f t="shared" si="23"/>
        <v>5.9910570614396548</v>
      </c>
      <c r="K63" s="6">
        <f t="shared" si="24"/>
        <v>213.37894293856036</v>
      </c>
      <c r="L63" s="6">
        <f t="shared" si="25"/>
        <v>649.69508886662538</v>
      </c>
      <c r="M63" s="6">
        <f t="shared" si="26"/>
        <v>2418.1550888666247</v>
      </c>
      <c r="N63" s="6">
        <f t="shared" si="27"/>
        <v>10085.93491113337</v>
      </c>
      <c r="O63" s="3">
        <f t="shared" si="28"/>
        <v>67</v>
      </c>
      <c r="P63" s="3">
        <f t="shared" si="33"/>
        <v>7</v>
      </c>
      <c r="Q63">
        <f t="shared" si="29"/>
        <v>0</v>
      </c>
      <c r="R63">
        <f t="shared" si="30"/>
        <v>0</v>
      </c>
      <c r="S63">
        <f>IF(P63=$C$9,SUM($I$7:I63),0)</f>
        <v>0</v>
      </c>
      <c r="Y63" s="1">
        <f t="shared" si="31"/>
        <v>100</v>
      </c>
      <c r="Z63" s="2">
        <f t="shared" si="21"/>
        <v>0</v>
      </c>
      <c r="AA63" s="2">
        <f t="shared" si="22"/>
        <v>0</v>
      </c>
    </row>
    <row r="64" spans="4:27" ht="10.5">
      <c r="D64" s="8">
        <f t="shared" si="18"/>
        <v>58</v>
      </c>
      <c r="E64" s="5">
        <f>DATE(+$C$8-1900+SUM($Q$7:Q64),+P64,1)</f>
        <v>45870</v>
      </c>
      <c r="F64" s="6"/>
      <c r="G64" s="6"/>
      <c r="H64" s="7">
        <f t="shared" si="20"/>
        <v>649.69508886662538</v>
      </c>
      <c r="I64" s="7">
        <f t="shared" si="32"/>
        <v>219.37</v>
      </c>
      <c r="J64" s="6">
        <f t="shared" si="23"/>
        <v>4.5098800409924147</v>
      </c>
      <c r="K64" s="6">
        <f t="shared" si="24"/>
        <v>214.86011995900759</v>
      </c>
      <c r="L64" s="6">
        <f t="shared" si="25"/>
        <v>434.83496890761779</v>
      </c>
      <c r="M64" s="6">
        <f t="shared" si="26"/>
        <v>2422.6649689076171</v>
      </c>
      <c r="N64" s="6">
        <f t="shared" si="27"/>
        <v>10300.795031092379</v>
      </c>
      <c r="O64" s="3">
        <f t="shared" si="28"/>
        <v>68</v>
      </c>
      <c r="P64" s="3">
        <f t="shared" si="33"/>
        <v>8</v>
      </c>
      <c r="Q64">
        <f t="shared" si="29"/>
        <v>0</v>
      </c>
      <c r="R64">
        <f t="shared" si="30"/>
        <v>0</v>
      </c>
      <c r="S64">
        <f>IF(P64=$C$9,SUM($I$7:I64),0)</f>
        <v>0</v>
      </c>
      <c r="Y64" s="1">
        <f t="shared" si="31"/>
        <v>100</v>
      </c>
      <c r="Z64" s="2">
        <f t="shared" si="21"/>
        <v>0</v>
      </c>
      <c r="AA64" s="2">
        <f t="shared" si="22"/>
        <v>0</v>
      </c>
    </row>
    <row r="65" spans="4:27" ht="10.5">
      <c r="D65" s="8">
        <f t="shared" si="18"/>
        <v>59</v>
      </c>
      <c r="E65" s="5">
        <f>DATE(+$C$8-1900+SUM($Q$7:Q65),+P65,1)</f>
        <v>45901</v>
      </c>
      <c r="F65" s="6"/>
      <c r="G65" s="6"/>
      <c r="H65" s="7">
        <f t="shared" si="20"/>
        <v>434.83496890761779</v>
      </c>
      <c r="I65" s="7">
        <f t="shared" si="32"/>
        <v>219.37</v>
      </c>
      <c r="J65" s="6">
        <f t="shared" si="23"/>
        <v>3.0184213810558811</v>
      </c>
      <c r="K65" s="6">
        <f t="shared" si="24"/>
        <v>216.35157861894413</v>
      </c>
      <c r="L65" s="6">
        <f t="shared" si="25"/>
        <v>218.48339028867366</v>
      </c>
      <c r="M65" s="6">
        <f t="shared" si="26"/>
        <v>2425.6833902886729</v>
      </c>
      <c r="N65" s="6">
        <f t="shared" si="27"/>
        <v>10517.146609711323</v>
      </c>
      <c r="O65" s="3">
        <f t="shared" si="28"/>
        <v>69</v>
      </c>
      <c r="P65" s="3">
        <f t="shared" si="33"/>
        <v>9</v>
      </c>
      <c r="Q65">
        <f t="shared" si="29"/>
        <v>0</v>
      </c>
      <c r="R65">
        <f t="shared" si="30"/>
        <v>0</v>
      </c>
      <c r="S65">
        <f>IF(P65=$C$9,SUM($I$7:I65),0)</f>
        <v>0</v>
      </c>
      <c r="Y65" s="1">
        <f t="shared" si="31"/>
        <v>100</v>
      </c>
      <c r="Z65" s="2">
        <f t="shared" si="21"/>
        <v>0</v>
      </c>
      <c r="AA65" s="2">
        <f t="shared" si="22"/>
        <v>0</v>
      </c>
    </row>
    <row r="66" spans="4:27" ht="10.5">
      <c r="D66" s="8">
        <f t="shared" si="18"/>
        <v>60</v>
      </c>
      <c r="E66" s="5">
        <f>DATE(+$C$8-1900+SUM($Q$7:Q66),+P66,1)</f>
        <v>45931</v>
      </c>
      <c r="F66" s="6"/>
      <c r="G66" s="6"/>
      <c r="H66" s="7">
        <f t="shared" si="20"/>
        <v>218.48339028867366</v>
      </c>
      <c r="I66" s="7">
        <f t="shared" si="32"/>
        <v>220</v>
      </c>
      <c r="J66" s="6">
        <f t="shared" si="23"/>
        <v>1.5166097112880017</v>
      </c>
      <c r="K66" s="6">
        <f t="shared" si="24"/>
        <v>218.483390288712</v>
      </c>
      <c r="L66" s="6">
        <f t="shared" si="25"/>
        <v>-3.8340886021615006E-11</v>
      </c>
      <c r="M66" s="6">
        <f t="shared" si="26"/>
        <v>0</v>
      </c>
      <c r="N66" s="6">
        <f t="shared" si="27"/>
        <v>10735.630000000034</v>
      </c>
      <c r="O66" s="3">
        <f t="shared" si="28"/>
        <v>70</v>
      </c>
      <c r="P66" s="3">
        <f t="shared" si="33"/>
        <v>10</v>
      </c>
      <c r="Q66">
        <f t="shared" si="29"/>
        <v>0</v>
      </c>
      <c r="R66">
        <f t="shared" si="30"/>
        <v>0</v>
      </c>
      <c r="S66">
        <f>IF(P66=$C$9,SUM($I$7:I66),0)</f>
        <v>0</v>
      </c>
      <c r="Y66" s="1">
        <f t="shared" si="31"/>
        <v>100</v>
      </c>
      <c r="Z66" s="2">
        <f t="shared" si="21"/>
        <v>0</v>
      </c>
      <c r="AA66" s="2">
        <f t="shared" si="22"/>
        <v>0</v>
      </c>
    </row>
    <row r="67" spans="4:27" ht="10.5">
      <c r="D67" s="8">
        <f t="shared" si="18"/>
        <v>100</v>
      </c>
      <c r="E67" s="5">
        <f>DATE(+$C$8-1900+SUM($Q$7:Q67),+P67,1)</f>
        <v>45962</v>
      </c>
      <c r="F67" s="6"/>
      <c r="G67" s="6"/>
      <c r="H67" s="7">
        <f t="shared" si="20"/>
        <v>0</v>
      </c>
      <c r="I67" s="7">
        <f t="shared" si="32"/>
        <v>0</v>
      </c>
      <c r="J67" s="6">
        <f t="shared" si="23"/>
        <v>0</v>
      </c>
      <c r="K67" s="6">
        <f t="shared" si="24"/>
        <v>0</v>
      </c>
      <c r="L67" s="6">
        <f t="shared" si="25"/>
        <v>0</v>
      </c>
      <c r="M67" s="6">
        <f t="shared" si="26"/>
        <v>0</v>
      </c>
      <c r="N67" s="6">
        <f t="shared" si="27"/>
        <v>10735.630000000034</v>
      </c>
      <c r="O67" s="3">
        <f t="shared" si="28"/>
        <v>71</v>
      </c>
      <c r="P67" s="3">
        <f t="shared" si="33"/>
        <v>11</v>
      </c>
      <c r="Q67">
        <f t="shared" si="29"/>
        <v>0</v>
      </c>
      <c r="R67">
        <f t="shared" si="30"/>
        <v>0</v>
      </c>
      <c r="S67">
        <f>IF(P67=$C$9,SUM($I$7:I67),0)</f>
        <v>0</v>
      </c>
      <c r="Y67" s="1">
        <f t="shared" si="31"/>
        <v>100</v>
      </c>
      <c r="Z67" s="2">
        <f t="shared" si="21"/>
        <v>0</v>
      </c>
      <c r="AA67" s="2">
        <f t="shared" si="22"/>
        <v>0</v>
      </c>
    </row>
    <row r="68" spans="4:27" ht="10.5">
      <c r="D68" s="8">
        <f t="shared" si="18"/>
        <v>100</v>
      </c>
      <c r="E68" s="5" t="e">
        <f>DATE(+$C$8-1900+SUM($Q$7:Q68),+P68,1)</f>
        <v>#NUM!</v>
      </c>
      <c r="F68" s="6"/>
      <c r="G68" s="6"/>
      <c r="H68" s="7">
        <f t="shared" si="20"/>
        <v>0</v>
      </c>
      <c r="I68" s="7">
        <f t="shared" si="32"/>
        <v>0</v>
      </c>
      <c r="J68" s="6">
        <f t="shared" si="23"/>
        <v>0</v>
      </c>
      <c r="K68" s="6">
        <f t="shared" si="24"/>
        <v>0</v>
      </c>
      <c r="L68" s="6">
        <f t="shared" si="25"/>
        <v>0</v>
      </c>
      <c r="M68" s="6">
        <f t="shared" si="26"/>
        <v>0</v>
      </c>
      <c r="N68" s="6">
        <f t="shared" si="27"/>
        <v>10735.630000000034</v>
      </c>
      <c r="O68" s="3">
        <f t="shared" si="28"/>
        <v>72</v>
      </c>
      <c r="P68" s="3">
        <f t="shared" si="33"/>
        <v>0</v>
      </c>
      <c r="Q68">
        <f t="shared" si="29"/>
        <v>0</v>
      </c>
      <c r="R68">
        <f t="shared" si="30"/>
        <v>0</v>
      </c>
      <c r="S68">
        <f>IF(P68=$C$9,SUM($I$7:I68),0)</f>
        <v>0</v>
      </c>
      <c r="Y68" s="1">
        <f t="shared" si="31"/>
        <v>100</v>
      </c>
      <c r="Z68" s="2">
        <f t="shared" si="21"/>
        <v>0</v>
      </c>
      <c r="AA68" s="2">
        <f t="shared" si="22"/>
        <v>0</v>
      </c>
    </row>
    <row r="69" spans="4:27" ht="10.5">
      <c r="D69" s="8">
        <f t="shared" si="18"/>
        <v>100</v>
      </c>
      <c r="E69" s="5">
        <f>DATE(+$C$8-1900+SUM($Q$7:Q69),+P69,1)</f>
        <v>45658</v>
      </c>
      <c r="F69" s="6"/>
      <c r="G69" s="6"/>
      <c r="H69" s="7">
        <f t="shared" si="20"/>
        <v>0</v>
      </c>
      <c r="I69" s="7">
        <f t="shared" si="32"/>
        <v>0</v>
      </c>
      <c r="J69" s="6">
        <f t="shared" si="23"/>
        <v>0</v>
      </c>
      <c r="K69" s="6">
        <f t="shared" si="24"/>
        <v>0</v>
      </c>
      <c r="L69" s="6">
        <f t="shared" si="25"/>
        <v>0</v>
      </c>
      <c r="M69" s="6">
        <f t="shared" si="26"/>
        <v>0</v>
      </c>
      <c r="N69" s="6">
        <f t="shared" si="27"/>
        <v>10735.630000000034</v>
      </c>
      <c r="O69" s="3">
        <f t="shared" si="28"/>
        <v>73</v>
      </c>
      <c r="P69" s="3">
        <f t="shared" si="33"/>
        <v>1</v>
      </c>
      <c r="Q69">
        <f t="shared" si="29"/>
        <v>0</v>
      </c>
      <c r="R69">
        <f t="shared" si="30"/>
        <v>0</v>
      </c>
      <c r="S69">
        <f>IF(P69=$C$9,SUM($I$7:I69),0)</f>
        <v>0</v>
      </c>
      <c r="Y69" s="1">
        <f t="shared" si="31"/>
        <v>100</v>
      </c>
      <c r="Z69" s="2">
        <f t="shared" si="21"/>
        <v>0</v>
      </c>
      <c r="AA69" s="2">
        <f t="shared" si="22"/>
        <v>0</v>
      </c>
    </row>
    <row r="70" spans="4:27" ht="10.5">
      <c r="D70" s="8">
        <f t="shared" si="18"/>
        <v>100</v>
      </c>
      <c r="E70" s="5">
        <f>DATE(+$C$8-1900+SUM($Q$7:Q70),+P70,1)</f>
        <v>45689</v>
      </c>
      <c r="F70" s="6"/>
      <c r="G70" s="6"/>
      <c r="H70" s="7">
        <f t="shared" si="20"/>
        <v>0</v>
      </c>
      <c r="I70" s="7">
        <f t="shared" si="32"/>
        <v>0</v>
      </c>
      <c r="J70" s="6">
        <f t="shared" si="23"/>
        <v>0</v>
      </c>
      <c r="K70" s="6">
        <f t="shared" si="24"/>
        <v>0</v>
      </c>
      <c r="L70" s="6">
        <f t="shared" si="25"/>
        <v>0</v>
      </c>
      <c r="M70" s="6">
        <f t="shared" si="26"/>
        <v>0</v>
      </c>
      <c r="N70" s="6">
        <f t="shared" si="27"/>
        <v>10735.630000000034</v>
      </c>
      <c r="O70" s="3">
        <f t="shared" si="28"/>
        <v>74</v>
      </c>
      <c r="P70" s="3">
        <f t="shared" si="33"/>
        <v>2</v>
      </c>
      <c r="Q70">
        <f t="shared" si="29"/>
        <v>0</v>
      </c>
      <c r="R70">
        <f t="shared" si="30"/>
        <v>0</v>
      </c>
      <c r="S70">
        <f>IF(P70=$C$9,SUM($I$7:I70),0)</f>
        <v>0</v>
      </c>
      <c r="Y70" s="1">
        <f t="shared" si="31"/>
        <v>100</v>
      </c>
      <c r="Z70" s="2">
        <f t="shared" si="21"/>
        <v>0</v>
      </c>
      <c r="AA70" s="2">
        <f t="shared" si="22"/>
        <v>0</v>
      </c>
    </row>
    <row r="71" spans="4:27" ht="10.5">
      <c r="D71" s="8">
        <f t="shared" ref="D71:D84" si="34">Y66</f>
        <v>100</v>
      </c>
      <c r="E71" s="5">
        <f>DATE(+$C$8-1900+SUM($Q$7:Q71),+P71,1)</f>
        <v>45717</v>
      </c>
      <c r="F71" s="6"/>
      <c r="G71" s="6"/>
      <c r="H71" s="7">
        <f t="shared" ref="H71:H83" si="35">IF(L70&gt;0,L70,0)</f>
        <v>0</v>
      </c>
      <c r="I71" s="7">
        <f t="shared" si="32"/>
        <v>0</v>
      </c>
      <c r="J71" s="6">
        <f t="shared" si="23"/>
        <v>0</v>
      </c>
      <c r="K71" s="6">
        <f t="shared" si="24"/>
        <v>0</v>
      </c>
      <c r="L71" s="6">
        <f t="shared" si="25"/>
        <v>0</v>
      </c>
      <c r="M71" s="6">
        <f t="shared" si="26"/>
        <v>0</v>
      </c>
      <c r="N71" s="6">
        <f t="shared" si="27"/>
        <v>10735.630000000034</v>
      </c>
      <c r="O71" s="3">
        <f t="shared" si="28"/>
        <v>75</v>
      </c>
      <c r="P71" s="3">
        <f t="shared" si="33"/>
        <v>3</v>
      </c>
      <c r="Q71">
        <f t="shared" si="29"/>
        <v>0</v>
      </c>
      <c r="R71">
        <f t="shared" si="30"/>
        <v>0</v>
      </c>
      <c r="S71">
        <f>IF(P71=$C$9,SUM($I$7:I71),0)</f>
        <v>0</v>
      </c>
      <c r="Y71" s="1">
        <f t="shared" si="31"/>
        <v>100</v>
      </c>
      <c r="Z71" s="2">
        <f>IF(Y71=$C$10+1,$C$5,0)</f>
        <v>0</v>
      </c>
      <c r="AA71" s="2">
        <f>IF(Y71&lt;=$C$10+1,IF(Y71=$C$10+1,Z71,$C$4),0)</f>
        <v>0</v>
      </c>
    </row>
    <row r="72" spans="4:27" ht="10.5">
      <c r="D72" s="8">
        <f t="shared" si="34"/>
        <v>100</v>
      </c>
      <c r="E72" s="5">
        <f>DATE(+$C$8-1900+SUM($Q$7:Q72),+P72,1)</f>
        <v>45748</v>
      </c>
      <c r="F72" s="6"/>
      <c r="G72" s="6"/>
      <c r="H72" s="7">
        <f t="shared" si="35"/>
        <v>0</v>
      </c>
      <c r="I72" s="7">
        <f t="shared" si="32"/>
        <v>0</v>
      </c>
      <c r="J72" s="6">
        <f t="shared" ref="J72:J83" si="36">H72*$C$13</f>
        <v>0</v>
      </c>
      <c r="K72" s="6">
        <f t="shared" ref="K72:K83" si="37">I72-J72</f>
        <v>0</v>
      </c>
      <c r="L72" s="6">
        <f t="shared" ref="L72:L83" si="38">H72-K72</f>
        <v>0</v>
      </c>
      <c r="M72" s="6">
        <f t="shared" ref="M72:M82" si="39">IF(L72&gt;0,M71+J72,0)</f>
        <v>0</v>
      </c>
      <c r="N72" s="6">
        <f t="shared" ref="N72:N83" si="40">N71+K72</f>
        <v>10735.630000000034</v>
      </c>
      <c r="O72" s="3">
        <f t="shared" ref="O72:O87" si="41">O71+1</f>
        <v>76</v>
      </c>
      <c r="P72" s="3">
        <f t="shared" si="33"/>
        <v>4</v>
      </c>
      <c r="Q72">
        <f t="shared" ref="Q72:Q82" si="42">IF(P71=12,1,0)</f>
        <v>0</v>
      </c>
      <c r="R72">
        <f t="shared" ref="R72:R82" si="43">IF(P72=$C$9,N72,0)</f>
        <v>0</v>
      </c>
      <c r="S72">
        <f>IF(P72=$C$9,SUM($I$7:I72),0)</f>
        <v>0</v>
      </c>
      <c r="Y72" s="1">
        <f>IF(Y71&lt;$C$10+1,Y71+1,100)</f>
        <v>100</v>
      </c>
      <c r="Z72" s="2">
        <f>IF(Y72=$C$10+1,$C$5,0)</f>
        <v>0</v>
      </c>
      <c r="AA72" s="2">
        <f>IF(Y72&lt;=$C$10+1,IF(Y72=$C$10+1,Z72,$C$4),0)</f>
        <v>0</v>
      </c>
    </row>
    <row r="73" spans="4:27" ht="10.5">
      <c r="D73" s="8">
        <f t="shared" si="34"/>
        <v>100</v>
      </c>
      <c r="E73" s="5">
        <f>DATE(+$C$8-1900+SUM($Q$7:Q73),+P73,1)</f>
        <v>45778</v>
      </c>
      <c r="F73" s="6"/>
      <c r="G73" s="6"/>
      <c r="H73" s="7">
        <f t="shared" si="35"/>
        <v>0</v>
      </c>
      <c r="I73" s="7">
        <f t="shared" si="32"/>
        <v>0</v>
      </c>
      <c r="J73" s="6">
        <f t="shared" si="36"/>
        <v>0</v>
      </c>
      <c r="K73" s="6">
        <f t="shared" si="37"/>
        <v>0</v>
      </c>
      <c r="L73" s="6">
        <f t="shared" si="38"/>
        <v>0</v>
      </c>
      <c r="M73" s="6">
        <f t="shared" si="39"/>
        <v>0</v>
      </c>
      <c r="N73" s="6">
        <f t="shared" si="40"/>
        <v>10735.630000000034</v>
      </c>
      <c r="O73" s="3">
        <f t="shared" si="41"/>
        <v>77</v>
      </c>
      <c r="P73" s="3">
        <f t="shared" si="33"/>
        <v>5</v>
      </c>
      <c r="Q73">
        <f t="shared" si="42"/>
        <v>0</v>
      </c>
      <c r="R73">
        <f t="shared" si="43"/>
        <v>0</v>
      </c>
      <c r="S73">
        <f>IF(P73=$C$9,SUM($I$7:I73),0)</f>
        <v>0</v>
      </c>
      <c r="Y73" s="1">
        <f>IF(Y72&lt;$C$10+1,Y72+1,100)</f>
        <v>100</v>
      </c>
      <c r="Z73" s="2">
        <f>IF(Y73=$C$10+1,$C$5,0)</f>
        <v>0</v>
      </c>
      <c r="AA73" s="2">
        <f>IF(Y73&lt;=$C$10+1,IF(Y73=$C$10+1,Z73,$C$4),0)</f>
        <v>0</v>
      </c>
    </row>
    <row r="74" spans="4:27" ht="10.5">
      <c r="D74" s="8">
        <f t="shared" si="34"/>
        <v>100</v>
      </c>
      <c r="E74" s="5">
        <f>DATE(+$C$8-1900+SUM($Q$7:Q74),+P74,1)</f>
        <v>45809</v>
      </c>
      <c r="F74" s="6"/>
      <c r="G74" s="6"/>
      <c r="H74" s="7">
        <f t="shared" si="35"/>
        <v>0</v>
      </c>
      <c r="I74" s="7">
        <f t="shared" ref="I74:I83" si="44">IF(H74&gt;0,AA69,0)</f>
        <v>0</v>
      </c>
      <c r="J74" s="6">
        <f t="shared" si="36"/>
        <v>0</v>
      </c>
      <c r="K74" s="6">
        <f t="shared" si="37"/>
        <v>0</v>
      </c>
      <c r="L74" s="6">
        <f t="shared" si="38"/>
        <v>0</v>
      </c>
      <c r="M74" s="6">
        <f t="shared" si="39"/>
        <v>0</v>
      </c>
      <c r="N74" s="6">
        <f t="shared" si="40"/>
        <v>10735.630000000034</v>
      </c>
      <c r="O74" s="3">
        <f t="shared" si="41"/>
        <v>78</v>
      </c>
      <c r="P74" s="3">
        <f t="shared" si="33"/>
        <v>6</v>
      </c>
      <c r="Q74">
        <f t="shared" si="42"/>
        <v>0</v>
      </c>
      <c r="R74">
        <f t="shared" si="43"/>
        <v>10735.630000000034</v>
      </c>
      <c r="S74">
        <f>IF(P74=$C$9,SUM($I$7:I74),0)</f>
        <v>13162.830000000014</v>
      </c>
      <c r="Y74" s="1"/>
      <c r="Z74" s="2"/>
      <c r="AA74" s="2"/>
    </row>
    <row r="75" spans="4:27" ht="10.5">
      <c r="D75" s="8">
        <f t="shared" si="34"/>
        <v>100</v>
      </c>
      <c r="E75" s="5">
        <f>DATE(+$C$8-1900+SUM($Q$7:Q75),+P75,1)</f>
        <v>45839</v>
      </c>
      <c r="F75" s="6"/>
      <c r="G75" s="6"/>
      <c r="H75" s="7">
        <f t="shared" si="35"/>
        <v>0</v>
      </c>
      <c r="I75" s="7">
        <f t="shared" si="44"/>
        <v>0</v>
      </c>
      <c r="J75" s="6">
        <f t="shared" si="36"/>
        <v>0</v>
      </c>
      <c r="K75" s="6">
        <f t="shared" si="37"/>
        <v>0</v>
      </c>
      <c r="L75" s="6">
        <f t="shared" si="38"/>
        <v>0</v>
      </c>
      <c r="M75" s="6">
        <f t="shared" si="39"/>
        <v>0</v>
      </c>
      <c r="N75" s="6">
        <f t="shared" si="40"/>
        <v>10735.630000000034</v>
      </c>
      <c r="O75" s="3">
        <f t="shared" si="41"/>
        <v>79</v>
      </c>
      <c r="P75" s="3">
        <f t="shared" si="33"/>
        <v>7</v>
      </c>
      <c r="Q75">
        <f t="shared" si="42"/>
        <v>0</v>
      </c>
      <c r="R75">
        <f t="shared" si="43"/>
        <v>0</v>
      </c>
      <c r="S75">
        <f>IF(P75=$C$9,SUM($I$7:I75),0)</f>
        <v>0</v>
      </c>
      <c r="Y75" s="1"/>
      <c r="Z75" s="2"/>
      <c r="AA75" s="2"/>
    </row>
    <row r="76" spans="4:27" ht="10.5">
      <c r="D76" s="8">
        <f t="shared" si="34"/>
        <v>100</v>
      </c>
      <c r="E76" s="5">
        <f>DATE(+$C$8-1900+SUM($Q$7:Q76),+P76,1)</f>
        <v>45870</v>
      </c>
      <c r="F76" s="6"/>
      <c r="G76" s="6"/>
      <c r="H76" s="7">
        <f t="shared" si="35"/>
        <v>0</v>
      </c>
      <c r="I76" s="7">
        <f t="shared" si="44"/>
        <v>0</v>
      </c>
      <c r="J76" s="6">
        <f t="shared" si="36"/>
        <v>0</v>
      </c>
      <c r="K76" s="6">
        <f t="shared" si="37"/>
        <v>0</v>
      </c>
      <c r="L76" s="6">
        <f t="shared" si="38"/>
        <v>0</v>
      </c>
      <c r="M76" s="6">
        <f t="shared" si="39"/>
        <v>0</v>
      </c>
      <c r="N76" s="6">
        <f t="shared" si="40"/>
        <v>10735.630000000034</v>
      </c>
      <c r="O76" s="3">
        <f t="shared" si="41"/>
        <v>80</v>
      </c>
      <c r="P76" s="3">
        <f t="shared" si="33"/>
        <v>8</v>
      </c>
      <c r="Q76">
        <f t="shared" si="42"/>
        <v>0</v>
      </c>
      <c r="R76">
        <f t="shared" si="43"/>
        <v>0</v>
      </c>
      <c r="S76">
        <f>IF(P76=$C$9,SUM($I$7:I76),0)</f>
        <v>0</v>
      </c>
      <c r="Y76" s="1"/>
      <c r="Z76" s="2"/>
      <c r="AA76" s="2"/>
    </row>
    <row r="77" spans="4:27" ht="10.5">
      <c r="D77" s="8">
        <f t="shared" si="34"/>
        <v>100</v>
      </c>
      <c r="E77" s="5">
        <f>DATE(+$C$8-1900+SUM($Q$7:Q77),+P77,1)</f>
        <v>45901</v>
      </c>
      <c r="F77" s="6"/>
      <c r="G77" s="6"/>
      <c r="H77" s="7">
        <f t="shared" si="35"/>
        <v>0</v>
      </c>
      <c r="I77" s="7">
        <f t="shared" si="44"/>
        <v>0</v>
      </c>
      <c r="J77" s="6">
        <f t="shared" si="36"/>
        <v>0</v>
      </c>
      <c r="K77" s="6">
        <f t="shared" si="37"/>
        <v>0</v>
      </c>
      <c r="L77" s="6">
        <f t="shared" si="38"/>
        <v>0</v>
      </c>
      <c r="M77" s="6">
        <f t="shared" si="39"/>
        <v>0</v>
      </c>
      <c r="N77" s="6">
        <f t="shared" si="40"/>
        <v>10735.630000000034</v>
      </c>
      <c r="O77" s="3">
        <f t="shared" si="41"/>
        <v>81</v>
      </c>
      <c r="P77" s="3">
        <f t="shared" si="33"/>
        <v>9</v>
      </c>
      <c r="Q77">
        <f t="shared" si="42"/>
        <v>0</v>
      </c>
      <c r="R77">
        <f t="shared" si="43"/>
        <v>0</v>
      </c>
      <c r="S77">
        <f>IF(P77=$C$9,SUM($I$7:I77),0)</f>
        <v>0</v>
      </c>
      <c r="Y77" s="1"/>
      <c r="Z77" s="2"/>
      <c r="AA77" s="2"/>
    </row>
    <row r="78" spans="4:27" ht="10.5">
      <c r="D78" s="8">
        <f t="shared" si="34"/>
        <v>100</v>
      </c>
      <c r="E78" s="5">
        <f>DATE(+$C$8-1900+SUM($Q$7:Q78),+P78,1)</f>
        <v>45931</v>
      </c>
      <c r="F78" s="6"/>
      <c r="G78" s="6"/>
      <c r="H78" s="7">
        <f t="shared" si="35"/>
        <v>0</v>
      </c>
      <c r="I78" s="7">
        <f t="shared" si="44"/>
        <v>0</v>
      </c>
      <c r="J78" s="6">
        <f t="shared" si="36"/>
        <v>0</v>
      </c>
      <c r="K78" s="6">
        <f t="shared" si="37"/>
        <v>0</v>
      </c>
      <c r="L78" s="6">
        <f t="shared" si="38"/>
        <v>0</v>
      </c>
      <c r="M78" s="6">
        <f t="shared" si="39"/>
        <v>0</v>
      </c>
      <c r="N78" s="6">
        <f t="shared" si="40"/>
        <v>10735.630000000034</v>
      </c>
      <c r="O78" s="3">
        <f t="shared" si="41"/>
        <v>82</v>
      </c>
      <c r="P78" s="3">
        <f t="shared" si="33"/>
        <v>10</v>
      </c>
      <c r="Q78">
        <f t="shared" si="42"/>
        <v>0</v>
      </c>
      <c r="R78">
        <f t="shared" si="43"/>
        <v>0</v>
      </c>
      <c r="S78">
        <f>IF(P78=$C$9,SUM($I$7:I78),0)</f>
        <v>0</v>
      </c>
      <c r="Y78" s="1"/>
      <c r="Z78" s="2"/>
      <c r="AA78" s="2"/>
    </row>
    <row r="79" spans="4:27" ht="10.5">
      <c r="D79" s="8">
        <f t="shared" si="34"/>
        <v>0</v>
      </c>
      <c r="E79" s="5">
        <f>DATE(+$C$8-1900+SUM($Q$7:Q79),+P79,1)</f>
        <v>45962</v>
      </c>
      <c r="F79" s="6"/>
      <c r="G79" s="6"/>
      <c r="H79" s="7">
        <f t="shared" si="35"/>
        <v>0</v>
      </c>
      <c r="I79" s="7">
        <f t="shared" si="44"/>
        <v>0</v>
      </c>
      <c r="J79" s="6">
        <f t="shared" si="36"/>
        <v>0</v>
      </c>
      <c r="K79" s="6">
        <f t="shared" si="37"/>
        <v>0</v>
      </c>
      <c r="L79" s="6">
        <f t="shared" si="38"/>
        <v>0</v>
      </c>
      <c r="M79" s="6">
        <f t="shared" si="39"/>
        <v>0</v>
      </c>
      <c r="N79" s="6">
        <f t="shared" si="40"/>
        <v>10735.630000000034</v>
      </c>
      <c r="O79" s="3">
        <f t="shared" si="41"/>
        <v>83</v>
      </c>
      <c r="P79" s="3">
        <f t="shared" si="33"/>
        <v>11</v>
      </c>
      <c r="Q79">
        <f t="shared" si="42"/>
        <v>0</v>
      </c>
      <c r="R79">
        <f t="shared" si="43"/>
        <v>0</v>
      </c>
      <c r="S79">
        <f>IF(P79=$C$9,SUM($I$7:I79),0)</f>
        <v>0</v>
      </c>
      <c r="Y79" s="1"/>
      <c r="Z79" s="2"/>
      <c r="AA79" s="2"/>
    </row>
    <row r="80" spans="4:27" ht="10.5">
      <c r="D80" s="8">
        <f t="shared" si="34"/>
        <v>0</v>
      </c>
      <c r="E80" s="5" t="e">
        <f>DATE(+$C$8-1900+SUM($Q$7:Q80),+P80,1)</f>
        <v>#NUM!</v>
      </c>
      <c r="F80" s="6"/>
      <c r="G80" s="6"/>
      <c r="H80" s="7">
        <f t="shared" si="35"/>
        <v>0</v>
      </c>
      <c r="I80" s="7">
        <f t="shared" si="44"/>
        <v>0</v>
      </c>
      <c r="J80" s="6">
        <f t="shared" si="36"/>
        <v>0</v>
      </c>
      <c r="K80" s="6">
        <f t="shared" si="37"/>
        <v>0</v>
      </c>
      <c r="L80" s="6">
        <f t="shared" si="38"/>
        <v>0</v>
      </c>
      <c r="M80" s="6">
        <f t="shared" si="39"/>
        <v>0</v>
      </c>
      <c r="N80" s="6">
        <f t="shared" si="40"/>
        <v>10735.630000000034</v>
      </c>
      <c r="O80" s="3">
        <f t="shared" si="41"/>
        <v>84</v>
      </c>
      <c r="P80" s="3">
        <f t="shared" si="33"/>
        <v>0</v>
      </c>
      <c r="Q80">
        <f t="shared" si="42"/>
        <v>0</v>
      </c>
      <c r="R80">
        <f t="shared" si="43"/>
        <v>0</v>
      </c>
      <c r="S80">
        <f>IF(P80=$C$9,SUM($I$7:I80),0)</f>
        <v>0</v>
      </c>
      <c r="Y80" s="1"/>
      <c r="Z80" s="2"/>
      <c r="AA80" s="2"/>
    </row>
    <row r="81" spans="3:27" ht="10.5">
      <c r="D81" s="8">
        <f t="shared" si="34"/>
        <v>0</v>
      </c>
      <c r="E81" s="5">
        <f>DATE(+$C$8-1900+SUM($Q$7:Q81),+P81,1)</f>
        <v>45658</v>
      </c>
      <c r="F81" s="6"/>
      <c r="G81" s="6"/>
      <c r="H81" s="7">
        <f t="shared" si="35"/>
        <v>0</v>
      </c>
      <c r="I81" s="7">
        <f t="shared" si="44"/>
        <v>0</v>
      </c>
      <c r="J81" s="6">
        <f t="shared" si="36"/>
        <v>0</v>
      </c>
      <c r="K81" s="6">
        <f t="shared" si="37"/>
        <v>0</v>
      </c>
      <c r="L81" s="6">
        <f t="shared" si="38"/>
        <v>0</v>
      </c>
      <c r="M81" s="6">
        <f t="shared" si="39"/>
        <v>0</v>
      </c>
      <c r="N81" s="6">
        <f t="shared" si="40"/>
        <v>10735.630000000034</v>
      </c>
      <c r="O81" s="3">
        <f t="shared" si="41"/>
        <v>85</v>
      </c>
      <c r="P81" s="3">
        <f t="shared" si="33"/>
        <v>1</v>
      </c>
      <c r="Q81">
        <f t="shared" si="42"/>
        <v>0</v>
      </c>
      <c r="R81">
        <f t="shared" si="43"/>
        <v>0</v>
      </c>
      <c r="S81">
        <f>IF(P81=$C$9,SUM($I$7:I81),0)</f>
        <v>0</v>
      </c>
      <c r="Y81" s="1"/>
      <c r="Z81" s="2"/>
      <c r="AA81" s="2"/>
    </row>
    <row r="82" spans="3:27" ht="10.5">
      <c r="D82" s="8">
        <f t="shared" si="34"/>
        <v>0</v>
      </c>
      <c r="E82" s="5">
        <f>DATE(+$C$8-1900+SUM($Q$7:Q82),+P82,1)</f>
        <v>45689</v>
      </c>
      <c r="F82" s="6"/>
      <c r="G82" s="6"/>
      <c r="H82" s="7">
        <f t="shared" si="35"/>
        <v>0</v>
      </c>
      <c r="I82" s="7">
        <f t="shared" si="44"/>
        <v>0</v>
      </c>
      <c r="J82" s="6">
        <f t="shared" si="36"/>
        <v>0</v>
      </c>
      <c r="K82" s="6">
        <f t="shared" si="37"/>
        <v>0</v>
      </c>
      <c r="L82" s="6">
        <f t="shared" si="38"/>
        <v>0</v>
      </c>
      <c r="M82" s="6">
        <f t="shared" si="39"/>
        <v>0</v>
      </c>
      <c r="N82" s="6">
        <f t="shared" si="40"/>
        <v>10735.630000000034</v>
      </c>
      <c r="O82" s="3">
        <f t="shared" si="41"/>
        <v>86</v>
      </c>
      <c r="P82" s="3">
        <f t="shared" si="33"/>
        <v>2</v>
      </c>
      <c r="Q82">
        <f t="shared" si="42"/>
        <v>0</v>
      </c>
      <c r="R82">
        <f t="shared" si="43"/>
        <v>0</v>
      </c>
      <c r="S82">
        <f>IF(P82=$C$9,SUM($I$7:I82),0)</f>
        <v>0</v>
      </c>
      <c r="Y82" s="1"/>
      <c r="Z82" s="2"/>
    </row>
    <row r="83" spans="3:27" ht="10.5">
      <c r="D83" s="8">
        <f t="shared" si="34"/>
        <v>0</v>
      </c>
      <c r="E83" s="5">
        <f>DATE(+$C$8-1900+SUM($Q$7:Q83),+P83,1)</f>
        <v>45717</v>
      </c>
      <c r="F83" s="6"/>
      <c r="G83" s="6"/>
      <c r="H83" s="7">
        <f t="shared" si="35"/>
        <v>0</v>
      </c>
      <c r="I83" s="7">
        <f t="shared" si="44"/>
        <v>0</v>
      </c>
      <c r="J83" s="6">
        <f t="shared" si="36"/>
        <v>0</v>
      </c>
      <c r="K83" s="6">
        <f t="shared" si="37"/>
        <v>0</v>
      </c>
      <c r="L83" s="6">
        <f t="shared" si="38"/>
        <v>0</v>
      </c>
      <c r="M83" s="6">
        <f>IF(L83&gt;0,M54+J83,0)</f>
        <v>0</v>
      </c>
      <c r="N83" s="6">
        <f t="shared" si="40"/>
        <v>10735.630000000034</v>
      </c>
      <c r="O83" s="3">
        <f t="shared" si="41"/>
        <v>87</v>
      </c>
      <c r="P83" s="3">
        <f t="shared" si="33"/>
        <v>3</v>
      </c>
      <c r="Q83" s="6">
        <f t="shared" ref="Q83:Q88" si="45">IF(P54=12,1,0)</f>
        <v>0</v>
      </c>
      <c r="R83" s="6">
        <f>IF(P83=$C$9,N83,0)</f>
        <v>0</v>
      </c>
      <c r="S83">
        <f>IF(P83=$C$9,SUM($I$7:I83),0)</f>
        <v>0</v>
      </c>
      <c r="T83" s="6"/>
      <c r="U83" s="6"/>
      <c r="V83" s="6"/>
      <c r="W83" s="6"/>
      <c r="X83" s="6"/>
    </row>
    <row r="84" spans="3:27" ht="10.5">
      <c r="D84" s="8">
        <f t="shared" si="34"/>
        <v>0</v>
      </c>
      <c r="E84" s="5">
        <f>DATE(+$C$8-1900+SUM($Q$7:Q84),+P84,1)</f>
        <v>45748</v>
      </c>
      <c r="F84" s="6"/>
      <c r="G84" s="6"/>
      <c r="H84" s="7">
        <f>IF(L83&gt;0,L83,0)</f>
        <v>0</v>
      </c>
      <c r="I84" s="6">
        <f>SUM(I7:I83)</f>
        <v>13162.830000000014</v>
      </c>
      <c r="J84" s="6">
        <f>SUM(J7:J83)</f>
        <v>2427.1999999999607</v>
      </c>
      <c r="K84" s="15">
        <f>SUM(K7:K83)</f>
        <v>10735.630000000034</v>
      </c>
      <c r="L84" s="6"/>
      <c r="M84" s="6"/>
      <c r="N84" s="6"/>
      <c r="O84" s="3">
        <f t="shared" si="41"/>
        <v>88</v>
      </c>
      <c r="P84" s="3">
        <f t="shared" si="33"/>
        <v>4</v>
      </c>
      <c r="Q84" s="6">
        <f t="shared" si="45"/>
        <v>0</v>
      </c>
      <c r="R84" s="6">
        <f>IF(P84=$C$9,N83,0)</f>
        <v>0</v>
      </c>
      <c r="S84">
        <f>IF(P84=$C$9,SUM($I$7:I83),0)</f>
        <v>0</v>
      </c>
    </row>
    <row r="85" spans="3:27" ht="10.5"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3">
        <f t="shared" si="41"/>
        <v>89</v>
      </c>
      <c r="P85" s="3">
        <f t="shared" si="33"/>
        <v>5</v>
      </c>
      <c r="Q85" s="6">
        <f t="shared" si="45"/>
        <v>1</v>
      </c>
      <c r="R85" s="6">
        <f>IF(P85=$C$9,N83,0)</f>
        <v>0</v>
      </c>
      <c r="S85">
        <f>IF(P85=$C$9,SUM($I$7:I83),0)</f>
        <v>0</v>
      </c>
    </row>
    <row r="86" spans="3:27" ht="10.5">
      <c r="D86" s="11" t="s">
        <v>17</v>
      </c>
      <c r="E86" s="6"/>
      <c r="F86" s="6"/>
      <c r="G86" s="6"/>
      <c r="H86" s="6"/>
      <c r="I86" s="6"/>
      <c r="J86" s="6"/>
      <c r="K86" s="6"/>
      <c r="L86" s="6"/>
      <c r="M86" s="6"/>
      <c r="N86" s="6"/>
      <c r="O86" s="3">
        <f t="shared" si="41"/>
        <v>90</v>
      </c>
      <c r="P86" s="3">
        <f t="shared" si="33"/>
        <v>6</v>
      </c>
      <c r="Q86" s="6">
        <f t="shared" si="45"/>
        <v>0</v>
      </c>
      <c r="R86" s="6">
        <f>IF(P86=$C$9,N83,0)</f>
        <v>10735.630000000034</v>
      </c>
      <c r="S86">
        <f>IF(P86=$C$9,SUM($I$7:I83),0)</f>
        <v>13162.830000000014</v>
      </c>
    </row>
    <row r="87" spans="3:27" ht="10.5">
      <c r="D87" s="11" t="s">
        <v>18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3">
        <f t="shared" si="41"/>
        <v>91</v>
      </c>
      <c r="P87" s="3">
        <f t="shared" si="33"/>
        <v>7</v>
      </c>
      <c r="Q87" s="6">
        <f t="shared" si="45"/>
        <v>0</v>
      </c>
      <c r="R87" s="6">
        <f>IF(P87=$C$9,N83,0)</f>
        <v>0</v>
      </c>
      <c r="S87">
        <f>IF(P87=$C$9,SUM($I$7:I83),0)</f>
        <v>0</v>
      </c>
    </row>
    <row r="88" spans="3:27" ht="10.5">
      <c r="D88" s="6"/>
      <c r="E88" s="6"/>
      <c r="F88" s="6"/>
      <c r="G88" s="6"/>
      <c r="H88" s="14" t="s">
        <v>19</v>
      </c>
      <c r="I88" s="6"/>
      <c r="J88" s="6"/>
      <c r="K88" s="14" t="s">
        <v>20</v>
      </c>
      <c r="L88" s="6"/>
      <c r="M88" s="6"/>
      <c r="N88" s="6"/>
      <c r="O88" s="3">
        <f>O87+1</f>
        <v>92</v>
      </c>
      <c r="P88" s="3">
        <f t="shared" si="33"/>
        <v>8</v>
      </c>
      <c r="Q88" s="6">
        <f t="shared" si="45"/>
        <v>0</v>
      </c>
      <c r="R88" s="6">
        <f>IF(P88=$C$9,N83,0)</f>
        <v>0</v>
      </c>
      <c r="S88">
        <f>IF(P88=$C$9,SUM($I$7:I83),0)</f>
        <v>0</v>
      </c>
    </row>
    <row r="89" spans="3:27" ht="10.5">
      <c r="C89" s="16"/>
      <c r="D89" s="6"/>
      <c r="E89" s="6"/>
      <c r="F89" s="6"/>
      <c r="G89" s="6"/>
      <c r="H89" s="11" t="s">
        <v>7</v>
      </c>
      <c r="I89" s="11" t="s">
        <v>6</v>
      </c>
      <c r="J89" s="11" t="s">
        <v>21</v>
      </c>
      <c r="K89" s="11" t="s">
        <v>22</v>
      </c>
      <c r="L89" s="6"/>
      <c r="M89" s="11" t="s">
        <v>6</v>
      </c>
      <c r="N89" s="6"/>
      <c r="R89" s="6">
        <f>IF(P89=$C$9,N83,0)</f>
        <v>0</v>
      </c>
      <c r="S89">
        <f>IF(P89=$C$9,SUM($I$7:I83),0)</f>
        <v>0</v>
      </c>
    </row>
    <row r="90" spans="3:27" ht="10.5">
      <c r="D90" s="6"/>
      <c r="E90" s="6"/>
      <c r="F90" s="6"/>
      <c r="G90" s="6"/>
      <c r="H90" s="11" t="s">
        <v>10</v>
      </c>
      <c r="I90" s="11" t="s">
        <v>10</v>
      </c>
      <c r="J90" s="11" t="s">
        <v>23</v>
      </c>
      <c r="K90" s="11" t="s">
        <v>24</v>
      </c>
      <c r="L90" s="11" t="s">
        <v>25</v>
      </c>
      <c r="M90" s="11" t="s">
        <v>26</v>
      </c>
      <c r="N90" s="6"/>
    </row>
    <row r="91" spans="3:27" ht="10.5">
      <c r="D91" s="6"/>
      <c r="E91" s="5">
        <f>DATE(IF($C$7&lt;$C$9,+$C$8-1900,$C$8-1899),$C$9,1)</f>
        <v>44348</v>
      </c>
      <c r="F91" s="6"/>
      <c r="G91" s="6"/>
      <c r="H91" s="6">
        <f>SUM(R7:R18)</f>
        <v>1187.333537755459</v>
      </c>
      <c r="I91" s="6">
        <f t="shared" ref="I91:I97" si="46">J91-H91</f>
        <v>567.62646224454056</v>
      </c>
      <c r="J91" s="6">
        <f>SUM(S7:S18)</f>
        <v>1754.9599999999996</v>
      </c>
      <c r="K91" s="6">
        <f>SUM(R19:R30)-H91</f>
        <v>1908.8676036504871</v>
      </c>
      <c r="L91" s="6">
        <f>SUM(H93:H96)</f>
        <v>7639.4288585940876</v>
      </c>
      <c r="M91" s="6">
        <f>SUM(I92:I96)</f>
        <v>1859.5735377554388</v>
      </c>
      <c r="N91" s="6"/>
      <c r="P91">
        <f>SUM(K91:M91)</f>
        <v>11407.870000000014</v>
      </c>
    </row>
    <row r="92" spans="3:27" ht="10.5">
      <c r="D92" s="6"/>
      <c r="E92" s="5">
        <f>DATE(IF($C$7&lt;$C$9,+$C$8-1899,$C$8-1898),$C$9,1)</f>
        <v>44713</v>
      </c>
      <c r="F92" s="6"/>
      <c r="G92" s="6"/>
      <c r="H92" s="6">
        <f t="shared" ref="H92:H97" si="47">K91</f>
        <v>1908.8676036504871</v>
      </c>
      <c r="I92" s="6">
        <f t="shared" si="46"/>
        <v>723.57239634951202</v>
      </c>
      <c r="J92" s="6">
        <f>SUM(S19:S30)-J91</f>
        <v>2632.4399999999991</v>
      </c>
      <c r="K92" s="6">
        <f>SUM(R31:R42)-H92-H91</f>
        <v>2074.0864856480111</v>
      </c>
      <c r="L92" s="6">
        <f>SUM(H94:H97)</f>
        <v>5565.3423729460765</v>
      </c>
      <c r="M92" s="6">
        <f>SUM(I93:I97)</f>
        <v>1136.0011414059268</v>
      </c>
      <c r="N92" s="6"/>
      <c r="P92">
        <v>11627.24</v>
      </c>
    </row>
    <row r="93" spans="3:27" ht="10.5">
      <c r="D93" s="6"/>
      <c r="E93" s="5">
        <f>DATE(IF($C$7&lt;$C$9,+$C$8-1898,$C$8-1897),$C$9,1)</f>
        <v>45078</v>
      </c>
      <c r="F93" s="6"/>
      <c r="G93" s="6"/>
      <c r="H93" s="6">
        <f t="shared" si="47"/>
        <v>2074.0864856480111</v>
      </c>
      <c r="I93" s="6">
        <f t="shared" si="46"/>
        <v>558.35351435198709</v>
      </c>
      <c r="J93" s="6">
        <f>SUM(S31:S42)-J92-J91</f>
        <v>2632.4399999999982</v>
      </c>
      <c r="K93" s="6">
        <f>SUM(R43:R54)-H93-H92-H91</f>
        <v>2253.605615036352</v>
      </c>
      <c r="L93" s="6">
        <f>SUM(H95:H98)</f>
        <v>3311.7367579097245</v>
      </c>
      <c r="M93" s="6">
        <f>SUM(I94:I98)</f>
        <v>577.64762705393969</v>
      </c>
      <c r="N93" s="6"/>
      <c r="P93">
        <f>+P91-P92</f>
        <v>-219.36999999998625</v>
      </c>
      <c r="V93">
        <v>526.74</v>
      </c>
    </row>
    <row r="94" spans="3:27" ht="10.5">
      <c r="D94" s="6"/>
      <c r="E94" s="5">
        <f>DATE(IF($C$7&lt;$C$9,+$C$8-1897,$C$8-1896),$C$9,1)</f>
        <v>45444</v>
      </c>
      <c r="F94" s="6"/>
      <c r="G94" s="6"/>
      <c r="H94" s="6">
        <f t="shared" si="47"/>
        <v>2253.605615036352</v>
      </c>
      <c r="I94" s="6">
        <f t="shared" si="46"/>
        <v>378.83438496365352</v>
      </c>
      <c r="J94" s="6">
        <f>SUM(S43:S54)-J93-J92-J91</f>
        <v>2632.4400000000055</v>
      </c>
      <c r="K94" s="6">
        <f>SUM(R55:R66)-H94-H93-H92-H91</f>
        <v>2448.6627261045014</v>
      </c>
      <c r="L94" s="6">
        <f>SUM(H96:H99)</f>
        <v>863.07403180522306</v>
      </c>
      <c r="M94" s="6">
        <f>SUM(I95:I99)</f>
        <v>198.81324209028617</v>
      </c>
      <c r="N94" s="6"/>
      <c r="V94">
        <f>+I91-V93</f>
        <v>40.886462244540553</v>
      </c>
    </row>
    <row r="95" spans="3:27" ht="10.5">
      <c r="D95" s="6"/>
      <c r="E95" s="5">
        <f>DATE(IF($C$7&lt;$C$9,+$C$8-1896,$C$8-1895),$C$9,1)</f>
        <v>45809</v>
      </c>
      <c r="F95" s="6"/>
      <c r="G95" s="6"/>
      <c r="H95" s="6">
        <f t="shared" si="47"/>
        <v>2448.6627261045014</v>
      </c>
      <c r="I95" s="6">
        <f t="shared" si="46"/>
        <v>183.77727389550773</v>
      </c>
      <c r="J95" s="6">
        <f>SUM(S55:S66)-J94-J93-J92-J91</f>
        <v>2632.4400000000091</v>
      </c>
      <c r="K95" s="6">
        <f>SUM(R67:R78)-H95-H94-H93-H92-H91</f>
        <v>863.07403180522306</v>
      </c>
      <c r="L95" s="6">
        <f>SUM(H97:H100)</f>
        <v>0</v>
      </c>
      <c r="M95" s="6">
        <f>SUM(I96:I100)</f>
        <v>15.035968194778434</v>
      </c>
      <c r="N95" s="6"/>
    </row>
    <row r="96" spans="3:27" ht="10.5">
      <c r="D96" s="6"/>
      <c r="E96" s="5">
        <f>DATE(IF($C$7&lt;$C$9,+$C$8-1895,$C$8-1894),$C$9,1)</f>
        <v>46174</v>
      </c>
      <c r="F96" s="6"/>
      <c r="G96" s="6"/>
      <c r="H96" s="6">
        <f t="shared" si="47"/>
        <v>863.07403180522306</v>
      </c>
      <c r="I96" s="6">
        <f t="shared" si="46"/>
        <v>15.035968194778434</v>
      </c>
      <c r="J96" s="6">
        <f>SUM(S67:S78)-J95-J94-J93-J92-J91</f>
        <v>878.11000000000149</v>
      </c>
      <c r="K96" s="6">
        <f>SUM(R79:R90)-H96-H95-H94-H93-H92-H91</f>
        <v>0</v>
      </c>
      <c r="L96" s="6">
        <v>0</v>
      </c>
      <c r="M96" s="6">
        <v>0</v>
      </c>
      <c r="N96" s="6"/>
    </row>
    <row r="97" spans="5:17" ht="10.5">
      <c r="E97" s="5">
        <f>DATE(IF($C$7&lt;$C$9,+$C$8-1895,$C$8-1894),$C$9,1)</f>
        <v>46174</v>
      </c>
      <c r="H97" s="6">
        <f t="shared" si="47"/>
        <v>0</v>
      </c>
      <c r="I97" s="6">
        <f t="shared" si="46"/>
        <v>0</v>
      </c>
      <c r="J97" s="6">
        <f>SUM(S79:S90)-J96-J95-J94-J93-J92-J91</f>
        <v>0</v>
      </c>
      <c r="K97" s="6">
        <f>SUM(R80:R91)-H97-H96-H95-H94-H93-H92-H91</f>
        <v>0</v>
      </c>
      <c r="L97" s="6">
        <v>0</v>
      </c>
      <c r="M97" s="6">
        <v>0</v>
      </c>
    </row>
    <row r="100" spans="5:17">
      <c r="Q100">
        <f>+C6-H91</f>
        <v>9548.2964622445397</v>
      </c>
    </row>
  </sheetData>
  <phoneticPr fontId="4" type="noConversion"/>
  <printOptions horizontalCentered="1"/>
  <pageMargins left="0.25" right="0.25" top="1" bottom="1" header="0.5" footer="0.5"/>
  <pageSetup paperSize="9" orientation="landscape" horizontalDpi="4294967292" verticalDpi="300" r:id="rId1"/>
  <headerFooter alignWithMargins="0">
    <oddFooter>&amp;L&amp;I&amp;10&amp;"Arial"Reference Number: 46017_1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5E2FC7DF15B145B9018EF8CF7A2777" ma:contentTypeVersion="20" ma:contentTypeDescription="Create a new document." ma:contentTypeScope="" ma:versionID="3c07ef09ea60214e4772e652df9a1b43">
  <xsd:schema xmlns:xsd="http://www.w3.org/2001/XMLSchema" xmlns:xs="http://www.w3.org/2001/XMLSchema" xmlns:p="http://schemas.microsoft.com/office/2006/metadata/properties" xmlns:ns2="8ef82017-2b1d-4c89-87d3-28d41be2e431" xmlns:ns3="413e8fe1-a5a6-4252-87d7-32a1005bdc8d" targetNamespace="http://schemas.microsoft.com/office/2006/metadata/properties" ma:root="true" ma:fieldsID="99fcf8fddb35cde33bfe76e1d5a5b2b6" ns2:_="" ns3:_="">
    <xsd:import namespace="8ef82017-2b1d-4c89-87d3-28d41be2e431"/>
    <xsd:import namespace="413e8fe1-a5a6-4252-87d7-32a1005bdc8d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igratedSourceSystemLocationNote" minOccurs="0"/>
                <xsd:element ref="ns2:MigratedSourceSystemLocationNote2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82017-2b1d-4c89-87d3-28d41be2e431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igratedSourceSystemLocationNote" ma:index="12" nillable="true" ma:displayName="MigratedSourceSystemLocationNote" ma:hidden="true" ma:internalName="MigratedSourceSystemLocationNote">
      <xsd:simpleType>
        <xsd:restriction base="dms:Note"/>
      </xsd:simpleType>
    </xsd:element>
    <xsd:element name="MigratedSourceSystemLocationNote2" ma:index="13" nillable="true" ma:displayName="MigratedSourceSystemLocationNote2" ma:hidden="true" ma:internalName="MigratedSourceSystemLocationNote2">
      <xsd:simpleType>
        <xsd:restriction base="dms:Note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bd8e387-e36b-4723-af6d-e227f2004a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e8fe1-a5a6-4252-87d7-32a1005bdc8d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dc60622a-010f-4c85-a13b-8834575b59f2}" ma:internalName="TaxCatchAll" ma:showField="CatchAllData" ma:web="413e8fe1-a5a6-4252-87d7-32a1005bdc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ONPreview xmlns="8ef82017-2b1d-4c89-87d3-28d41be2e431" xsi:nil="true"/>
    <MigratedSourceSystemLocationNote2 xmlns="8ef82017-2b1d-4c89-87d3-28d41be2e431" xsi:nil="true"/>
    <Archived xmlns="8ef82017-2b1d-4c89-87d3-28d41be2e431" xsi:nil="true"/>
    <MigratedSourceSystemLocation xmlns="8ef82017-2b1d-4c89-87d3-28d41be2e431" xsi:nil="true"/>
    <SharedDocumentAccessGuid xmlns="8ef82017-2b1d-4c89-87d3-28d41be2e431" xsi:nil="true"/>
    <MigratedSourceSystemLocationNote xmlns="8ef82017-2b1d-4c89-87d3-28d41be2e431" xsi:nil="true"/>
    <TaxCatchAll xmlns="413e8fe1-a5a6-4252-87d7-32a1005bdc8d" xsi:nil="true"/>
    <lcf76f155ced4ddcb4097134ff3c332f xmlns="8ef82017-2b1d-4c89-87d3-28d41be2e43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4EFAC4-4858-4073-BD8C-F47EA1084C0C}"/>
</file>

<file path=customXml/itemProps2.xml><?xml version="1.0" encoding="utf-8"?>
<ds:datastoreItem xmlns:ds="http://schemas.openxmlformats.org/officeDocument/2006/customXml" ds:itemID="{C63FA496-8EDE-4D5E-A5E9-DC82C5F4F991}"/>
</file>

<file path=customXml/itemProps3.xml><?xml version="1.0" encoding="utf-8"?>
<ds:datastoreItem xmlns:ds="http://schemas.openxmlformats.org/officeDocument/2006/customXml" ds:itemID="{93EB248B-D28D-4943-A0D7-6CDC5AF665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Lease Calculator -variable</dc:title>
  <dc:subject/>
  <dc:creator>brian</dc:creator>
  <cp:keywords/>
  <dc:description/>
  <cp:lastModifiedBy>Franca Hissey | Piteo Accounting and Advisory</cp:lastModifiedBy>
  <cp:revision/>
  <dcterms:created xsi:type="dcterms:W3CDTF">2000-11-13T06:18:36Z</dcterms:created>
  <dcterms:modified xsi:type="dcterms:W3CDTF">2022-06-16T02:48:22Z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0x0101005D5E2FC7DF15B145B9018EF8CF7A2777</vt:lpwstr>
  </property>
  <property fmtid="{D5CDD505-2E9C-101B-9397-08002B2CF9AE}" pid="3" name="MediaServiceImageTags">
    <vt:lpwstr/>
  </property>
</Properties>
</file>