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dy\Clients\Cossentino - SMSF\2022\"/>
    </mc:Choice>
  </mc:AlternateContent>
  <xr:revisionPtr revIDLastSave="0" documentId="8_{19F71021-A56E-496E-ADB1-E6A97556D9F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1" i="1" l="1"/>
  <c r="C27" i="1"/>
  <c r="B28" i="1" l="1"/>
  <c r="E11" i="1"/>
  <c r="D11" i="1"/>
  <c r="C11" i="1"/>
  <c r="L51" i="1"/>
  <c r="M51" i="1"/>
  <c r="H16" i="1" s="1"/>
  <c r="F11" i="1" s="1"/>
  <c r="N51" i="1"/>
  <c r="K51" i="1"/>
  <c r="G45" i="1"/>
  <c r="B30" i="1"/>
  <c r="F41" i="1"/>
  <c r="G12" i="1" l="1"/>
  <c r="B34" i="1"/>
  <c r="B19" i="1"/>
  <c r="G13" i="1" l="1"/>
  <c r="C13" i="1"/>
  <c r="E13" i="1" s="1"/>
  <c r="B38" i="1"/>
  <c r="D45" i="1"/>
  <c r="E45" i="1"/>
  <c r="F45" i="1"/>
  <c r="C45" i="1"/>
  <c r="E18" i="1"/>
  <c r="B13" i="1" l="1"/>
  <c r="D18" i="1"/>
  <c r="F18" i="1"/>
  <c r="G18" i="1"/>
  <c r="C18" i="1"/>
  <c r="B18" i="1" l="1"/>
  <c r="B10" i="1"/>
  <c r="B45" i="1" l="1"/>
  <c r="B27" i="1"/>
  <c r="B17" i="1"/>
  <c r="B40" i="1"/>
  <c r="C41" i="1" l="1"/>
  <c r="D41" i="1"/>
  <c r="E41" i="1"/>
  <c r="D33" i="1"/>
  <c r="E33" i="1" l="1"/>
  <c r="C33" i="1" s="1"/>
  <c r="B11" i="1"/>
  <c r="E27" i="1"/>
  <c r="F27" i="1"/>
  <c r="D27" i="1"/>
  <c r="F15" i="1" l="1"/>
  <c r="C15" i="1"/>
  <c r="D15" i="1"/>
  <c r="E15" i="1"/>
  <c r="G15" i="1"/>
  <c r="B15" i="1" l="1"/>
  <c r="B29" i="1" l="1"/>
  <c r="B35" i="1" s="1"/>
  <c r="G16" i="1"/>
  <c r="B57" i="1" l="1"/>
  <c r="B44" i="1"/>
  <c r="B31" i="1"/>
  <c r="F29" i="1" l="1"/>
  <c r="D44" i="1"/>
  <c r="E44" i="1"/>
  <c r="E29" i="1" s="1"/>
  <c r="E35" i="1" s="1"/>
  <c r="D29" i="1" l="1"/>
  <c r="C44" i="1"/>
  <c r="C29" i="1" s="1"/>
  <c r="C31" i="1" s="1"/>
  <c r="E31" i="1"/>
  <c r="E36" i="1"/>
  <c r="F31" i="1"/>
  <c r="D35" i="1" l="1"/>
  <c r="D36" i="1" s="1"/>
  <c r="D31" i="1"/>
  <c r="F33" i="1"/>
  <c r="F35" i="1" s="1"/>
  <c r="F36" i="1" s="1"/>
  <c r="C35" i="1"/>
  <c r="C36" i="1" s="1"/>
</calcChain>
</file>

<file path=xl/sharedStrings.xml><?xml version="1.0" encoding="utf-8"?>
<sst xmlns="http://schemas.openxmlformats.org/spreadsheetml/2006/main" count="57" uniqueCount="47">
  <si>
    <t>The Cosentino Superfund</t>
  </si>
  <si>
    <t>Interest Earned</t>
  </si>
  <si>
    <t>TOTAL</t>
  </si>
  <si>
    <t>Tony</t>
  </si>
  <si>
    <t>Janelle</t>
  </si>
  <si>
    <t>Antony</t>
  </si>
  <si>
    <t>Julian</t>
  </si>
  <si>
    <t>INCOME SPLIT FOR THE YEAR</t>
  </si>
  <si>
    <t>Expenses</t>
  </si>
  <si>
    <t>Opening loan balances</t>
  </si>
  <si>
    <t>Employer Contributions</t>
  </si>
  <si>
    <t>%</t>
  </si>
  <si>
    <t>Accy</t>
  </si>
  <si>
    <t>Audit</t>
  </si>
  <si>
    <t>Filing</t>
  </si>
  <si>
    <t>Tax on earnings</t>
  </si>
  <si>
    <t>Interest received</t>
  </si>
  <si>
    <t>opertg acct</t>
  </si>
  <si>
    <t>Total Exp</t>
  </si>
  <si>
    <t>Tax</t>
  </si>
  <si>
    <t>Bank</t>
  </si>
  <si>
    <t>Tax on contributions</t>
  </si>
  <si>
    <t>NET PROFIT AND DISTRIBUTION TO MEMBERS</t>
  </si>
  <si>
    <t>Employer Contributions ROUNDED</t>
  </si>
  <si>
    <t>Profit allocated to member ON TAX RETURN</t>
  </si>
  <si>
    <t>Taxable Income</t>
  </si>
  <si>
    <t>Mkt Value movement</t>
  </si>
  <si>
    <t>CHECK THIS FIGURE WITH TAX RETURN</t>
  </si>
  <si>
    <t>Tax charge for the year-  total ..split</t>
  </si>
  <si>
    <t>Rounding</t>
  </si>
  <si>
    <t>Tax Account Make up: -</t>
  </si>
  <si>
    <t>Op account interest Allocated</t>
  </si>
  <si>
    <t>Withdrawals Paid</t>
  </si>
  <si>
    <t>Roll over</t>
  </si>
  <si>
    <t>Income Tax for 2021 before SMSF Levy</t>
  </si>
  <si>
    <t>other</t>
  </si>
  <si>
    <t>Pension paid</t>
  </si>
  <si>
    <t>Y.E. 30 June 2022</t>
  </si>
  <si>
    <t>tony</t>
  </si>
  <si>
    <t>Working</t>
  </si>
  <si>
    <t>janelle</t>
  </si>
  <si>
    <t>Working account</t>
  </si>
  <si>
    <t>Working account SPLIT</t>
  </si>
  <si>
    <t>Bank Accounts and term dep</t>
  </si>
  <si>
    <t>Interest received analysis</t>
  </si>
  <si>
    <t>= Journal 6</t>
  </si>
  <si>
    <t>2022 Instalment accrued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</si>
</sst>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43" fontId="0" fillId="0" borderId="0" xfId="1" applyFont="1"/>
    <xf numFmtId="43" fontId="0" fillId="0" borderId="1" xfId="1" applyFont="1" applyBorder="1"/>
    <xf numFmtId="43" fontId="2" fillId="0" borderId="0" xfId="1" applyFont="1"/>
    <xf numFmtId="43" fontId="3" fillId="0" borderId="0" xfId="1" applyFont="1"/>
    <xf numFmtId="164" fontId="0" fillId="0" borderId="0" xfId="2" applyNumberFormat="1" applyFont="1"/>
    <xf numFmtId="43" fontId="0" fillId="0" borderId="0" xfId="1" applyFont="1" applyBorder="1"/>
    <xf numFmtId="43" fontId="0" fillId="3" borderId="0" xfId="1" applyFont="1" applyFill="1"/>
    <xf numFmtId="43" fontId="0" fillId="2" borderId="0" xfId="1" applyFont="1" applyFill="1" applyBorder="1"/>
    <xf numFmtId="43" fontId="0" fillId="0" borderId="2" xfId="1" applyFont="1" applyBorder="1"/>
    <xf numFmtId="43" fontId="0" fillId="0" borderId="0" xfId="1" applyFont="1" applyFill="1"/>
    <xf numFmtId="43" fontId="0" fillId="0" borderId="1" xfId="1" applyFont="1" applyFill="1" applyBorder="1"/>
    <xf numFmtId="9" fontId="0" fillId="0" borderId="0" xfId="2" applyFont="1"/>
    <xf numFmtId="43" fontId="0" fillId="4" borderId="0" xfId="1" applyFont="1" applyFill="1"/>
    <xf numFmtId="43" fontId="0" fillId="5" borderId="0" xfId="1" applyFont="1" applyFill="1"/>
    <xf numFmtId="43" fontId="4" fillId="4" borderId="0" xfId="1" applyFont="1" applyFill="1"/>
    <xf numFmtId="43" fontId="2" fillId="2" borderId="1" xfId="1" applyFont="1" applyFill="1" applyBorder="1"/>
    <xf numFmtId="43" fontId="6" fillId="0" borderId="0" xfId="1" applyFont="1"/>
    <xf numFmtId="9" fontId="0" fillId="0" borderId="0" xfId="1" applyNumberFormat="1" applyFont="1"/>
    <xf numFmtId="43" fontId="0" fillId="0" borderId="0" xfId="1" applyFont="1" applyFill="1" applyBorder="1"/>
    <xf numFmtId="43" fontId="5" fillId="2" borderId="0" xfId="1" applyFont="1" applyFill="1"/>
    <xf numFmtId="43" fontId="0" fillId="0" borderId="0" xfId="1" quotePrefix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62"/>
  <sheetViews>
    <sheetView tabSelected="1" workbookViewId="0">
      <pane xSplit="1" ySplit="9" topLeftCell="B37" activePane="bottomRight" state="frozen"/>
      <selection pane="topRight" activeCell="B1" sqref="B1"/>
      <selection pane="bottomLeft" activeCell="A10" sqref="A10"/>
      <selection pane="bottomRight" sqref="A1:G61"/>
    </sheetView>
  </sheetViews>
  <sheetFormatPr defaultRowHeight="15" x14ac:dyDescent="0.25"/>
  <cols>
    <col min="1" max="1" width="41.28515625" style="1" customWidth="1"/>
    <col min="2" max="2" width="14.85546875" style="1" customWidth="1"/>
    <col min="3" max="3" width="11.7109375" style="1" bestFit="1" customWidth="1"/>
    <col min="4" max="4" width="12" style="1" customWidth="1"/>
    <col min="5" max="5" width="12.28515625" style="1" customWidth="1"/>
    <col min="6" max="6" width="11.28515625" style="1" customWidth="1"/>
    <col min="7" max="7" width="12.5703125" style="1" customWidth="1"/>
    <col min="8" max="8" width="13.140625" style="1" customWidth="1"/>
    <col min="9" max="9" width="14.7109375" style="1" customWidth="1"/>
    <col min="10" max="10" width="12" style="1" customWidth="1"/>
    <col min="11" max="11" width="13.5703125" style="1" customWidth="1"/>
    <col min="12" max="12" width="11.5703125" style="1" bestFit="1" customWidth="1"/>
    <col min="13" max="16384" width="9.140625" style="1"/>
  </cols>
  <sheetData>
    <row r="2" spans="1:14" x14ac:dyDescent="0.25">
      <c r="B2" s="3" t="s">
        <v>0</v>
      </c>
    </row>
    <row r="3" spans="1:14" x14ac:dyDescent="0.25">
      <c r="B3" s="3"/>
    </row>
    <row r="4" spans="1:14" x14ac:dyDescent="0.25">
      <c r="B4" s="3" t="s">
        <v>37</v>
      </c>
    </row>
    <row r="5" spans="1:14" x14ac:dyDescent="0.25">
      <c r="B5" s="3"/>
    </row>
    <row r="6" spans="1:14" x14ac:dyDescent="0.25">
      <c r="B6" s="3" t="s">
        <v>7</v>
      </c>
    </row>
    <row r="7" spans="1:14" x14ac:dyDescent="0.25">
      <c r="B7" s="3"/>
    </row>
    <row r="8" spans="1:14" x14ac:dyDescent="0.25">
      <c r="B8" s="3" t="s">
        <v>1</v>
      </c>
      <c r="G8" s="1" t="s">
        <v>19</v>
      </c>
    </row>
    <row r="9" spans="1:14" x14ac:dyDescent="0.25">
      <c r="B9" s="3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17</v>
      </c>
      <c r="K9" s="1" t="s">
        <v>44</v>
      </c>
    </row>
    <row r="10" spans="1:14" x14ac:dyDescent="0.25">
      <c r="B10" s="1">
        <f>SUM(C10:G10)</f>
        <v>0</v>
      </c>
      <c r="G10" s="10"/>
    </row>
    <row r="11" spans="1:14" x14ac:dyDescent="0.25">
      <c r="A11" s="1" t="s">
        <v>43</v>
      </c>
      <c r="B11" s="10">
        <f t="shared" ref="B11:B14" si="0">SUM(C11:G11)</f>
        <v>1668.83</v>
      </c>
      <c r="C11" s="10">
        <f>K51</f>
        <v>1234.4899999999998</v>
      </c>
      <c r="D11" s="10">
        <f>N51</f>
        <v>428.21</v>
      </c>
      <c r="E11" s="10">
        <f>L51</f>
        <v>6.13</v>
      </c>
      <c r="F11" s="10">
        <f>ROUND((($H$16)*F41),2)</f>
        <v>0</v>
      </c>
      <c r="K11" s="1" t="s">
        <v>38</v>
      </c>
      <c r="L11" s="1" t="s">
        <v>5</v>
      </c>
      <c r="M11" s="1" t="s">
        <v>39</v>
      </c>
      <c r="N11" s="1" t="s">
        <v>40</v>
      </c>
    </row>
    <row r="12" spans="1:14" x14ac:dyDescent="0.25">
      <c r="A12" s="1" t="s">
        <v>41</v>
      </c>
      <c r="B12" s="10"/>
      <c r="C12" s="10"/>
      <c r="D12" s="10"/>
      <c r="E12" s="10"/>
      <c r="F12" s="10"/>
      <c r="G12" s="1">
        <f>M51</f>
        <v>0</v>
      </c>
    </row>
    <row r="13" spans="1:14" x14ac:dyDescent="0.25">
      <c r="A13" s="1" t="s">
        <v>42</v>
      </c>
      <c r="B13" s="10">
        <f t="shared" si="0"/>
        <v>0</v>
      </c>
      <c r="C13" s="10">
        <f>G12/2</f>
        <v>0</v>
      </c>
      <c r="D13" s="10"/>
      <c r="E13" s="10">
        <f>G12-C13</f>
        <v>0</v>
      </c>
      <c r="F13" s="10"/>
      <c r="G13" s="1">
        <f>-G12</f>
        <v>0</v>
      </c>
    </row>
    <row r="14" spans="1:14" x14ac:dyDescent="0.25">
      <c r="B14" s="10"/>
      <c r="C14" s="10"/>
      <c r="D14" s="10"/>
      <c r="E14" s="10"/>
      <c r="F14" s="10"/>
      <c r="K14" s="1">
        <v>7.0000000000000007E-2</v>
      </c>
    </row>
    <row r="15" spans="1:14" ht="15.75" thickBot="1" x14ac:dyDescent="0.3">
      <c r="A15" s="1" t="s">
        <v>16</v>
      </c>
      <c r="B15" s="11">
        <f t="shared" ref="B15:G15" si="1">SUM(B10:B14)</f>
        <v>1668.83</v>
      </c>
      <c r="C15" s="11">
        <f t="shared" si="1"/>
        <v>1234.4899999999998</v>
      </c>
      <c r="D15" s="11">
        <f t="shared" si="1"/>
        <v>428.21</v>
      </c>
      <c r="E15" s="2">
        <f t="shared" si="1"/>
        <v>6.13</v>
      </c>
      <c r="F15" s="2">
        <f t="shared" si="1"/>
        <v>0</v>
      </c>
      <c r="G15" s="2">
        <f t="shared" si="1"/>
        <v>0</v>
      </c>
      <c r="L15" s="1">
        <v>0.37</v>
      </c>
    </row>
    <row r="16" spans="1:14" ht="15.75" thickTop="1" x14ac:dyDescent="0.25">
      <c r="A16" s="1" t="s">
        <v>31</v>
      </c>
      <c r="G16" s="1">
        <f>ROUND(($B15*G41),2)</f>
        <v>0</v>
      </c>
      <c r="H16" s="7">
        <f>M51</f>
        <v>0</v>
      </c>
      <c r="M16" s="1">
        <v>0.02</v>
      </c>
    </row>
    <row r="17" spans="1:13" x14ac:dyDescent="0.25">
      <c r="A17" s="1" t="s">
        <v>10</v>
      </c>
      <c r="B17" s="1">
        <f t="shared" ref="B17:B40" si="2">SUM(C17:G17)</f>
        <v>25412.19</v>
      </c>
      <c r="C17" s="1">
        <v>17963.62</v>
      </c>
      <c r="E17" s="1">
        <v>7448.57</v>
      </c>
      <c r="F17" s="1">
        <v>0</v>
      </c>
      <c r="K17" s="1">
        <v>0.06</v>
      </c>
    </row>
    <row r="18" spans="1:13" x14ac:dyDescent="0.25">
      <c r="A18" s="1" t="s">
        <v>23</v>
      </c>
      <c r="B18" s="1">
        <f t="shared" si="2"/>
        <v>25413</v>
      </c>
      <c r="C18" s="1">
        <f>ROUND((C17),0)</f>
        <v>17964</v>
      </c>
      <c r="D18" s="1">
        <f t="shared" ref="D18:G18" si="3">ROUND((D17),0)</f>
        <v>0</v>
      </c>
      <c r="E18" s="1">
        <f>ROUND((E17),0)</f>
        <v>7449</v>
      </c>
      <c r="F18" s="1">
        <f t="shared" si="3"/>
        <v>0</v>
      </c>
      <c r="G18" s="1">
        <f t="shared" si="3"/>
        <v>0</v>
      </c>
      <c r="L18" s="1">
        <v>0.06</v>
      </c>
    </row>
    <row r="19" spans="1:13" x14ac:dyDescent="0.25">
      <c r="B19" s="1">
        <f t="shared" si="2"/>
        <v>0</v>
      </c>
      <c r="M19" s="1">
        <v>0.01</v>
      </c>
    </row>
    <row r="20" spans="1:13" x14ac:dyDescent="0.25">
      <c r="K20" s="1">
        <v>0.56999999999999995</v>
      </c>
    </row>
    <row r="21" spans="1:13" x14ac:dyDescent="0.25">
      <c r="A21" s="1" t="s">
        <v>8</v>
      </c>
      <c r="L21" s="1">
        <v>7.0000000000000007E-2</v>
      </c>
    </row>
    <row r="22" spans="1:13" x14ac:dyDescent="0.25">
      <c r="A22" s="1" t="s">
        <v>12</v>
      </c>
      <c r="B22" s="1">
        <v>-1595</v>
      </c>
      <c r="M22" s="1">
        <v>0.02</v>
      </c>
    </row>
    <row r="23" spans="1:13" x14ac:dyDescent="0.25">
      <c r="A23" s="1" t="s">
        <v>13</v>
      </c>
      <c r="B23" s="1">
        <v>-440</v>
      </c>
      <c r="K23" s="1">
        <v>2.4500000000000002</v>
      </c>
    </row>
    <row r="24" spans="1:13" x14ac:dyDescent="0.25">
      <c r="A24" s="1" t="s">
        <v>20</v>
      </c>
      <c r="B24" s="1">
        <v>0</v>
      </c>
      <c r="L24" s="1">
        <v>0.12</v>
      </c>
    </row>
    <row r="25" spans="1:13" x14ac:dyDescent="0.25">
      <c r="A25" s="1" t="s">
        <v>14</v>
      </c>
      <c r="B25" s="1">
        <v>-259</v>
      </c>
      <c r="K25" s="1">
        <v>2.81</v>
      </c>
    </row>
    <row r="26" spans="1:13" x14ac:dyDescent="0.25">
      <c r="A26" s="1" t="s">
        <v>29</v>
      </c>
      <c r="B26" s="9"/>
      <c r="L26" s="1">
        <v>0.52</v>
      </c>
    </row>
    <row r="27" spans="1:13" x14ac:dyDescent="0.25">
      <c r="A27" s="1" t="s">
        <v>18</v>
      </c>
      <c r="B27" s="1">
        <f>SUM(B22:B26)</f>
        <v>-2294</v>
      </c>
      <c r="C27" s="1">
        <f>ROUND((B27*C$41),2)+0.01</f>
        <v>-1776.65</v>
      </c>
      <c r="D27" s="1">
        <f>ROUND((B27*D$41),2)</f>
        <v>-109.66</v>
      </c>
      <c r="E27" s="1">
        <f>ROUND((B27*E$41),2)</f>
        <v>-401.13</v>
      </c>
      <c r="F27" s="1">
        <f>ROUND((C27*F41),2)</f>
        <v>-6.56</v>
      </c>
      <c r="K27" s="1">
        <v>2.77</v>
      </c>
    </row>
    <row r="28" spans="1:13" x14ac:dyDescent="0.25">
      <c r="A28" s="1" t="s">
        <v>25</v>
      </c>
      <c r="B28" s="1">
        <f>B27+B18+ROUND((B15),0)</f>
        <v>24788</v>
      </c>
      <c r="L28" s="1">
        <v>0.55000000000000004</v>
      </c>
    </row>
    <row r="29" spans="1:13" x14ac:dyDescent="0.25">
      <c r="A29" s="13" t="s">
        <v>28</v>
      </c>
      <c r="B29" s="13">
        <f>ROUND((-B28*0.15),2)</f>
        <v>-3718.2</v>
      </c>
      <c r="C29" s="1">
        <f>-(C44+C45)</f>
        <v>-2621.7599999999998</v>
      </c>
      <c r="D29" s="1">
        <f t="shared" ref="D29:F29" si="4">-(D44+D45)</f>
        <v>4.4800000000000004</v>
      </c>
      <c r="E29" s="1">
        <f t="shared" si="4"/>
        <v>-1100.92</v>
      </c>
      <c r="F29" s="1">
        <f t="shared" si="4"/>
        <v>0</v>
      </c>
      <c r="G29" s="15" t="s">
        <v>27</v>
      </c>
      <c r="H29" s="13"/>
      <c r="M29" s="1">
        <v>0.02</v>
      </c>
    </row>
    <row r="30" spans="1:13" x14ac:dyDescent="0.25">
      <c r="A30" s="1" t="s">
        <v>36</v>
      </c>
      <c r="B30" s="1">
        <f>SUM(C30:F30)</f>
        <v>-20000</v>
      </c>
      <c r="C30" s="1">
        <v>-20000</v>
      </c>
      <c r="K30" s="1">
        <v>2.77</v>
      </c>
    </row>
    <row r="31" spans="1:13" ht="15.75" thickBot="1" x14ac:dyDescent="0.3">
      <c r="B31" s="2">
        <f>SUM(B27:B29)</f>
        <v>18775.8</v>
      </c>
      <c r="C31" s="2">
        <f t="shared" ref="C31:F31" si="5">SUM(C27:C29)</f>
        <v>-4398.41</v>
      </c>
      <c r="D31" s="2">
        <f t="shared" si="5"/>
        <v>-105.17999999999999</v>
      </c>
      <c r="E31" s="2">
        <f t="shared" si="5"/>
        <v>-1502.0500000000002</v>
      </c>
      <c r="F31" s="2">
        <f t="shared" si="5"/>
        <v>-6.56</v>
      </c>
      <c r="L31" s="1">
        <v>0.59</v>
      </c>
    </row>
    <row r="32" spans="1:13" ht="15.75" thickTop="1" x14ac:dyDescent="0.25">
      <c r="B32" s="6"/>
      <c r="M32" s="1">
        <v>0.03</v>
      </c>
    </row>
    <row r="33" spans="1:14" x14ac:dyDescent="0.25">
      <c r="A33" s="1" t="s">
        <v>26</v>
      </c>
      <c r="B33" s="6">
        <v>10702.22</v>
      </c>
      <c r="C33" s="1">
        <f>B33-D33-E33</f>
        <v>8319.2599999999984</v>
      </c>
      <c r="D33" s="1">
        <f>ROUND((B33*D$41),2)</f>
        <v>511.58</v>
      </c>
      <c r="E33" s="1">
        <f>ROUND((B33*E$41),2)</f>
        <v>1871.38</v>
      </c>
      <c r="F33" s="1">
        <f>ROUND((C33*F46),2)</f>
        <v>0</v>
      </c>
      <c r="K33" s="1">
        <v>2.3199999999999998</v>
      </c>
    </row>
    <row r="34" spans="1:14" x14ac:dyDescent="0.25">
      <c r="A34" s="1" t="s">
        <v>33</v>
      </c>
      <c r="B34" s="1">
        <f t="shared" ref="B34" si="6">SUM(C34:G34)</f>
        <v>0</v>
      </c>
      <c r="E34" s="1">
        <v>0</v>
      </c>
      <c r="L34" s="1">
        <v>0.54</v>
      </c>
    </row>
    <row r="35" spans="1:14" x14ac:dyDescent="0.25">
      <c r="A35" s="20" t="s">
        <v>22</v>
      </c>
      <c r="B35" s="8">
        <f>B15+B17+B27+B33+B34+B29+B30</f>
        <v>11771.039999999997</v>
      </c>
      <c r="C35" s="19">
        <f t="shared" ref="C35:F35" si="7">C15+C17+C27+C33+C34+C29+C30</f>
        <v>3118.9599999999991</v>
      </c>
      <c r="D35" s="19">
        <f t="shared" si="7"/>
        <v>834.6099999999999</v>
      </c>
      <c r="E35" s="19">
        <f t="shared" si="7"/>
        <v>7824.0300000000007</v>
      </c>
      <c r="F35" s="19">
        <f t="shared" si="7"/>
        <v>-6.56</v>
      </c>
      <c r="M35" s="1">
        <v>0.01</v>
      </c>
    </row>
    <row r="36" spans="1:14" x14ac:dyDescent="0.25">
      <c r="A36" s="1" t="s">
        <v>24</v>
      </c>
      <c r="B36" s="6"/>
      <c r="C36" s="1">
        <f>ROUND((+C35),0)-C18</f>
        <v>-14845</v>
      </c>
      <c r="D36" s="1">
        <f t="shared" ref="D36:F36" si="8">ROUND((+D35),0)-D18</f>
        <v>835</v>
      </c>
      <c r="E36" s="1">
        <f t="shared" si="8"/>
        <v>375</v>
      </c>
      <c r="F36" s="1">
        <f t="shared" si="8"/>
        <v>-7</v>
      </c>
      <c r="K36" s="1">
        <v>2.4900000000000002</v>
      </c>
    </row>
    <row r="37" spans="1:14" x14ac:dyDescent="0.25">
      <c r="B37" s="6"/>
      <c r="L37" s="1">
        <v>0.61</v>
      </c>
    </row>
    <row r="38" spans="1:14" x14ac:dyDescent="0.25">
      <c r="A38" s="13" t="s">
        <v>32</v>
      </c>
      <c r="B38" s="1">
        <f>SUM(C38:G38)</f>
        <v>-20000</v>
      </c>
      <c r="C38" s="1">
        <v>-20000</v>
      </c>
      <c r="E38" s="1">
        <v>0</v>
      </c>
      <c r="F38" s="1">
        <v>0</v>
      </c>
      <c r="K38" s="1">
        <v>2.19</v>
      </c>
    </row>
    <row r="39" spans="1:14" x14ac:dyDescent="0.25">
      <c r="B39" s="3" t="s">
        <v>2</v>
      </c>
      <c r="C39" s="4" t="s">
        <v>3</v>
      </c>
      <c r="D39" s="4" t="s">
        <v>4</v>
      </c>
      <c r="E39" s="4" t="s">
        <v>5</v>
      </c>
      <c r="F39" s="4" t="s">
        <v>6</v>
      </c>
      <c r="L39" s="1">
        <v>0.56999999999999995</v>
      </c>
    </row>
    <row r="40" spans="1:14" x14ac:dyDescent="0.25">
      <c r="A40" s="1" t="s">
        <v>9</v>
      </c>
      <c r="B40" s="1">
        <f t="shared" si="2"/>
        <v>361359.2</v>
      </c>
      <c r="C40" s="1">
        <v>279865.38</v>
      </c>
      <c r="D40" s="1">
        <v>17273.43</v>
      </c>
      <c r="E40" s="1">
        <v>63186.8</v>
      </c>
      <c r="F40" s="1">
        <v>1033.5899999999999</v>
      </c>
      <c r="K40" s="1">
        <v>3.31</v>
      </c>
    </row>
    <row r="41" spans="1:14" x14ac:dyDescent="0.25">
      <c r="A41" s="1" t="s">
        <v>11</v>
      </c>
      <c r="B41" s="5"/>
      <c r="C41" s="12">
        <f>C40/B40</f>
        <v>0.77447974204060666</v>
      </c>
      <c r="D41" s="12">
        <f>(D40/B40)</f>
        <v>4.7801273635761865E-2</v>
      </c>
      <c r="E41" s="12">
        <f>(E40/B40)</f>
        <v>0.17485870015209243</v>
      </c>
      <c r="F41" s="12">
        <f>(F40/C40)</f>
        <v>3.6931684797883893E-3</v>
      </c>
      <c r="L41" s="1">
        <v>0.9</v>
      </c>
    </row>
    <row r="42" spans="1:14" x14ac:dyDescent="0.25">
      <c r="N42" s="1">
        <v>0.03</v>
      </c>
    </row>
    <row r="43" spans="1:14" x14ac:dyDescent="0.25">
      <c r="M43" s="1">
        <v>0.01</v>
      </c>
    </row>
    <row r="44" spans="1:14" x14ac:dyDescent="0.25">
      <c r="A44" s="7" t="s">
        <v>15</v>
      </c>
      <c r="B44" s="7">
        <f>-B29-B45</f>
        <v>-93.630000000000109</v>
      </c>
      <c r="C44" s="7">
        <f>(-B29-B45)-D44-E44</f>
        <v>-72.780000000000101</v>
      </c>
      <c r="D44" s="7">
        <f>ROUND((B44*D41),2)</f>
        <v>-4.4800000000000004</v>
      </c>
      <c r="E44" s="7">
        <f>ROUND((B44*E41),2)</f>
        <v>-16.37</v>
      </c>
      <c r="F44" s="7">
        <v>0</v>
      </c>
      <c r="G44" s="21" t="s">
        <v>45</v>
      </c>
      <c r="K44" s="1">
        <v>4.28</v>
      </c>
    </row>
    <row r="45" spans="1:14" x14ac:dyDescent="0.25">
      <c r="A45" s="14" t="s">
        <v>21</v>
      </c>
      <c r="B45" s="14">
        <f>SUM(C45:F45)</f>
        <v>3811.83</v>
      </c>
      <c r="C45" s="14">
        <f>ROUND((C17*0.15),2)</f>
        <v>2694.54</v>
      </c>
      <c r="D45" s="14">
        <f t="shared" ref="D45:F45" si="9">ROUND((D17*0.15),2)</f>
        <v>0</v>
      </c>
      <c r="E45" s="14">
        <f t="shared" si="9"/>
        <v>1117.29</v>
      </c>
      <c r="F45" s="14">
        <f t="shared" si="9"/>
        <v>0</v>
      </c>
      <c r="G45" s="21" t="str">
        <f>G44</f>
        <v>= Journal 6</v>
      </c>
      <c r="L45" s="1">
        <v>1.17</v>
      </c>
    </row>
    <row r="46" spans="1:14" x14ac:dyDescent="0.25">
      <c r="A46" s="18"/>
      <c r="N46" s="1">
        <v>428.12</v>
      </c>
    </row>
    <row r="47" spans="1:14" x14ac:dyDescent="0.25">
      <c r="N47" s="1">
        <v>0.06</v>
      </c>
    </row>
    <row r="48" spans="1:14" x14ac:dyDescent="0.25">
      <c r="B48" s="3"/>
      <c r="C48" s="4"/>
      <c r="D48" s="4"/>
      <c r="E48" s="4"/>
      <c r="F48" s="4"/>
      <c r="K48" s="1">
        <v>1208.3399999999999</v>
      </c>
    </row>
    <row r="49" spans="1:14" x14ac:dyDescent="0.25">
      <c r="K49" s="1">
        <v>0.06</v>
      </c>
      <c r="L49" s="1">
        <v>0.06</v>
      </c>
      <c r="M49" s="1">
        <v>-0.12</v>
      </c>
    </row>
    <row r="51" spans="1:14" ht="15.75" thickBot="1" x14ac:dyDescent="0.3">
      <c r="K51" s="2">
        <f>SUM(K14:K50)</f>
        <v>1234.4899999999998</v>
      </c>
      <c r="L51" s="2">
        <f t="shared" ref="L51:N51" si="10">SUM(L14:L50)</f>
        <v>6.13</v>
      </c>
      <c r="M51" s="2">
        <f t="shared" si="10"/>
        <v>0</v>
      </c>
      <c r="N51" s="2">
        <f t="shared" si="10"/>
        <v>428.21</v>
      </c>
    </row>
    <row r="52" spans="1:14" ht="15.75" thickTop="1" x14ac:dyDescent="0.25"/>
    <row r="53" spans="1:14" s="17" customFormat="1" ht="15.75" x14ac:dyDescent="0.25">
      <c r="B53" s="1"/>
      <c r="C53" s="1"/>
      <c r="D53" s="1"/>
      <c r="E53" s="1"/>
      <c r="F53" s="1"/>
      <c r="G53" s="1"/>
      <c r="K53" s="1" t="s">
        <v>38</v>
      </c>
      <c r="L53" s="1" t="s">
        <v>5</v>
      </c>
      <c r="M53" s="1" t="s">
        <v>39</v>
      </c>
      <c r="N53" s="1" t="s">
        <v>40</v>
      </c>
    </row>
    <row r="55" spans="1:14" x14ac:dyDescent="0.25">
      <c r="A55" s="3" t="s">
        <v>30</v>
      </c>
    </row>
    <row r="57" spans="1:14" x14ac:dyDescent="0.25">
      <c r="A57" s="1" t="s">
        <v>34</v>
      </c>
      <c r="B57" s="1">
        <f>B29</f>
        <v>-3718.2</v>
      </c>
    </row>
    <row r="58" spans="1:14" x14ac:dyDescent="0.25">
      <c r="A58" s="1" t="s">
        <v>46</v>
      </c>
      <c r="B58" s="1">
        <v>4785</v>
      </c>
    </row>
    <row r="59" spans="1:14" x14ac:dyDescent="0.25">
      <c r="A59" s="1" t="s">
        <v>35</v>
      </c>
    </row>
    <row r="61" spans="1:14" ht="15.75" thickBot="1" x14ac:dyDescent="0.3">
      <c r="B61" s="16">
        <f>SUM(B57:B60)</f>
        <v>1066.8000000000002</v>
      </c>
    </row>
    <row r="62" spans="1:14" ht="15.75" thickTop="1" x14ac:dyDescent="0.25"/>
  </sheetData>
  <phoneticPr fontId="7" type="noConversion"/>
  <printOptions horizontalCentered="1" verticalCentered="1"/>
  <pageMargins left="0.19685039370078741" right="0.19685039370078741" top="0.19685039370078741" bottom="0.19685039370078741" header="0.31496062992125984" footer="3.937007874015748E-2"/>
  <pageSetup paperSize="9" scale="50" orientation="portrait" horizontalDpi="0" verticalDpi="0" r:id="rId1"/>
  <headerFoot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Windows User</cp:lastModifiedBy>
  <cp:lastPrinted>2023-02-06T06:51:56Z</cp:lastPrinted>
  <dcterms:created xsi:type="dcterms:W3CDTF">2016-01-22T06:00:08Z</dcterms:created>
  <dcterms:modified xsi:type="dcterms:W3CDTF">2023-02-06T10:55:14Z</dcterms:modified>
</cp:coreProperties>
</file>