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Reception\Admin\Trust Account\RECONCILE\2021 -2022\10. January 2022\"/>
    </mc:Choice>
  </mc:AlternateContent>
  <bookViews>
    <workbookView xWindow="0" yWindow="0" windowWidth="28800" windowHeight="12300" activeTab="3"/>
  </bookViews>
  <sheets>
    <sheet name="Trust Account Reconciliation" sheetId="1" r:id="rId1"/>
    <sheet name="Unpresented Cheques" sheetId="2" r:id="rId2"/>
    <sheet name="Debit Details" sheetId="3" r:id="rId3"/>
    <sheet name="Still in Accoun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3" l="1"/>
  <c r="I54" i="3" s="1"/>
  <c r="H52" i="3"/>
  <c r="H54" i="3" s="1"/>
  <c r="D52" i="3"/>
  <c r="J49" i="3"/>
  <c r="L49" i="3" s="1"/>
  <c r="N49" i="3" s="1"/>
  <c r="J48" i="3"/>
  <c r="L48" i="3" s="1"/>
  <c r="N48" i="3" s="1"/>
  <c r="J47" i="3"/>
  <c r="L47" i="3" s="1"/>
  <c r="N47" i="3" s="1"/>
  <c r="J46" i="3"/>
  <c r="L46" i="3" s="1"/>
  <c r="N46" i="3" s="1"/>
  <c r="J45" i="3"/>
  <c r="L45" i="3" s="1"/>
  <c r="N45" i="3" s="1"/>
  <c r="L44" i="3"/>
  <c r="N44" i="3" s="1"/>
  <c r="J44" i="3"/>
  <c r="L43" i="3"/>
  <c r="N43" i="3" s="1"/>
  <c r="J43" i="3"/>
  <c r="J52" i="3" s="1"/>
  <c r="L42" i="3"/>
  <c r="J42" i="3"/>
  <c r="H37" i="3"/>
  <c r="I35" i="3"/>
  <c r="I37" i="3" s="1"/>
  <c r="H35" i="3"/>
  <c r="D35" i="3"/>
  <c r="L32" i="3"/>
  <c r="N32" i="3" s="1"/>
  <c r="J32" i="3"/>
  <c r="L31" i="3"/>
  <c r="N31" i="3" s="1"/>
  <c r="J31" i="3"/>
  <c r="J30" i="3"/>
  <c r="L30" i="3" s="1"/>
  <c r="N30" i="3" s="1"/>
  <c r="J29" i="3"/>
  <c r="L29" i="3" s="1"/>
  <c r="N29" i="3" s="1"/>
  <c r="J28" i="3"/>
  <c r="L28" i="3" s="1"/>
  <c r="N28" i="3" s="1"/>
  <c r="J27" i="3"/>
  <c r="L27" i="3" s="1"/>
  <c r="N27" i="3" s="1"/>
  <c r="J26" i="3"/>
  <c r="J35" i="3" s="1"/>
  <c r="J25" i="3"/>
  <c r="L25" i="3" s="1"/>
  <c r="N25" i="3" s="1"/>
  <c r="L24" i="3"/>
  <c r="N24" i="3" s="1"/>
  <c r="J24" i="3"/>
  <c r="L23" i="3"/>
  <c r="N23" i="3" s="1"/>
  <c r="J23" i="3"/>
  <c r="J22" i="3"/>
  <c r="L22" i="3" s="1"/>
  <c r="N22" i="3" s="1"/>
  <c r="J21" i="3"/>
  <c r="L21" i="3" s="1"/>
  <c r="N21" i="3" s="1"/>
  <c r="J20" i="3"/>
  <c r="L20" i="3" s="1"/>
  <c r="I15" i="3"/>
  <c r="H15" i="3"/>
  <c r="I16" i="3" s="1"/>
  <c r="I13" i="3"/>
  <c r="H13" i="3"/>
  <c r="D13" i="3"/>
  <c r="J10" i="3"/>
  <c r="L10" i="3" s="1"/>
  <c r="N10" i="3" s="1"/>
  <c r="J9" i="3"/>
  <c r="L9" i="3" s="1"/>
  <c r="N9" i="3" s="1"/>
  <c r="J8" i="3"/>
  <c r="L8" i="3" s="1"/>
  <c r="N8" i="3" s="1"/>
  <c r="J7" i="3"/>
  <c r="L7" i="3" s="1"/>
  <c r="N7" i="3" s="1"/>
  <c r="J6" i="3"/>
  <c r="L6" i="3" s="1"/>
  <c r="N6" i="3" s="1"/>
  <c r="L5" i="3"/>
  <c r="N5" i="3" s="1"/>
  <c r="J5" i="3"/>
  <c r="L4" i="3"/>
  <c r="N4" i="3" s="1"/>
  <c r="J4" i="3"/>
  <c r="J3" i="3"/>
  <c r="J13" i="3" s="1"/>
  <c r="C16" i="4"/>
  <c r="I38" i="3" l="1"/>
  <c r="L52" i="3"/>
  <c r="F54" i="3" s="1"/>
  <c r="N20" i="3"/>
  <c r="I55" i="3"/>
  <c r="L26" i="3"/>
  <c r="N26" i="3" s="1"/>
  <c r="N42" i="3"/>
  <c r="N52" i="3" s="1"/>
  <c r="L3" i="3"/>
  <c r="N3" i="3" l="1"/>
  <c r="N13" i="3" s="1"/>
  <c r="L13" i="3"/>
  <c r="F15" i="3" s="1"/>
  <c r="N35" i="3"/>
  <c r="L35" i="3"/>
  <c r="F37" i="3" s="1"/>
  <c r="B11" i="1" l="1"/>
  <c r="B12" i="1"/>
  <c r="B16" i="1"/>
  <c r="B15" i="1"/>
  <c r="B14" i="1"/>
  <c r="B13" i="1"/>
  <c r="B18" i="1"/>
  <c r="B17" i="1"/>
  <c r="B23" i="1"/>
  <c r="B22" i="1"/>
  <c r="B21" i="1"/>
  <c r="B20" i="1"/>
  <c r="B19" i="1"/>
  <c r="B25" i="1"/>
  <c r="B24" i="1"/>
  <c r="B30" i="1"/>
  <c r="B29" i="1"/>
  <c r="B28" i="1"/>
  <c r="B27" i="1"/>
  <c r="B26" i="1"/>
  <c r="B34" i="1"/>
  <c r="B33" i="1"/>
  <c r="B32" i="1"/>
  <c r="B31" i="1"/>
  <c r="B38" i="1"/>
  <c r="B37" i="1"/>
  <c r="B36" i="1"/>
  <c r="B35" i="1"/>
  <c r="B40" i="1"/>
  <c r="B39" i="1"/>
  <c r="B42" i="1"/>
  <c r="B41" i="1"/>
  <c r="B46" i="1"/>
  <c r="B45" i="1"/>
  <c r="B44" i="1"/>
  <c r="B43" i="1"/>
  <c r="C6" i="1" l="1"/>
  <c r="C8" i="1" s="1"/>
</calcChain>
</file>

<file path=xl/sharedStrings.xml><?xml version="1.0" encoding="utf-8"?>
<sst xmlns="http://schemas.openxmlformats.org/spreadsheetml/2006/main" count="191" uniqueCount="101">
  <si>
    <t>Opening Balance</t>
  </si>
  <si>
    <t>Total Credits</t>
  </si>
  <si>
    <t>Total Debits</t>
  </si>
  <si>
    <t>Total Remaining in account</t>
  </si>
  <si>
    <t>Cheques</t>
  </si>
  <si>
    <t>Variance</t>
  </si>
  <si>
    <t>Date</t>
  </si>
  <si>
    <t>Narrative</t>
  </si>
  <si>
    <t>Debit Amount</t>
  </si>
  <si>
    <t>Credit Amount</t>
  </si>
  <si>
    <t>Unpresented Cheques</t>
  </si>
  <si>
    <t xml:space="preserve">Client </t>
  </si>
  <si>
    <t>Cheque Number</t>
  </si>
  <si>
    <t>Paid to Client</t>
  </si>
  <si>
    <t xml:space="preserve">Presented </t>
  </si>
  <si>
    <t>Maristella Trenti</t>
  </si>
  <si>
    <t>Colin Murray</t>
  </si>
  <si>
    <t xml:space="preserve">Guiseppina Mercorella </t>
  </si>
  <si>
    <t xml:space="preserve">Francesco Mercorella </t>
  </si>
  <si>
    <t xml:space="preserve">The Trustee for the Bordignon Family Superannuation Fund </t>
  </si>
  <si>
    <t>EF Bozo Grubisic</t>
  </si>
  <si>
    <t>Cheque Cancelled</t>
  </si>
  <si>
    <t>Baggio Electrical Services</t>
  </si>
  <si>
    <t>Darren Piovesan</t>
  </si>
  <si>
    <t>Ann Whitby</t>
  </si>
  <si>
    <t>Rodney Whitby</t>
  </si>
  <si>
    <t>Serghio Trenti</t>
  </si>
  <si>
    <t xml:space="preserve">Carmelo Tripodi </t>
  </si>
  <si>
    <t>Ruben Komjanc</t>
  </si>
  <si>
    <t>Diana Stefani</t>
  </si>
  <si>
    <t xml:space="preserve">Aloe Arborescens Australia Pty Ltd </t>
  </si>
  <si>
    <t>Luke Spajic</t>
  </si>
  <si>
    <t>Not Cashed</t>
  </si>
  <si>
    <t>Baggio Eelectrical Services Pty Ltd</t>
  </si>
  <si>
    <t>Date of Trans</t>
  </si>
  <si>
    <t>Client</t>
  </si>
  <si>
    <t>Paid By ATO</t>
  </si>
  <si>
    <t>Bill Number #</t>
  </si>
  <si>
    <t>Cheque No#</t>
  </si>
  <si>
    <t>Fee</t>
  </si>
  <si>
    <t>GST</t>
  </si>
  <si>
    <t>Total Fee</t>
  </si>
  <si>
    <t>Total</t>
  </si>
  <si>
    <t>EFT</t>
  </si>
  <si>
    <t>NIL</t>
  </si>
  <si>
    <t xml:space="preserve">TTO EFT TRANSFER </t>
  </si>
  <si>
    <t xml:space="preserve">Still in Account </t>
  </si>
  <si>
    <t xml:space="preserve">Total </t>
  </si>
  <si>
    <t>STACEY TURNER</t>
  </si>
  <si>
    <t>DAVID TONELLATO</t>
  </si>
  <si>
    <t>Baum Group</t>
  </si>
  <si>
    <t>Toni Kirkland</t>
  </si>
  <si>
    <t>Tony Garland</t>
  </si>
  <si>
    <t>Megan Millar</t>
  </si>
  <si>
    <t>Trustee for Derek Brian Edgar</t>
  </si>
  <si>
    <t>Alejandro Greco</t>
  </si>
  <si>
    <t>Nicholas Castle</t>
  </si>
  <si>
    <t>Amos Zadow</t>
  </si>
  <si>
    <t>Nicholas Gabrielli</t>
  </si>
  <si>
    <t>Matthew Coutouvidis</t>
  </si>
  <si>
    <t>Anthony Saba</t>
  </si>
  <si>
    <t>Anahi Carreno Cordova</t>
  </si>
  <si>
    <t>TTO Chartered Accountants Trust Account Reconciliation 1 - 31 January 2022</t>
  </si>
  <si>
    <t>RHIANNON HAYWARD</t>
  </si>
  <si>
    <t>Tracey Lampard</t>
  </si>
  <si>
    <t>Greenplay Australia Pty Ltd</t>
  </si>
  <si>
    <t>Severs Super-Dooper Super Fund</t>
  </si>
  <si>
    <t>Pfeiffer Superannuation Fund</t>
  </si>
  <si>
    <t>Decadant Winery Services Pty Ltd</t>
  </si>
  <si>
    <t>Torresan Esatate (AUST) Pty Ltd</t>
  </si>
  <si>
    <t>Luisa Tieppo</t>
  </si>
  <si>
    <t>Susan Ikonomou</t>
  </si>
  <si>
    <t>Richard Holland</t>
  </si>
  <si>
    <t>Rupert Meakes</t>
  </si>
  <si>
    <t>Tenille Brown</t>
  </si>
  <si>
    <t>Erin Griffante</t>
  </si>
  <si>
    <t>B &amp; M Smith Superannuation Fund</t>
  </si>
  <si>
    <t>Zane Brunthaler</t>
  </si>
  <si>
    <t>Myra Brunning</t>
  </si>
  <si>
    <t>Bridie Hutton</t>
  </si>
  <si>
    <t>Francesca McCormack</t>
  </si>
  <si>
    <t>Gary McCormack</t>
  </si>
  <si>
    <t>Stuart Whittaker</t>
  </si>
  <si>
    <t>Brian McCormick</t>
  </si>
  <si>
    <t>Lisa McCormick</t>
  </si>
  <si>
    <t>Simon Depauw</t>
  </si>
  <si>
    <t>Charissa Davies</t>
  </si>
  <si>
    <t>Leyton Foale</t>
  </si>
  <si>
    <t>Ivana Milosevic</t>
  </si>
  <si>
    <t>Francesca McCormack - incorrect account</t>
  </si>
  <si>
    <t>Brian McCormick - incorrect account</t>
  </si>
  <si>
    <t>Sever's Super Dooper Super Fund</t>
  </si>
  <si>
    <t>Torresan Estate (Aust) Pty Ltd</t>
  </si>
  <si>
    <t xml:space="preserve">Trustee for B &amp; M Smith Superannuation </t>
  </si>
  <si>
    <t xml:space="preserve">Bridie Hutton </t>
  </si>
  <si>
    <t>Zane Brunnthaler</t>
  </si>
  <si>
    <t xml:space="preserve">Francesca McCormack </t>
  </si>
  <si>
    <t xml:space="preserve">Gary McCormack </t>
  </si>
  <si>
    <t xml:space="preserve">Stuart Whittaker </t>
  </si>
  <si>
    <t xml:space="preserve">Lisa McCormick </t>
  </si>
  <si>
    <t xml:space="preserve">Brian McCormick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</si>
</sst>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10" xfId="0" applyBorder="1"/>
    <xf numFmtId="44" fontId="16" fillId="0" borderId="0" xfId="0" applyNumberFormat="1" applyFont="1"/>
    <xf numFmtId="44" fontId="16" fillId="0" borderId="10" xfId="0" applyNumberFormat="1" applyFont="1" applyBorder="1"/>
    <xf numFmtId="0" fontId="16" fillId="0" borderId="11" xfId="0" applyFont="1" applyBorder="1"/>
    <xf numFmtId="44" fontId="16" fillId="0" borderId="11" xfId="0" applyNumberFormat="1" applyFont="1" applyBorder="1"/>
    <xf numFmtId="0" fontId="21" fillId="0" borderId="0" xfId="8" applyFont="1" applyFill="1" applyBorder="1"/>
    <xf numFmtId="0" fontId="16" fillId="0" borderId="0" xfId="0" applyFont="1"/>
    <xf numFmtId="0" fontId="0" fillId="0" borderId="11" xfId="0" applyBorder="1"/>
    <xf numFmtId="44" fontId="0" fillId="0" borderId="0" xfId="0" applyNumberFormat="1"/>
    <xf numFmtId="44" fontId="16" fillId="0" borderId="0" xfId="47" applyFont="1"/>
    <xf numFmtId="44" fontId="19" fillId="0" borderId="0" xfId="47" applyFont="1"/>
    <xf numFmtId="44" fontId="0" fillId="0" borderId="0" xfId="47" applyFont="1"/>
    <xf numFmtId="44" fontId="16" fillId="33" borderId="0" xfId="47" applyFont="1" applyFill="1"/>
    <xf numFmtId="44" fontId="0" fillId="0" borderId="0" xfId="47" quotePrefix="1" applyNumberFormat="1" applyFont="1"/>
    <xf numFmtId="44" fontId="14" fillId="0" borderId="0" xfId="48" applyFont="1"/>
    <xf numFmtId="44" fontId="16" fillId="0" borderId="0" xfId="49" applyFont="1"/>
    <xf numFmtId="44" fontId="14" fillId="0" borderId="0" xfId="49" applyNumberFormat="1" applyFont="1"/>
    <xf numFmtId="0" fontId="16" fillId="0" borderId="0" xfId="0" applyFont="1"/>
    <xf numFmtId="44" fontId="16" fillId="0" borderId="0" xfId="49" applyFont="1"/>
    <xf numFmtId="0" fontId="0" fillId="0" borderId="0" xfId="0"/>
    <xf numFmtId="0" fontId="0" fillId="0" borderId="0" xfId="0" applyFont="1" applyBorder="1" applyAlignment="1">
      <alignment horizontal="left"/>
    </xf>
    <xf numFmtId="44" fontId="0" fillId="0" borderId="0" xfId="49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44" fontId="14" fillId="0" borderId="0" xfId="49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left"/>
    </xf>
    <xf numFmtId="44" fontId="0" fillId="0" borderId="0" xfId="49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44" fontId="20" fillId="0" borderId="0" xfId="49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Fill="1" applyBorder="1" applyAlignment="1">
      <alignment horizontal="left"/>
    </xf>
    <xf numFmtId="44" fontId="0" fillId="0" borderId="0" xfId="49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14" fontId="20" fillId="0" borderId="0" xfId="0" applyNumberFormat="1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4" fontId="20" fillId="0" borderId="0" xfId="49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0" fillId="0" borderId="0" xfId="0" applyFill="1" applyAlignment="1">
      <alignment horizontal="left"/>
    </xf>
    <xf numFmtId="44" fontId="1" fillId="0" borderId="0" xfId="49" applyFont="1" applyAlignment="1">
      <alignment horizontal="left"/>
    </xf>
    <xf numFmtId="0" fontId="20" fillId="0" borderId="0" xfId="0" applyFont="1"/>
    <xf numFmtId="44" fontId="20" fillId="0" borderId="0" xfId="49" applyFont="1"/>
    <xf numFmtId="14" fontId="20" fillId="0" borderId="0" xfId="0" applyNumberFormat="1" applyFont="1"/>
    <xf numFmtId="14" fontId="14" fillId="0" borderId="0" xfId="0" applyNumberFormat="1" applyFont="1"/>
    <xf numFmtId="0" fontId="14" fillId="0" borderId="0" xfId="0" applyFont="1"/>
    <xf numFmtId="0" fontId="0" fillId="0" borderId="0" xfId="0"/>
    <xf numFmtId="14" fontId="0" fillId="0" borderId="0" xfId="0" applyNumberFormat="1"/>
    <xf numFmtId="0" fontId="7" fillId="3" borderId="0" xfId="7"/>
    <xf numFmtId="0" fontId="6" fillId="2" borderId="0" xfId="6"/>
    <xf numFmtId="0" fontId="16" fillId="0" borderId="12" xfId="0" applyFont="1" applyBorder="1"/>
    <xf numFmtId="0" fontId="0" fillId="0" borderId="0" xfId="0" applyFill="1"/>
    <xf numFmtId="0" fontId="6" fillId="0" borderId="0" xfId="6" applyFill="1"/>
    <xf numFmtId="43" fontId="0" fillId="0" borderId="0" xfId="51" applyFont="1"/>
    <xf numFmtId="44" fontId="0" fillId="0" borderId="0" xfId="52" applyFont="1"/>
    <xf numFmtId="14" fontId="0" fillId="0" borderId="0" xfId="0" applyNumberFormat="1" applyFill="1"/>
    <xf numFmtId="43" fontId="0" fillId="0" borderId="0" xfId="51" applyFont="1" applyFill="1"/>
    <xf numFmtId="0" fontId="18" fillId="0" borderId="0" xfId="0" applyFont="1" applyAlignment="1">
      <alignment horizontal="center"/>
    </xf>
    <xf numFmtId="14" fontId="0" fillId="0" borderId="0" xfId="0" applyNumberFormat="1" applyFont="1"/>
    <xf numFmtId="0" fontId="6" fillId="2" borderId="0" xfId="6" applyAlignment="1">
      <alignment horizontal="right"/>
    </xf>
    <xf numFmtId="44" fontId="0" fillId="0" borderId="0" xfId="52" applyFont="1" applyAlignment="1">
      <alignment horizontal="left"/>
    </xf>
    <xf numFmtId="0" fontId="0" fillId="0" borderId="0" xfId="0" applyAlignment="1">
      <alignment horizontal="right"/>
    </xf>
    <xf numFmtId="0" fontId="0" fillId="0" borderId="10" xfId="0" applyBorder="1" applyAlignment="1">
      <alignment horizontal="right"/>
    </xf>
    <xf numFmtId="44" fontId="0" fillId="0" borderId="0" xfId="52" applyFont="1" applyAlignment="1">
      <alignment horizontal="center"/>
    </xf>
    <xf numFmtId="0" fontId="0" fillId="0" borderId="0" xfId="0" applyNumberFormat="1" applyAlignment="1">
      <alignment horizontal="left"/>
    </xf>
    <xf numFmtId="0" fontId="0" fillId="0" borderId="0" xfId="52" applyNumberFormat="1" applyFont="1" applyAlignment="1">
      <alignment horizontal="left"/>
    </xf>
    <xf numFmtId="0" fontId="16" fillId="0" borderId="13" xfId="0" applyFont="1" applyBorder="1"/>
    <xf numFmtId="44" fontId="16" fillId="0" borderId="13" xfId="0" applyNumberFormat="1" applyFont="1" applyBorder="1"/>
  </cellXfs>
  <cellStyles count="5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51" builtinId="3"/>
    <cellStyle name="Currency" xfId="52" builtinId="4"/>
    <cellStyle name="Currency 2" xfId="49"/>
    <cellStyle name="Currency 2 2" xfId="44"/>
    <cellStyle name="Currency 3" xfId="47"/>
    <cellStyle name="Currency 4" xfId="48"/>
    <cellStyle name="Currency 5" xfId="46"/>
    <cellStyle name="Currency 6" xfId="45"/>
    <cellStyle name="Currency 7" xfId="50"/>
    <cellStyle name="Currency 8" xfId="43"/>
    <cellStyle name="Currency 9" xfId="42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opLeftCell="A5" workbookViewId="0">
      <selection sqref="A1:F58"/>
    </sheetView>
  </sheetViews>
  <sheetFormatPr defaultRowHeight="15" x14ac:dyDescent="0.25"/>
  <cols>
    <col min="1" max="1" width="19" customWidth="1"/>
    <col min="2" max="2" width="74.140625" bestFit="1" customWidth="1"/>
    <col min="3" max="3" width="14.7109375" customWidth="1"/>
    <col min="4" max="4" width="18" customWidth="1"/>
    <col min="5" max="5" width="44.42578125" bestFit="1" customWidth="1"/>
  </cols>
  <sheetData>
    <row r="1" spans="1:6" ht="28.5" x14ac:dyDescent="0.45">
      <c r="A1" s="59" t="s">
        <v>62</v>
      </c>
      <c r="B1" s="59"/>
      <c r="C1" s="59"/>
      <c r="D1" s="59"/>
      <c r="E1" s="59"/>
      <c r="F1" s="59"/>
    </row>
    <row r="3" spans="1:6" x14ac:dyDescent="0.25">
      <c r="B3" s="10" t="s">
        <v>0</v>
      </c>
      <c r="C3" s="11">
        <v>60002.28</v>
      </c>
    </row>
    <row r="4" spans="1:6" x14ac:dyDescent="0.25">
      <c r="B4" s="10" t="s">
        <v>1</v>
      </c>
      <c r="C4" s="12">
        <v>547185.74</v>
      </c>
    </row>
    <row r="5" spans="1:6" x14ac:dyDescent="0.25">
      <c r="B5" s="10" t="s">
        <v>2</v>
      </c>
      <c r="C5" s="12">
        <v>560314.29</v>
      </c>
    </row>
    <row r="6" spans="1:6" x14ac:dyDescent="0.25">
      <c r="B6" s="13" t="s">
        <v>3</v>
      </c>
      <c r="C6" s="14">
        <f>'Still in Account'!C16</f>
        <v>46791.05</v>
      </c>
    </row>
    <row r="7" spans="1:6" x14ac:dyDescent="0.25">
      <c r="B7" s="10" t="s">
        <v>4</v>
      </c>
      <c r="C7" s="15">
        <v>82.68</v>
      </c>
    </row>
    <row r="8" spans="1:6" x14ac:dyDescent="0.25">
      <c r="B8" s="16" t="s">
        <v>5</v>
      </c>
      <c r="C8" s="17">
        <f>C3+C4-C5-C6-C7</f>
        <v>-2.1543655748246238E-11</v>
      </c>
    </row>
    <row r="10" spans="1:6" x14ac:dyDescent="0.25">
      <c r="A10" s="18" t="s">
        <v>6</v>
      </c>
      <c r="B10" s="18" t="s">
        <v>7</v>
      </c>
      <c r="C10" s="19" t="s">
        <v>8</v>
      </c>
      <c r="D10" s="19" t="s">
        <v>9</v>
      </c>
    </row>
    <row r="11" spans="1:6" x14ac:dyDescent="0.25">
      <c r="A11" s="49">
        <v>44568</v>
      </c>
      <c r="B11" s="48" t="str">
        <f>"ATO007000015667358 ATO TONELLATO PTY LT INTER-BANK CREDIT"</f>
        <v>ATO007000015667358 ATO TONELLATO PTY LT INTER-BANK CREDIT</v>
      </c>
      <c r="C11" s="55"/>
      <c r="D11" s="55">
        <v>1340.11</v>
      </c>
      <c r="E11" s="50" t="s">
        <v>64</v>
      </c>
    </row>
    <row r="12" spans="1:6" x14ac:dyDescent="0.25">
      <c r="A12" s="49">
        <v>44571</v>
      </c>
      <c r="B12" s="48" t="str">
        <f>"ATO005000015782685 ATO TONELLATO PTY LT INTER-BANK CREDIT"</f>
        <v>ATO005000015782685 ATO TONELLATO PTY LT INTER-BANK CREDIT</v>
      </c>
      <c r="C12" s="55"/>
      <c r="D12" s="55">
        <v>60485.43</v>
      </c>
      <c r="E12" s="51" t="s">
        <v>65</v>
      </c>
    </row>
    <row r="13" spans="1:6" x14ac:dyDescent="0.25">
      <c r="A13" s="49">
        <v>44574</v>
      </c>
      <c r="B13" s="48" t="str">
        <f>"Internet Transfer PYMT-ID 197951360 Multipayment TRANSFER DEBIT"</f>
        <v>Internet Transfer PYMT-ID 197951360 Multipayment TRANSFER DEBIT</v>
      </c>
      <c r="C13" s="55">
        <v>-33632.400000000001</v>
      </c>
      <c r="D13" s="55"/>
    </row>
    <row r="14" spans="1:6" x14ac:dyDescent="0.25">
      <c r="A14" s="49">
        <v>44574</v>
      </c>
      <c r="B14" s="48" t="str">
        <f>"Internet Transfer PYMT-ID 197951607 FFR TRANSFER DEBIT"</f>
        <v>Internet Transfer PYMT-ID 197951607 FFR TRANSFER DEBIT</v>
      </c>
      <c r="C14" s="55">
        <v>-1232</v>
      </c>
      <c r="D14" s="55"/>
    </row>
    <row r="15" spans="1:6" x14ac:dyDescent="0.25">
      <c r="A15" s="49">
        <v>44574</v>
      </c>
      <c r="B15" s="48" t="str">
        <f>"ATO005000015788141 ATO TONELLATO PTY LT INTER-BANK CREDIT"</f>
        <v>ATO005000015788141 ATO TONELLATO PTY LT INTER-BANK CREDIT</v>
      </c>
      <c r="C15" s="55"/>
      <c r="D15" s="55">
        <v>1559.7</v>
      </c>
      <c r="E15" s="51" t="s">
        <v>66</v>
      </c>
    </row>
    <row r="16" spans="1:6" x14ac:dyDescent="0.25">
      <c r="A16" s="49">
        <v>44574</v>
      </c>
      <c r="B16" s="48" t="str">
        <f>"ATO007000015691065 ATO TONELLATO PTY LT INTER-BANK CREDIT"</f>
        <v>ATO007000015691065 ATO TONELLATO PTY LT INTER-BANK CREDIT</v>
      </c>
      <c r="C16" s="55"/>
      <c r="D16" s="55">
        <v>5846.73</v>
      </c>
      <c r="E16" s="51" t="s">
        <v>67</v>
      </c>
    </row>
    <row r="17" spans="1:5" x14ac:dyDescent="0.25">
      <c r="A17" s="49">
        <v>44575</v>
      </c>
      <c r="B17" s="48" t="str">
        <f>"ATO001000016339847 ATO TONELLATO PTY LT INTER-BANK CREDIT"</f>
        <v>ATO001000016339847 ATO TONELLATO PTY LT INTER-BANK CREDIT</v>
      </c>
      <c r="C17" s="55"/>
      <c r="D17" s="55">
        <v>7840.16</v>
      </c>
      <c r="E17" s="51" t="s">
        <v>68</v>
      </c>
    </row>
    <row r="18" spans="1:5" x14ac:dyDescent="0.25">
      <c r="A18" s="49">
        <v>44575</v>
      </c>
      <c r="B18" s="48" t="str">
        <f>"ATO005000015789422 ATO TONELLATO PTY LT INTER-BANK CREDIT"</f>
        <v>ATO005000015789422 ATO TONELLATO PTY LT INTER-BANK CREDIT</v>
      </c>
      <c r="C18" s="55"/>
      <c r="D18" s="55">
        <v>380554.08</v>
      </c>
      <c r="E18" s="51" t="s">
        <v>69</v>
      </c>
    </row>
    <row r="19" spans="1:5" x14ac:dyDescent="0.25">
      <c r="A19" s="49">
        <v>44578</v>
      </c>
      <c r="B19" s="48" t="str">
        <f>"ATO003000016025408 ATO TONELLATO PTY LT INTER-BANK CREDIT"</f>
        <v>ATO003000016025408 ATO TONELLATO PTY LT INTER-BANK CREDIT</v>
      </c>
      <c r="C19" s="55"/>
      <c r="D19" s="55">
        <v>290</v>
      </c>
      <c r="E19" s="51" t="s">
        <v>70</v>
      </c>
    </row>
    <row r="20" spans="1:5" x14ac:dyDescent="0.25">
      <c r="A20" s="49">
        <v>44578</v>
      </c>
      <c r="B20" s="48" t="str">
        <f>"ATO004000015704362 ATO TONELLATO PTY LT INTER-BANK CREDIT"</f>
        <v>ATO004000015704362 ATO TONELLATO PTY LT INTER-BANK CREDIT</v>
      </c>
      <c r="C20" s="55"/>
      <c r="D20" s="55">
        <v>2010.77</v>
      </c>
      <c r="E20" s="51" t="s">
        <v>71</v>
      </c>
    </row>
    <row r="21" spans="1:5" x14ac:dyDescent="0.25">
      <c r="A21" s="49">
        <v>44578</v>
      </c>
      <c r="B21" s="48" t="str">
        <f>"ATO007000015696070 ATO TONELLATO PTY LT INTER-BANK CREDIT"</f>
        <v>ATO007000015696070 ATO TONELLATO PTY LT INTER-BANK CREDIT</v>
      </c>
      <c r="C21" s="55"/>
      <c r="D21" s="55">
        <v>2229.34</v>
      </c>
      <c r="E21" s="51" t="s">
        <v>72</v>
      </c>
    </row>
    <row r="22" spans="1:5" x14ac:dyDescent="0.25">
      <c r="A22" s="49">
        <v>44578</v>
      </c>
      <c r="B22" s="48" t="str">
        <f>"ATO003000016025648 ATO TONELLATO PTY LT INTER-BANK CREDIT"</f>
        <v>ATO003000016025648 ATO TONELLATO PTY LT INTER-BANK CREDIT</v>
      </c>
      <c r="C22" s="55"/>
      <c r="D22" s="55">
        <v>4892</v>
      </c>
      <c r="E22" s="51" t="s">
        <v>73</v>
      </c>
    </row>
    <row r="23" spans="1:5" x14ac:dyDescent="0.25">
      <c r="A23" s="49">
        <v>44578</v>
      </c>
      <c r="B23" s="48" t="str">
        <f>"ATO001100015525389 ATO TONELLATO PTY LT INTER-BANK CREDIT"</f>
        <v>ATO001100015525389 ATO TONELLATO PTY LT INTER-BANK CREDIT</v>
      </c>
      <c r="C23" s="55"/>
      <c r="D23" s="55">
        <v>5318.37</v>
      </c>
      <c r="E23" s="51" t="s">
        <v>74</v>
      </c>
    </row>
    <row r="24" spans="1:5" x14ac:dyDescent="0.25">
      <c r="A24" s="49">
        <v>44579</v>
      </c>
      <c r="B24" s="48" t="str">
        <f>"ATO003000016027001 ATO TONELLATO PTY LT INTER-BANK CREDIT"</f>
        <v>ATO003000016027001 ATO TONELLATO PTY LT INTER-BANK CREDIT</v>
      </c>
      <c r="C24" s="55"/>
      <c r="D24" s="55">
        <v>1065.99</v>
      </c>
      <c r="E24" s="51" t="s">
        <v>75</v>
      </c>
    </row>
    <row r="25" spans="1:5" x14ac:dyDescent="0.25">
      <c r="A25" s="49">
        <v>44579</v>
      </c>
      <c r="B25" s="48" t="str">
        <f>"ATO002000016157184 ATO TONELLATO PTY LT INTER-BANK CREDIT"</f>
        <v>ATO002000016157184 ATO TONELLATO PTY LT INTER-BANK CREDIT</v>
      </c>
      <c r="C25" s="55"/>
      <c r="D25" s="55">
        <v>12306.88</v>
      </c>
      <c r="E25" s="51" t="s">
        <v>76</v>
      </c>
    </row>
    <row r="26" spans="1:5" x14ac:dyDescent="0.25">
      <c r="A26" s="49">
        <v>44581</v>
      </c>
      <c r="B26" s="48" t="str">
        <f>"Internet Transfer PYMT-ID 198327991 Multipayment TRANSFER DEBIT"</f>
        <v>Internet Transfer PYMT-ID 198327991 Multipayment TRANSFER DEBIT</v>
      </c>
      <c r="C26" s="55">
        <v>-485146.26</v>
      </c>
      <c r="D26" s="55"/>
    </row>
    <row r="27" spans="1:5" x14ac:dyDescent="0.25">
      <c r="A27" s="49">
        <v>44581</v>
      </c>
      <c r="B27" s="48" t="str">
        <f>"ATO001100015535115 ATO TONELLATO PTY LT INTER-BANK CREDIT"</f>
        <v>ATO001100015535115 ATO TONELLATO PTY LT INTER-BANK CREDIT</v>
      </c>
      <c r="C27" s="55"/>
      <c r="D27" s="55">
        <v>1084</v>
      </c>
      <c r="E27" s="51" t="s">
        <v>77</v>
      </c>
    </row>
    <row r="28" spans="1:5" x14ac:dyDescent="0.25">
      <c r="A28" s="49">
        <v>44581</v>
      </c>
      <c r="B28" s="48" t="str">
        <f>"ATO003000016033286 ATO TONELLATO PTY LT INTER-BANK CREDIT"</f>
        <v>ATO003000016033286 ATO TONELLATO PTY LT INTER-BANK CREDIT</v>
      </c>
      <c r="C28" s="55"/>
      <c r="D28" s="55">
        <v>1123.3900000000001</v>
      </c>
      <c r="E28" s="51" t="s">
        <v>78</v>
      </c>
    </row>
    <row r="29" spans="1:5" x14ac:dyDescent="0.25">
      <c r="A29" s="49">
        <v>44581</v>
      </c>
      <c r="B29" s="48" t="str">
        <f>"ATO007000015706123 ATO TONELLATO PTY LT INTER-BANK CREDIT"</f>
        <v>ATO007000015706123 ATO TONELLATO PTY LT INTER-BANK CREDIT</v>
      </c>
      <c r="C29" s="55"/>
      <c r="D29" s="55">
        <v>1255.28</v>
      </c>
      <c r="E29" s="51" t="s">
        <v>79</v>
      </c>
    </row>
    <row r="30" spans="1:5" x14ac:dyDescent="0.25">
      <c r="A30" s="49">
        <v>44581</v>
      </c>
      <c r="B30" s="48" t="str">
        <f>"ATO001000016352328 ATO TONELLATO PTY LT INTER-BANK CREDIT"</f>
        <v>ATO001000016352328 ATO TONELLATO PTY LT INTER-BANK CREDIT</v>
      </c>
      <c r="C30" s="55"/>
      <c r="D30" s="55">
        <v>2459</v>
      </c>
      <c r="E30" s="50" t="s">
        <v>23</v>
      </c>
    </row>
    <row r="31" spans="1:5" x14ac:dyDescent="0.25">
      <c r="A31" s="49">
        <v>44582</v>
      </c>
      <c r="B31" s="48" t="str">
        <f>"Internet Transfer PYMT-ID 198376907 FFR TRANSFER DEBIT"</f>
        <v>Internet Transfer PYMT-ID 198376907 FFR TRANSFER DEBIT</v>
      </c>
      <c r="C31" s="55">
        <v>-2358</v>
      </c>
      <c r="D31" s="55"/>
    </row>
    <row r="32" spans="1:5" x14ac:dyDescent="0.25">
      <c r="A32" s="49">
        <v>44582</v>
      </c>
      <c r="B32" s="48" t="str">
        <f>"ATO008000016049733 ATO TONELLATO PTY LT INTER-BANK CREDIT"</f>
        <v>ATO008000016049733 ATO TONELLATO PTY LT INTER-BANK CREDIT</v>
      </c>
      <c r="C32" s="55"/>
      <c r="D32" s="55">
        <v>2403.02</v>
      </c>
      <c r="E32" s="51" t="s">
        <v>80</v>
      </c>
    </row>
    <row r="33" spans="1:5" x14ac:dyDescent="0.25">
      <c r="A33" s="49">
        <v>44582</v>
      </c>
      <c r="B33" s="48" t="str">
        <f>"ATO001100015537233 ATO TONELLATO PTY LT INTER-BANK CREDIT"</f>
        <v>ATO001100015537233 ATO TONELLATO PTY LT INTER-BANK CREDIT</v>
      </c>
      <c r="C33" s="55"/>
      <c r="D33" s="55">
        <v>3081.23</v>
      </c>
      <c r="E33" s="51" t="s">
        <v>81</v>
      </c>
    </row>
    <row r="34" spans="1:5" x14ac:dyDescent="0.25">
      <c r="A34" s="49">
        <v>44582</v>
      </c>
      <c r="B34" s="48" t="str">
        <f>"ATO008000016047899 ATO TONELLATO PTY LT INTER-BANK CREDIT"</f>
        <v>ATO008000016047899 ATO TONELLATO PTY LT INTER-BANK CREDIT</v>
      </c>
      <c r="C34" s="55"/>
      <c r="D34" s="55">
        <v>22468.53</v>
      </c>
      <c r="E34" s="51" t="s">
        <v>82</v>
      </c>
    </row>
    <row r="35" spans="1:5" x14ac:dyDescent="0.25">
      <c r="A35" s="49">
        <v>44585</v>
      </c>
      <c r="B35" s="48" t="str">
        <f>"Internet Transfer PYMT-ID 198595682 Multipayment TRANSFER DEBIT"</f>
        <v>Internet Transfer PYMT-ID 198595682 Multipayment TRANSFER DEBIT</v>
      </c>
      <c r="C35" s="55">
        <v>-35481.629999999997</v>
      </c>
      <c r="D35" s="55"/>
    </row>
    <row r="36" spans="1:5" x14ac:dyDescent="0.25">
      <c r="A36" s="49">
        <v>44585</v>
      </c>
      <c r="B36" s="48" t="str">
        <f>"Internet Transfer PYMT-ID 198595742 FFR TRANSFER DEBIT"</f>
        <v>Internet Transfer PYMT-ID 198595742 FFR TRANSFER DEBIT</v>
      </c>
      <c r="C36" s="55">
        <v>-2464</v>
      </c>
      <c r="D36" s="55"/>
    </row>
    <row r="37" spans="1:5" x14ac:dyDescent="0.25">
      <c r="A37" s="49">
        <v>44585</v>
      </c>
      <c r="B37" s="48" t="str">
        <f>"ATO005000015807704 ATO TONELLATO PTY LT INTER-BANK CREDIT"</f>
        <v>ATO005000015807704 ATO TONELLATO PTY LT INTER-BANK CREDIT</v>
      </c>
      <c r="C37" s="55"/>
      <c r="D37" s="55">
        <v>3208.33</v>
      </c>
      <c r="E37" s="51" t="s">
        <v>83</v>
      </c>
    </row>
    <row r="38" spans="1:5" x14ac:dyDescent="0.25">
      <c r="A38" s="49">
        <v>44585</v>
      </c>
      <c r="B38" s="48" t="str">
        <f>"ATO007000015709610 ATO TONELLATO PTY LT INTER-BANK CREDIT"</f>
        <v>ATO007000015709610 ATO TONELLATO PTY LT INTER-BANK CREDIT</v>
      </c>
      <c r="C38" s="55"/>
      <c r="D38" s="55">
        <v>3321.85</v>
      </c>
      <c r="E38" s="51" t="s">
        <v>84</v>
      </c>
    </row>
    <row r="39" spans="1:5" x14ac:dyDescent="0.25">
      <c r="A39" s="49">
        <v>44586</v>
      </c>
      <c r="B39" s="48" t="str">
        <f>"2021 Tax Refund Francesca McCormack 610101INCORRECT ACCT REVERSAL CREDIT"</f>
        <v>2021 Tax Refund Francesca McCormack 610101INCORRECT ACCT REVERSAL CREDIT</v>
      </c>
      <c r="C39" s="55"/>
      <c r="D39" s="55">
        <v>2403.02</v>
      </c>
      <c r="E39" s="50" t="s">
        <v>89</v>
      </c>
    </row>
    <row r="40" spans="1:5" x14ac:dyDescent="0.25">
      <c r="A40" s="49">
        <v>44586</v>
      </c>
      <c r="B40" s="48" t="str">
        <f>"2021 Tax Refund B &amp; L McCormick 015660INCORRECT ACCT REVERSAL CREDIT"</f>
        <v>2021 Tax Refund B &amp; L McCormick 015660INCORRECT ACCT REVERSAL CREDIT</v>
      </c>
      <c r="C40" s="55"/>
      <c r="D40" s="55">
        <v>2705.85</v>
      </c>
      <c r="E40" s="50" t="s">
        <v>90</v>
      </c>
    </row>
    <row r="41" spans="1:5" x14ac:dyDescent="0.25">
      <c r="A41" s="49">
        <v>44588</v>
      </c>
      <c r="B41" s="48" t="str">
        <f>"ATO008000016058784 ATO TONELLATO PTY LT INTER-BANK CREDIT"</f>
        <v>ATO008000016058784 ATO TONELLATO PTY LT INTER-BANK CREDIT</v>
      </c>
      <c r="C41" s="55"/>
      <c r="D41" s="55">
        <v>1531.17</v>
      </c>
      <c r="E41" s="50" t="s">
        <v>52</v>
      </c>
    </row>
    <row r="42" spans="1:5" x14ac:dyDescent="0.25">
      <c r="A42" s="49">
        <v>44588</v>
      </c>
      <c r="B42" s="48" t="str">
        <f>"ATO006000015929033 ATO TONELLATO PTY LT INTER-BANK CREDIT"</f>
        <v>ATO006000015929033 ATO TONELLATO PTY LT INTER-BANK CREDIT</v>
      </c>
      <c r="C42" s="55"/>
      <c r="D42" s="55">
        <v>7098.09</v>
      </c>
      <c r="E42" s="50" t="s">
        <v>51</v>
      </c>
    </row>
    <row r="43" spans="1:5" x14ac:dyDescent="0.25">
      <c r="A43" s="49">
        <v>44589</v>
      </c>
      <c r="B43" s="48" t="str">
        <f>"ATO001000016367563 ATO TONELLATO PTY LT INTER-BANK CREDIT"</f>
        <v>ATO001000016367563 ATO TONELLATO PTY LT INTER-BANK CREDIT</v>
      </c>
      <c r="C43" s="55"/>
      <c r="D43" s="55">
        <v>544.75</v>
      </c>
      <c r="E43" s="50" t="s">
        <v>85</v>
      </c>
    </row>
    <row r="44" spans="1:5" x14ac:dyDescent="0.25">
      <c r="A44" s="49">
        <v>44589</v>
      </c>
      <c r="B44" s="48" t="str">
        <f>"ATO006000015931549 ATO TONELLATO PTY LT INTER-BANK CREDIT"</f>
        <v>ATO006000015931549 ATO TONELLATO PTY LT INTER-BANK CREDIT</v>
      </c>
      <c r="C44" s="55"/>
      <c r="D44" s="55">
        <v>1079.0999999999999</v>
      </c>
      <c r="E44" s="50" t="s">
        <v>86</v>
      </c>
    </row>
    <row r="45" spans="1:5" x14ac:dyDescent="0.25">
      <c r="A45" s="49">
        <v>44589</v>
      </c>
      <c r="B45" s="48" t="str">
        <f>"ATO009000015906743 ATO TONELLATO PTY LT INTER-BANK CREDIT"</f>
        <v>ATO009000015906743 ATO TONELLATO PTY LT INTER-BANK CREDIT</v>
      </c>
      <c r="C45" s="55"/>
      <c r="D45" s="55">
        <v>2083.88</v>
      </c>
      <c r="E45" s="50" t="s">
        <v>87</v>
      </c>
    </row>
    <row r="46" spans="1:5" x14ac:dyDescent="0.25">
      <c r="A46" s="49">
        <v>44589</v>
      </c>
      <c r="B46" s="48" t="str">
        <f>"ATO006000015931407 ATO TONELLATO PTY LT INTER-BANK CREDIT"</f>
        <v>ATO006000015931407 ATO TONELLATO PTY LT INTER-BANK CREDIT</v>
      </c>
      <c r="C46" s="55"/>
      <c r="D46" s="55">
        <v>3595.69</v>
      </c>
      <c r="E46" s="50" t="s">
        <v>88</v>
      </c>
    </row>
    <row r="47" spans="1:5" s="48" customFormat="1" x14ac:dyDescent="0.25">
      <c r="A47" s="49"/>
      <c r="C47" s="55"/>
      <c r="D47" s="55"/>
    </row>
    <row r="48" spans="1:5" s="48" customFormat="1" x14ac:dyDescent="0.25">
      <c r="A48" s="49"/>
      <c r="C48" s="55"/>
      <c r="D48" s="55"/>
    </row>
    <row r="49" spans="1:5" s="48" customFormat="1" x14ac:dyDescent="0.25">
      <c r="A49" s="49"/>
      <c r="C49" s="55"/>
      <c r="D49" s="55"/>
    </row>
    <row r="50" spans="1:5" s="48" customFormat="1" ht="15.75" thickBot="1" x14ac:dyDescent="0.3">
      <c r="A50" s="49"/>
      <c r="B50" s="52" t="s">
        <v>63</v>
      </c>
      <c r="C50" s="55"/>
      <c r="D50" s="55"/>
    </row>
    <row r="51" spans="1:5" s="48" customFormat="1" x14ac:dyDescent="0.25">
      <c r="A51" s="57"/>
      <c r="B51" s="53"/>
      <c r="C51" s="58"/>
      <c r="D51" s="58"/>
      <c r="E51" s="54"/>
    </row>
    <row r="52" spans="1:5" x14ac:dyDescent="0.25">
      <c r="B52" s="18"/>
    </row>
    <row r="53" spans="1:5" x14ac:dyDescent="0.25">
      <c r="B53" s="18"/>
    </row>
    <row r="54" spans="1:5" ht="15.75" thickBot="1" x14ac:dyDescent="0.3">
      <c r="B54" s="52" t="s">
        <v>48</v>
      </c>
    </row>
    <row r="55" spans="1:5" x14ac:dyDescent="0.25">
      <c r="B55" s="18"/>
    </row>
    <row r="56" spans="1:5" x14ac:dyDescent="0.25">
      <c r="B56" s="18"/>
    </row>
    <row r="57" spans="1:5" x14ac:dyDescent="0.25">
      <c r="B57" s="18"/>
    </row>
    <row r="58" spans="1:5" ht="15.75" thickBot="1" x14ac:dyDescent="0.3">
      <c r="B58" s="52" t="s">
        <v>49</v>
      </c>
    </row>
    <row r="59" spans="1:5" x14ac:dyDescent="0.25">
      <c r="B59" s="48"/>
    </row>
  </sheetData>
  <sortState ref="A11:D46">
    <sortCondition ref="A11:A46"/>
  </sortState>
  <mergeCells count="1">
    <mergeCell ref="A1:F1"/>
  </mergeCells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workbookViewId="0">
      <selection sqref="A1:G36"/>
    </sheetView>
  </sheetViews>
  <sheetFormatPr defaultRowHeight="15" x14ac:dyDescent="0.25"/>
  <cols>
    <col min="1" max="1" width="10.7109375" bestFit="1" customWidth="1"/>
    <col min="2" max="2" width="55.140625" bestFit="1" customWidth="1"/>
    <col min="3" max="3" width="15.7109375" bestFit="1" customWidth="1"/>
    <col min="5" max="5" width="12.85546875" bestFit="1" customWidth="1"/>
    <col min="7" max="7" width="17.28515625" bestFit="1" customWidth="1"/>
  </cols>
  <sheetData>
    <row r="1" spans="1:7" ht="28.5" x14ac:dyDescent="0.45">
      <c r="A1" s="59" t="s">
        <v>10</v>
      </c>
      <c r="B1" s="59"/>
      <c r="C1" s="59"/>
      <c r="D1" s="59"/>
      <c r="E1" s="59"/>
      <c r="F1" s="20"/>
      <c r="G1" s="20"/>
    </row>
    <row r="2" spans="1:7" ht="28.5" x14ac:dyDescent="0.45">
      <c r="A2" s="26"/>
      <c r="B2" s="26"/>
      <c r="C2" s="26"/>
      <c r="D2" s="26"/>
      <c r="E2" s="26"/>
      <c r="F2" s="20"/>
      <c r="G2" s="20"/>
    </row>
    <row r="3" spans="1:7" x14ac:dyDescent="0.25">
      <c r="A3" s="23" t="s">
        <v>6</v>
      </c>
      <c r="B3" s="23" t="s">
        <v>11</v>
      </c>
      <c r="C3" s="23" t="s">
        <v>12</v>
      </c>
      <c r="D3" s="27"/>
      <c r="E3" s="23" t="s">
        <v>13</v>
      </c>
      <c r="F3" s="27"/>
      <c r="G3" s="23" t="s">
        <v>14</v>
      </c>
    </row>
    <row r="5" spans="1:7" x14ac:dyDescent="0.25">
      <c r="A5" s="28">
        <v>43655</v>
      </c>
      <c r="B5" s="24" t="s">
        <v>15</v>
      </c>
      <c r="C5" s="24">
        <v>19</v>
      </c>
      <c r="D5" s="24"/>
      <c r="E5" s="29">
        <v>194</v>
      </c>
      <c r="F5" s="24"/>
      <c r="G5" s="28">
        <v>43668</v>
      </c>
    </row>
    <row r="6" spans="1:7" x14ac:dyDescent="0.25">
      <c r="A6" s="30">
        <v>43655</v>
      </c>
      <c r="B6" s="31" t="s">
        <v>16</v>
      </c>
      <c r="C6" s="31">
        <v>20</v>
      </c>
      <c r="D6" s="31"/>
      <c r="E6" s="32">
        <v>1.54</v>
      </c>
      <c r="F6" s="33"/>
      <c r="G6" s="30">
        <v>44334</v>
      </c>
    </row>
    <row r="7" spans="1:7" x14ac:dyDescent="0.25">
      <c r="A7" s="24"/>
      <c r="B7" s="24"/>
      <c r="C7" s="24"/>
      <c r="D7" s="24"/>
      <c r="E7" s="24"/>
      <c r="F7" s="24"/>
      <c r="G7" s="24"/>
    </row>
    <row r="8" spans="1:7" x14ac:dyDescent="0.25">
      <c r="A8" s="28">
        <v>43756</v>
      </c>
      <c r="B8" s="34" t="s">
        <v>17</v>
      </c>
      <c r="C8" s="21">
        <v>21</v>
      </c>
      <c r="D8" s="24"/>
      <c r="E8" s="35">
        <v>2371.65</v>
      </c>
      <c r="F8" s="24"/>
      <c r="G8" s="28">
        <v>43763</v>
      </c>
    </row>
    <row r="9" spans="1:7" x14ac:dyDescent="0.25">
      <c r="A9" s="28">
        <v>43756</v>
      </c>
      <c r="B9" s="34" t="s">
        <v>18</v>
      </c>
      <c r="C9" s="36">
        <v>22</v>
      </c>
      <c r="D9" s="24"/>
      <c r="E9" s="35">
        <v>2371.65</v>
      </c>
      <c r="F9" s="24"/>
      <c r="G9" s="28">
        <v>43763</v>
      </c>
    </row>
    <row r="10" spans="1:7" x14ac:dyDescent="0.25">
      <c r="A10" s="24"/>
      <c r="B10" s="24"/>
      <c r="C10" s="24"/>
      <c r="D10" s="24"/>
      <c r="E10" s="24"/>
      <c r="F10" s="24"/>
      <c r="G10" s="24"/>
    </row>
    <row r="11" spans="1:7" x14ac:dyDescent="0.25">
      <c r="A11" s="37">
        <v>43768</v>
      </c>
      <c r="B11" s="34" t="s">
        <v>19</v>
      </c>
      <c r="C11" s="38">
        <v>23</v>
      </c>
      <c r="D11" s="38"/>
      <c r="E11" s="39">
        <v>69</v>
      </c>
      <c r="F11" s="40"/>
      <c r="G11" s="37">
        <v>43776</v>
      </c>
    </row>
    <row r="12" spans="1:7" x14ac:dyDescent="0.25">
      <c r="A12" s="24"/>
      <c r="B12" s="24"/>
      <c r="C12" s="24"/>
      <c r="D12" s="24"/>
      <c r="E12" s="24"/>
      <c r="F12" s="24"/>
      <c r="G12" s="24"/>
    </row>
    <row r="13" spans="1:7" x14ac:dyDescent="0.25">
      <c r="A13" s="30">
        <v>43875</v>
      </c>
      <c r="B13" s="34" t="s">
        <v>20</v>
      </c>
      <c r="C13" s="31">
        <v>29</v>
      </c>
      <c r="D13" s="31"/>
      <c r="E13" s="32">
        <v>5179.79</v>
      </c>
      <c r="F13" s="31"/>
      <c r="G13" s="31" t="s">
        <v>21</v>
      </c>
    </row>
    <row r="14" spans="1:7" x14ac:dyDescent="0.25">
      <c r="A14" s="28"/>
      <c r="B14" s="34"/>
      <c r="C14" s="24"/>
      <c r="D14" s="24"/>
      <c r="E14" s="29"/>
      <c r="F14" s="24"/>
      <c r="G14" s="24"/>
    </row>
    <row r="15" spans="1:7" x14ac:dyDescent="0.25">
      <c r="A15" s="30">
        <v>43886</v>
      </c>
      <c r="B15" s="31" t="s">
        <v>22</v>
      </c>
      <c r="C15" s="31">
        <v>30</v>
      </c>
      <c r="D15" s="31"/>
      <c r="E15" s="32">
        <v>10803.25</v>
      </c>
      <c r="F15" s="31"/>
      <c r="G15" s="30">
        <v>43895</v>
      </c>
    </row>
    <row r="16" spans="1:7" x14ac:dyDescent="0.25">
      <c r="A16" s="24"/>
      <c r="B16" s="24"/>
      <c r="C16" s="24"/>
      <c r="D16" s="24"/>
      <c r="E16" s="24"/>
      <c r="F16" s="24"/>
      <c r="G16" s="24"/>
    </row>
    <row r="17" spans="1:7" x14ac:dyDescent="0.25">
      <c r="A17" s="30">
        <v>43888</v>
      </c>
      <c r="B17" s="31" t="s">
        <v>23</v>
      </c>
      <c r="C17" s="31">
        <v>31</v>
      </c>
      <c r="D17" s="31"/>
      <c r="E17" s="32">
        <v>2470</v>
      </c>
      <c r="F17" s="31"/>
      <c r="G17" s="30">
        <v>43893</v>
      </c>
    </row>
    <row r="18" spans="1:7" x14ac:dyDescent="0.25">
      <c r="A18" s="24"/>
      <c r="B18" s="24"/>
      <c r="C18" s="24"/>
      <c r="D18" s="24"/>
      <c r="E18" s="24"/>
      <c r="F18" s="24"/>
      <c r="G18" s="24"/>
    </row>
    <row r="19" spans="1:7" x14ac:dyDescent="0.25">
      <c r="A19" s="28">
        <v>43915</v>
      </c>
      <c r="B19" s="41" t="s">
        <v>24</v>
      </c>
      <c r="C19" s="24">
        <v>32</v>
      </c>
      <c r="D19" s="24"/>
      <c r="E19" s="42">
        <v>57</v>
      </c>
      <c r="F19" s="24"/>
      <c r="G19" s="28">
        <v>43921</v>
      </c>
    </row>
    <row r="20" spans="1:7" x14ac:dyDescent="0.25">
      <c r="A20" s="28">
        <v>43915</v>
      </c>
      <c r="B20" s="41" t="s">
        <v>25</v>
      </c>
      <c r="C20" s="24">
        <v>33</v>
      </c>
      <c r="D20" s="24"/>
      <c r="E20" s="42">
        <v>2741.12</v>
      </c>
      <c r="F20" s="24"/>
      <c r="G20" s="28">
        <v>43921</v>
      </c>
    </row>
    <row r="21" spans="1:7" x14ac:dyDescent="0.25">
      <c r="A21" s="24"/>
      <c r="B21" s="24"/>
      <c r="C21" s="24"/>
      <c r="D21" s="24"/>
      <c r="E21" s="24"/>
      <c r="F21" s="24"/>
      <c r="G21" s="24"/>
    </row>
    <row r="22" spans="1:7" x14ac:dyDescent="0.25">
      <c r="A22" s="28">
        <v>44020</v>
      </c>
      <c r="B22" s="41" t="s">
        <v>15</v>
      </c>
      <c r="C22" s="24">
        <v>34</v>
      </c>
      <c r="D22" s="24"/>
      <c r="E22" s="29">
        <v>536.82000000000005</v>
      </c>
      <c r="F22" s="24"/>
      <c r="G22" s="30">
        <v>44034</v>
      </c>
    </row>
    <row r="23" spans="1:7" x14ac:dyDescent="0.25">
      <c r="A23" s="28">
        <v>44020</v>
      </c>
      <c r="B23" s="41" t="s">
        <v>26</v>
      </c>
      <c r="C23" s="24">
        <v>35</v>
      </c>
      <c r="D23" s="24"/>
      <c r="E23" s="29">
        <v>8.33</v>
      </c>
      <c r="F23" s="24"/>
      <c r="G23" s="30">
        <v>44034</v>
      </c>
    </row>
    <row r="24" spans="1:7" x14ac:dyDescent="0.25">
      <c r="A24" s="28">
        <v>44020</v>
      </c>
      <c r="B24" s="41" t="s">
        <v>27</v>
      </c>
      <c r="C24" s="24">
        <v>36</v>
      </c>
      <c r="D24" s="24"/>
      <c r="E24" s="29">
        <v>2832.16</v>
      </c>
      <c r="F24" s="24"/>
      <c r="G24" s="28">
        <v>44027</v>
      </c>
    </row>
    <row r="26" spans="1:7" x14ac:dyDescent="0.25">
      <c r="A26" s="30">
        <v>44105</v>
      </c>
      <c r="B26" s="43" t="s">
        <v>28</v>
      </c>
      <c r="C26" s="31">
        <v>37</v>
      </c>
      <c r="D26" s="43"/>
      <c r="E26" s="44">
        <v>54934.94</v>
      </c>
      <c r="F26" s="43"/>
      <c r="G26" s="30">
        <v>44106</v>
      </c>
    </row>
    <row r="28" spans="1:7" x14ac:dyDescent="0.25">
      <c r="A28" s="28">
        <v>44147</v>
      </c>
      <c r="B28" s="20" t="s">
        <v>29</v>
      </c>
      <c r="C28" s="24">
        <v>38</v>
      </c>
      <c r="D28" s="20"/>
      <c r="E28" s="22">
        <v>853.31</v>
      </c>
      <c r="F28" s="20"/>
      <c r="G28" s="28">
        <v>44147</v>
      </c>
    </row>
    <row r="30" spans="1:7" x14ac:dyDescent="0.25">
      <c r="A30" s="45">
        <v>43841</v>
      </c>
      <c r="B30" s="43" t="s">
        <v>30</v>
      </c>
      <c r="C30" s="31">
        <v>39</v>
      </c>
      <c r="D30" s="43"/>
      <c r="E30" s="44">
        <v>454</v>
      </c>
      <c r="F30" s="43"/>
      <c r="G30" s="30">
        <v>44218</v>
      </c>
    </row>
    <row r="32" spans="1:7" x14ac:dyDescent="0.25">
      <c r="A32" s="46">
        <v>44277</v>
      </c>
      <c r="B32" s="47" t="s">
        <v>31</v>
      </c>
      <c r="C32" s="33">
        <v>41</v>
      </c>
      <c r="D32" s="47"/>
      <c r="E32" s="25">
        <v>82.68</v>
      </c>
      <c r="F32" s="20"/>
      <c r="G32" s="33" t="s">
        <v>32</v>
      </c>
    </row>
    <row r="34" spans="1:7" x14ac:dyDescent="0.25">
      <c r="A34" s="45">
        <v>44302</v>
      </c>
      <c r="B34" s="43" t="s">
        <v>33</v>
      </c>
      <c r="C34" s="31">
        <v>42</v>
      </c>
      <c r="D34" s="43"/>
      <c r="E34" s="44">
        <v>365.25</v>
      </c>
      <c r="F34" s="43"/>
      <c r="G34" s="30">
        <v>44319</v>
      </c>
    </row>
  </sheetData>
  <mergeCells count="1">
    <mergeCell ref="A1:E1"/>
  </mergeCell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workbookViewId="0">
      <selection activeCell="F29" sqref="F29"/>
    </sheetView>
  </sheetViews>
  <sheetFormatPr defaultRowHeight="15" x14ac:dyDescent="0.25"/>
  <cols>
    <col min="1" max="1" width="12.5703125" bestFit="1" customWidth="1"/>
    <col min="3" max="3" width="30.7109375" bestFit="1" customWidth="1"/>
    <col min="4" max="4" width="11.5703125" bestFit="1" customWidth="1"/>
    <col min="6" max="6" width="13.140625" bestFit="1" customWidth="1"/>
    <col min="7" max="7" width="11.85546875" bestFit="1" customWidth="1"/>
    <col min="8" max="10" width="10.5703125" bestFit="1" customWidth="1"/>
    <col min="12" max="12" width="12.85546875" bestFit="1" customWidth="1"/>
    <col min="14" max="14" width="11.5703125" bestFit="1" customWidth="1"/>
  </cols>
  <sheetData>
    <row r="1" spans="1:19" x14ac:dyDescent="0.25">
      <c r="A1" s="18" t="s">
        <v>34</v>
      </c>
      <c r="B1" s="48"/>
      <c r="C1" s="23" t="s">
        <v>35</v>
      </c>
      <c r="D1" s="23" t="s">
        <v>36</v>
      </c>
      <c r="E1" s="48"/>
      <c r="F1" s="18" t="s">
        <v>37</v>
      </c>
      <c r="G1" s="23" t="s">
        <v>38</v>
      </c>
      <c r="H1" s="23" t="s">
        <v>39</v>
      </c>
      <c r="I1" s="23" t="s">
        <v>40</v>
      </c>
      <c r="J1" s="23" t="s">
        <v>41</v>
      </c>
      <c r="K1" s="48"/>
      <c r="L1" s="18" t="s">
        <v>13</v>
      </c>
      <c r="M1" s="48"/>
      <c r="N1" s="23" t="s">
        <v>42</v>
      </c>
      <c r="O1" s="48"/>
      <c r="P1" s="48"/>
      <c r="Q1" s="48"/>
      <c r="R1" s="48"/>
      <c r="S1" s="48"/>
    </row>
    <row r="2" spans="1:19" x14ac:dyDescent="0.25">
      <c r="A2" s="60">
        <v>44574</v>
      </c>
      <c r="B2" s="48"/>
      <c r="C2" s="23"/>
      <c r="D2" s="23"/>
      <c r="E2" s="48"/>
      <c r="F2" s="18"/>
      <c r="G2" s="23"/>
      <c r="H2" s="23"/>
      <c r="I2" s="23"/>
      <c r="J2" s="23"/>
      <c r="K2" s="48"/>
      <c r="L2" s="18"/>
      <c r="M2" s="48"/>
      <c r="N2" s="23"/>
      <c r="O2" s="48"/>
      <c r="P2" s="48"/>
      <c r="Q2" s="48"/>
      <c r="R2" s="48"/>
      <c r="S2" s="48"/>
    </row>
    <row r="3" spans="1:19" x14ac:dyDescent="0.25">
      <c r="A3" s="48"/>
      <c r="B3" s="61">
        <v>142301</v>
      </c>
      <c r="C3" s="48" t="s">
        <v>54</v>
      </c>
      <c r="D3" s="56">
        <v>898.66</v>
      </c>
      <c r="E3" s="56"/>
      <c r="F3" s="62" t="s">
        <v>44</v>
      </c>
      <c r="G3" s="56" t="s">
        <v>43</v>
      </c>
      <c r="H3" s="56">
        <v>0</v>
      </c>
      <c r="I3" s="56">
        <v>0</v>
      </c>
      <c r="J3" s="56">
        <f t="shared" ref="J3:J10" si="0">H3+I3</f>
        <v>0</v>
      </c>
      <c r="K3" s="56"/>
      <c r="L3" s="56">
        <f t="shared" ref="L3:L10" si="1">D3-J3</f>
        <v>898.66</v>
      </c>
      <c r="M3" s="56"/>
      <c r="N3" s="56">
        <f t="shared" ref="N3:N10" si="2">L3+J3</f>
        <v>898.66</v>
      </c>
      <c r="O3" s="48"/>
      <c r="P3" s="48"/>
      <c r="Q3" s="48"/>
      <c r="R3" s="48"/>
      <c r="S3" s="48"/>
    </row>
    <row r="4" spans="1:19" x14ac:dyDescent="0.25">
      <c r="A4" s="48"/>
      <c r="B4" s="61">
        <v>1005755</v>
      </c>
      <c r="C4" s="48" t="s">
        <v>56</v>
      </c>
      <c r="D4" s="56">
        <v>2218.6799999999998</v>
      </c>
      <c r="E4" s="56"/>
      <c r="F4" s="62">
        <v>25125</v>
      </c>
      <c r="G4" s="56" t="s">
        <v>43</v>
      </c>
      <c r="H4" s="56">
        <v>280</v>
      </c>
      <c r="I4" s="56">
        <v>28</v>
      </c>
      <c r="J4" s="56">
        <f t="shared" si="0"/>
        <v>308</v>
      </c>
      <c r="K4" s="56"/>
      <c r="L4" s="56">
        <f t="shared" si="1"/>
        <v>1910.6799999999998</v>
      </c>
      <c r="M4" s="56"/>
      <c r="N4" s="56">
        <f t="shared" si="2"/>
        <v>2218.6799999999998</v>
      </c>
      <c r="O4" s="48"/>
      <c r="P4" s="48"/>
      <c r="Q4" s="48"/>
      <c r="R4" s="48"/>
      <c r="S4" s="48"/>
    </row>
    <row r="5" spans="1:19" x14ac:dyDescent="0.25">
      <c r="A5" s="48"/>
      <c r="B5" s="61">
        <v>1008946</v>
      </c>
      <c r="C5" s="48" t="s">
        <v>57</v>
      </c>
      <c r="D5" s="56">
        <v>3864.05</v>
      </c>
      <c r="E5" s="56"/>
      <c r="F5" s="62" t="s">
        <v>44</v>
      </c>
      <c r="G5" s="56" t="s">
        <v>43</v>
      </c>
      <c r="H5" s="56">
        <v>0</v>
      </c>
      <c r="I5" s="56">
        <v>0</v>
      </c>
      <c r="J5" s="56">
        <f t="shared" si="0"/>
        <v>0</v>
      </c>
      <c r="K5" s="56"/>
      <c r="L5" s="56">
        <f t="shared" si="1"/>
        <v>3864.05</v>
      </c>
      <c r="M5" s="56"/>
      <c r="N5" s="56">
        <f t="shared" si="2"/>
        <v>3864.05</v>
      </c>
      <c r="O5" s="48"/>
      <c r="P5" s="48"/>
      <c r="Q5" s="48"/>
      <c r="R5" s="48"/>
      <c r="S5" s="48"/>
    </row>
    <row r="6" spans="1:19" x14ac:dyDescent="0.25">
      <c r="A6" s="48"/>
      <c r="B6" s="61">
        <v>162904</v>
      </c>
      <c r="C6" s="48" t="s">
        <v>58</v>
      </c>
      <c r="D6" s="56">
        <v>2799.88</v>
      </c>
      <c r="E6" s="56"/>
      <c r="F6" s="62">
        <v>23958</v>
      </c>
      <c r="G6" s="56" t="s">
        <v>43</v>
      </c>
      <c r="H6" s="56">
        <v>280</v>
      </c>
      <c r="I6" s="56">
        <v>28</v>
      </c>
      <c r="J6" s="56">
        <f t="shared" si="0"/>
        <v>308</v>
      </c>
      <c r="K6" s="56"/>
      <c r="L6" s="56">
        <f t="shared" si="1"/>
        <v>2491.88</v>
      </c>
      <c r="M6" s="56"/>
      <c r="N6" s="56">
        <f t="shared" si="2"/>
        <v>2799.88</v>
      </c>
      <c r="O6" s="48"/>
      <c r="P6" s="48"/>
      <c r="Q6" s="48"/>
      <c r="R6" s="48"/>
      <c r="S6" s="48"/>
    </row>
    <row r="7" spans="1:19" x14ac:dyDescent="0.25">
      <c r="A7" s="48"/>
      <c r="B7" s="61">
        <v>127201</v>
      </c>
      <c r="C7" s="48" t="s">
        <v>59</v>
      </c>
      <c r="D7" s="56">
        <v>4291.53</v>
      </c>
      <c r="E7" s="56"/>
      <c r="F7" s="62">
        <v>25126</v>
      </c>
      <c r="G7" s="56" t="s">
        <v>43</v>
      </c>
      <c r="H7" s="56">
        <v>280</v>
      </c>
      <c r="I7" s="56">
        <v>28</v>
      </c>
      <c r="J7" s="56">
        <f t="shared" si="0"/>
        <v>308</v>
      </c>
      <c r="K7" s="56"/>
      <c r="L7" s="56">
        <f t="shared" si="1"/>
        <v>3983.5299999999997</v>
      </c>
      <c r="M7" s="56"/>
      <c r="N7" s="56">
        <f t="shared" si="2"/>
        <v>4291.53</v>
      </c>
      <c r="O7" s="48"/>
      <c r="P7" s="48"/>
      <c r="Q7" s="48"/>
      <c r="R7" s="48"/>
      <c r="S7" s="48"/>
    </row>
    <row r="8" spans="1:19" x14ac:dyDescent="0.25">
      <c r="A8" s="48"/>
      <c r="B8" s="61">
        <v>220490</v>
      </c>
      <c r="C8" s="48" t="s">
        <v>61</v>
      </c>
      <c r="D8" s="56">
        <v>13385.17</v>
      </c>
      <c r="E8" s="56"/>
      <c r="F8" s="62">
        <v>25127</v>
      </c>
      <c r="G8" s="56" t="s">
        <v>43</v>
      </c>
      <c r="H8" s="56">
        <v>280</v>
      </c>
      <c r="I8" s="56">
        <v>28</v>
      </c>
      <c r="J8" s="56">
        <f t="shared" si="0"/>
        <v>308</v>
      </c>
      <c r="K8" s="56"/>
      <c r="L8" s="56">
        <f t="shared" si="1"/>
        <v>13077.17</v>
      </c>
      <c r="M8" s="56"/>
      <c r="N8" s="56">
        <f t="shared" si="2"/>
        <v>13385.17</v>
      </c>
      <c r="O8" s="48"/>
      <c r="P8" s="48"/>
      <c r="Q8" s="48"/>
      <c r="R8" s="48"/>
      <c r="S8" s="48"/>
    </row>
    <row r="9" spans="1:19" x14ac:dyDescent="0.25">
      <c r="A9" s="48"/>
      <c r="B9" s="61">
        <v>200009</v>
      </c>
      <c r="C9" s="48" t="s">
        <v>67</v>
      </c>
      <c r="D9" s="56">
        <v>5846.73</v>
      </c>
      <c r="E9" s="56"/>
      <c r="F9" s="62" t="s">
        <v>44</v>
      </c>
      <c r="G9" s="56" t="s">
        <v>43</v>
      </c>
      <c r="H9" s="56">
        <v>0</v>
      </c>
      <c r="I9" s="56">
        <v>0</v>
      </c>
      <c r="J9" s="56">
        <f t="shared" si="0"/>
        <v>0</v>
      </c>
      <c r="K9" s="56"/>
      <c r="L9" s="56">
        <f t="shared" si="1"/>
        <v>5846.73</v>
      </c>
      <c r="M9" s="56"/>
      <c r="N9" s="56">
        <f t="shared" si="2"/>
        <v>5846.73</v>
      </c>
      <c r="O9" s="48"/>
      <c r="P9" s="48"/>
      <c r="Q9" s="48"/>
      <c r="R9" s="48"/>
      <c r="S9" s="48"/>
    </row>
    <row r="10" spans="1:19" x14ac:dyDescent="0.25">
      <c r="A10" s="48"/>
      <c r="B10" s="61">
        <v>200279</v>
      </c>
      <c r="C10" s="48" t="s">
        <v>91</v>
      </c>
      <c r="D10" s="56">
        <v>1559.7</v>
      </c>
      <c r="E10" s="56"/>
      <c r="F10" s="62" t="s">
        <v>44</v>
      </c>
      <c r="G10" s="56" t="s">
        <v>43</v>
      </c>
      <c r="H10" s="56">
        <v>0</v>
      </c>
      <c r="I10" s="56">
        <v>0</v>
      </c>
      <c r="J10" s="56">
        <f t="shared" si="0"/>
        <v>0</v>
      </c>
      <c r="K10" s="56"/>
      <c r="L10" s="56">
        <f t="shared" si="1"/>
        <v>1559.7</v>
      </c>
      <c r="M10" s="56"/>
      <c r="N10" s="56">
        <f t="shared" si="2"/>
        <v>1559.7</v>
      </c>
      <c r="O10" s="48"/>
      <c r="P10" s="48"/>
      <c r="Q10" s="48"/>
      <c r="R10" s="48"/>
      <c r="S10" s="48"/>
    </row>
    <row r="11" spans="1:19" x14ac:dyDescent="0.25">
      <c r="A11" s="48"/>
      <c r="B11" s="63"/>
      <c r="C11" s="48"/>
      <c r="D11" s="55"/>
      <c r="E11" s="48"/>
      <c r="F11" s="48"/>
      <c r="G11" s="48"/>
      <c r="H11" s="55"/>
      <c r="I11" s="55"/>
      <c r="J11" s="55"/>
      <c r="K11" s="55"/>
      <c r="L11" s="55"/>
      <c r="M11" s="55"/>
      <c r="N11" s="55"/>
      <c r="O11" s="48"/>
      <c r="P11" s="48"/>
      <c r="Q11" s="48"/>
      <c r="R11" s="48"/>
      <c r="S11" s="48"/>
    </row>
    <row r="12" spans="1:19" x14ac:dyDescent="0.25">
      <c r="A12" s="48"/>
      <c r="B12" s="63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</row>
    <row r="13" spans="1:19" x14ac:dyDescent="0.25">
      <c r="A13" s="48"/>
      <c r="B13" s="63"/>
      <c r="C13" s="48"/>
      <c r="D13" s="2">
        <f>SUM(D3:D10)</f>
        <v>34864.399999999994</v>
      </c>
      <c r="E13" s="48"/>
      <c r="F13" s="48"/>
      <c r="G13" s="48"/>
      <c r="H13" s="2">
        <f>SUM(H3:H10)</f>
        <v>1120</v>
      </c>
      <c r="I13" s="2">
        <f>SUM(I3:I10)</f>
        <v>112</v>
      </c>
      <c r="J13" s="2">
        <f>SUM(J3:J10)</f>
        <v>1232</v>
      </c>
      <c r="K13" s="48"/>
      <c r="L13" s="2">
        <f>SUM(L3:L10)</f>
        <v>33632.400000000001</v>
      </c>
      <c r="M13" s="18"/>
      <c r="N13" s="2">
        <f>SUM(N3:N10)</f>
        <v>34864.399999999994</v>
      </c>
      <c r="O13" s="48"/>
      <c r="P13" s="48"/>
      <c r="Q13" s="48"/>
      <c r="R13" s="48"/>
      <c r="S13" s="48"/>
    </row>
    <row r="14" spans="1:19" x14ac:dyDescent="0.25">
      <c r="A14" s="48"/>
      <c r="B14" s="63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19" x14ac:dyDescent="0.25">
      <c r="A15" s="48"/>
      <c r="B15" s="63"/>
      <c r="C15" s="6" t="s">
        <v>45</v>
      </c>
      <c r="D15" s="48"/>
      <c r="E15" s="18" t="s">
        <v>43</v>
      </c>
      <c r="F15" s="3">
        <f>L13</f>
        <v>33632.400000000001</v>
      </c>
      <c r="G15" s="1"/>
      <c r="H15" s="3">
        <f>SUM(H13:H14)</f>
        <v>1120</v>
      </c>
      <c r="I15" s="3">
        <f>SUM(I13:I14)</f>
        <v>112</v>
      </c>
      <c r="J15" s="48"/>
      <c r="K15" s="48"/>
      <c r="L15" s="48"/>
      <c r="M15" s="48"/>
      <c r="N15" s="48"/>
      <c r="O15" s="48"/>
      <c r="P15" s="48"/>
      <c r="Q15" s="48"/>
      <c r="R15" s="48"/>
      <c r="S15" s="48"/>
    </row>
    <row r="16" spans="1:19" ht="15.75" thickBot="1" x14ac:dyDescent="0.3">
      <c r="A16" s="48"/>
      <c r="B16" s="63"/>
      <c r="C16" s="48"/>
      <c r="D16" s="48"/>
      <c r="E16" s="48"/>
      <c r="F16" s="8"/>
      <c r="G16" s="8"/>
      <c r="H16" s="4"/>
      <c r="I16" s="5">
        <f>H15+I15</f>
        <v>1232</v>
      </c>
      <c r="J16" s="48"/>
      <c r="K16" s="48"/>
      <c r="L16" s="48"/>
      <c r="M16" s="48"/>
      <c r="N16" s="48"/>
      <c r="O16" s="48"/>
      <c r="P16" s="48"/>
      <c r="Q16" s="48"/>
      <c r="R16" s="48"/>
      <c r="S16" s="48"/>
    </row>
    <row r="17" spans="1:19" ht="15.75" thickTop="1" x14ac:dyDescent="0.25">
      <c r="A17" s="1"/>
      <c r="B17" s="64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48"/>
      <c r="P17" s="48"/>
      <c r="Q17" s="48"/>
      <c r="R17" s="48"/>
      <c r="S17" s="48"/>
    </row>
    <row r="18" spans="1:19" x14ac:dyDescent="0.25">
      <c r="A18" s="18" t="s">
        <v>34</v>
      </c>
      <c r="B18" s="48"/>
      <c r="C18" s="23" t="s">
        <v>35</v>
      </c>
      <c r="D18" s="23" t="s">
        <v>36</v>
      </c>
      <c r="E18" s="48"/>
      <c r="F18" s="18" t="s">
        <v>37</v>
      </c>
      <c r="G18" s="23" t="s">
        <v>38</v>
      </c>
      <c r="H18" s="23" t="s">
        <v>39</v>
      </c>
      <c r="I18" s="23" t="s">
        <v>40</v>
      </c>
      <c r="J18" s="23" t="s">
        <v>41</v>
      </c>
      <c r="K18" s="48"/>
      <c r="L18" s="18" t="s">
        <v>13</v>
      </c>
      <c r="M18" s="48"/>
      <c r="N18" s="23" t="s">
        <v>42</v>
      </c>
      <c r="O18" s="48"/>
      <c r="P18" s="48"/>
      <c r="Q18" s="48"/>
      <c r="R18" s="48"/>
      <c r="S18" s="48"/>
    </row>
    <row r="19" spans="1:19" x14ac:dyDescent="0.25">
      <c r="A19" s="49">
        <v>44579</v>
      </c>
      <c r="B19" s="63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</row>
    <row r="20" spans="1:19" x14ac:dyDescent="0.25">
      <c r="A20" s="48"/>
      <c r="B20" s="51">
        <v>201899</v>
      </c>
      <c r="C20" s="48" t="s">
        <v>72</v>
      </c>
      <c r="D20" s="56">
        <v>2229.34</v>
      </c>
      <c r="E20" s="56"/>
      <c r="F20" s="24">
        <v>25202</v>
      </c>
      <c r="G20" s="65" t="s">
        <v>43</v>
      </c>
      <c r="H20" s="56">
        <v>530</v>
      </c>
      <c r="I20" s="56">
        <v>53</v>
      </c>
      <c r="J20" s="56">
        <f t="shared" ref="J20:J26" si="3">H20+I20</f>
        <v>583</v>
      </c>
      <c r="K20" s="56"/>
      <c r="L20" s="56">
        <f>D20-J20</f>
        <v>1646.3400000000001</v>
      </c>
      <c r="M20" s="56"/>
      <c r="N20" s="56">
        <f>L20+J20</f>
        <v>2229.34</v>
      </c>
      <c r="O20" s="48"/>
      <c r="P20" s="48"/>
      <c r="Q20" s="48"/>
      <c r="R20" s="48"/>
      <c r="S20" s="48"/>
    </row>
    <row r="21" spans="1:19" x14ac:dyDescent="0.25">
      <c r="A21" s="48"/>
      <c r="B21" s="51">
        <v>180104</v>
      </c>
      <c r="C21" s="48" t="s">
        <v>71</v>
      </c>
      <c r="D21" s="56">
        <v>2010.77</v>
      </c>
      <c r="E21" s="48"/>
      <c r="F21" s="66">
        <v>25232</v>
      </c>
      <c r="G21" s="65" t="s">
        <v>43</v>
      </c>
      <c r="H21" s="56">
        <v>280</v>
      </c>
      <c r="I21" s="56">
        <v>28</v>
      </c>
      <c r="J21" s="56">
        <f t="shared" si="3"/>
        <v>308</v>
      </c>
      <c r="K21" s="48"/>
      <c r="L21" s="56">
        <f t="shared" ref="L21:L32" si="4">D21-J21</f>
        <v>1702.77</v>
      </c>
      <c r="M21" s="48"/>
      <c r="N21" s="56">
        <f t="shared" ref="N21:N32" si="5">L21+J21</f>
        <v>2010.77</v>
      </c>
      <c r="O21" s="48"/>
      <c r="P21" s="48"/>
      <c r="Q21" s="48"/>
      <c r="R21" s="48"/>
      <c r="S21" s="48"/>
    </row>
    <row r="22" spans="1:19" x14ac:dyDescent="0.25">
      <c r="A22" s="48"/>
      <c r="B22" s="51">
        <v>200018</v>
      </c>
      <c r="C22" s="48" t="s">
        <v>74</v>
      </c>
      <c r="D22" s="56">
        <v>5318.37</v>
      </c>
      <c r="E22" s="48"/>
      <c r="F22" s="66">
        <v>25233</v>
      </c>
      <c r="G22" s="65" t="s">
        <v>43</v>
      </c>
      <c r="H22" s="56">
        <v>220</v>
      </c>
      <c r="I22" s="56">
        <v>22</v>
      </c>
      <c r="J22" s="56">
        <f t="shared" si="3"/>
        <v>242</v>
      </c>
      <c r="K22" s="48"/>
      <c r="L22" s="56">
        <f t="shared" si="4"/>
        <v>5076.37</v>
      </c>
      <c r="M22" s="48"/>
      <c r="N22" s="56">
        <f t="shared" si="5"/>
        <v>5318.37</v>
      </c>
      <c r="O22" s="48"/>
      <c r="P22" s="48"/>
      <c r="Q22" s="48"/>
      <c r="R22" s="48"/>
      <c r="S22" s="48"/>
    </row>
    <row r="23" spans="1:19" x14ac:dyDescent="0.25">
      <c r="A23" s="48"/>
      <c r="B23" s="51">
        <v>110001</v>
      </c>
      <c r="C23" s="48" t="s">
        <v>92</v>
      </c>
      <c r="D23" s="56">
        <v>380554.08</v>
      </c>
      <c r="E23" s="56"/>
      <c r="F23" s="62" t="s">
        <v>44</v>
      </c>
      <c r="G23" s="65" t="s">
        <v>43</v>
      </c>
      <c r="H23" s="56">
        <v>0</v>
      </c>
      <c r="I23" s="56">
        <v>0</v>
      </c>
      <c r="J23" s="56">
        <f t="shared" si="3"/>
        <v>0</v>
      </c>
      <c r="K23" s="56"/>
      <c r="L23" s="56">
        <f t="shared" si="4"/>
        <v>380554.08</v>
      </c>
      <c r="M23" s="56"/>
      <c r="N23" s="56">
        <f t="shared" si="5"/>
        <v>380554.08</v>
      </c>
      <c r="O23" s="48"/>
      <c r="P23" s="48"/>
      <c r="Q23" s="48"/>
      <c r="R23" s="48"/>
      <c r="S23" s="48"/>
    </row>
    <row r="24" spans="1:19" x14ac:dyDescent="0.25">
      <c r="A24" s="48"/>
      <c r="B24" s="51">
        <v>1008563</v>
      </c>
      <c r="C24" s="48" t="s">
        <v>68</v>
      </c>
      <c r="D24" s="56">
        <v>7840.16</v>
      </c>
      <c r="E24" s="56"/>
      <c r="F24" s="62" t="s">
        <v>44</v>
      </c>
      <c r="G24" s="65" t="s">
        <v>43</v>
      </c>
      <c r="H24" s="56">
        <v>0</v>
      </c>
      <c r="I24" s="56">
        <v>0</v>
      </c>
      <c r="J24" s="56">
        <f t="shared" si="3"/>
        <v>0</v>
      </c>
      <c r="K24" s="56"/>
      <c r="L24" s="56">
        <f t="shared" si="4"/>
        <v>7840.16</v>
      </c>
      <c r="M24" s="56"/>
      <c r="N24" s="56">
        <f t="shared" si="5"/>
        <v>7840.16</v>
      </c>
      <c r="O24" s="48"/>
      <c r="P24" s="48"/>
      <c r="Q24" s="48"/>
      <c r="R24" s="48"/>
      <c r="S24" s="48"/>
    </row>
    <row r="25" spans="1:19" x14ac:dyDescent="0.25">
      <c r="A25" s="48"/>
      <c r="B25" s="51">
        <v>290801</v>
      </c>
      <c r="C25" s="48" t="s">
        <v>70</v>
      </c>
      <c r="D25" s="56">
        <v>290</v>
      </c>
      <c r="E25" s="56"/>
      <c r="F25" s="67">
        <v>25069</v>
      </c>
      <c r="G25" s="65" t="s">
        <v>43</v>
      </c>
      <c r="H25" s="56">
        <v>263.64</v>
      </c>
      <c r="I25" s="56">
        <v>26.36</v>
      </c>
      <c r="J25" s="56">
        <f t="shared" si="3"/>
        <v>290</v>
      </c>
      <c r="K25" s="56"/>
      <c r="L25" s="56">
        <f t="shared" si="4"/>
        <v>0</v>
      </c>
      <c r="M25" s="56"/>
      <c r="N25" s="56">
        <f t="shared" si="5"/>
        <v>290</v>
      </c>
      <c r="O25" s="48"/>
      <c r="P25" s="48"/>
      <c r="Q25" s="48"/>
      <c r="R25" s="48"/>
      <c r="S25" s="48"/>
    </row>
    <row r="26" spans="1:19" x14ac:dyDescent="0.25">
      <c r="A26" s="48"/>
      <c r="B26" s="51">
        <v>1007045</v>
      </c>
      <c r="C26" s="48" t="s">
        <v>93</v>
      </c>
      <c r="D26" s="56">
        <v>12306.88</v>
      </c>
      <c r="E26" s="48"/>
      <c r="F26" s="62" t="s">
        <v>44</v>
      </c>
      <c r="G26" s="27" t="s">
        <v>43</v>
      </c>
      <c r="H26" s="56">
        <v>0</v>
      </c>
      <c r="I26" s="56">
        <v>0</v>
      </c>
      <c r="J26" s="56">
        <f t="shared" si="3"/>
        <v>0</v>
      </c>
      <c r="K26" s="56"/>
      <c r="L26" s="56">
        <f t="shared" si="4"/>
        <v>12306.88</v>
      </c>
      <c r="M26" s="56"/>
      <c r="N26" s="56">
        <f t="shared" si="5"/>
        <v>12306.88</v>
      </c>
      <c r="O26" s="48"/>
      <c r="P26" s="48"/>
      <c r="Q26" s="48"/>
      <c r="R26" s="48"/>
      <c r="S26" s="48"/>
    </row>
    <row r="27" spans="1:19" x14ac:dyDescent="0.25">
      <c r="A27" s="48"/>
      <c r="B27" s="61">
        <v>200303</v>
      </c>
      <c r="C27" s="48" t="s">
        <v>53</v>
      </c>
      <c r="D27" s="56">
        <v>652.16</v>
      </c>
      <c r="E27" s="48"/>
      <c r="F27" s="62" t="s">
        <v>44</v>
      </c>
      <c r="G27" s="27" t="s">
        <v>43</v>
      </c>
      <c r="H27" s="56">
        <v>0</v>
      </c>
      <c r="I27" s="56">
        <v>0</v>
      </c>
      <c r="J27" s="56">
        <f>H27+I27</f>
        <v>0</v>
      </c>
      <c r="K27" s="56"/>
      <c r="L27" s="56">
        <f t="shared" si="4"/>
        <v>652.16</v>
      </c>
      <c r="M27" s="56"/>
      <c r="N27" s="56">
        <f t="shared" si="5"/>
        <v>652.16</v>
      </c>
      <c r="O27" s="48"/>
      <c r="P27" s="48"/>
      <c r="Q27" s="48"/>
      <c r="R27" s="48"/>
      <c r="S27" s="48"/>
    </row>
    <row r="28" spans="1:19" x14ac:dyDescent="0.25">
      <c r="A28" s="48"/>
      <c r="B28" s="61">
        <v>200786</v>
      </c>
      <c r="C28" s="48" t="s">
        <v>60</v>
      </c>
      <c r="D28" s="56">
        <v>7819.9</v>
      </c>
      <c r="E28" s="56"/>
      <c r="F28" s="62" t="s">
        <v>44</v>
      </c>
      <c r="G28" s="65" t="s">
        <v>43</v>
      </c>
      <c r="H28" s="56">
        <v>0</v>
      </c>
      <c r="I28" s="56">
        <v>0</v>
      </c>
      <c r="J28" s="56">
        <f t="shared" ref="J28:J29" si="6">H28+I28</f>
        <v>0</v>
      </c>
      <c r="K28" s="56"/>
      <c r="L28" s="56">
        <f t="shared" si="4"/>
        <v>7819.9</v>
      </c>
      <c r="M28" s="56"/>
      <c r="N28" s="56">
        <f t="shared" si="5"/>
        <v>7819.9</v>
      </c>
      <c r="O28" s="48"/>
      <c r="P28" s="48"/>
      <c r="Q28" s="48"/>
      <c r="R28" s="48"/>
      <c r="S28" s="48"/>
    </row>
    <row r="29" spans="1:19" x14ac:dyDescent="0.25">
      <c r="A29" s="48"/>
      <c r="B29" s="61">
        <v>200789</v>
      </c>
      <c r="C29" s="48" t="s">
        <v>65</v>
      </c>
      <c r="D29" s="56">
        <v>60485.43</v>
      </c>
      <c r="E29" s="56"/>
      <c r="F29" s="62" t="s">
        <v>44</v>
      </c>
      <c r="G29" s="65" t="s">
        <v>43</v>
      </c>
      <c r="H29" s="56">
        <v>0</v>
      </c>
      <c r="I29" s="56">
        <v>0</v>
      </c>
      <c r="J29" s="56">
        <f t="shared" si="6"/>
        <v>0</v>
      </c>
      <c r="K29" s="56"/>
      <c r="L29" s="56">
        <f t="shared" si="4"/>
        <v>60485.43</v>
      </c>
      <c r="M29" s="56"/>
      <c r="N29" s="56">
        <f t="shared" si="5"/>
        <v>60485.43</v>
      </c>
      <c r="O29" s="48"/>
      <c r="P29" s="48"/>
      <c r="Q29" s="48"/>
      <c r="R29" s="48"/>
      <c r="S29" s="48"/>
    </row>
    <row r="30" spans="1:19" x14ac:dyDescent="0.25">
      <c r="A30" s="48"/>
      <c r="B30" s="51">
        <v>1007762</v>
      </c>
      <c r="C30" s="48" t="s">
        <v>75</v>
      </c>
      <c r="D30" s="56">
        <v>1065.99</v>
      </c>
      <c r="E30" s="48"/>
      <c r="F30" s="66">
        <v>25200</v>
      </c>
      <c r="G30" s="65" t="s">
        <v>43</v>
      </c>
      <c r="H30" s="56">
        <v>400</v>
      </c>
      <c r="I30" s="56">
        <v>40</v>
      </c>
      <c r="J30" s="56">
        <f>H30+I30</f>
        <v>440</v>
      </c>
      <c r="K30" s="48"/>
      <c r="L30" s="56">
        <f t="shared" si="4"/>
        <v>625.99</v>
      </c>
      <c r="M30" s="48"/>
      <c r="N30" s="56">
        <f t="shared" si="5"/>
        <v>1065.99</v>
      </c>
      <c r="O30" s="48"/>
      <c r="P30" s="48"/>
      <c r="Q30" s="48"/>
      <c r="R30" s="48"/>
      <c r="S30" s="48"/>
    </row>
    <row r="31" spans="1:19" x14ac:dyDescent="0.25">
      <c r="A31" s="48"/>
      <c r="B31" s="61">
        <v>1001012</v>
      </c>
      <c r="C31" s="48" t="s">
        <v>55</v>
      </c>
      <c r="D31" s="56">
        <v>2039.18</v>
      </c>
      <c r="E31" s="48"/>
      <c r="F31" s="62" t="s">
        <v>44</v>
      </c>
      <c r="G31" s="27" t="s">
        <v>43</v>
      </c>
      <c r="H31" s="56">
        <v>0</v>
      </c>
      <c r="I31" s="56">
        <v>0</v>
      </c>
      <c r="J31" s="56">
        <f>H31+I31</f>
        <v>0</v>
      </c>
      <c r="K31" s="56"/>
      <c r="L31" s="56">
        <f t="shared" si="4"/>
        <v>2039.18</v>
      </c>
      <c r="M31" s="56"/>
      <c r="N31" s="56">
        <f t="shared" si="5"/>
        <v>2039.18</v>
      </c>
      <c r="O31" s="48"/>
      <c r="P31" s="48"/>
      <c r="Q31" s="48"/>
      <c r="R31" s="48"/>
      <c r="S31" s="48"/>
    </row>
    <row r="32" spans="1:19" x14ac:dyDescent="0.25">
      <c r="A32" s="48"/>
      <c r="B32" s="51">
        <v>1001273</v>
      </c>
      <c r="C32" s="48" t="s">
        <v>73</v>
      </c>
      <c r="D32" s="56">
        <v>4892</v>
      </c>
      <c r="E32" s="56"/>
      <c r="F32" s="67">
        <v>25235</v>
      </c>
      <c r="G32" s="65" t="s">
        <v>43</v>
      </c>
      <c r="H32" s="56">
        <v>450</v>
      </c>
      <c r="I32" s="56">
        <v>45</v>
      </c>
      <c r="J32" s="56">
        <f>H32+I32</f>
        <v>495</v>
      </c>
      <c r="K32" s="56"/>
      <c r="L32" s="56">
        <f t="shared" si="4"/>
        <v>4397</v>
      </c>
      <c r="M32" s="48"/>
      <c r="N32" s="56">
        <f t="shared" si="5"/>
        <v>4892</v>
      </c>
      <c r="O32" s="48"/>
      <c r="P32" s="48"/>
      <c r="Q32" s="48"/>
      <c r="R32" s="48"/>
      <c r="S32" s="48"/>
    </row>
    <row r="33" spans="1:19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</row>
    <row r="34" spans="1:19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</row>
    <row r="35" spans="1:19" x14ac:dyDescent="0.25">
      <c r="A35" s="48"/>
      <c r="B35" s="48"/>
      <c r="C35" s="48"/>
      <c r="D35" s="2">
        <f>SUM(D20:D34)</f>
        <v>487504.25999999995</v>
      </c>
      <c r="E35" s="18"/>
      <c r="F35" s="18"/>
      <c r="G35" s="18"/>
      <c r="H35" s="2">
        <f>SUM(H20:H34)</f>
        <v>2143.64</v>
      </c>
      <c r="I35" s="2">
        <f>SUM(I20:I34)</f>
        <v>214.36</v>
      </c>
      <c r="J35" s="2">
        <f>SUM(J20:J34)</f>
        <v>2358</v>
      </c>
      <c r="K35" s="18"/>
      <c r="L35" s="2">
        <f>SUM(L20:L34)</f>
        <v>485146.25999999995</v>
      </c>
      <c r="M35" s="18"/>
      <c r="N35" s="2">
        <f>SUM(N20:N34)</f>
        <v>487504.25999999995</v>
      </c>
      <c r="O35" s="48"/>
      <c r="P35" s="48"/>
      <c r="Q35" s="48"/>
      <c r="R35" s="48"/>
      <c r="S35" s="48"/>
    </row>
    <row r="36" spans="1:19" x14ac:dyDescent="0.25">
      <c r="A36" s="48"/>
      <c r="B36" s="48"/>
      <c r="C36" s="4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48"/>
      <c r="P36" s="48"/>
      <c r="Q36" s="48"/>
      <c r="R36" s="48"/>
      <c r="S36" s="48"/>
    </row>
    <row r="37" spans="1:19" x14ac:dyDescent="0.25">
      <c r="A37" s="48"/>
      <c r="B37" s="48"/>
      <c r="C37" s="6" t="s">
        <v>45</v>
      </c>
      <c r="D37" s="18"/>
      <c r="E37" s="18" t="s">
        <v>43</v>
      </c>
      <c r="F37" s="2">
        <f>L35</f>
        <v>485146.25999999995</v>
      </c>
      <c r="G37" s="18"/>
      <c r="H37" s="2">
        <f>SUM(H35:H36)</f>
        <v>2143.64</v>
      </c>
      <c r="I37" s="2">
        <f>SUM(I35:I36)</f>
        <v>214.36</v>
      </c>
      <c r="J37" s="18"/>
      <c r="K37" s="18"/>
      <c r="L37" s="18"/>
      <c r="M37" s="18"/>
      <c r="N37" s="18"/>
      <c r="O37" s="48"/>
      <c r="P37" s="48"/>
      <c r="Q37" s="48"/>
      <c r="R37" s="48"/>
      <c r="S37" s="48"/>
    </row>
    <row r="38" spans="1:19" x14ac:dyDescent="0.25">
      <c r="A38" s="48"/>
      <c r="B38" s="48"/>
      <c r="C38" s="48"/>
      <c r="D38" s="18"/>
      <c r="E38" s="18"/>
      <c r="F38" s="68"/>
      <c r="G38" s="68"/>
      <c r="H38" s="68"/>
      <c r="I38" s="69">
        <f>H37+I37</f>
        <v>2358</v>
      </c>
      <c r="J38" s="18"/>
      <c r="K38" s="18"/>
      <c r="L38" s="18"/>
      <c r="M38" s="18"/>
      <c r="N38" s="18"/>
      <c r="O38" s="48"/>
      <c r="P38" s="48"/>
      <c r="Q38" s="48"/>
      <c r="R38" s="48"/>
      <c r="S38" s="48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48"/>
      <c r="P39" s="48"/>
      <c r="Q39" s="48"/>
      <c r="R39" s="48"/>
      <c r="S39" s="48"/>
    </row>
    <row r="40" spans="1:19" x14ac:dyDescent="0.25">
      <c r="A40" s="18" t="s">
        <v>34</v>
      </c>
      <c r="B40" s="48"/>
      <c r="C40" s="23" t="s">
        <v>35</v>
      </c>
      <c r="D40" s="23" t="s">
        <v>36</v>
      </c>
      <c r="E40" s="48"/>
      <c r="F40" s="18" t="s">
        <v>37</v>
      </c>
      <c r="G40" s="23" t="s">
        <v>38</v>
      </c>
      <c r="H40" s="23" t="s">
        <v>39</v>
      </c>
      <c r="I40" s="23" t="s">
        <v>40</v>
      </c>
      <c r="J40" s="23" t="s">
        <v>41</v>
      </c>
      <c r="K40" s="48"/>
      <c r="L40" s="18" t="s">
        <v>13</v>
      </c>
      <c r="M40" s="48"/>
      <c r="N40" s="23" t="s">
        <v>42</v>
      </c>
      <c r="O40" s="48"/>
      <c r="P40" s="48"/>
      <c r="Q40" s="48"/>
      <c r="R40" s="48"/>
      <c r="S40" s="48"/>
    </row>
    <row r="41" spans="1:19" x14ac:dyDescent="0.25">
      <c r="A41" s="49">
        <v>44585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</row>
    <row r="42" spans="1:19" x14ac:dyDescent="0.25">
      <c r="A42" s="48"/>
      <c r="B42" s="51">
        <v>1009645</v>
      </c>
      <c r="C42" s="48" t="s">
        <v>78</v>
      </c>
      <c r="D42" s="56">
        <v>1123.3900000000001</v>
      </c>
      <c r="E42" s="48"/>
      <c r="F42" s="24">
        <v>25201</v>
      </c>
      <c r="G42" s="65" t="s">
        <v>43</v>
      </c>
      <c r="H42" s="56">
        <v>280</v>
      </c>
      <c r="I42" s="56">
        <v>28</v>
      </c>
      <c r="J42" s="56">
        <f>H42+I42</f>
        <v>308</v>
      </c>
      <c r="K42" s="48"/>
      <c r="L42" s="9">
        <f>D42-J42</f>
        <v>815.3900000000001</v>
      </c>
      <c r="M42" s="48"/>
      <c r="N42" s="9">
        <f t="shared" ref="N42:N49" si="7">L42+J42</f>
        <v>1123.3900000000001</v>
      </c>
      <c r="O42" s="48"/>
      <c r="P42" s="48"/>
      <c r="Q42" s="48"/>
      <c r="R42" s="48"/>
      <c r="S42" s="48"/>
    </row>
    <row r="43" spans="1:19" x14ac:dyDescent="0.25">
      <c r="A43" s="48"/>
      <c r="B43" s="51">
        <v>100602</v>
      </c>
      <c r="C43" s="48" t="s">
        <v>94</v>
      </c>
      <c r="D43" s="56">
        <v>1255.28</v>
      </c>
      <c r="E43" s="48"/>
      <c r="F43" s="24">
        <v>25072</v>
      </c>
      <c r="G43" s="65" t="s">
        <v>43</v>
      </c>
      <c r="H43" s="56">
        <v>280</v>
      </c>
      <c r="I43" s="56">
        <v>28</v>
      </c>
      <c r="J43" s="56">
        <f t="shared" ref="J43:J49" si="8">H43+I43</f>
        <v>308</v>
      </c>
      <c r="K43" s="48"/>
      <c r="L43" s="9">
        <f t="shared" ref="L43:L49" si="9">D43-J43</f>
        <v>947.28</v>
      </c>
      <c r="M43" s="48"/>
      <c r="N43" s="9">
        <f t="shared" si="7"/>
        <v>1255.28</v>
      </c>
      <c r="O43" s="48"/>
      <c r="P43" s="48"/>
      <c r="Q43" s="48"/>
      <c r="R43" s="48"/>
      <c r="S43" s="48"/>
    </row>
    <row r="44" spans="1:19" x14ac:dyDescent="0.25">
      <c r="A44" s="48"/>
      <c r="B44" s="51">
        <v>1029633</v>
      </c>
      <c r="C44" s="48" t="s">
        <v>95</v>
      </c>
      <c r="D44" s="56">
        <v>1084</v>
      </c>
      <c r="E44" s="48"/>
      <c r="F44" s="62" t="s">
        <v>44</v>
      </c>
      <c r="G44" s="65" t="s">
        <v>43</v>
      </c>
      <c r="H44" s="56">
        <v>0</v>
      </c>
      <c r="I44" s="56">
        <v>0</v>
      </c>
      <c r="J44" s="56">
        <f t="shared" si="8"/>
        <v>0</v>
      </c>
      <c r="K44" s="48"/>
      <c r="L44" s="9">
        <f t="shared" si="9"/>
        <v>1084</v>
      </c>
      <c r="M44" s="48"/>
      <c r="N44" s="9">
        <f t="shared" si="7"/>
        <v>1084</v>
      </c>
      <c r="O44" s="48"/>
      <c r="P44" s="48"/>
      <c r="Q44" s="48"/>
      <c r="R44" s="48"/>
      <c r="S44" s="48"/>
    </row>
    <row r="45" spans="1:19" x14ac:dyDescent="0.25">
      <c r="A45" s="48"/>
      <c r="B45" s="51">
        <v>1042902</v>
      </c>
      <c r="C45" s="48" t="s">
        <v>96</v>
      </c>
      <c r="D45" s="56">
        <v>2403.02</v>
      </c>
      <c r="E45" s="48"/>
      <c r="F45" s="62" t="s">
        <v>44</v>
      </c>
      <c r="G45" s="65" t="s">
        <v>43</v>
      </c>
      <c r="H45" s="56">
        <v>0</v>
      </c>
      <c r="I45" s="56">
        <v>0</v>
      </c>
      <c r="J45" s="56">
        <f t="shared" si="8"/>
        <v>0</v>
      </c>
      <c r="K45" s="48"/>
      <c r="L45" s="9">
        <f t="shared" si="9"/>
        <v>2403.02</v>
      </c>
      <c r="M45" s="48"/>
      <c r="N45" s="9">
        <f t="shared" si="7"/>
        <v>2403.02</v>
      </c>
      <c r="O45" s="48"/>
      <c r="P45" s="48"/>
      <c r="Q45" s="48"/>
      <c r="R45" s="48"/>
      <c r="S45" s="48"/>
    </row>
    <row r="46" spans="1:19" x14ac:dyDescent="0.25">
      <c r="A46" s="48"/>
      <c r="B46" s="51">
        <v>1042901</v>
      </c>
      <c r="C46" s="48" t="s">
        <v>97</v>
      </c>
      <c r="D46" s="56">
        <v>3081.23</v>
      </c>
      <c r="E46" s="48"/>
      <c r="F46" s="24">
        <v>25297</v>
      </c>
      <c r="G46" s="65" t="s">
        <v>43</v>
      </c>
      <c r="H46" s="56">
        <v>560</v>
      </c>
      <c r="I46" s="56">
        <v>56</v>
      </c>
      <c r="J46" s="56">
        <f t="shared" si="8"/>
        <v>616</v>
      </c>
      <c r="K46" s="48"/>
      <c r="L46" s="9">
        <f t="shared" si="9"/>
        <v>2465.23</v>
      </c>
      <c r="M46" s="48"/>
      <c r="N46" s="9">
        <f t="shared" si="7"/>
        <v>3081.23</v>
      </c>
      <c r="O46" s="48"/>
      <c r="P46" s="48"/>
      <c r="Q46" s="48"/>
      <c r="R46" s="48"/>
      <c r="S46" s="48"/>
    </row>
    <row r="47" spans="1:19" x14ac:dyDescent="0.25">
      <c r="A47" s="48"/>
      <c r="B47" s="51">
        <v>1007994</v>
      </c>
      <c r="C47" s="48" t="s">
        <v>98</v>
      </c>
      <c r="D47" s="56">
        <v>22468.53</v>
      </c>
      <c r="E47" s="48"/>
      <c r="F47" s="24">
        <v>25128</v>
      </c>
      <c r="G47" s="65" t="s">
        <v>43</v>
      </c>
      <c r="H47" s="56">
        <v>560</v>
      </c>
      <c r="I47" s="56">
        <v>56</v>
      </c>
      <c r="J47" s="56">
        <f t="shared" si="8"/>
        <v>616</v>
      </c>
      <c r="K47" s="48"/>
      <c r="L47" s="9">
        <f t="shared" si="9"/>
        <v>21852.53</v>
      </c>
      <c r="M47" s="48"/>
      <c r="N47" s="9">
        <f t="shared" si="7"/>
        <v>22468.53</v>
      </c>
      <c r="O47" s="48"/>
      <c r="P47" s="48"/>
      <c r="Q47" s="48"/>
      <c r="R47" s="48"/>
      <c r="S47" s="48"/>
    </row>
    <row r="48" spans="1:19" x14ac:dyDescent="0.25">
      <c r="A48" s="48"/>
      <c r="B48" s="51">
        <v>201045</v>
      </c>
      <c r="C48" s="48" t="s">
        <v>99</v>
      </c>
      <c r="D48" s="56">
        <v>3321.85</v>
      </c>
      <c r="E48" s="48"/>
      <c r="F48" s="24">
        <v>24980</v>
      </c>
      <c r="G48" s="65" t="s">
        <v>43</v>
      </c>
      <c r="H48" s="56">
        <v>560</v>
      </c>
      <c r="I48" s="56">
        <v>56</v>
      </c>
      <c r="J48" s="56">
        <f t="shared" si="8"/>
        <v>616</v>
      </c>
      <c r="K48" s="48"/>
      <c r="L48" s="9">
        <f t="shared" si="9"/>
        <v>2705.85</v>
      </c>
      <c r="M48" s="48"/>
      <c r="N48" s="9">
        <f t="shared" si="7"/>
        <v>3321.85</v>
      </c>
      <c r="O48" s="48"/>
      <c r="P48" s="48"/>
      <c r="Q48" s="48"/>
      <c r="R48" s="48"/>
      <c r="S48" s="48"/>
    </row>
    <row r="49" spans="1:19" x14ac:dyDescent="0.25">
      <c r="A49" s="48"/>
      <c r="B49" s="51">
        <v>201044</v>
      </c>
      <c r="C49" s="48" t="s">
        <v>100</v>
      </c>
      <c r="D49" s="56">
        <v>3208.33</v>
      </c>
      <c r="E49" s="48"/>
      <c r="F49" s="48" t="s">
        <v>44</v>
      </c>
      <c r="G49" s="65" t="s">
        <v>43</v>
      </c>
      <c r="H49" s="56">
        <v>0</v>
      </c>
      <c r="I49" s="56">
        <v>0</v>
      </c>
      <c r="J49" s="56">
        <f t="shared" si="8"/>
        <v>0</v>
      </c>
      <c r="K49" s="48"/>
      <c r="L49" s="9">
        <f t="shared" si="9"/>
        <v>3208.33</v>
      </c>
      <c r="M49" s="48"/>
      <c r="N49" s="9">
        <f t="shared" si="7"/>
        <v>3208.33</v>
      </c>
      <c r="O49" s="48"/>
      <c r="P49" s="48"/>
      <c r="Q49" s="48"/>
      <c r="R49" s="48"/>
      <c r="S49" s="48"/>
    </row>
    <row r="50" spans="1:19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</row>
    <row r="51" spans="1:19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</row>
    <row r="52" spans="1:19" x14ac:dyDescent="0.25">
      <c r="A52" s="48"/>
      <c r="B52" s="48"/>
      <c r="C52" s="48"/>
      <c r="D52" s="2">
        <f>SUM(D42:D51)</f>
        <v>37945.629999999997</v>
      </c>
      <c r="E52" s="48"/>
      <c r="F52" s="48"/>
      <c r="G52" s="48"/>
      <c r="H52" s="2">
        <f>SUM(H42:H51)</f>
        <v>2240</v>
      </c>
      <c r="I52" s="2">
        <f>SUM(I42:I51)</f>
        <v>224</v>
      </c>
      <c r="J52" s="2">
        <f>SUM(J42:J51)</f>
        <v>2464</v>
      </c>
      <c r="K52" s="18"/>
      <c r="L52" s="2">
        <f>SUM(L42:L51)</f>
        <v>35481.629999999997</v>
      </c>
      <c r="M52" s="18"/>
      <c r="N52" s="2">
        <f>SUM(N42:N51)</f>
        <v>37945.629999999997</v>
      </c>
      <c r="O52" s="48"/>
      <c r="P52" s="48"/>
      <c r="Q52" s="48"/>
      <c r="R52" s="48"/>
      <c r="S52" s="48"/>
    </row>
    <row r="53" spans="1:19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</row>
    <row r="54" spans="1:19" x14ac:dyDescent="0.25">
      <c r="A54" s="48"/>
      <c r="B54" s="48"/>
      <c r="C54" s="6" t="s">
        <v>45</v>
      </c>
      <c r="D54" s="48"/>
      <c r="E54" s="18" t="s">
        <v>43</v>
      </c>
      <c r="F54" s="3">
        <f>L52</f>
        <v>35481.629999999997</v>
      </c>
      <c r="G54" s="1"/>
      <c r="H54" s="3">
        <f>SUM(H52:H53)</f>
        <v>2240</v>
      </c>
      <c r="I54" s="3">
        <f>SUM(I52:I53)</f>
        <v>224</v>
      </c>
      <c r="J54" s="48"/>
      <c r="K54" s="48"/>
      <c r="L54" s="48"/>
      <c r="M54" s="48"/>
      <c r="N54" s="48"/>
      <c r="O54" s="48"/>
      <c r="P54" s="48"/>
      <c r="Q54" s="48"/>
      <c r="R54" s="48"/>
      <c r="S54" s="48"/>
    </row>
    <row r="55" spans="1:19" x14ac:dyDescent="0.25">
      <c r="A55" s="48"/>
      <c r="B55" s="48"/>
      <c r="C55" s="48"/>
      <c r="D55" s="48"/>
      <c r="E55" s="48"/>
      <c r="F55" s="48"/>
      <c r="G55" s="48"/>
      <c r="H55" s="18"/>
      <c r="I55" s="2">
        <f>H54+I54</f>
        <v>2464</v>
      </c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48"/>
      <c r="P56" s="48"/>
      <c r="Q56" s="48"/>
      <c r="R56" s="48"/>
      <c r="S56" s="48"/>
    </row>
    <row r="57" spans="1:19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</row>
    <row r="58" spans="1:19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</row>
    <row r="59" spans="1:19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</row>
    <row r="60" spans="1:19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</row>
    <row r="61" spans="1:19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</row>
    <row r="62" spans="1:19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</row>
    <row r="63" spans="1:19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</row>
    <row r="64" spans="1:19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</row>
    <row r="65" spans="1:19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</row>
    <row r="66" spans="1:19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</row>
    <row r="67" spans="1:19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</row>
    <row r="68" spans="1:19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</row>
    <row r="69" spans="1:19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</row>
    <row r="70" spans="1:19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</row>
    <row r="71" spans="1:19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</row>
    <row r="72" spans="1:19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</row>
    <row r="73" spans="1:19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</row>
    <row r="74" spans="1:19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</row>
    <row r="75" spans="1:19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</row>
    <row r="76" spans="1:19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</row>
    <row r="77" spans="1:19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</row>
    <row r="78" spans="1:19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</row>
    <row r="79" spans="1:19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</row>
    <row r="80" spans="1:19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</row>
    <row r="81" spans="1:19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</row>
    <row r="82" spans="1:19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</row>
    <row r="83" spans="1:19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</row>
    <row r="84" spans="1:19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</row>
    <row r="85" spans="1:19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</row>
    <row r="86" spans="1:19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</row>
    <row r="87" spans="1:19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</row>
    <row r="88" spans="1:19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</row>
    <row r="89" spans="1:19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</row>
    <row r="90" spans="1:19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</row>
    <row r="91" spans="1:19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</row>
    <row r="92" spans="1:19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</row>
    <row r="93" spans="1:19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</row>
    <row r="94" spans="1:19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</row>
    <row r="95" spans="1:19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</row>
    <row r="96" spans="1:19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</row>
    <row r="97" spans="1:19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</row>
    <row r="98" spans="1:19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</row>
    <row r="99" spans="1:19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</row>
    <row r="100" spans="1:19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</row>
    <row r="101" spans="1:19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</row>
    <row r="102" spans="1:19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</row>
    <row r="103" spans="1:19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</row>
    <row r="104" spans="1:19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</row>
    <row r="105" spans="1:19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</row>
    <row r="106" spans="1:19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</row>
    <row r="107" spans="1:19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</row>
    <row r="108" spans="1:19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</row>
    <row r="109" spans="1:19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</row>
    <row r="110" spans="1:19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</row>
    <row r="111" spans="1:19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</row>
    <row r="112" spans="1:19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</row>
    <row r="113" spans="1:19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</row>
    <row r="114" spans="1:19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</row>
    <row r="115" spans="1:19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</row>
    <row r="116" spans="1:19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</row>
    <row r="117" spans="1:19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</row>
    <row r="118" spans="1:19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</row>
    <row r="119" spans="1:19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</row>
    <row r="120" spans="1:19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</row>
    <row r="121" spans="1:19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</row>
    <row r="122" spans="1:19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</row>
    <row r="123" spans="1:19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</row>
    <row r="124" spans="1:19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</row>
    <row r="125" spans="1:19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</row>
    <row r="126" spans="1:19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</row>
    <row r="127" spans="1:19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</row>
    <row r="128" spans="1:19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</row>
    <row r="129" spans="1:19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</row>
    <row r="130" spans="1:19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</row>
    <row r="131" spans="1:19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</row>
    <row r="132" spans="1:19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</row>
    <row r="133" spans="1:19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</row>
    <row r="134" spans="1:19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</row>
    <row r="135" spans="1:19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</row>
    <row r="136" spans="1:19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</row>
    <row r="137" spans="1:19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</row>
    <row r="138" spans="1:19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</row>
    <row r="139" spans="1:19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</row>
    <row r="140" spans="1:19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</row>
    <row r="141" spans="1:19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</row>
    <row r="142" spans="1:19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</row>
    <row r="143" spans="1:19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</row>
    <row r="144" spans="1:19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</row>
    <row r="145" spans="1:19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</row>
    <row r="146" spans="1:19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</row>
    <row r="147" spans="1:19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</row>
    <row r="148" spans="1:19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</row>
    <row r="149" spans="1:19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W9" sqref="W9"/>
    </sheetView>
  </sheetViews>
  <sheetFormatPr defaultRowHeight="15" x14ac:dyDescent="0.25"/>
  <cols>
    <col min="2" max="2" width="37.7109375" bestFit="1" customWidth="1"/>
    <col min="3" max="3" width="11.5703125" bestFit="1" customWidth="1"/>
  </cols>
  <sheetData>
    <row r="1" spans="1:5" ht="28.5" x14ac:dyDescent="0.45">
      <c r="A1" s="59" t="s">
        <v>46</v>
      </c>
      <c r="B1" s="59"/>
      <c r="C1" s="59"/>
      <c r="D1" s="59"/>
      <c r="E1" s="59"/>
    </row>
    <row r="3" spans="1:5" s="48" customFormat="1" x14ac:dyDescent="0.25"/>
    <row r="4" spans="1:5" s="48" customFormat="1" x14ac:dyDescent="0.25">
      <c r="B4" s="48" t="s">
        <v>50</v>
      </c>
      <c r="C4" s="55">
        <v>21950.39</v>
      </c>
    </row>
    <row r="5" spans="1:5" s="48" customFormat="1" x14ac:dyDescent="0.25">
      <c r="B5" s="48" t="s">
        <v>64</v>
      </c>
      <c r="C5" s="55">
        <v>1340.11</v>
      </c>
    </row>
    <row r="6" spans="1:5" s="48" customFormat="1" x14ac:dyDescent="0.25">
      <c r="B6" s="48" t="s">
        <v>23</v>
      </c>
      <c r="C6" s="55">
        <v>2459</v>
      </c>
    </row>
    <row r="7" spans="1:5" s="48" customFormat="1" x14ac:dyDescent="0.25">
      <c r="B7" s="48" t="s">
        <v>89</v>
      </c>
      <c r="C7" s="55">
        <v>2403.02</v>
      </c>
    </row>
    <row r="8" spans="1:5" s="48" customFormat="1" x14ac:dyDescent="0.25">
      <c r="B8" s="48" t="s">
        <v>90</v>
      </c>
      <c r="C8" s="55">
        <v>2705.85</v>
      </c>
    </row>
    <row r="9" spans="1:5" s="48" customFormat="1" x14ac:dyDescent="0.25">
      <c r="B9" s="48" t="s">
        <v>52</v>
      </c>
      <c r="C9" s="55">
        <v>1531.17</v>
      </c>
    </row>
    <row r="10" spans="1:5" s="48" customFormat="1" x14ac:dyDescent="0.25">
      <c r="B10" s="48" t="s">
        <v>51</v>
      </c>
      <c r="C10" s="55">
        <v>7098.09</v>
      </c>
    </row>
    <row r="11" spans="1:5" s="48" customFormat="1" x14ac:dyDescent="0.25">
      <c r="B11" s="48" t="s">
        <v>85</v>
      </c>
      <c r="C11" s="55">
        <v>544.75</v>
      </c>
    </row>
    <row r="12" spans="1:5" s="48" customFormat="1" x14ac:dyDescent="0.25">
      <c r="B12" s="48" t="s">
        <v>86</v>
      </c>
      <c r="C12" s="55">
        <v>1079.0999999999999</v>
      </c>
    </row>
    <row r="13" spans="1:5" x14ac:dyDescent="0.25">
      <c r="B13" s="48" t="s">
        <v>87</v>
      </c>
      <c r="C13" s="55">
        <v>2083.88</v>
      </c>
    </row>
    <row r="14" spans="1:5" x14ac:dyDescent="0.25">
      <c r="B14" s="48" t="s">
        <v>88</v>
      </c>
      <c r="C14" s="55">
        <v>3595.69</v>
      </c>
    </row>
    <row r="15" spans="1:5" s="48" customFormat="1" x14ac:dyDescent="0.25">
      <c r="B15" s="54"/>
      <c r="C15" s="55"/>
    </row>
    <row r="16" spans="1:5" x14ac:dyDescent="0.25">
      <c r="B16" s="7" t="s">
        <v>47</v>
      </c>
      <c r="C16" s="9">
        <f>SUM(C4:C14)</f>
        <v>46791.05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Trust Account Reconciliation</vt:lpstr>
      <vt:lpstr>Unpresented Cheques</vt:lpstr>
      <vt:lpstr>Debit Details</vt:lpstr>
      <vt:lpstr>Still in Account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Zeccola</dc:creator>
  <cp:lastModifiedBy>Stacey Turner</cp:lastModifiedBy>
  <cp:lastPrinted>2022-02-15T06:51:03Z</cp:lastPrinted>
  <dcterms:created xsi:type="dcterms:W3CDTF">2021-11-16T03:26:53Z</dcterms:created>
  <dcterms:modified xsi:type="dcterms:W3CDTF">2022-02-15T06:59:55Z</dcterms:modified>
</cp:coreProperties>
</file>