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90" windowHeight="8340" activeTab="9"/>
  </bookViews>
  <sheets>
    <sheet name="SUMMARY" sheetId="42" r:id="rId1"/>
    <sheet name="PORTFOLIOS" sheetId="43" r:id="rId2"/>
    <sheet name="ZSF_Main" sheetId="35" r:id="rId3"/>
    <sheet name="ZSF E-TR" sheetId="39" r:id="rId4"/>
    <sheet name="ILANA_Main" sheetId="37" r:id="rId5"/>
    <sheet name="ILANA E-TR" sheetId="40" r:id="rId6"/>
    <sheet name="DIVIDENDS" sheetId="29" r:id="rId7"/>
    <sheet name="Trades_ILANA" sheetId="38" r:id="rId8"/>
    <sheet name="Trades_ZSF" sheetId="41" r:id="rId9"/>
    <sheet name="ACTIVITIES" sheetId="34" r:id="rId10"/>
    <sheet name="Sheet1" sheetId="44" r:id="rId11"/>
  </sheets>
  <externalReferences>
    <externalReference r:id="rId12"/>
  </externalReferences>
  <definedNames>
    <definedName name="Max">#REF!</definedName>
    <definedName name="Maxim">#REF!</definedName>
    <definedName name="Origin">#REF!</definedName>
    <definedName name="Peak">#REF!</definedName>
    <definedName name="_xlnm.Print_Area" localSheetId="10">Sheet1!#REF!</definedName>
    <definedName name="_xlnm.Print_Area" localSheetId="0">SUMMARY!$B$4:$E$51</definedName>
    <definedName name="Tot_rent">[1]RENT!$G$8</definedName>
  </definedNames>
  <calcPr calcId="145621"/>
</workbook>
</file>

<file path=xl/calcChain.xml><?xml version="1.0" encoding="utf-8"?>
<calcChain xmlns="http://schemas.openxmlformats.org/spreadsheetml/2006/main">
  <c r="G41" i="42" l="1"/>
  <c r="W21" i="29"/>
  <c r="X21" i="29" s="1"/>
  <c r="C25" i="42"/>
  <c r="C38" i="42"/>
  <c r="C35" i="42"/>
  <c r="C34" i="42"/>
  <c r="C24" i="42"/>
  <c r="C17" i="42"/>
  <c r="C14" i="42"/>
  <c r="C13" i="42"/>
  <c r="P19" i="40"/>
  <c r="P18" i="40"/>
  <c r="P17" i="40"/>
  <c r="P16" i="40"/>
  <c r="P15" i="40"/>
  <c r="P14" i="40"/>
  <c r="P13" i="40"/>
  <c r="M7" i="40"/>
  <c r="L7" i="40"/>
  <c r="K7" i="40"/>
  <c r="J7" i="40"/>
  <c r="I7" i="40"/>
  <c r="C7" i="40"/>
  <c r="F19" i="40"/>
  <c r="E19" i="40"/>
  <c r="F18" i="40"/>
  <c r="E18" i="40"/>
  <c r="F17" i="40"/>
  <c r="E17" i="40"/>
  <c r="F16" i="40"/>
  <c r="E16" i="40"/>
  <c r="F15" i="40"/>
  <c r="E15" i="40"/>
  <c r="F14" i="40"/>
  <c r="E14" i="40"/>
  <c r="F13" i="40"/>
  <c r="E13" i="40"/>
  <c r="O7" i="39"/>
  <c r="N7" i="39"/>
  <c r="U6" i="37"/>
  <c r="T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S6" i="37"/>
  <c r="R6" i="37"/>
  <c r="Q6" i="37"/>
  <c r="P6" i="37"/>
  <c r="O6" i="37"/>
  <c r="N6" i="37"/>
  <c r="M6" i="37"/>
  <c r="L6" i="37"/>
  <c r="K6" i="37"/>
  <c r="J6" i="37"/>
  <c r="I6" i="37"/>
  <c r="F6" i="37"/>
  <c r="G6" i="37"/>
  <c r="E6" i="37"/>
  <c r="C6" i="37"/>
  <c r="F25" i="37"/>
  <c r="E25" i="37"/>
  <c r="G25" i="37" s="1"/>
  <c r="G24" i="37" s="1"/>
  <c r="G23" i="37" s="1"/>
  <c r="G22" i="37" s="1"/>
  <c r="G21" i="37" s="1"/>
  <c r="G20" i="37" s="1"/>
  <c r="G19" i="37" s="1"/>
  <c r="G18" i="37" s="1"/>
  <c r="G17" i="37" s="1"/>
  <c r="G16" i="37" s="1"/>
  <c r="G15" i="37" s="1"/>
  <c r="G14" i="37" s="1"/>
  <c r="G13" i="37" s="1"/>
  <c r="G12" i="37" s="1"/>
  <c r="F24" i="37"/>
  <c r="E24" i="37"/>
  <c r="F23" i="37"/>
  <c r="E23" i="37"/>
  <c r="F22" i="37"/>
  <c r="E22" i="37"/>
  <c r="F21" i="37"/>
  <c r="E21" i="37"/>
  <c r="F20" i="37"/>
  <c r="E20" i="37"/>
  <c r="F19" i="37"/>
  <c r="E19" i="37"/>
  <c r="F18" i="37"/>
  <c r="E18" i="37"/>
  <c r="F17" i="37"/>
  <c r="E17" i="37"/>
  <c r="F16" i="37"/>
  <c r="E16" i="37"/>
  <c r="F15" i="37"/>
  <c r="E15" i="37"/>
  <c r="F14" i="37"/>
  <c r="E14" i="37"/>
  <c r="F13" i="37"/>
  <c r="E13" i="37"/>
  <c r="F12" i="37"/>
  <c r="E12" i="37"/>
  <c r="M7" i="39"/>
  <c r="L7" i="39"/>
  <c r="K7" i="39"/>
  <c r="J7" i="39"/>
  <c r="I7" i="39"/>
  <c r="P48" i="39"/>
  <c r="P47" i="39"/>
  <c r="P42" i="39"/>
  <c r="P36" i="39"/>
  <c r="P35" i="39"/>
  <c r="P31" i="39"/>
  <c r="P28" i="39"/>
  <c r="P26" i="39"/>
  <c r="P22" i="39"/>
  <c r="P19" i="39"/>
  <c r="P18" i="39"/>
  <c r="P13" i="39"/>
  <c r="P41" i="39"/>
  <c r="P33" i="39"/>
  <c r="P40" i="39"/>
  <c r="P23" i="39"/>
  <c r="P53" i="39"/>
  <c r="P32" i="39"/>
  <c r="P34" i="39"/>
  <c r="P52" i="39"/>
  <c r="P43" i="39"/>
  <c r="P45" i="39"/>
  <c r="P24" i="39"/>
  <c r="P14" i="39"/>
  <c r="P25" i="39"/>
  <c r="P46" i="39"/>
  <c r="P39" i="39"/>
  <c r="P17" i="39"/>
  <c r="P51" i="39"/>
  <c r="P50" i="39"/>
  <c r="P44" i="39"/>
  <c r="P29" i="39"/>
  <c r="P27" i="39"/>
  <c r="P16" i="39"/>
  <c r="P49" i="39"/>
  <c r="P38" i="39"/>
  <c r="P30" i="39"/>
  <c r="P15" i="39"/>
  <c r="P21" i="39"/>
  <c r="P37" i="39"/>
  <c r="P20" i="39"/>
  <c r="C7" i="39"/>
  <c r="F53" i="39"/>
  <c r="E53" i="39"/>
  <c r="F52" i="39"/>
  <c r="E52" i="39"/>
  <c r="F49" i="39"/>
  <c r="E49" i="39"/>
  <c r="F51" i="39"/>
  <c r="E51" i="39"/>
  <c r="F50" i="39"/>
  <c r="E50" i="39"/>
  <c r="F48" i="39"/>
  <c r="E48" i="39"/>
  <c r="F47" i="39"/>
  <c r="E47" i="39"/>
  <c r="F46" i="39"/>
  <c r="E46" i="39"/>
  <c r="F45" i="39"/>
  <c r="E45" i="39"/>
  <c r="F44" i="39"/>
  <c r="E44" i="39"/>
  <c r="F43" i="39"/>
  <c r="E43" i="39"/>
  <c r="F41" i="39"/>
  <c r="E41" i="39"/>
  <c r="F40" i="39"/>
  <c r="E40" i="39"/>
  <c r="F42" i="39"/>
  <c r="E42" i="39"/>
  <c r="F39" i="39"/>
  <c r="E39" i="39"/>
  <c r="F37" i="39"/>
  <c r="E37" i="39"/>
  <c r="F38" i="39"/>
  <c r="E38" i="39"/>
  <c r="F36" i="39"/>
  <c r="E36" i="39"/>
  <c r="F35" i="39"/>
  <c r="E35" i="39"/>
  <c r="F34" i="39"/>
  <c r="E34" i="39"/>
  <c r="F33" i="39"/>
  <c r="E33" i="39"/>
  <c r="F32" i="39"/>
  <c r="E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1" i="39"/>
  <c r="E21" i="39"/>
  <c r="F22" i="39"/>
  <c r="E22" i="39"/>
  <c r="F20" i="39"/>
  <c r="E20" i="39"/>
  <c r="F19" i="39"/>
  <c r="E19" i="39"/>
  <c r="F18" i="39"/>
  <c r="E18" i="39"/>
  <c r="F17" i="39"/>
  <c r="E17" i="39"/>
  <c r="F15" i="39"/>
  <c r="E15" i="39"/>
  <c r="F16" i="39"/>
  <c r="E16" i="39"/>
  <c r="F14" i="39"/>
  <c r="E14" i="39"/>
  <c r="F13" i="39"/>
  <c r="E13" i="39"/>
  <c r="Q7" i="35"/>
  <c r="P7" i="35"/>
  <c r="O7" i="35"/>
  <c r="N7" i="35"/>
  <c r="M7" i="35"/>
  <c r="L7" i="35"/>
  <c r="K7" i="35"/>
  <c r="J7" i="35"/>
  <c r="I7" i="35"/>
  <c r="G7" i="35"/>
  <c r="F7" i="35"/>
  <c r="E7" i="35"/>
  <c r="C7" i="35"/>
  <c r="R21" i="35"/>
  <c r="R20" i="35"/>
  <c r="R19" i="35"/>
  <c r="R18" i="35"/>
  <c r="R17" i="35"/>
  <c r="R16" i="35"/>
  <c r="R15" i="35"/>
  <c r="R14" i="35"/>
  <c r="R13" i="35"/>
  <c r="R12" i="35"/>
  <c r="F15" i="35"/>
  <c r="E15" i="35"/>
  <c r="G15" i="35" s="1"/>
  <c r="G14" i="35" s="1"/>
  <c r="G13" i="35" s="1"/>
  <c r="G12" i="35" s="1"/>
  <c r="F14" i="35"/>
  <c r="E14" i="35"/>
  <c r="F13" i="35"/>
  <c r="E13" i="35"/>
  <c r="F12" i="35"/>
  <c r="E12" i="35"/>
  <c r="C15" i="42" l="1"/>
  <c r="E7" i="39"/>
  <c r="F7" i="39"/>
  <c r="N35" i="43"/>
  <c r="N37" i="43"/>
  <c r="N23" i="43"/>
  <c r="O45" i="38" l="1"/>
  <c r="N45" i="38"/>
  <c r="O44" i="38"/>
  <c r="O46" i="38" s="1"/>
  <c r="P46" i="38" s="1"/>
  <c r="N44" i="38"/>
  <c r="N46" i="38" s="1"/>
  <c r="O22" i="38"/>
  <c r="N22" i="38"/>
  <c r="O21" i="38"/>
  <c r="N21" i="38"/>
  <c r="O20" i="38"/>
  <c r="N20" i="38"/>
  <c r="O19" i="38"/>
  <c r="N19" i="38"/>
  <c r="O18" i="38"/>
  <c r="N18" i="38"/>
  <c r="O17" i="38"/>
  <c r="N17" i="38"/>
  <c r="O16" i="38"/>
  <c r="N16" i="38"/>
  <c r="O15" i="38"/>
  <c r="N15" i="38"/>
  <c r="O14" i="38"/>
  <c r="N14" i="38"/>
  <c r="O13" i="38"/>
  <c r="N13" i="38"/>
  <c r="O12" i="38"/>
  <c r="O23" i="38" s="1"/>
  <c r="N12" i="38"/>
  <c r="N23" i="38" s="1"/>
  <c r="P23" i="38" l="1"/>
  <c r="O35" i="41"/>
  <c r="N35" i="41"/>
  <c r="O34" i="41"/>
  <c r="O36" i="41" s="1"/>
  <c r="N34" i="41"/>
  <c r="O30" i="41"/>
  <c r="N30" i="41"/>
  <c r="O29" i="41"/>
  <c r="N29" i="41"/>
  <c r="O28" i="41"/>
  <c r="N28" i="41"/>
  <c r="N27" i="41"/>
  <c r="N36" i="41"/>
  <c r="L27" i="41"/>
  <c r="O27" i="41" s="1"/>
  <c r="O20" i="41"/>
  <c r="N20" i="41"/>
  <c r="O19" i="41"/>
  <c r="N19" i="41"/>
  <c r="O18" i="41"/>
  <c r="N18" i="41"/>
  <c r="O17" i="41"/>
  <c r="N17" i="41"/>
  <c r="O16" i="41"/>
  <c r="N16" i="41"/>
  <c r="O15" i="41"/>
  <c r="N15" i="41"/>
  <c r="O14" i="41"/>
  <c r="N14" i="41"/>
  <c r="O13" i="41"/>
  <c r="N13" i="41"/>
  <c r="O12" i="41"/>
  <c r="N12" i="41"/>
  <c r="O11" i="41"/>
  <c r="O8" i="41" s="1"/>
  <c r="N11" i="41"/>
  <c r="P36" i="41" l="1"/>
  <c r="N21" i="41"/>
  <c r="O31" i="41"/>
  <c r="N31" i="41"/>
  <c r="O21" i="41"/>
  <c r="N8" i="41"/>
  <c r="P8" i="41" s="1"/>
  <c r="C50" i="42"/>
  <c r="C49" i="42"/>
  <c r="P31" i="41" l="1"/>
  <c r="P21" i="41"/>
  <c r="C36" i="42"/>
  <c r="C51" i="42"/>
  <c r="G15" i="34"/>
  <c r="G27" i="34"/>
  <c r="O40" i="41"/>
  <c r="N40" i="41"/>
  <c r="O39" i="41"/>
  <c r="N39" i="41"/>
  <c r="O38" i="41"/>
  <c r="N38" i="41"/>
  <c r="N88" i="41"/>
  <c r="N41" i="41" l="1"/>
  <c r="O41" i="41"/>
  <c r="P41" i="41" s="1"/>
  <c r="P43" i="41" s="1"/>
  <c r="O40" i="38"/>
  <c r="N40" i="38"/>
  <c r="O39" i="38"/>
  <c r="N39" i="38"/>
  <c r="O41" i="38"/>
  <c r="N41" i="38"/>
  <c r="O35" i="38"/>
  <c r="N35" i="38"/>
  <c r="O36" i="38"/>
  <c r="N36" i="38"/>
  <c r="O29" i="38"/>
  <c r="N29" i="38"/>
  <c r="O30" i="38"/>
  <c r="N30" i="38"/>
  <c r="O42" i="38" l="1"/>
  <c r="P42" i="38" s="1"/>
  <c r="N42" i="38"/>
  <c r="N37" i="38"/>
  <c r="N31" i="38"/>
  <c r="O31" i="38"/>
  <c r="P31" i="38" s="1"/>
  <c r="P48" i="38" s="1"/>
  <c r="O37" i="38"/>
  <c r="P37" i="38" s="1"/>
  <c r="X28" i="29"/>
  <c r="W28" i="29"/>
  <c r="S28" i="29"/>
  <c r="R28" i="29"/>
  <c r="R29" i="29" s="1"/>
  <c r="N28" i="29"/>
  <c r="M28" i="29"/>
  <c r="M29" i="29" s="1"/>
  <c r="W51" i="29"/>
  <c r="S51" i="29"/>
  <c r="R51" i="29"/>
  <c r="R52" i="29" s="1"/>
  <c r="N51" i="29"/>
  <c r="M51" i="29"/>
  <c r="B44" i="29"/>
  <c r="B43" i="29"/>
  <c r="AA26" i="29"/>
  <c r="Z26" i="29"/>
  <c r="AA25" i="29"/>
  <c r="Z25" i="29"/>
  <c r="AA24" i="29"/>
  <c r="Z24" i="29"/>
  <c r="Z23" i="29"/>
  <c r="AA22" i="29"/>
  <c r="Z22" i="29"/>
  <c r="AB22" i="29" s="1"/>
  <c r="AA21" i="29"/>
  <c r="Z21" i="29"/>
  <c r="AA20" i="29"/>
  <c r="Z20" i="29"/>
  <c r="AB20" i="29" s="1"/>
  <c r="AA19" i="29"/>
  <c r="Z19" i="29"/>
  <c r="AB19" i="29" s="1"/>
  <c r="AA18" i="29"/>
  <c r="Z18" i="29"/>
  <c r="AB18" i="29" s="1"/>
  <c r="AA17" i="29"/>
  <c r="Z17" i="29"/>
  <c r="AB17" i="29" s="1"/>
  <c r="AA16" i="29"/>
  <c r="Z16" i="29"/>
  <c r="AB16" i="29" s="1"/>
  <c r="AA15" i="29"/>
  <c r="Z15" i="29"/>
  <c r="AB15" i="29" s="1"/>
  <c r="AA14" i="29"/>
  <c r="Z14" i="29"/>
  <c r="AB14" i="29" s="1"/>
  <c r="AA49" i="29"/>
  <c r="Z49" i="29"/>
  <c r="AB49" i="29" s="1"/>
  <c r="AA48" i="29"/>
  <c r="Z48" i="29"/>
  <c r="AB48" i="29" s="1"/>
  <c r="AA47" i="29"/>
  <c r="Z47" i="29"/>
  <c r="AB47" i="29" s="1"/>
  <c r="Z46" i="29"/>
  <c r="AA45" i="29"/>
  <c r="Z45" i="29"/>
  <c r="AB45" i="29" s="1"/>
  <c r="AA44" i="29"/>
  <c r="Z44" i="29"/>
  <c r="AB44" i="29" s="1"/>
  <c r="AA43" i="29"/>
  <c r="Z43" i="29"/>
  <c r="AB24" i="29" l="1"/>
  <c r="AB25" i="29"/>
  <c r="AB26" i="29"/>
  <c r="W29" i="29"/>
  <c r="AB21" i="29"/>
  <c r="Z28" i="29"/>
  <c r="Z31" i="29" s="1"/>
  <c r="C19" i="42" s="1"/>
  <c r="Z51" i="29"/>
  <c r="Z54" i="29" s="1"/>
  <c r="C40" i="42" s="1"/>
  <c r="P52" i="38"/>
  <c r="AB43" i="29"/>
  <c r="M52" i="29"/>
  <c r="B23" i="29"/>
  <c r="B24" i="29" s="1"/>
  <c r="B25" i="29" s="1"/>
  <c r="B26" i="29" s="1"/>
  <c r="M46" i="29"/>
  <c r="P50" i="40" l="1"/>
  <c r="P48" i="40"/>
  <c r="P46" i="40"/>
  <c r="P42" i="40"/>
  <c r="P41" i="40"/>
  <c r="P36" i="40"/>
  <c r="P31" i="40"/>
  <c r="P30" i="40"/>
  <c r="P26" i="40"/>
  <c r="P21" i="40"/>
  <c r="P45" i="40"/>
  <c r="P39" i="40"/>
  <c r="P44" i="40"/>
  <c r="P27" i="40"/>
  <c r="P40" i="40"/>
  <c r="P51" i="40"/>
  <c r="P47" i="40"/>
  <c r="P28" i="40"/>
  <c r="P43" i="40"/>
  <c r="P25" i="40"/>
  <c r="P35" i="40"/>
  <c r="P29" i="40"/>
  <c r="P22" i="40"/>
  <c r="P49" i="40"/>
  <c r="P38" i="40"/>
  <c r="P33" i="40"/>
  <c r="P32" i="40"/>
  <c r="P24" i="40"/>
  <c r="P20" i="40"/>
  <c r="P37" i="40"/>
  <c r="P34" i="40"/>
  <c r="P23" i="40"/>
  <c r="F55" i="40"/>
  <c r="E55" i="40"/>
  <c r="F51" i="40"/>
  <c r="E51" i="40"/>
  <c r="F50" i="40"/>
  <c r="E50" i="40"/>
  <c r="F49" i="40"/>
  <c r="E49" i="40"/>
  <c r="F48" i="40"/>
  <c r="E48" i="40"/>
  <c r="F47" i="40"/>
  <c r="E47" i="40"/>
  <c r="F45" i="40"/>
  <c r="E45" i="40"/>
  <c r="F44" i="40"/>
  <c r="E44" i="40"/>
  <c r="F46" i="40"/>
  <c r="E46" i="40"/>
  <c r="F43" i="40"/>
  <c r="E43" i="40"/>
  <c r="F42" i="40"/>
  <c r="E42" i="40"/>
  <c r="F41" i="40"/>
  <c r="E41" i="40"/>
  <c r="F40" i="40"/>
  <c r="E40" i="40"/>
  <c r="F39" i="40"/>
  <c r="E39" i="40"/>
  <c r="F38" i="40"/>
  <c r="E38" i="40"/>
  <c r="F37" i="40"/>
  <c r="E37" i="40"/>
  <c r="F36" i="40"/>
  <c r="E36" i="40"/>
  <c r="F35" i="40"/>
  <c r="E35" i="40"/>
  <c r="F34" i="40"/>
  <c r="E34" i="40"/>
  <c r="F33" i="40"/>
  <c r="E33" i="40"/>
  <c r="F32" i="40"/>
  <c r="E32" i="40"/>
  <c r="F31" i="40"/>
  <c r="E31" i="40"/>
  <c r="F30" i="40"/>
  <c r="E30" i="40"/>
  <c r="F29" i="40"/>
  <c r="E29" i="40"/>
  <c r="F28" i="40"/>
  <c r="E28" i="40"/>
  <c r="F27" i="40"/>
  <c r="E27" i="40"/>
  <c r="F26" i="40"/>
  <c r="E26" i="40"/>
  <c r="F25" i="40"/>
  <c r="E25" i="40"/>
  <c r="F23" i="40"/>
  <c r="E23" i="40"/>
  <c r="F24" i="40"/>
  <c r="E24" i="40"/>
  <c r="F22" i="40"/>
  <c r="E22" i="40"/>
  <c r="F21" i="40"/>
  <c r="E21" i="40"/>
  <c r="F20" i="40"/>
  <c r="F7" i="40" s="1"/>
  <c r="E20" i="40"/>
  <c r="E7" i="40" s="1"/>
  <c r="E56" i="40"/>
  <c r="F56" i="40"/>
  <c r="N56" i="40"/>
  <c r="E57" i="40"/>
  <c r="F57" i="40"/>
  <c r="N57" i="40"/>
  <c r="G7" i="40" l="1"/>
  <c r="V69" i="37"/>
  <c r="V52" i="37"/>
  <c r="V36" i="37"/>
  <c r="V55" i="37"/>
  <c r="V28" i="37"/>
  <c r="V81" i="37"/>
  <c r="V107" i="37"/>
  <c r="V90" i="37"/>
  <c r="V114" i="37"/>
  <c r="V85" i="37"/>
  <c r="V84" i="37"/>
  <c r="V127" i="37"/>
  <c r="V111" i="37"/>
  <c r="V75" i="37"/>
  <c r="V96" i="37"/>
  <c r="V40" i="37"/>
  <c r="V58" i="37"/>
  <c r="V109" i="37"/>
  <c r="V108" i="37"/>
  <c r="V44" i="37"/>
  <c r="V43" i="37"/>
  <c r="V99" i="37"/>
  <c r="V27" i="37"/>
  <c r="V95" i="37"/>
  <c r="V100" i="37"/>
  <c r="V124" i="37"/>
  <c r="V33" i="37"/>
  <c r="V32" i="37"/>
  <c r="V86" i="37"/>
  <c r="V51" i="37"/>
  <c r="V50" i="37"/>
  <c r="V106" i="37"/>
  <c r="V88" i="37"/>
  <c r="V68" i="37"/>
  <c r="V67" i="37"/>
  <c r="V47" i="37"/>
  <c r="V62" i="37"/>
  <c r="V73" i="37"/>
  <c r="V104" i="37"/>
  <c r="V63" i="37"/>
  <c r="V126" i="37"/>
  <c r="V119" i="37"/>
  <c r="V118" i="37"/>
  <c r="V65" i="37"/>
  <c r="V70" i="37"/>
  <c r="V38" i="37"/>
  <c r="V74" i="37"/>
  <c r="V117" i="37"/>
  <c r="V42" i="37"/>
  <c r="V41" i="37"/>
  <c r="V105" i="37"/>
  <c r="V87" i="37"/>
  <c r="V125" i="37"/>
  <c r="V112" i="37"/>
  <c r="V78" i="37"/>
  <c r="V98" i="37"/>
  <c r="V35" i="37"/>
  <c r="V120" i="37"/>
  <c r="V64" i="37"/>
  <c r="V94" i="37"/>
  <c r="V89" i="37"/>
  <c r="V26" i="37"/>
  <c r="V110" i="37"/>
  <c r="V57" i="37"/>
  <c r="V93" i="37"/>
  <c r="V30" i="37"/>
  <c r="V60" i="37"/>
  <c r="V113" i="37"/>
  <c r="V92" i="37"/>
  <c r="V97" i="37"/>
  <c r="V80" i="37"/>
  <c r="V56" i="37"/>
  <c r="V103" i="37"/>
  <c r="V102" i="37"/>
  <c r="V72" i="37"/>
  <c r="V71" i="37"/>
  <c r="V46" i="37"/>
  <c r="V45" i="37"/>
  <c r="V123" i="37"/>
  <c r="V122" i="37"/>
  <c r="V77" i="37"/>
  <c r="V76" i="37"/>
  <c r="V54" i="37"/>
  <c r="V53" i="37"/>
  <c r="V116" i="37"/>
  <c r="V115" i="37"/>
  <c r="V66" i="37"/>
  <c r="V49" i="37"/>
  <c r="V31" i="37"/>
  <c r="V34" i="37"/>
  <c r="V48" i="37"/>
  <c r="V39" i="37"/>
  <c r="V37" i="37"/>
  <c r="V29" i="37"/>
  <c r="V121" i="37"/>
  <c r="V101" i="37"/>
  <c r="V91" i="37"/>
  <c r="V83" i="37"/>
  <c r="V82" i="37"/>
  <c r="V79" i="37"/>
  <c r="V61" i="37"/>
  <c r="V59" i="37"/>
  <c r="C44" i="42"/>
  <c r="E38" i="37"/>
  <c r="F38" i="37"/>
  <c r="E70" i="37"/>
  <c r="F70" i="37"/>
  <c r="E65" i="37"/>
  <c r="F65" i="37"/>
  <c r="E118" i="37"/>
  <c r="F118" i="37"/>
  <c r="E119" i="37"/>
  <c r="F119" i="37"/>
  <c r="E126" i="37"/>
  <c r="F126" i="37"/>
  <c r="E63" i="37"/>
  <c r="F63" i="37"/>
  <c r="E104" i="37"/>
  <c r="F104" i="37"/>
  <c r="E73" i="37"/>
  <c r="F73" i="37"/>
  <c r="E62" i="37"/>
  <c r="F62" i="37"/>
  <c r="E47" i="37"/>
  <c r="F47" i="37"/>
  <c r="E67" i="37"/>
  <c r="F67" i="37"/>
  <c r="E68" i="37"/>
  <c r="F68" i="37"/>
  <c r="E88" i="37"/>
  <c r="F88" i="37"/>
  <c r="E106" i="37"/>
  <c r="F106" i="37"/>
  <c r="E50" i="37"/>
  <c r="F50" i="37"/>
  <c r="E51" i="37"/>
  <c r="F51" i="37"/>
  <c r="E86" i="37"/>
  <c r="F86" i="37"/>
  <c r="E32" i="37"/>
  <c r="F32" i="37"/>
  <c r="E33" i="37"/>
  <c r="F33" i="37"/>
  <c r="E124" i="37"/>
  <c r="F124" i="37"/>
  <c r="E100" i="37"/>
  <c r="F100" i="37"/>
  <c r="E95" i="37"/>
  <c r="F95" i="37"/>
  <c r="E27" i="37"/>
  <c r="F27" i="37"/>
  <c r="E74" i="37"/>
  <c r="F74" i="37"/>
  <c r="F139" i="37" l="1"/>
  <c r="E139" i="37"/>
  <c r="F138" i="37"/>
  <c r="E138" i="37"/>
  <c r="F137" i="37"/>
  <c r="E137" i="37"/>
  <c r="F136" i="37"/>
  <c r="E136" i="37"/>
  <c r="F135" i="37"/>
  <c r="E135" i="37"/>
  <c r="F134" i="37"/>
  <c r="E134" i="37"/>
  <c r="F133" i="37"/>
  <c r="E133" i="37"/>
  <c r="F132" i="37"/>
  <c r="E132" i="37"/>
  <c r="F131" i="37"/>
  <c r="E131" i="37"/>
  <c r="F127" i="37" l="1"/>
  <c r="E127" i="37"/>
  <c r="F125" i="37"/>
  <c r="E125" i="37"/>
  <c r="F123" i="37"/>
  <c r="E123" i="37"/>
  <c r="F122" i="37"/>
  <c r="E122" i="37"/>
  <c r="F121" i="37"/>
  <c r="E121" i="37"/>
  <c r="F120" i="37"/>
  <c r="E120" i="37"/>
  <c r="F116" i="37"/>
  <c r="E116" i="37"/>
  <c r="F115" i="37"/>
  <c r="E115" i="37"/>
  <c r="F117" i="37"/>
  <c r="E117" i="37"/>
  <c r="F114" i="37"/>
  <c r="E114" i="37"/>
  <c r="F113" i="37"/>
  <c r="E113" i="37"/>
  <c r="F112" i="37"/>
  <c r="E112" i="37"/>
  <c r="F111" i="37"/>
  <c r="E111" i="37"/>
  <c r="F110" i="37"/>
  <c r="E110" i="37"/>
  <c r="F108" i="37"/>
  <c r="E108" i="37"/>
  <c r="F109" i="37"/>
  <c r="E109" i="37"/>
  <c r="F107" i="37"/>
  <c r="E107" i="37"/>
  <c r="F105" i="37"/>
  <c r="E105" i="37"/>
  <c r="F103" i="37"/>
  <c r="E103" i="37"/>
  <c r="F102" i="37"/>
  <c r="E102" i="37"/>
  <c r="F101" i="37"/>
  <c r="E101" i="37"/>
  <c r="F99" i="37"/>
  <c r="E99" i="37"/>
  <c r="F98" i="37"/>
  <c r="E98" i="37"/>
  <c r="F97" i="37"/>
  <c r="E97" i="37"/>
  <c r="F96" i="37"/>
  <c r="E96" i="37"/>
  <c r="F94" i="37"/>
  <c r="E94" i="37"/>
  <c r="F93" i="37"/>
  <c r="E93" i="37"/>
  <c r="F92" i="37"/>
  <c r="E92" i="37"/>
  <c r="F91" i="37"/>
  <c r="E91" i="37"/>
  <c r="F90" i="37"/>
  <c r="E90" i="37"/>
  <c r="F89" i="37"/>
  <c r="E89" i="37"/>
  <c r="F87" i="37"/>
  <c r="E87" i="37"/>
  <c r="F83" i="37"/>
  <c r="E83" i="37"/>
  <c r="F84" i="37"/>
  <c r="E84" i="37"/>
  <c r="F85" i="37"/>
  <c r="E85" i="37"/>
  <c r="F82" i="37"/>
  <c r="E82" i="37"/>
  <c r="F80" i="37"/>
  <c r="E80" i="37"/>
  <c r="F81" i="37"/>
  <c r="E81" i="37"/>
  <c r="F79" i="37"/>
  <c r="E79" i="37"/>
  <c r="F77" i="37"/>
  <c r="E77" i="37"/>
  <c r="F76" i="37"/>
  <c r="E76" i="37"/>
  <c r="F78" i="37"/>
  <c r="E78" i="37"/>
  <c r="F75" i="37"/>
  <c r="E75" i="37"/>
  <c r="F72" i="37"/>
  <c r="E72" i="37"/>
  <c r="F71" i="37"/>
  <c r="E71" i="37"/>
  <c r="F66" i="37"/>
  <c r="E66" i="37"/>
  <c r="F69" i="37"/>
  <c r="E69" i="37"/>
  <c r="F64" i="37"/>
  <c r="E64" i="37"/>
  <c r="F61" i="37"/>
  <c r="E61" i="37"/>
  <c r="F60" i="37"/>
  <c r="E60" i="37"/>
  <c r="F59" i="37"/>
  <c r="E59" i="37"/>
  <c r="F58" i="37"/>
  <c r="E58" i="37"/>
  <c r="F57" i="37"/>
  <c r="E57" i="37"/>
  <c r="F56" i="37"/>
  <c r="E56" i="37"/>
  <c r="F55" i="37"/>
  <c r="E55" i="37"/>
  <c r="F54" i="37"/>
  <c r="E54" i="37"/>
  <c r="F53" i="37"/>
  <c r="E53" i="37"/>
  <c r="F52" i="37"/>
  <c r="E52" i="37"/>
  <c r="F49" i="37"/>
  <c r="E49" i="37"/>
  <c r="F48" i="37"/>
  <c r="E48" i="37"/>
  <c r="F46" i="37"/>
  <c r="E46" i="37"/>
  <c r="F45" i="37"/>
  <c r="E45" i="37"/>
  <c r="F43" i="37"/>
  <c r="E43" i="37"/>
  <c r="F44" i="37"/>
  <c r="E44" i="37"/>
  <c r="F42" i="37"/>
  <c r="E42" i="37"/>
  <c r="F41" i="37"/>
  <c r="E41" i="37"/>
  <c r="F40" i="37"/>
  <c r="E40" i="37"/>
  <c r="F39" i="37"/>
  <c r="E39" i="37"/>
  <c r="F37" i="37"/>
  <c r="E37" i="37"/>
  <c r="F36" i="37"/>
  <c r="E36" i="37"/>
  <c r="F35" i="37"/>
  <c r="E35" i="37"/>
  <c r="F34" i="37"/>
  <c r="E34" i="37"/>
  <c r="F31" i="37"/>
  <c r="E31" i="37"/>
  <c r="F30" i="37"/>
  <c r="E30" i="37"/>
  <c r="F29" i="37"/>
  <c r="E29" i="37"/>
  <c r="F28" i="37"/>
  <c r="E28" i="37"/>
  <c r="F26" i="37"/>
  <c r="E26" i="37"/>
  <c r="F57" i="39" l="1"/>
  <c r="E57" i="39"/>
  <c r="R7" i="35" l="1"/>
  <c r="F20" i="35"/>
  <c r="E20" i="35"/>
  <c r="F19" i="35"/>
  <c r="E19" i="35"/>
  <c r="F18" i="35"/>
  <c r="E18" i="35"/>
  <c r="F17" i="35"/>
  <c r="E17" i="35"/>
  <c r="F16" i="35"/>
  <c r="E16" i="35"/>
  <c r="F21" i="35"/>
  <c r="E21" i="35"/>
  <c r="F40" i="35"/>
  <c r="E40" i="35"/>
  <c r="F39" i="35"/>
  <c r="E39" i="35"/>
  <c r="F38" i="35"/>
  <c r="E38" i="35"/>
  <c r="F37" i="35"/>
  <c r="E37" i="35"/>
  <c r="F36" i="35"/>
  <c r="E36" i="35"/>
  <c r="F35" i="35"/>
  <c r="E35" i="35"/>
  <c r="F34" i="35"/>
  <c r="E34" i="35"/>
  <c r="F33" i="35"/>
  <c r="E33" i="35"/>
  <c r="F32" i="35"/>
  <c r="E32" i="35"/>
  <c r="F31" i="35"/>
  <c r="E31" i="35"/>
  <c r="F30" i="35"/>
  <c r="E30" i="35"/>
  <c r="F29" i="35"/>
  <c r="E29" i="35"/>
  <c r="F28" i="35"/>
  <c r="E28" i="35"/>
  <c r="F27" i="35"/>
  <c r="E27" i="35"/>
  <c r="F26" i="35"/>
  <c r="E26" i="35"/>
  <c r="F25" i="35"/>
  <c r="E25" i="35"/>
  <c r="G7" i="39" l="1"/>
  <c r="G21" i="35"/>
  <c r="G20" i="35" s="1"/>
  <c r="G19" i="35" s="1"/>
  <c r="G18" i="35" s="1"/>
  <c r="G17" i="35" s="1"/>
  <c r="G16" i="35" s="1"/>
  <c r="AA46" i="29" l="1"/>
  <c r="X51" i="29"/>
  <c r="W52" i="29" s="1"/>
  <c r="H44" i="29"/>
  <c r="I44" i="29" s="1"/>
  <c r="N46" i="29"/>
  <c r="N42" i="29"/>
  <c r="M18" i="29"/>
  <c r="N18" i="29" s="1"/>
  <c r="M23" i="29"/>
  <c r="N23" i="29" s="1"/>
  <c r="AB46" i="29" l="1"/>
  <c r="AA51" i="29"/>
  <c r="AB51" i="29" s="1"/>
  <c r="AB53" i="29" s="1"/>
  <c r="Z13" i="29"/>
  <c r="R25" i="29"/>
  <c r="R49" i="29" l="1"/>
  <c r="H19" i="29" l="1"/>
  <c r="I19" i="29" s="1"/>
  <c r="N26" i="29" l="1"/>
  <c r="N22" i="29"/>
  <c r="N20" i="29"/>
  <c r="N14" i="29"/>
  <c r="N13" i="29"/>
  <c r="AA13" i="29" s="1"/>
  <c r="AB13" i="29" s="1"/>
  <c r="H15" i="29"/>
  <c r="H45" i="29" l="1"/>
  <c r="H43" i="29"/>
  <c r="H42" i="29"/>
  <c r="M48" i="29"/>
  <c r="M44" i="29"/>
  <c r="N44" i="29" s="1"/>
  <c r="M25" i="29"/>
  <c r="N25" i="29" l="1"/>
  <c r="N48" i="29"/>
  <c r="I43" i="29"/>
  <c r="Z42" i="29"/>
  <c r="I42" i="29"/>
  <c r="AA42" i="29" s="1"/>
  <c r="T137" i="37"/>
  <c r="T135" i="37"/>
  <c r="T134" i="37"/>
  <c r="T133" i="37"/>
  <c r="T132" i="37"/>
  <c r="T131" i="37"/>
  <c r="A54" i="41" l="1"/>
  <c r="A55" i="41" s="1"/>
  <c r="A56" i="41" s="1"/>
  <c r="N67" i="40" l="1"/>
  <c r="N63" i="40"/>
  <c r="N59" i="40"/>
  <c r="N62" i="40"/>
  <c r="N64" i="40"/>
  <c r="N61" i="40"/>
  <c r="N60" i="40"/>
  <c r="N58" i="40"/>
  <c r="N66" i="40"/>
  <c r="N65" i="40"/>
  <c r="F67" i="40"/>
  <c r="E67" i="40"/>
  <c r="F66" i="40"/>
  <c r="E66" i="40"/>
  <c r="F65" i="40"/>
  <c r="E65" i="40"/>
  <c r="F64" i="40"/>
  <c r="E64" i="40"/>
  <c r="F62" i="40"/>
  <c r="E62" i="40"/>
  <c r="F63" i="40"/>
  <c r="E63" i="40"/>
  <c r="F61" i="40"/>
  <c r="E61" i="40"/>
  <c r="F60" i="40"/>
  <c r="E60" i="40"/>
  <c r="F59" i="40"/>
  <c r="E59" i="40"/>
  <c r="F58" i="40"/>
  <c r="E58" i="40"/>
  <c r="F141" i="37"/>
  <c r="E141" i="37"/>
  <c r="F140" i="37"/>
  <c r="E140" i="37"/>
  <c r="G140" i="37" l="1"/>
  <c r="G139" i="37" s="1"/>
  <c r="G138" i="37" s="1"/>
  <c r="G137" i="37" s="1"/>
  <c r="G136" i="37" s="1"/>
  <c r="G135" i="37" s="1"/>
  <c r="G134" i="37" s="1"/>
  <c r="G133" i="37" s="1"/>
  <c r="G132" i="37" s="1"/>
  <c r="G131" i="37" s="1"/>
  <c r="N7" i="40"/>
  <c r="O7" i="40" s="1"/>
  <c r="T141" i="37"/>
  <c r="T140" i="37"/>
  <c r="T139" i="37"/>
  <c r="T138" i="37"/>
  <c r="T136" i="37"/>
  <c r="O69" i="39"/>
  <c r="O77" i="39"/>
  <c r="O76" i="39"/>
  <c r="O75" i="39"/>
  <c r="O74" i="39"/>
  <c r="O73" i="39"/>
  <c r="O72" i="39"/>
  <c r="O71" i="39"/>
  <c r="O70" i="39"/>
  <c r="O68" i="39"/>
  <c r="O67" i="39"/>
  <c r="O66" i="39"/>
  <c r="O65" i="39"/>
  <c r="O64" i="39"/>
  <c r="O63" i="39"/>
  <c r="O62" i="39"/>
  <c r="O61" i="39"/>
  <c r="O60" i="39"/>
  <c r="O59" i="39"/>
  <c r="O58" i="39"/>
  <c r="F77" i="39"/>
  <c r="E77" i="39"/>
  <c r="F76" i="39"/>
  <c r="E76" i="39"/>
  <c r="F75" i="39"/>
  <c r="E75" i="39"/>
  <c r="F74" i="39"/>
  <c r="E74" i="39"/>
  <c r="F73" i="39"/>
  <c r="E73" i="39"/>
  <c r="F72" i="39"/>
  <c r="E72" i="39"/>
  <c r="F71" i="39"/>
  <c r="E71" i="39"/>
  <c r="F70" i="39"/>
  <c r="E70" i="39"/>
  <c r="F69" i="39"/>
  <c r="E69" i="39"/>
  <c r="F68" i="39"/>
  <c r="E68" i="39"/>
  <c r="F67" i="39"/>
  <c r="E67" i="39"/>
  <c r="F66" i="39"/>
  <c r="E66" i="39"/>
  <c r="F65" i="39"/>
  <c r="E65" i="39"/>
  <c r="F64" i="39"/>
  <c r="E64" i="39"/>
  <c r="F63" i="39"/>
  <c r="E63" i="39"/>
  <c r="F62" i="39"/>
  <c r="E62" i="39"/>
  <c r="F61" i="39"/>
  <c r="E61" i="39"/>
  <c r="F60" i="39"/>
  <c r="E60" i="39"/>
  <c r="F59" i="39"/>
  <c r="E59" i="39"/>
  <c r="F58" i="39"/>
  <c r="E58" i="39"/>
  <c r="R42" i="35"/>
  <c r="R41" i="35"/>
  <c r="R40" i="35"/>
  <c r="R39" i="35"/>
  <c r="R38" i="35"/>
  <c r="R37" i="35"/>
  <c r="R36" i="35"/>
  <c r="R35" i="35"/>
  <c r="R34" i="35"/>
  <c r="R33" i="35"/>
  <c r="R32" i="35"/>
  <c r="R31" i="35"/>
  <c r="R30" i="35"/>
  <c r="R29" i="35"/>
  <c r="R28" i="35"/>
  <c r="R27" i="35"/>
  <c r="R26" i="35"/>
  <c r="R25" i="35"/>
  <c r="E41" i="35"/>
  <c r="F41" i="35"/>
  <c r="N100" i="41"/>
  <c r="L100" i="41"/>
  <c r="O100" i="41" s="1"/>
  <c r="L122" i="41"/>
  <c r="N112" i="41"/>
  <c r="O113" i="41"/>
  <c r="N113" i="41"/>
  <c r="N114" i="41" s="1"/>
  <c r="O105" i="41"/>
  <c r="N105" i="41"/>
  <c r="O104" i="41"/>
  <c r="O106" i="41" s="1"/>
  <c r="N104" i="41"/>
  <c r="N106" i="41" s="1"/>
  <c r="O101" i="41"/>
  <c r="N101" i="41"/>
  <c r="O95" i="41"/>
  <c r="N95" i="41"/>
  <c r="O94" i="41"/>
  <c r="N94" i="41"/>
  <c r="O93" i="41"/>
  <c r="O96" i="41" s="1"/>
  <c r="N93" i="41"/>
  <c r="N96" i="41" s="1"/>
  <c r="O89" i="41"/>
  <c r="N89" i="41"/>
  <c r="O90" i="41"/>
  <c r="N90" i="41"/>
  <c r="O82" i="41"/>
  <c r="N82" i="41"/>
  <c r="O81" i="41"/>
  <c r="N81" i="41"/>
  <c r="O80" i="41"/>
  <c r="N80" i="41"/>
  <c r="O79" i="41"/>
  <c r="O83" i="41" s="1"/>
  <c r="N79" i="41"/>
  <c r="N83" i="41" s="1"/>
  <c r="N75" i="41"/>
  <c r="O76" i="41"/>
  <c r="N76" i="41"/>
  <c r="N77" i="41" s="1"/>
  <c r="K88" i="41"/>
  <c r="J88" i="41"/>
  <c r="I88" i="41"/>
  <c r="L75" i="41"/>
  <c r="O75" i="41" s="1"/>
  <c r="O64" i="41"/>
  <c r="O65" i="41"/>
  <c r="O59" i="41"/>
  <c r="N59" i="41"/>
  <c r="O58" i="41"/>
  <c r="N58" i="41"/>
  <c r="O61" i="41"/>
  <c r="N61" i="41"/>
  <c r="O62" i="41"/>
  <c r="N62" i="41"/>
  <c r="O57" i="41"/>
  <c r="N57" i="41"/>
  <c r="O63" i="41"/>
  <c r="N63" i="41"/>
  <c r="O60" i="41"/>
  <c r="N60" i="41"/>
  <c r="O53" i="41"/>
  <c r="N53" i="41"/>
  <c r="O54" i="41"/>
  <c r="N54" i="41"/>
  <c r="O56" i="41"/>
  <c r="N56" i="41"/>
  <c r="O55" i="41"/>
  <c r="N55" i="41"/>
  <c r="L126" i="41"/>
  <c r="L125" i="41"/>
  <c r="N50" i="41" l="1"/>
  <c r="P50" i="41" s="1"/>
  <c r="O50" i="41"/>
  <c r="I2" i="37"/>
  <c r="O66" i="41"/>
  <c r="N91" i="41"/>
  <c r="P96" i="41"/>
  <c r="N102" i="41"/>
  <c r="O102" i="41"/>
  <c r="P106" i="41"/>
  <c r="L88" i="41"/>
  <c r="O77" i="41"/>
  <c r="P77" i="41" s="1"/>
  <c r="L112" i="41"/>
  <c r="O112" i="41" s="1"/>
  <c r="O114" i="41" s="1"/>
  <c r="P114" i="41" s="1"/>
  <c r="P73" i="38"/>
  <c r="L73" i="38"/>
  <c r="O73" i="38" s="1"/>
  <c r="L64" i="41"/>
  <c r="N64" i="41" s="1"/>
  <c r="L65" i="41"/>
  <c r="N65" i="41" s="1"/>
  <c r="L95" i="38"/>
  <c r="O87" i="38"/>
  <c r="N87" i="38"/>
  <c r="O86" i="38"/>
  <c r="O88" i="38" s="1"/>
  <c r="N86" i="38"/>
  <c r="O83" i="38"/>
  <c r="N83" i="38"/>
  <c r="O82" i="38"/>
  <c r="N82" i="38"/>
  <c r="N84" i="38" s="1"/>
  <c r="P72" i="38"/>
  <c r="O72" i="38"/>
  <c r="P71" i="38"/>
  <c r="O71" i="38"/>
  <c r="P70" i="38"/>
  <c r="O70" i="38"/>
  <c r="P69" i="38"/>
  <c r="O69" i="38"/>
  <c r="O88" i="41" l="1"/>
  <c r="O91" i="41" s="1"/>
  <c r="P91" i="41" s="1"/>
  <c r="N88" i="38"/>
  <c r="P102" i="41"/>
  <c r="N66" i="41"/>
  <c r="P66" i="41" s="1"/>
  <c r="P75" i="38"/>
  <c r="P65" i="38" s="1"/>
  <c r="O75" i="38"/>
  <c r="P83" i="41"/>
  <c r="P88" i="38"/>
  <c r="P90" i="38" s="1"/>
  <c r="O78" i="38" s="1"/>
  <c r="O84" i="38"/>
  <c r="P84" i="38" s="1"/>
  <c r="R16" i="29"/>
  <c r="P115" i="41" l="1"/>
  <c r="P69" i="41" s="1"/>
  <c r="Q75" i="38"/>
  <c r="O65" i="38"/>
  <c r="Q65" i="38" s="1"/>
  <c r="F42" i="35"/>
  <c r="E42" i="35"/>
  <c r="G42" i="35" l="1"/>
  <c r="G41" i="35" s="1"/>
  <c r="G40" i="35" s="1"/>
  <c r="G39" i="35" s="1"/>
  <c r="G38" i="35" s="1"/>
  <c r="G37" i="35" s="1"/>
  <c r="G36" i="35" s="1"/>
  <c r="G35" i="35" s="1"/>
  <c r="G34" i="35" s="1"/>
  <c r="G33" i="35" s="1"/>
  <c r="G32" i="35" s="1"/>
  <c r="G31" i="35" s="1"/>
  <c r="G30" i="35" s="1"/>
  <c r="G29" i="35" s="1"/>
  <c r="G28" i="35" s="1"/>
  <c r="G27" i="35" s="1"/>
  <c r="G26" i="35" s="1"/>
  <c r="G25" i="35" s="1"/>
  <c r="O106" i="39" l="1"/>
  <c r="O105" i="39"/>
  <c r="O104" i="39"/>
  <c r="O103" i="39"/>
  <c r="O102" i="39"/>
  <c r="O101" i="39"/>
  <c r="O100" i="39"/>
  <c r="O99" i="39"/>
  <c r="O98" i="39"/>
  <c r="O97" i="39"/>
  <c r="O96" i="39"/>
  <c r="O95" i="39"/>
  <c r="O94" i="39"/>
  <c r="O93" i="39"/>
  <c r="O92" i="39"/>
  <c r="O91" i="39"/>
  <c r="O90" i="39"/>
  <c r="O89" i="39"/>
  <c r="O88" i="39"/>
  <c r="O87" i="39"/>
  <c r="O86" i="39"/>
  <c r="O85" i="39"/>
  <c r="O84" i="39"/>
  <c r="O83" i="39"/>
  <c r="O82" i="39"/>
  <c r="O81" i="39"/>
  <c r="O80" i="39"/>
  <c r="O79" i="39"/>
  <c r="O78" i="39"/>
  <c r="F101" i="39"/>
  <c r="E101" i="39"/>
  <c r="F100" i="39"/>
  <c r="E100" i="39"/>
  <c r="F99" i="39"/>
  <c r="E99" i="39"/>
  <c r="F98" i="39"/>
  <c r="E98" i="39"/>
  <c r="F97" i="39"/>
  <c r="E97" i="39"/>
  <c r="F96" i="39"/>
  <c r="E96" i="39"/>
  <c r="F95" i="39"/>
  <c r="E95" i="39"/>
  <c r="F94" i="39"/>
  <c r="E94" i="39"/>
  <c r="F93" i="39"/>
  <c r="E93" i="39"/>
  <c r="F92" i="39"/>
  <c r="E92" i="39"/>
  <c r="F91" i="39"/>
  <c r="E91" i="39"/>
  <c r="F90" i="39"/>
  <c r="E90" i="39"/>
  <c r="F89" i="39"/>
  <c r="E89" i="39"/>
  <c r="F88" i="39"/>
  <c r="E88" i="39"/>
  <c r="F87" i="39"/>
  <c r="E87" i="39"/>
  <c r="F86" i="39"/>
  <c r="E86" i="39"/>
  <c r="F85" i="39"/>
  <c r="E85" i="39"/>
  <c r="F84" i="39"/>
  <c r="E84" i="39"/>
  <c r="F83" i="39"/>
  <c r="E83" i="39"/>
  <c r="F82" i="39"/>
  <c r="E82" i="39"/>
  <c r="F81" i="39"/>
  <c r="E81" i="39"/>
  <c r="F80" i="39"/>
  <c r="E80" i="39"/>
  <c r="F79" i="39"/>
  <c r="E79" i="39"/>
  <c r="F78" i="39"/>
  <c r="E78" i="39"/>
  <c r="M15" i="29" l="1"/>
  <c r="N15" i="29" s="1"/>
  <c r="M21" i="29" l="1"/>
  <c r="N21" i="29" s="1"/>
  <c r="H20" i="29"/>
  <c r="I20" i="29" s="1"/>
  <c r="M17" i="29"/>
  <c r="B45" i="29" l="1"/>
  <c r="B46" i="29" s="1"/>
  <c r="B47" i="29" s="1"/>
  <c r="B48" i="29" s="1"/>
  <c r="B49" i="29" s="1"/>
  <c r="B14" i="29"/>
  <c r="B15" i="29" s="1"/>
  <c r="B16" i="29" l="1"/>
  <c r="B17" i="29" s="1"/>
  <c r="B18" i="29" s="1"/>
  <c r="B19" i="29" s="1"/>
  <c r="B20" i="29" s="1"/>
  <c r="B21" i="29" s="1"/>
  <c r="B22" i="29" s="1"/>
  <c r="P139" i="41" l="1"/>
  <c r="O184" i="41"/>
  <c r="N184" i="41"/>
  <c r="O183" i="41"/>
  <c r="N183" i="41"/>
  <c r="O182" i="41"/>
  <c r="N182" i="41"/>
  <c r="O181" i="41"/>
  <c r="N181" i="41"/>
  <c r="O180" i="41"/>
  <c r="N180" i="41"/>
  <c r="O179" i="41"/>
  <c r="N179" i="41"/>
  <c r="O178" i="41"/>
  <c r="N178" i="41"/>
  <c r="O177" i="41"/>
  <c r="N177" i="41"/>
  <c r="O176" i="41"/>
  <c r="N176" i="41"/>
  <c r="O175" i="41"/>
  <c r="N175" i="41"/>
  <c r="O174" i="41"/>
  <c r="N174" i="41"/>
  <c r="O173" i="41"/>
  <c r="N173" i="41"/>
  <c r="O172" i="41"/>
  <c r="N172" i="41"/>
  <c r="O171" i="41"/>
  <c r="N171" i="41"/>
  <c r="O170" i="41"/>
  <c r="N170" i="41"/>
  <c r="O169" i="41"/>
  <c r="N169" i="41"/>
  <c r="O168" i="41"/>
  <c r="N168" i="41"/>
  <c r="O167" i="41"/>
  <c r="N167" i="41"/>
  <c r="O166" i="41"/>
  <c r="N166" i="41"/>
  <c r="O165" i="41"/>
  <c r="N165" i="41"/>
  <c r="O164" i="41"/>
  <c r="N164" i="41"/>
  <c r="O163" i="41"/>
  <c r="N163" i="41"/>
  <c r="O162" i="41"/>
  <c r="N162" i="41"/>
  <c r="O161" i="41"/>
  <c r="N161" i="41"/>
  <c r="O160" i="41"/>
  <c r="N160" i="41"/>
  <c r="O159" i="41"/>
  <c r="N159" i="41"/>
  <c r="O158" i="41"/>
  <c r="N158" i="41"/>
  <c r="O157" i="41"/>
  <c r="N157" i="41"/>
  <c r="O156" i="41"/>
  <c r="N156" i="41"/>
  <c r="O155" i="41"/>
  <c r="N155" i="41"/>
  <c r="O154" i="41"/>
  <c r="N154" i="41"/>
  <c r="O153" i="41"/>
  <c r="N153" i="41"/>
  <c r="O152" i="41"/>
  <c r="N152" i="41"/>
  <c r="O151" i="41"/>
  <c r="N151" i="41"/>
  <c r="O150" i="41"/>
  <c r="N150" i="41"/>
  <c r="O149" i="41"/>
  <c r="N149" i="41"/>
  <c r="O148" i="41"/>
  <c r="N148" i="41"/>
  <c r="O147" i="41"/>
  <c r="N147" i="41"/>
  <c r="O146" i="41"/>
  <c r="N146" i="41"/>
  <c r="O145" i="41"/>
  <c r="N145" i="41"/>
  <c r="O144" i="41"/>
  <c r="N144" i="41"/>
  <c r="O143" i="41"/>
  <c r="N143" i="41"/>
  <c r="N142" i="41"/>
  <c r="O142" i="41"/>
  <c r="N186" i="41" l="1"/>
  <c r="O186" i="41"/>
  <c r="R74" i="35" l="1"/>
  <c r="R73" i="35"/>
  <c r="R72" i="35"/>
  <c r="R71" i="35"/>
  <c r="R70" i="35"/>
  <c r="R69" i="35"/>
  <c r="R68" i="35"/>
  <c r="R67" i="35"/>
  <c r="R66" i="35"/>
  <c r="R65" i="35"/>
  <c r="R64" i="35"/>
  <c r="R63" i="35"/>
  <c r="R62" i="35"/>
  <c r="R61" i="35"/>
  <c r="R59" i="35"/>
  <c r="R58" i="35"/>
  <c r="R57" i="35"/>
  <c r="R56" i="35"/>
  <c r="R55" i="35"/>
  <c r="R54" i="35"/>
  <c r="R53" i="35"/>
  <c r="R52" i="35"/>
  <c r="R51" i="35"/>
  <c r="R50" i="35"/>
  <c r="R49" i="35"/>
  <c r="R48" i="35"/>
  <c r="R47" i="35"/>
  <c r="R46" i="35"/>
  <c r="R60" i="35"/>
  <c r="F106" i="39"/>
  <c r="E106" i="39"/>
  <c r="F105" i="39"/>
  <c r="E105" i="39"/>
  <c r="F104" i="39"/>
  <c r="E104" i="39"/>
  <c r="F103" i="39"/>
  <c r="E103" i="39"/>
  <c r="F102" i="39"/>
  <c r="E102" i="39"/>
  <c r="E110" i="39"/>
  <c r="F110" i="39"/>
  <c r="E111" i="39"/>
  <c r="F111" i="39"/>
  <c r="Q108" i="38" l="1"/>
  <c r="P130" i="38"/>
  <c r="O130" i="38"/>
  <c r="P129" i="38"/>
  <c r="O129" i="38"/>
  <c r="P128" i="38"/>
  <c r="O128" i="38"/>
  <c r="P127" i="38"/>
  <c r="O127" i="38"/>
  <c r="P126" i="38"/>
  <c r="O126" i="38"/>
  <c r="P125" i="38"/>
  <c r="O125" i="38"/>
  <c r="P124" i="38"/>
  <c r="O124" i="38"/>
  <c r="P123" i="38"/>
  <c r="O123" i="38"/>
  <c r="P122" i="38"/>
  <c r="O122" i="38"/>
  <c r="P121" i="38"/>
  <c r="O121" i="38"/>
  <c r="P120" i="38"/>
  <c r="O120" i="38"/>
  <c r="P119" i="38"/>
  <c r="O119" i="38"/>
  <c r="P118" i="38"/>
  <c r="O118" i="38"/>
  <c r="P117" i="38"/>
  <c r="O117" i="38"/>
  <c r="P116" i="38"/>
  <c r="O116" i="38"/>
  <c r="P115" i="38"/>
  <c r="O115" i="38"/>
  <c r="P114" i="38"/>
  <c r="O114" i="38"/>
  <c r="P113" i="38"/>
  <c r="O113" i="38"/>
  <c r="P112" i="38"/>
  <c r="O112" i="38"/>
  <c r="P111" i="38"/>
  <c r="O111" i="38"/>
  <c r="O110" i="38"/>
  <c r="P110" i="38"/>
  <c r="P131" i="38" l="1"/>
  <c r="O131" i="38"/>
  <c r="Q155" i="38"/>
  <c r="Q166" i="38"/>
  <c r="Q164" i="38"/>
  <c r="Q163" i="38"/>
  <c r="Q162" i="38"/>
  <c r="Q161" i="38"/>
  <c r="Q189" i="38"/>
  <c r="N213" i="38"/>
  <c r="N214" i="38" s="1"/>
  <c r="N215" i="38" s="1"/>
  <c r="N216" i="38" s="1"/>
  <c r="N217" i="38" s="1"/>
  <c r="N218" i="38" s="1"/>
  <c r="O203" i="38"/>
  <c r="N203" i="38"/>
  <c r="O175" i="38"/>
  <c r="L164" i="38"/>
  <c r="L169" i="38"/>
  <c r="K169" i="38"/>
  <c r="J169" i="38"/>
  <c r="I169" i="38"/>
  <c r="Q146" i="38"/>
  <c r="Q206" i="38"/>
  <c r="Q205" i="38"/>
  <c r="Q203" i="38"/>
  <c r="Q202" i="38"/>
  <c r="Q201" i="38"/>
  <c r="Q200" i="38"/>
  <c r="Q198" i="38"/>
  <c r="Q197" i="38"/>
  <c r="Q196" i="38"/>
  <c r="Q195" i="38"/>
  <c r="Q194" i="38"/>
  <c r="Q192" i="38"/>
  <c r="Q191" i="38"/>
  <c r="Q190" i="38"/>
  <c r="Q188" i="38"/>
  <c r="Q186" i="38"/>
  <c r="Q185" i="38"/>
  <c r="Q184" i="38"/>
  <c r="Q183" i="38"/>
  <c r="Q182" i="38"/>
  <c r="Q180" i="38"/>
  <c r="Q179" i="38"/>
  <c r="Q178" i="38"/>
  <c r="Q177" i="38"/>
  <c r="Q175" i="38"/>
  <c r="Q174" i="38"/>
  <c r="Q173" i="38"/>
  <c r="Q172" i="38"/>
  <c r="Q171" i="38"/>
  <c r="Q169" i="38"/>
  <c r="Q168" i="38"/>
  <c r="Q167" i="38"/>
  <c r="Q159" i="38"/>
  <c r="Q158" i="38"/>
  <c r="Q157" i="38"/>
  <c r="Q156" i="38"/>
  <c r="Q153" i="38"/>
  <c r="Q152" i="38"/>
  <c r="Q151" i="38"/>
  <c r="Q150" i="38"/>
  <c r="Q148" i="38"/>
  <c r="Q147" i="38"/>
  <c r="Q145" i="38"/>
  <c r="Q144" i="38"/>
  <c r="Q142" i="38"/>
  <c r="Q141" i="38"/>
  <c r="M130" i="38"/>
  <c r="M129" i="38"/>
  <c r="M128" i="38"/>
  <c r="M127" i="38"/>
  <c r="M126" i="38"/>
  <c r="M125" i="38"/>
  <c r="M124" i="38"/>
  <c r="M123" i="38"/>
  <c r="M122" i="38"/>
  <c r="M121" i="38"/>
  <c r="M120" i="38"/>
  <c r="M119" i="38"/>
  <c r="M118" i="38"/>
  <c r="M117" i="38"/>
  <c r="M116" i="38"/>
  <c r="M115" i="38"/>
  <c r="M114" i="38"/>
  <c r="M113" i="38"/>
  <c r="M112" i="38"/>
  <c r="M111" i="38"/>
  <c r="M110" i="38"/>
  <c r="L158" i="38"/>
  <c r="L153" i="38"/>
  <c r="K203" i="38"/>
  <c r="J203" i="38"/>
  <c r="I203" i="38"/>
  <c r="L180" i="38"/>
  <c r="K180" i="38"/>
  <c r="J180" i="38"/>
  <c r="I180" i="38"/>
  <c r="M131" i="38" l="1"/>
  <c r="N164" i="38"/>
  <c r="O163" i="38"/>
  <c r="N163" i="38"/>
  <c r="N165" i="38" s="1"/>
  <c r="O147" i="38"/>
  <c r="N147" i="38"/>
  <c r="O148" i="38"/>
  <c r="N148" i="38"/>
  <c r="N159" i="38"/>
  <c r="L142" i="38"/>
  <c r="K142" i="38"/>
  <c r="J142" i="38"/>
  <c r="I142" i="38"/>
  <c r="O202" i="38"/>
  <c r="O204" i="38" s="1"/>
  <c r="N202" i="38"/>
  <c r="N204" i="38" s="1"/>
  <c r="N198" i="38"/>
  <c r="O197" i="38"/>
  <c r="N197" i="38"/>
  <c r="N199" i="38" s="1"/>
  <c r="N192" i="38"/>
  <c r="O191" i="38"/>
  <c r="N191" i="38"/>
  <c r="N193" i="38" s="1"/>
  <c r="N186" i="38"/>
  <c r="O185" i="38"/>
  <c r="N185" i="38"/>
  <c r="N187" i="38" s="1"/>
  <c r="N180" i="38"/>
  <c r="O179" i="38"/>
  <c r="N179" i="38"/>
  <c r="N181" i="38" s="1"/>
  <c r="N175" i="38"/>
  <c r="O174" i="38"/>
  <c r="O176" i="38" s="1"/>
  <c r="N174" i="38"/>
  <c r="N176" i="38" s="1"/>
  <c r="N169" i="38"/>
  <c r="O168" i="38"/>
  <c r="N168" i="38"/>
  <c r="N158" i="38"/>
  <c r="O157" i="38"/>
  <c r="N157" i="38"/>
  <c r="N153" i="38"/>
  <c r="O152" i="38"/>
  <c r="N152" i="38"/>
  <c r="N154" i="38" s="1"/>
  <c r="N142" i="38"/>
  <c r="O141" i="38"/>
  <c r="N141" i="38"/>
  <c r="N143" i="38" s="1"/>
  <c r="N111" i="38"/>
  <c r="N112" i="38" s="1"/>
  <c r="N113" i="38" s="1"/>
  <c r="N114" i="38" s="1"/>
  <c r="N115" i="38" s="1"/>
  <c r="N116" i="38" s="1"/>
  <c r="N117" i="38" s="1"/>
  <c r="N118" i="38" s="1"/>
  <c r="N119" i="38" s="1"/>
  <c r="N120" i="38" s="1"/>
  <c r="N121" i="38" s="1"/>
  <c r="N122" i="38" s="1"/>
  <c r="N123" i="38" s="1"/>
  <c r="N124" i="38" s="1"/>
  <c r="N125" i="38" s="1"/>
  <c r="N126" i="38" s="1"/>
  <c r="N127" i="38" s="1"/>
  <c r="N128" i="38" s="1"/>
  <c r="N129" i="38" s="1"/>
  <c r="N130" i="38" s="1"/>
  <c r="N170" i="38" l="1"/>
  <c r="N160" i="38"/>
  <c r="O149" i="38"/>
  <c r="P149" i="38" s="1"/>
  <c r="Q149" i="38" s="1"/>
  <c r="N149" i="38"/>
  <c r="Q282" i="41"/>
  <c r="P220" i="41"/>
  <c r="O220" i="41"/>
  <c r="O264" i="41"/>
  <c r="L264" i="41"/>
  <c r="P264" i="41" s="1"/>
  <c r="K264" i="41"/>
  <c r="J264" i="41"/>
  <c r="I264" i="41"/>
  <c r="P254" i="41"/>
  <c r="O254" i="41"/>
  <c r="P279" i="41" l="1"/>
  <c r="O279" i="41"/>
  <c r="O271" i="41"/>
  <c r="L271" i="41"/>
  <c r="P271" i="41" s="1"/>
  <c r="K271" i="41"/>
  <c r="J271" i="41"/>
  <c r="I271" i="41"/>
  <c r="O240" i="41"/>
  <c r="L240" i="41"/>
  <c r="P240" i="41" s="1"/>
  <c r="L236" i="41"/>
  <c r="P236" i="41" s="1"/>
  <c r="O236" i="41"/>
  <c r="O230" i="41"/>
  <c r="L230" i="41"/>
  <c r="P230" i="41" s="1"/>
  <c r="K230" i="41"/>
  <c r="J230" i="41"/>
  <c r="I230" i="41"/>
  <c r="P226" i="41"/>
  <c r="O226" i="41"/>
  <c r="O209" i="41"/>
  <c r="H213" i="41"/>
  <c r="I213" i="41"/>
  <c r="J213" i="41"/>
  <c r="J209" i="41" s="1"/>
  <c r="K213" i="41"/>
  <c r="L213" i="41"/>
  <c r="L209" i="41" s="1"/>
  <c r="P209" i="41" s="1"/>
  <c r="O205" i="41"/>
  <c r="L205" i="41"/>
  <c r="P205" i="41" s="1"/>
  <c r="O199" i="41"/>
  <c r="L199" i="41"/>
  <c r="P199" i="41" s="1"/>
  <c r="K199" i="41"/>
  <c r="J199" i="41"/>
  <c r="I199" i="41"/>
  <c r="P198" i="41"/>
  <c r="L194" i="41"/>
  <c r="K194" i="41"/>
  <c r="J194" i="41"/>
  <c r="I194" i="41"/>
  <c r="P194" i="41"/>
  <c r="O194" i="41"/>
  <c r="P278" i="41"/>
  <c r="O278" i="41"/>
  <c r="P277" i="41"/>
  <c r="O277" i="41"/>
  <c r="O280" i="41" s="1"/>
  <c r="P270" i="41"/>
  <c r="O270" i="41"/>
  <c r="P263" i="41"/>
  <c r="P265" i="41" s="1"/>
  <c r="O263" i="41"/>
  <c r="O265" i="41" s="1"/>
  <c r="P261" i="41"/>
  <c r="O261" i="41"/>
  <c r="P258" i="41"/>
  <c r="O258" i="41"/>
  <c r="P257" i="41"/>
  <c r="P259" i="41" s="1"/>
  <c r="O257" i="41"/>
  <c r="O259" i="41" s="1"/>
  <c r="P253" i="41"/>
  <c r="P255" i="41" s="1"/>
  <c r="O253" i="41"/>
  <c r="O255" i="41" s="1"/>
  <c r="P249" i="41"/>
  <c r="O249" i="41"/>
  <c r="P248" i="41"/>
  <c r="P250" i="41" s="1"/>
  <c r="O248" i="41"/>
  <c r="O250" i="41" s="1"/>
  <c r="P244" i="41"/>
  <c r="O244" i="41"/>
  <c r="P243" i="41"/>
  <c r="P245" i="41" s="1"/>
  <c r="O243" i="41"/>
  <c r="P239" i="41"/>
  <c r="P241" i="41" s="1"/>
  <c r="O239" i="41"/>
  <c r="O241" i="41" s="1"/>
  <c r="P235" i="41"/>
  <c r="O235" i="41"/>
  <c r="P229" i="41"/>
  <c r="O229" i="41"/>
  <c r="O231" i="41" s="1"/>
  <c r="P225" i="41"/>
  <c r="P227" i="41" s="1"/>
  <c r="O225" i="41"/>
  <c r="O227" i="41" s="1"/>
  <c r="P222" i="41"/>
  <c r="O222" i="41"/>
  <c r="P221" i="41"/>
  <c r="O221" i="41"/>
  <c r="O223" i="41" s="1"/>
  <c r="P217" i="41"/>
  <c r="O217" i="41"/>
  <c r="P216" i="41"/>
  <c r="O216" i="41"/>
  <c r="P208" i="41"/>
  <c r="O208" i="41"/>
  <c r="P204" i="41"/>
  <c r="O204" i="41"/>
  <c r="P203" i="41"/>
  <c r="O203" i="41"/>
  <c r="O198" i="41"/>
  <c r="O200" i="41" s="1"/>
  <c r="P193" i="41"/>
  <c r="O193" i="41"/>
  <c r="P218" i="41" l="1"/>
  <c r="O218" i="41"/>
  <c r="P223" i="41"/>
  <c r="O245" i="41"/>
  <c r="P280" i="41"/>
  <c r="P206" i="41"/>
  <c r="P237" i="41"/>
  <c r="O206" i="41"/>
  <c r="O210" i="41"/>
  <c r="O237" i="41"/>
  <c r="O272" i="41"/>
  <c r="K209" i="41"/>
  <c r="P272" i="41"/>
  <c r="I209" i="41"/>
  <c r="P231" i="41"/>
  <c r="O195" i="41"/>
  <c r="P210" i="41"/>
  <c r="P200" i="41"/>
  <c r="P195" i="41"/>
  <c r="P282" i="41" l="1"/>
  <c r="F224" i="39"/>
  <c r="F190" i="39"/>
  <c r="F189" i="39"/>
  <c r="F183" i="39"/>
  <c r="F175" i="39"/>
  <c r="F171" i="39"/>
  <c r="F179" i="39"/>
  <c r="F180" i="39"/>
  <c r="F181" i="39"/>
  <c r="F173" i="39"/>
  <c r="F174" i="39"/>
  <c r="F159" i="39"/>
  <c r="F158" i="39"/>
  <c r="F154" i="39"/>
  <c r="F152" i="39"/>
  <c r="F150" i="39"/>
  <c r="F149" i="39"/>
  <c r="F146" i="39"/>
  <c r="F138" i="39"/>
  <c r="F139" i="39"/>
  <c r="F131" i="39"/>
  <c r="F132" i="39"/>
  <c r="F128" i="39"/>
  <c r="F129" i="39"/>
  <c r="F115" i="39"/>
  <c r="F140" i="39"/>
  <c r="F136" i="39"/>
  <c r="F182" i="39"/>
  <c r="E182" i="39"/>
  <c r="F124" i="39"/>
  <c r="E124" i="39"/>
  <c r="E136" i="39"/>
  <c r="E140" i="39"/>
  <c r="E115" i="39"/>
  <c r="E129" i="39"/>
  <c r="E128" i="39"/>
  <c r="E132" i="39"/>
  <c r="E131" i="39"/>
  <c r="E139" i="39"/>
  <c r="E138" i="39"/>
  <c r="E146" i="39"/>
  <c r="E149" i="39"/>
  <c r="E150" i="39"/>
  <c r="E152" i="39"/>
  <c r="E154" i="39"/>
  <c r="E158" i="39"/>
  <c r="E159" i="39"/>
  <c r="E174" i="39"/>
  <c r="E173" i="39"/>
  <c r="E181" i="39"/>
  <c r="E180" i="39"/>
  <c r="E179" i="39"/>
  <c r="E171" i="39"/>
  <c r="E175" i="39"/>
  <c r="E183" i="39"/>
  <c r="E189" i="39"/>
  <c r="E190" i="39"/>
  <c r="E224" i="39"/>
  <c r="F143" i="39"/>
  <c r="E143" i="39"/>
  <c r="F118" i="39"/>
  <c r="E118" i="39"/>
  <c r="F121" i="39"/>
  <c r="E121" i="39"/>
  <c r="F120" i="39"/>
  <c r="E120" i="39"/>
  <c r="F119" i="39"/>
  <c r="E119" i="39"/>
  <c r="F126" i="39"/>
  <c r="E126" i="39"/>
  <c r="F127" i="39"/>
  <c r="E127" i="39"/>
  <c r="F130" i="39"/>
  <c r="E130" i="39"/>
  <c r="F148" i="39"/>
  <c r="E148" i="39"/>
  <c r="F151" i="39"/>
  <c r="E151" i="39"/>
  <c r="F153" i="39"/>
  <c r="E153" i="39"/>
  <c r="F156" i="39"/>
  <c r="E156" i="39"/>
  <c r="F157" i="39"/>
  <c r="E157" i="39"/>
  <c r="F160" i="39"/>
  <c r="E160" i="39"/>
  <c r="F168" i="39"/>
  <c r="E168" i="39"/>
  <c r="F169" i="39"/>
  <c r="E169" i="39"/>
  <c r="F178" i="39"/>
  <c r="E178" i="39"/>
  <c r="F177" i="39"/>
  <c r="E177" i="39"/>
  <c r="F186" i="39"/>
  <c r="E186" i="39"/>
  <c r="F188" i="39"/>
  <c r="E188" i="39"/>
  <c r="F113" i="39"/>
  <c r="E113" i="39"/>
  <c r="F112" i="39"/>
  <c r="E112" i="39"/>
  <c r="F116" i="39"/>
  <c r="E116" i="39"/>
  <c r="F122" i="39"/>
  <c r="E122" i="39"/>
  <c r="F145" i="39"/>
  <c r="E145" i="39"/>
  <c r="F170" i="39"/>
  <c r="E170" i="39"/>
  <c r="F172" i="39"/>
  <c r="E172" i="39"/>
  <c r="F213" i="39"/>
  <c r="E213" i="39"/>
  <c r="F210" i="39"/>
  <c r="E210" i="39"/>
  <c r="F216" i="39"/>
  <c r="E216" i="39"/>
  <c r="F226" i="39"/>
  <c r="E226" i="39"/>
  <c r="F209" i="39"/>
  <c r="E209" i="39"/>
  <c r="F212" i="39"/>
  <c r="E212" i="39"/>
  <c r="F225" i="39"/>
  <c r="E225" i="39"/>
  <c r="F208" i="39"/>
  <c r="E208" i="39"/>
  <c r="F133" i="39"/>
  <c r="E133" i="39"/>
  <c r="F187" i="39"/>
  <c r="E187" i="39"/>
  <c r="F201" i="39"/>
  <c r="E201" i="39"/>
  <c r="F142" i="39"/>
  <c r="E142" i="39"/>
  <c r="F198" i="39"/>
  <c r="E198" i="39"/>
  <c r="F114" i="39"/>
  <c r="E114" i="39"/>
  <c r="F163" i="39"/>
  <c r="E163" i="39"/>
  <c r="F217" i="39"/>
  <c r="E217" i="39"/>
  <c r="F135" i="39"/>
  <c r="E135" i="39"/>
  <c r="F197" i="39"/>
  <c r="E197" i="39"/>
  <c r="F203" i="39"/>
  <c r="E203" i="39"/>
  <c r="F193" i="39"/>
  <c r="E193" i="39"/>
  <c r="F125" i="39"/>
  <c r="E125" i="39"/>
  <c r="F191" i="39"/>
  <c r="E191" i="39"/>
  <c r="F214" i="39"/>
  <c r="E214" i="39"/>
  <c r="F215" i="39"/>
  <c r="E215" i="39"/>
  <c r="F166" i="39"/>
  <c r="E166" i="39"/>
  <c r="F218" i="39"/>
  <c r="E218" i="39"/>
  <c r="F165" i="39"/>
  <c r="E165" i="39"/>
  <c r="F192" i="39"/>
  <c r="E192" i="39"/>
  <c r="F207" i="39"/>
  <c r="E207" i="39"/>
  <c r="F206" i="39"/>
  <c r="E206" i="39"/>
  <c r="F137" i="39"/>
  <c r="E137" i="39"/>
  <c r="F196" i="39"/>
  <c r="E196" i="39"/>
  <c r="F144" i="39"/>
  <c r="E144" i="39"/>
  <c r="F199" i="39"/>
  <c r="E199" i="39"/>
  <c r="F164" i="39"/>
  <c r="E164" i="39"/>
  <c r="F219" i="39"/>
  <c r="E219" i="39"/>
  <c r="F195" i="39"/>
  <c r="E195" i="39"/>
  <c r="F200" i="39"/>
  <c r="E200" i="39"/>
  <c r="F141" i="39"/>
  <c r="E141" i="39"/>
  <c r="F162" i="39"/>
  <c r="E162" i="39"/>
  <c r="F223" i="39"/>
  <c r="E223" i="39"/>
  <c r="F211" i="39"/>
  <c r="E211" i="39"/>
  <c r="F205" i="39"/>
  <c r="E205" i="39"/>
  <c r="F194" i="39"/>
  <c r="E194" i="39"/>
  <c r="F176" i="39"/>
  <c r="E176" i="39"/>
  <c r="F167" i="39"/>
  <c r="E167" i="39"/>
  <c r="F161" i="39"/>
  <c r="E161" i="39"/>
  <c r="F155" i="39"/>
  <c r="E155" i="39"/>
  <c r="F147" i="39"/>
  <c r="E147" i="39"/>
  <c r="F134" i="39"/>
  <c r="E134" i="39"/>
  <c r="F123" i="39"/>
  <c r="E123" i="39"/>
  <c r="F117" i="39"/>
  <c r="E117" i="39"/>
  <c r="F202" i="39"/>
  <c r="E202" i="39"/>
  <c r="F185" i="39"/>
  <c r="E185" i="39"/>
  <c r="F184" i="39"/>
  <c r="E184" i="39"/>
  <c r="F204" i="39"/>
  <c r="E204" i="39"/>
  <c r="F50" i="35"/>
  <c r="E50" i="35"/>
  <c r="F49" i="35"/>
  <c r="E49" i="35"/>
  <c r="F48" i="35"/>
  <c r="E48" i="35"/>
  <c r="F47" i="35"/>
  <c r="E47" i="35"/>
  <c r="F46" i="35"/>
  <c r="E46" i="35"/>
  <c r="G219" i="39" l="1"/>
  <c r="G218" i="39" s="1"/>
  <c r="G217" i="39" s="1"/>
  <c r="G216" i="39" s="1"/>
  <c r="G215" i="39" s="1"/>
  <c r="G214" i="39" s="1"/>
  <c r="G213" i="39" s="1"/>
  <c r="G212" i="39" s="1"/>
  <c r="G211" i="39" s="1"/>
  <c r="G210" i="39" s="1"/>
  <c r="G209" i="39" s="1"/>
  <c r="G208" i="39" s="1"/>
  <c r="G207" i="39" s="1"/>
  <c r="G206" i="39" s="1"/>
  <c r="G205" i="39" s="1"/>
  <c r="G204" i="39" s="1"/>
  <c r="G203" i="39" s="1"/>
  <c r="G202" i="39" s="1"/>
  <c r="G201" i="39" s="1"/>
  <c r="G200" i="39" s="1"/>
  <c r="G199" i="39" s="1"/>
  <c r="G198" i="39" s="1"/>
  <c r="G197" i="39" s="1"/>
  <c r="G196" i="39" s="1"/>
  <c r="G195" i="39" s="1"/>
  <c r="G194" i="39" s="1"/>
  <c r="G193" i="39" s="1"/>
  <c r="G192" i="39" s="1"/>
  <c r="G191" i="39" s="1"/>
  <c r="G190" i="39" s="1"/>
  <c r="G189" i="39" s="1"/>
  <c r="G188" i="39" s="1"/>
  <c r="G187" i="39" s="1"/>
  <c r="G186" i="39" s="1"/>
  <c r="G185" i="39" s="1"/>
  <c r="G184" i="39" s="1"/>
  <c r="G183" i="39" s="1"/>
  <c r="G182" i="39" s="1"/>
  <c r="G181" i="39" s="1"/>
  <c r="G180" i="39" s="1"/>
  <c r="G179" i="39" s="1"/>
  <c r="G178" i="39" s="1"/>
  <c r="G177" i="39" s="1"/>
  <c r="G176" i="39" s="1"/>
  <c r="G175" i="39" s="1"/>
  <c r="G174" i="39" s="1"/>
  <c r="G173" i="39" s="1"/>
  <c r="G172" i="39" s="1"/>
  <c r="G171" i="39" s="1"/>
  <c r="G170" i="39" s="1"/>
  <c r="G169" i="39" s="1"/>
  <c r="G168" i="39" s="1"/>
  <c r="G167" i="39" s="1"/>
  <c r="G166" i="39" s="1"/>
  <c r="G165" i="39" s="1"/>
  <c r="G164" i="39" s="1"/>
  <c r="G163" i="39" s="1"/>
  <c r="G162" i="39" s="1"/>
  <c r="G161" i="39" s="1"/>
  <c r="G160" i="39" s="1"/>
  <c r="G159" i="39" s="1"/>
  <c r="G158" i="39" s="1"/>
  <c r="G157" i="39" s="1"/>
  <c r="G156" i="39" s="1"/>
  <c r="G155" i="39" s="1"/>
  <c r="G154" i="39" s="1"/>
  <c r="G153" i="39" s="1"/>
  <c r="G152" i="39" s="1"/>
  <c r="G151" i="39" s="1"/>
  <c r="G150" i="39" s="1"/>
  <c r="G149" i="39" s="1"/>
  <c r="G148" i="39" s="1"/>
  <c r="G147" i="39" s="1"/>
  <c r="G146" i="39" s="1"/>
  <c r="G145" i="39" s="1"/>
  <c r="G144" i="39" s="1"/>
  <c r="G143" i="39" s="1"/>
  <c r="G142" i="39" s="1"/>
  <c r="G141" i="39" s="1"/>
  <c r="G140" i="39" s="1"/>
  <c r="G139" i="39" s="1"/>
  <c r="G138" i="39" s="1"/>
  <c r="G137" i="39" s="1"/>
  <c r="G136" i="39" s="1"/>
  <c r="G135" i="39" s="1"/>
  <c r="G134" i="39" s="1"/>
  <c r="G133" i="39" s="1"/>
  <c r="G132" i="39" s="1"/>
  <c r="G131" i="39" s="1"/>
  <c r="G130" i="39" s="1"/>
  <c r="G129" i="39" s="1"/>
  <c r="G128" i="39" s="1"/>
  <c r="G127" i="39" s="1"/>
  <c r="G126" i="39" s="1"/>
  <c r="G125" i="39" s="1"/>
  <c r="G124" i="39" s="1"/>
  <c r="G123" i="39" s="1"/>
  <c r="G122" i="39" s="1"/>
  <c r="G121" i="39" s="1"/>
  <c r="G120" i="39" s="1"/>
  <c r="G119" i="39" s="1"/>
  <c r="G118" i="39" s="1"/>
  <c r="G117" i="39" s="1"/>
  <c r="G116" i="39" s="1"/>
  <c r="G115" i="39" s="1"/>
  <c r="G114" i="39" s="1"/>
  <c r="G113" i="39" s="1"/>
  <c r="G112" i="39" s="1"/>
  <c r="G111" i="39" s="1"/>
  <c r="G110" i="39" s="1"/>
  <c r="G225" i="39"/>
  <c r="G224" i="39" s="1"/>
  <c r="G223" i="39" s="1"/>
  <c r="F53" i="35" l="1"/>
  <c r="E53" i="35"/>
  <c r="F52" i="35"/>
  <c r="E52" i="35"/>
  <c r="F51" i="35"/>
  <c r="E51" i="35"/>
  <c r="E54" i="35"/>
  <c r="F54" i="35"/>
  <c r="E55" i="35"/>
  <c r="F55" i="35"/>
  <c r="E56" i="35"/>
  <c r="F56" i="35"/>
  <c r="E57" i="35"/>
  <c r="F57" i="35"/>
  <c r="F74" i="35" l="1"/>
  <c r="E74" i="35"/>
  <c r="F73" i="35"/>
  <c r="E73" i="35"/>
  <c r="F72" i="35"/>
  <c r="E72" i="35"/>
  <c r="F71" i="35"/>
  <c r="E71" i="35"/>
  <c r="F70" i="35"/>
  <c r="E70" i="35"/>
  <c r="F69" i="35"/>
  <c r="E69" i="35"/>
  <c r="F68" i="35"/>
  <c r="E68" i="35"/>
  <c r="F67" i="35"/>
  <c r="E67" i="35"/>
  <c r="F66" i="35"/>
  <c r="E66" i="35"/>
  <c r="F65" i="35"/>
  <c r="E65" i="35"/>
  <c r="F64" i="35"/>
  <c r="E64" i="35"/>
  <c r="F63" i="35"/>
  <c r="E63" i="35"/>
  <c r="F62" i="35"/>
  <c r="E62" i="35"/>
  <c r="F61" i="35"/>
  <c r="E61" i="35"/>
  <c r="F60" i="35"/>
  <c r="E60" i="35"/>
  <c r="F59" i="35"/>
  <c r="E59" i="35"/>
  <c r="F58" i="35"/>
  <c r="E58" i="35"/>
  <c r="G74" i="35" l="1"/>
  <c r="G73" i="35" s="1"/>
  <c r="G72" i="35" s="1"/>
  <c r="G71" i="35" s="1"/>
  <c r="G70" i="35" s="1"/>
  <c r="G69" i="35" s="1"/>
  <c r="G68" i="35" s="1"/>
  <c r="G67" i="35" s="1"/>
  <c r="G66" i="35" s="1"/>
  <c r="G65" i="35" s="1"/>
  <c r="G64" i="35" s="1"/>
  <c r="G63" i="35" s="1"/>
  <c r="G62" i="35" s="1"/>
  <c r="G61" i="35" s="1"/>
  <c r="G60" i="35" s="1"/>
  <c r="G59" i="35" s="1"/>
  <c r="G58" i="35" s="1"/>
  <c r="G57" i="35" s="1"/>
  <c r="G56" i="35" s="1"/>
  <c r="G55" i="35" s="1"/>
  <c r="G54" i="35" s="1"/>
  <c r="G53" i="35" s="1"/>
  <c r="G52" i="35" s="1"/>
  <c r="G51" i="35" s="1"/>
  <c r="G50" i="35" s="1"/>
  <c r="G49" i="35" s="1"/>
  <c r="G48" i="35" s="1"/>
  <c r="G47" i="35" s="1"/>
  <c r="G46" i="35" s="1"/>
  <c r="P176" i="38" l="1"/>
  <c r="Q176" i="38" s="1"/>
  <c r="P204" i="38"/>
  <c r="Q204" i="38" s="1"/>
  <c r="O198" i="38"/>
  <c r="O199" i="38" s="1"/>
  <c r="P199" i="38" s="1"/>
  <c r="Q199" i="38" s="1"/>
  <c r="O192" i="38"/>
  <c r="O193" i="38" s="1"/>
  <c r="P193" i="38" s="1"/>
  <c r="Q193" i="38" s="1"/>
  <c r="O186" i="38"/>
  <c r="O187" i="38" s="1"/>
  <c r="P187" i="38" s="1"/>
  <c r="Q187" i="38" s="1"/>
  <c r="O180" i="38"/>
  <c r="O181" i="38" s="1"/>
  <c r="P181" i="38" s="1"/>
  <c r="Q181" i="38" s="1"/>
  <c r="O169" i="38"/>
  <c r="O170" i="38" s="1"/>
  <c r="P170" i="38" s="1"/>
  <c r="Q170" i="38" s="1"/>
  <c r="O164" i="38" l="1"/>
  <c r="O165" i="38" s="1"/>
  <c r="P165" i="38" s="1"/>
  <c r="Q165" i="38" s="1"/>
  <c r="O158" i="38" l="1"/>
  <c r="O160" i="38" s="1"/>
  <c r="P160" i="38" s="1"/>
  <c r="Q160" i="38" s="1"/>
  <c r="O153" i="38"/>
  <c r="O154" i="38" s="1"/>
  <c r="P154" i="38" s="1"/>
  <c r="Q154" i="38" s="1"/>
  <c r="O142" i="38"/>
  <c r="O143" i="38" l="1"/>
  <c r="P143" i="38" s="1"/>
  <c r="Q143" i="38" l="1"/>
  <c r="Q207" i="38" s="1"/>
  <c r="P207" i="38"/>
  <c r="X23" i="29" l="1"/>
  <c r="AA23" i="29" s="1"/>
  <c r="AB23" i="29" l="1"/>
  <c r="AB28" i="29" s="1"/>
  <c r="AB30" i="29" s="1"/>
  <c r="AA28" i="29"/>
  <c r="C21" i="42" s="1"/>
  <c r="R20" i="29"/>
  <c r="R26" i="29"/>
  <c r="S26" i="29" s="1"/>
  <c r="S20" i="29" l="1"/>
  <c r="M42" i="29"/>
  <c r="H26" i="29"/>
  <c r="I26" i="29" l="1"/>
  <c r="AB42" i="29" l="1"/>
  <c r="O117" i="35" l="1"/>
  <c r="O116" i="35"/>
  <c r="O115" i="35"/>
  <c r="O111" i="35"/>
  <c r="O110" i="35"/>
  <c r="O109" i="35"/>
  <c r="O108" i="35"/>
  <c r="O107" i="35"/>
  <c r="O106" i="35"/>
  <c r="O105" i="35"/>
  <c r="O104" i="35"/>
  <c r="O103" i="35"/>
  <c r="O102" i="35"/>
  <c r="O101" i="35"/>
  <c r="O100" i="35"/>
  <c r="O99" i="35"/>
  <c r="O98" i="35"/>
  <c r="O97" i="35"/>
  <c r="O96" i="35"/>
  <c r="O95" i="35"/>
  <c r="O94" i="35"/>
  <c r="O93" i="35"/>
  <c r="O92" i="35"/>
  <c r="O91" i="35"/>
  <c r="O90" i="35"/>
  <c r="O89" i="35"/>
  <c r="O88" i="35"/>
  <c r="O87" i="35"/>
  <c r="O86" i="35"/>
  <c r="O85" i="35"/>
  <c r="O84" i="35"/>
  <c r="O83" i="35"/>
  <c r="O82" i="35"/>
  <c r="O81" i="35"/>
  <c r="O80" i="35"/>
  <c r="O79" i="35"/>
  <c r="O78" i="35"/>
  <c r="F78" i="35"/>
  <c r="E78" i="35"/>
  <c r="F116" i="35"/>
  <c r="E116" i="35"/>
  <c r="F115" i="35"/>
  <c r="E115" i="35"/>
  <c r="F111" i="35"/>
  <c r="E111" i="35"/>
  <c r="F110" i="35"/>
  <c r="E110" i="35"/>
  <c r="F109" i="35"/>
  <c r="E109" i="35"/>
  <c r="F108" i="35"/>
  <c r="E108" i="35"/>
  <c r="F107" i="35"/>
  <c r="E107" i="35"/>
  <c r="F106" i="35"/>
  <c r="E106" i="35"/>
  <c r="F105" i="35"/>
  <c r="E105" i="35"/>
  <c r="F104" i="35"/>
  <c r="E104" i="35"/>
  <c r="F103" i="35"/>
  <c r="E103" i="35"/>
  <c r="F102" i="35"/>
  <c r="E102" i="35"/>
  <c r="F101" i="35"/>
  <c r="E101" i="35"/>
  <c r="F100" i="35"/>
  <c r="E100" i="35"/>
  <c r="F99" i="35"/>
  <c r="E99" i="35"/>
  <c r="F98" i="35"/>
  <c r="E98" i="35"/>
  <c r="F97" i="35"/>
  <c r="E97" i="35"/>
  <c r="F96" i="35"/>
  <c r="E96" i="35"/>
  <c r="F95" i="35"/>
  <c r="E95" i="35"/>
  <c r="F94" i="35"/>
  <c r="E94" i="35"/>
  <c r="F93" i="35"/>
  <c r="E93" i="35"/>
  <c r="F92" i="35"/>
  <c r="E92" i="35"/>
  <c r="F91" i="35"/>
  <c r="E91" i="35"/>
  <c r="F90" i="35"/>
  <c r="E90" i="35"/>
  <c r="F89" i="35"/>
  <c r="E89" i="35"/>
  <c r="F88" i="35"/>
  <c r="E88" i="35"/>
  <c r="F85" i="35"/>
  <c r="E85" i="35"/>
  <c r="F87" i="35"/>
  <c r="E87" i="35"/>
  <c r="F86" i="35"/>
  <c r="E86" i="35"/>
  <c r="F84" i="35"/>
  <c r="E84" i="35"/>
  <c r="F83" i="35"/>
  <c r="E83" i="35"/>
  <c r="F82" i="35"/>
  <c r="E82" i="35"/>
  <c r="F81" i="35"/>
  <c r="E81" i="35"/>
  <c r="F80" i="35"/>
  <c r="E80" i="35"/>
  <c r="F79" i="35"/>
  <c r="E79" i="35"/>
  <c r="F117" i="35"/>
  <c r="E117" i="35"/>
  <c r="G111" i="35" l="1"/>
  <c r="R43" i="29" l="1"/>
  <c r="S43" i="29" s="1"/>
  <c r="R22" i="29" l="1"/>
  <c r="S16" i="29"/>
  <c r="S22" i="29" l="1"/>
  <c r="H16" i="29" l="1"/>
  <c r="W48" i="29" l="1"/>
  <c r="X48" i="29" s="1"/>
  <c r="D28" i="29"/>
  <c r="H22" i="29"/>
  <c r="H18" i="29"/>
  <c r="H17" i="29"/>
  <c r="I16" i="29"/>
  <c r="I15" i="29" l="1"/>
  <c r="I18" i="29"/>
  <c r="H28" i="29"/>
  <c r="I22" i="29"/>
  <c r="H51" i="29"/>
  <c r="N54" i="29" l="1"/>
  <c r="N31" i="29"/>
  <c r="I28" i="29"/>
  <c r="H29" i="29" s="1"/>
  <c r="I51" i="29"/>
  <c r="H52" i="29" s="1"/>
  <c r="AA39" i="29"/>
  <c r="C42" i="42" s="1"/>
  <c r="Z39" i="29"/>
  <c r="N57" i="29" l="1"/>
  <c r="N55" i="29"/>
  <c r="N32" i="29"/>
  <c r="Z10" i="29"/>
  <c r="AA10" i="29"/>
  <c r="AB39" i="29"/>
  <c r="N58" i="29" l="1"/>
  <c r="AB10" i="29"/>
  <c r="G117" i="35" l="1"/>
  <c r="G116" i="35" s="1"/>
  <c r="G115" i="35" s="1"/>
  <c r="G110" i="35" s="1"/>
  <c r="G109" i="35" s="1"/>
  <c r="G108" i="35" s="1"/>
  <c r="G107" i="35" s="1"/>
  <c r="G106" i="35" s="1"/>
  <c r="G105" i="35" s="1"/>
  <c r="G104" i="35" s="1"/>
  <c r="G103" i="35" s="1"/>
  <c r="G102" i="35" s="1"/>
  <c r="G101" i="35" s="1"/>
  <c r="G100" i="35" s="1"/>
  <c r="G99" i="35" s="1"/>
  <c r="G98" i="35" s="1"/>
  <c r="G97" i="35" s="1"/>
  <c r="G96" i="35" s="1"/>
  <c r="G95" i="35" s="1"/>
  <c r="G94" i="35" s="1"/>
  <c r="G93" i="35" s="1"/>
  <c r="G92" i="35" s="1"/>
  <c r="G91" i="35" s="1"/>
  <c r="G90" i="35" s="1"/>
  <c r="G89" i="35" s="1"/>
  <c r="G88" i="35" s="1"/>
  <c r="G87" i="35" s="1"/>
  <c r="G86" i="35" s="1"/>
  <c r="G85" i="35" s="1"/>
  <c r="G84" i="35" s="1"/>
  <c r="G83" i="35" s="1"/>
  <c r="G82" i="35" s="1"/>
  <c r="G81" i="35" s="1"/>
  <c r="G80" i="35" s="1"/>
  <c r="G79" i="35" s="1"/>
  <c r="G78" i="35" s="1"/>
  <c r="G106" i="39"/>
  <c r="G105" i="39" s="1"/>
  <c r="G104" i="39" s="1"/>
  <c r="G103" i="39" s="1"/>
  <c r="G102" i="39" s="1"/>
  <c r="G101" i="39" s="1"/>
  <c r="G100" i="39" s="1"/>
  <c r="G99" i="39" s="1"/>
  <c r="G98" i="39" s="1"/>
  <c r="G97" i="39" s="1"/>
  <c r="G96" i="39" s="1"/>
  <c r="G95" i="39" s="1"/>
  <c r="G94" i="39" s="1"/>
  <c r="G93" i="39" s="1"/>
  <c r="G92" i="39" s="1"/>
  <c r="G91" i="39" s="1"/>
  <c r="G90" i="39" s="1"/>
  <c r="G89" i="39" s="1"/>
  <c r="G88" i="39" s="1"/>
  <c r="G87" i="39" s="1"/>
  <c r="G86" i="39" s="1"/>
  <c r="G85" i="39" s="1"/>
  <c r="G84" i="39" s="1"/>
  <c r="G83" i="39" s="1"/>
  <c r="G82" i="39" s="1"/>
  <c r="G81" i="39" s="1"/>
  <c r="G80" i="39" s="1"/>
  <c r="G79" i="39" s="1"/>
  <c r="G78" i="39" s="1"/>
  <c r="G77" i="39" s="1"/>
  <c r="G76" i="39" s="1"/>
  <c r="G75" i="39" s="1"/>
  <c r="G74" i="39" s="1"/>
  <c r="G73" i="39" s="1"/>
  <c r="G72" i="39" s="1"/>
  <c r="G71" i="39" s="1"/>
  <c r="G70" i="39" s="1"/>
  <c r="G69" i="39" s="1"/>
  <c r="G68" i="39" s="1"/>
  <c r="G67" i="39" s="1"/>
  <c r="G66" i="39" s="1"/>
  <c r="G65" i="39" s="1"/>
  <c r="G64" i="39" s="1"/>
  <c r="G63" i="39" s="1"/>
  <c r="G62" i="39" s="1"/>
  <c r="G61" i="39" s="1"/>
  <c r="G60" i="39" s="1"/>
  <c r="G59" i="39" s="1"/>
  <c r="G58" i="39" s="1"/>
  <c r="G57" i="39" s="1"/>
  <c r="G56" i="39" s="1"/>
  <c r="G66" i="40"/>
  <c r="G65" i="40" s="1"/>
  <c r="G64" i="40" s="1"/>
  <c r="G63" i="40" s="1"/>
  <c r="G62" i="40" s="1"/>
  <c r="G61" i="40" s="1"/>
  <c r="G60" i="40" s="1"/>
  <c r="G59" i="40" s="1"/>
  <c r="G58" i="40" s="1"/>
  <c r="G57" i="40" s="1"/>
  <c r="G56" i="40" s="1"/>
  <c r="G55" i="40" s="1"/>
  <c r="A57" i="41"/>
  <c r="A58" i="41" s="1"/>
  <c r="A59" i="41" s="1"/>
  <c r="A60" i="41" s="1"/>
  <c r="A61" i="41" s="1"/>
  <c r="A62" i="41" s="1"/>
  <c r="A63" i="41" s="1"/>
  <c r="A64" i="41" s="1"/>
  <c r="A65" i="41" s="1"/>
  <c r="G127" i="37"/>
  <c r="G126" i="37" s="1"/>
  <c r="G125" i="37" s="1"/>
  <c r="G124" i="37" s="1"/>
  <c r="G123" i="37" s="1"/>
  <c r="G122" i="37" s="1"/>
  <c r="G121" i="37" s="1"/>
  <c r="G120" i="37" s="1"/>
  <c r="G119" i="37" s="1"/>
  <c r="G118" i="37" s="1"/>
  <c r="G117" i="37" s="1"/>
  <c r="G116" i="37" s="1"/>
  <c r="G115" i="37" s="1"/>
  <c r="G114" i="37" s="1"/>
  <c r="G113" i="37" s="1"/>
  <c r="G112" i="37" s="1"/>
  <c r="G111" i="37" s="1"/>
  <c r="G110" i="37" s="1"/>
  <c r="G109" i="37" s="1"/>
  <c r="G108" i="37" s="1"/>
  <c r="G107" i="37" s="1"/>
  <c r="G106" i="37" s="1"/>
  <c r="G105" i="37" s="1"/>
  <c r="G104" i="37" s="1"/>
  <c r="G103" i="37" s="1"/>
  <c r="G102" i="37" s="1"/>
  <c r="G101" i="37" s="1"/>
  <c r="G100" i="37" s="1"/>
  <c r="G99" i="37" s="1"/>
  <c r="G98" i="37" s="1"/>
  <c r="G97" i="37" s="1"/>
  <c r="G96" i="37" s="1"/>
  <c r="G95" i="37" s="1"/>
  <c r="G94" i="37" s="1"/>
  <c r="G93" i="37" s="1"/>
  <c r="G92" i="37" s="1"/>
  <c r="G91" i="37" s="1"/>
  <c r="G90" i="37" s="1"/>
  <c r="G89" i="37" s="1"/>
  <c r="G88" i="37" s="1"/>
  <c r="G87" i="37" s="1"/>
  <c r="G86" i="37" s="1"/>
  <c r="G85" i="37" s="1"/>
  <c r="G84" i="37" s="1"/>
  <c r="G83" i="37" s="1"/>
  <c r="G82" i="37" s="1"/>
  <c r="G81" i="37" s="1"/>
  <c r="G80" i="37" s="1"/>
  <c r="G79" i="37" s="1"/>
  <c r="G78" i="37" s="1"/>
  <c r="G77" i="37" s="1"/>
  <c r="G76" i="37" s="1"/>
  <c r="G75" i="37" s="1"/>
  <c r="G74" i="37" s="1"/>
  <c r="G73" i="37" s="1"/>
  <c r="G72" i="37" s="1"/>
  <c r="G71" i="37" s="1"/>
  <c r="G70" i="37" s="1"/>
  <c r="G69" i="37" s="1"/>
  <c r="G68" i="37" s="1"/>
  <c r="G67" i="37" s="1"/>
  <c r="G66" i="37" s="1"/>
  <c r="G65" i="37" s="1"/>
  <c r="G64" i="37" s="1"/>
  <c r="G63" i="37" s="1"/>
  <c r="G62" i="37" s="1"/>
  <c r="G61" i="37" s="1"/>
  <c r="G60" i="37" s="1"/>
  <c r="G59" i="37" s="1"/>
  <c r="G58" i="37" s="1"/>
  <c r="G57" i="37" s="1"/>
  <c r="G56" i="37" s="1"/>
  <c r="G55" i="37" s="1"/>
  <c r="G54" i="37" s="1"/>
  <c r="G53" i="37" s="1"/>
  <c r="G52" i="37" s="1"/>
  <c r="G51" i="37" s="1"/>
  <c r="G50" i="37" s="1"/>
  <c r="G49" i="37" s="1"/>
  <c r="G48" i="37" s="1"/>
  <c r="G47" i="37" s="1"/>
  <c r="G46" i="37" s="1"/>
  <c r="G45" i="37" s="1"/>
  <c r="G44" i="37" s="1"/>
  <c r="G43" i="37" s="1"/>
  <c r="G42" i="37" s="1"/>
  <c r="G41" i="37" s="1"/>
  <c r="G40" i="37" s="1"/>
  <c r="G39" i="37" s="1"/>
  <c r="G38" i="37" s="1"/>
  <c r="G37" i="37" s="1"/>
  <c r="G36" i="37" s="1"/>
  <c r="G35" i="37" s="1"/>
  <c r="G34" i="37" s="1"/>
  <c r="G33" i="37" s="1"/>
  <c r="G32" i="37" s="1"/>
  <c r="G31" i="37" s="1"/>
  <c r="G30" i="37" s="1"/>
  <c r="G29" i="37" s="1"/>
  <c r="G28" i="37" s="1"/>
  <c r="G27" i="37" s="1"/>
  <c r="G26" i="37" s="1"/>
  <c r="G51" i="40"/>
  <c r="G50" i="40" s="1"/>
  <c r="G49" i="40" s="1"/>
  <c r="G48" i="40" s="1"/>
  <c r="G47" i="40" s="1"/>
  <c r="G46" i="40" s="1"/>
  <c r="G45" i="40" s="1"/>
  <c r="G44" i="40" s="1"/>
  <c r="G43" i="40" s="1"/>
  <c r="G42" i="40" s="1"/>
  <c r="G41" i="40" s="1"/>
  <c r="G40" i="40" s="1"/>
  <c r="G39" i="40" s="1"/>
  <c r="G38" i="40" s="1"/>
  <c r="G37" i="40" s="1"/>
  <c r="G36" i="40" s="1"/>
  <c r="G35" i="40" s="1"/>
  <c r="G34" i="40" s="1"/>
  <c r="G33" i="40" s="1"/>
  <c r="G32" i="40" s="1"/>
  <c r="G31" i="40" s="1"/>
  <c r="G30" i="40" s="1"/>
  <c r="G29" i="40" s="1"/>
  <c r="G28" i="40" s="1"/>
  <c r="G27" i="40" s="1"/>
  <c r="G26" i="40" s="1"/>
  <c r="G25" i="40" s="1"/>
  <c r="G24" i="40" s="1"/>
  <c r="G23" i="40" s="1"/>
  <c r="G22" i="40" s="1"/>
  <c r="G21" i="40" s="1"/>
  <c r="G20" i="40" s="1"/>
  <c r="G19" i="40" s="1"/>
  <c r="G18" i="40" s="1"/>
  <c r="G17" i="40" s="1"/>
  <c r="G16" i="40" s="1"/>
  <c r="G15" i="40" s="1"/>
  <c r="G14" i="40" s="1"/>
  <c r="G13" i="40" s="1"/>
  <c r="G53" i="39"/>
  <c r="G52" i="39" s="1"/>
  <c r="G51" i="39" s="1"/>
  <c r="G50" i="39" s="1"/>
  <c r="G49" i="39" s="1"/>
  <c r="G48" i="39" s="1"/>
  <c r="G47" i="39" s="1"/>
  <c r="G46" i="39" s="1"/>
  <c r="G45" i="39" s="1"/>
  <c r="G44" i="39" s="1"/>
  <c r="G43" i="39" s="1"/>
  <c r="G42" i="39" s="1"/>
  <c r="G41" i="39" s="1"/>
  <c r="G40" i="39" s="1"/>
  <c r="G39" i="39" s="1"/>
  <c r="G38" i="39" s="1"/>
  <c r="G37" i="39" s="1"/>
  <c r="G36" i="39" s="1"/>
  <c r="G35" i="39" s="1"/>
  <c r="G34" i="39" s="1"/>
  <c r="G33" i="39" s="1"/>
  <c r="G32" i="39" s="1"/>
  <c r="G31" i="39" s="1"/>
  <c r="G30" i="39" s="1"/>
  <c r="G29" i="39" s="1"/>
  <c r="G28" i="39" s="1"/>
  <c r="G27" i="39" s="1"/>
  <c r="G26" i="39" s="1"/>
  <c r="G25" i="39" s="1"/>
  <c r="G24" i="39" s="1"/>
  <c r="G23" i="39" s="1"/>
  <c r="G22" i="39" s="1"/>
  <c r="G21" i="39" s="1"/>
  <c r="G20" i="39" s="1"/>
  <c r="G19" i="39" s="1"/>
  <c r="G18" i="39" s="1"/>
  <c r="G17" i="39" s="1"/>
  <c r="G16" i="39" s="1"/>
  <c r="G15" i="39" s="1"/>
  <c r="G14" i="39" s="1"/>
  <c r="G13" i="39" s="1"/>
</calcChain>
</file>

<file path=xl/sharedStrings.xml><?xml version="1.0" encoding="utf-8"?>
<sst xmlns="http://schemas.openxmlformats.org/spreadsheetml/2006/main" count="1949" uniqueCount="649">
  <si>
    <t>ANZ</t>
  </si>
  <si>
    <t>TOTAL</t>
  </si>
  <si>
    <t>#</t>
  </si>
  <si>
    <t>Code</t>
  </si>
  <si>
    <t>Qty</t>
  </si>
  <si>
    <t>DIVIDEND</t>
  </si>
  <si>
    <t>$</t>
  </si>
  <si>
    <t>NAB</t>
  </si>
  <si>
    <t>QBE</t>
  </si>
  <si>
    <t>RHCPA</t>
  </si>
  <si>
    <t>TLS</t>
  </si>
  <si>
    <t>WBC</t>
  </si>
  <si>
    <t>Frank</t>
  </si>
  <si>
    <t>DATE</t>
  </si>
  <si>
    <t>No</t>
  </si>
  <si>
    <t>Dividend</t>
  </si>
  <si>
    <t>of</t>
  </si>
  <si>
    <t>unit</t>
  </si>
  <si>
    <t>Total</t>
  </si>
  <si>
    <t>FRNKING</t>
  </si>
  <si>
    <t>RIO</t>
  </si>
  <si>
    <t>Q1(Jul/Aug/Sep)</t>
  </si>
  <si>
    <t>Q2(Oct/Nov/Dec)</t>
  </si>
  <si>
    <t>Q3(Jan/Feb/Mar)</t>
  </si>
  <si>
    <t>Q4(Apr/May/Jun)</t>
  </si>
  <si>
    <t>MND</t>
  </si>
  <si>
    <t>BHP</t>
  </si>
  <si>
    <t>Price</t>
  </si>
  <si>
    <t>BTT</t>
  </si>
  <si>
    <t>S32</t>
  </si>
  <si>
    <t>CBA</t>
  </si>
  <si>
    <t>MQG</t>
  </si>
  <si>
    <t>VOC</t>
  </si>
  <si>
    <t>WPL</t>
  </si>
  <si>
    <t>AMP</t>
  </si>
  <si>
    <t>WES</t>
  </si>
  <si>
    <t>NABPD</t>
  </si>
  <si>
    <t>WOW</t>
  </si>
  <si>
    <t>LGD</t>
  </si>
  <si>
    <t>ANZPG</t>
  </si>
  <si>
    <t>TGA</t>
  </si>
  <si>
    <t>CGFPB</t>
  </si>
  <si>
    <t>IFL</t>
  </si>
  <si>
    <t>CREDIT INTEREST PAID</t>
  </si>
  <si>
    <t>Amount</t>
  </si>
  <si>
    <t>Quantity</t>
  </si>
  <si>
    <t>AJM</t>
  </si>
  <si>
    <t>OFF MRKT</t>
  </si>
  <si>
    <t>MFG</t>
  </si>
  <si>
    <t>SKI</t>
  </si>
  <si>
    <t>OGC</t>
  </si>
  <si>
    <t>AMOUNT</t>
  </si>
  <si>
    <t>GOR</t>
  </si>
  <si>
    <t>IGO</t>
  </si>
  <si>
    <t>CHECK</t>
  </si>
  <si>
    <t>CAPITAL GAINES CALCULATIONS</t>
  </si>
  <si>
    <t>PAYING</t>
  </si>
  <si>
    <t>DESCRIPTION</t>
  </si>
  <si>
    <t>Paid to</t>
  </si>
  <si>
    <t>ACCOUNT #</t>
  </si>
  <si>
    <t>REFERENCE</t>
  </si>
  <si>
    <t>Visa</t>
  </si>
  <si>
    <t>ACCOUNT SERVICING FEE</t>
  </si>
  <si>
    <t>ANZ INTERNET BANKING FUNDS TFER  821542  TO  012396903132354</t>
  </si>
  <si>
    <t xml:space="preserve"> FROM ANZ SHARE INV    WITHDRAWAL</t>
  </si>
  <si>
    <t>ANZ INTERNET BANKING FUNDS TFER  229695  TO  012012498474106</t>
  </si>
  <si>
    <t>ANZ INTERNET BANKING FUNDS TFER  545132  TO 4072209025147689</t>
  </si>
  <si>
    <t>ANZ INTERNET BANKING FUNDS TFER  806694  TO  012396903132354</t>
  </si>
  <si>
    <t>ANZ INTERNET BANKING FUNDS TFER  100660  TO  012396903132354</t>
  </si>
  <si>
    <t>ANZ INTERNET BANKING FUNDS TFER  100248  TO 4072209025147689</t>
  </si>
  <si>
    <t>ANZ INTERNET BANKING FUNDS TFER  836584  TO  012396903132354</t>
  </si>
  <si>
    <t>ANZ INTERNET BANKING FUNDS TFER  366200  TO  012012498474106</t>
  </si>
  <si>
    <t>ANZ INTERNET BANKING FUNDS TFER  366796  TO  012396903132354</t>
  </si>
  <si>
    <t>ANZ INTERNET BANKING FUNDS TFER  689775  TO 4072209025147689</t>
  </si>
  <si>
    <t xml:space="preserve"> FROM ATO              ATO004000008454911</t>
  </si>
  <si>
    <t>ANZ INTERNET BANKING FUNDS TFER  679168  TO  012396903132354</t>
  </si>
  <si>
    <t>ANZ INTERNET BANKING FUNDS TFER  679587  TO 4072209025147689</t>
  </si>
  <si>
    <t>Fee &amp; Interest</t>
  </si>
  <si>
    <t>Debit</t>
  </si>
  <si>
    <t>Credit</t>
  </si>
  <si>
    <t>BALANCE</t>
  </si>
  <si>
    <t>CLOSING BALANCE FY17/18</t>
  </si>
  <si>
    <t>OPENING BALANCE FY18/19</t>
  </si>
  <si>
    <t>PAYMENT TO WOOLLAHRA COUNCI 00267468</t>
  </si>
  <si>
    <t>PRIVATE</t>
  </si>
  <si>
    <t>Account # 49543 ZSF MAIN</t>
  </si>
  <si>
    <t>Check</t>
  </si>
  <si>
    <t>Internal Transfers</t>
  </si>
  <si>
    <t>SUMMARY</t>
  </si>
  <si>
    <t>ILANA MAIN</t>
  </si>
  <si>
    <t>MEDICAL</t>
  </si>
  <si>
    <t>Centrelink PENSION</t>
  </si>
  <si>
    <t>Acc#49543</t>
  </si>
  <si>
    <t>Account # 32354 ILANA MAIN</t>
  </si>
  <si>
    <t>2018-19</t>
  </si>
  <si>
    <t>AJMOB</t>
  </si>
  <si>
    <t>BLD</t>
  </si>
  <si>
    <t>RHC</t>
  </si>
  <si>
    <t>CGF</t>
  </si>
  <si>
    <t>EVN</t>
  </si>
  <si>
    <t>CAR</t>
  </si>
  <si>
    <t>Account Number</t>
  </si>
  <si>
    <t>AsxCode</t>
  </si>
  <si>
    <t>Confirmation Number</t>
  </si>
  <si>
    <t>Order Type</t>
  </si>
  <si>
    <t>Trade Date</t>
  </si>
  <si>
    <t>Settlement Date</t>
  </si>
  <si>
    <t>Brokerage</t>
  </si>
  <si>
    <t>GST</t>
  </si>
  <si>
    <t>Stampduty</t>
  </si>
  <si>
    <t>Consideration</t>
  </si>
  <si>
    <t>Sell</t>
  </si>
  <si>
    <t>Buy</t>
  </si>
  <si>
    <t>COL</t>
  </si>
  <si>
    <t>NABPF</t>
  </si>
  <si>
    <t>QAN</t>
  </si>
  <si>
    <t>TRS</t>
  </si>
  <si>
    <t>Rec No 206134</t>
  </si>
  <si>
    <t xml:space="preserve">IFL </t>
  </si>
  <si>
    <t>Profit or Loss</t>
  </si>
  <si>
    <t>ANZ INTERNET BANKING BPAY ALTURA MNING SPP              {520657}</t>
  </si>
  <si>
    <t>ANZ INTERNET BANKING PAYMENT 865998 TO TAXGAIN</t>
  </si>
  <si>
    <t>ANZ INTERNET BANKING FUNDS TFER  282011  TO  012396903132354</t>
  </si>
  <si>
    <t>ANZ INTERNET BANKING FUNDS TFER  544740  FROM       903132354</t>
  </si>
  <si>
    <t>ANZ INTERNET BANKING FUNDS TFER  665104  TO  012396903132354</t>
  </si>
  <si>
    <t>ANZ INTERNET BANKING FUNDS TFER  520886  TO  012012498474106</t>
  </si>
  <si>
    <t>ANZ INTERNET BANKING FUNDS TFER  134997  TO  012012498474106</t>
  </si>
  <si>
    <t>DEPOSIT - divideng paid by check CARSALES</t>
  </si>
  <si>
    <t>BUY SHARES</t>
  </si>
  <si>
    <t>ANZ INTERNET BANKING FUNDS TFER  999769  TO  012396903132354</t>
  </si>
  <si>
    <t>ANZ INTERNET BANKING FUNDS TFER  448204  TO  012396903132354</t>
  </si>
  <si>
    <t>ANZ ATM DOUBLE BAY BRANCH #1     DOUBLE BAY   NS</t>
  </si>
  <si>
    <t>PENSION ZSF</t>
  </si>
  <si>
    <t>INTERNAL TRANSFERS</t>
  </si>
  <si>
    <t>Acc#72559</t>
  </si>
  <si>
    <t>Acc#74106</t>
  </si>
  <si>
    <t>Account # 74106 ZSF E-TRADE</t>
  </si>
  <si>
    <t>Account # 72559 ILANA E-TRADE</t>
  </si>
  <si>
    <t>SHARE TRADE WITHDRAWAL TO CMC MARKETS STOC 7240112</t>
  </si>
  <si>
    <t>SHARE TRADE WITHDRAWAL TO CMC MARKETS STOC 7239834</t>
  </si>
  <si>
    <t>DIVIDEND FROM WBC DIVIDEND     001229381118</t>
  </si>
  <si>
    <t>TRANSFER FROM CMC MARKETS STOC C7217968</t>
  </si>
  <si>
    <t>SHARE TRADE WITHDRAWAL TO CMC MARKETS STOC 7068296</t>
  </si>
  <si>
    <t>SHARE TRADE WITHDRAWAL TO CMC MARKETS STOC C7064744</t>
  </si>
  <si>
    <t>SHARE TRADE WITHDRAWAL TO CMC MARKETS STOC C7038467</t>
  </si>
  <si>
    <t>SHARE TRADE WITHDRAWAL TO CMC MARKETS STOC C7038216</t>
  </si>
  <si>
    <t>SHARE TRADE WITHDRAWAL TO CMC MARKETS STOC C7038292</t>
  </si>
  <si>
    <t>SHARE TRADE WITHDRAWAL TO CMC MARKETS STOC 6866172</t>
  </si>
  <si>
    <t>TRANSFER FROM RHCL HYBRID      S00014182691</t>
  </si>
  <si>
    <t>DIVIDEND FROM QBE DIVIDEND     18AFP/00825538</t>
  </si>
  <si>
    <t>SHARE TRADE WITHDRAWAL TO CMC MARKETS STOC C6895833</t>
  </si>
  <si>
    <t>SHARE TRADE WITHDRAWAL TO CMC MARKETS STOC C6893224</t>
  </si>
  <si>
    <t>TRANSFER FROM CMC MARKETS STOC C6892718</t>
  </si>
  <si>
    <t>TRANSFER FROM CMC MARKETS STOC C6888235</t>
  </si>
  <si>
    <t>SHARE TRADE WITHDRAWAL TO CMC MARKETS STOC C6886542</t>
  </si>
  <si>
    <t>TRANSFER FROM CMC MARKETS STOC C6885245</t>
  </si>
  <si>
    <t>DIVIDEND FROM WOW ITM DIV      001227226193</t>
  </si>
  <si>
    <t>DIVIDEND FROM TLS INT DIV      001226131339</t>
  </si>
  <si>
    <t>TRANSFER FROM RHCL DIVIDEND    S00014182691</t>
  </si>
  <si>
    <t>DIVIDEND FROM CBA ITM DIV      001224561730</t>
  </si>
  <si>
    <t>TRANSFER FROM CMC MARKETS STOC C6791213</t>
  </si>
  <si>
    <t>TRANSFER FROM CMC MARKETS STOC C6791450</t>
  </si>
  <si>
    <t>TRANSFER FROM NAB REFUND       PFREF/00800440</t>
  </si>
  <si>
    <t>DIVIDEND FROM WOODSIDE         FIN18/00562580</t>
  </si>
  <si>
    <t>DEBENTURE/NOTE INTEREST FROM CAP NOTES 4 DIST C4M19/00604619</t>
  </si>
  <si>
    <t>DIVIDEND FROM BLD ITM DIV      001227552893</t>
  </si>
  <si>
    <t>SHARE TRADE WITHDRAWAL TO CMC MARKETS STOC 6398403</t>
  </si>
  <si>
    <t>TRANSFER FROM CMC MARKETS STOC C6656085</t>
  </si>
  <si>
    <t>SHARE TRADE WITHDRAWAL TO CMC MARKETS STOC C6600226</t>
  </si>
  <si>
    <t>TRANSFER FROM CMC MARKETS STOC C6562066</t>
  </si>
  <si>
    <t>TRANSFER FROM CMC MARKETS STOC C6548898</t>
  </si>
  <si>
    <t>SHARE TRADE WITHDRAWAL TO CMC MARKETS STOC C6546156</t>
  </si>
  <si>
    <t>TRANSFER FROM CMC MARKETS STOC C6537214</t>
  </si>
  <si>
    <t>SHARE TRADE WITHDRAWAL TO CMC MARKETS STOC C6491800</t>
  </si>
  <si>
    <t>TRANSFER FROM CMC MARKETS STOC C6491739</t>
  </si>
  <si>
    <t>SHARE TRADE WITHDRAWAL TO CMC MARKETS STOC C6435091</t>
  </si>
  <si>
    <t>SHARE TRADE WITHDRAWAL TO CMC MARKETS STOC C6419382</t>
  </si>
  <si>
    <t>TRANSFER FROM CMC MARKETS STOC C6418778</t>
  </si>
  <si>
    <t>TRANSFER FROM CMC MARKETS STOC C6415535</t>
  </si>
  <si>
    <t>SHARE TRADE WITHDRAWAL TO CMC MARKETS STOC C6397037</t>
  </si>
  <si>
    <t>DIVIDEND FROM WBC DIVIDEND     001223058105</t>
  </si>
  <si>
    <t>DEBENTURE/NOTE INTEREST FROM CAP NOTES 4 DIST C4D18/00604686</t>
  </si>
  <si>
    <t>DIVIDEND FROM ANZ DIVIDEND     A066/00550968</t>
  </si>
  <si>
    <t>DIVIDEND FROM MQG              S00014182691</t>
  </si>
  <si>
    <t>DIVIDEND FROM NAB FINAL DIV    DV192/00487244</t>
  </si>
  <si>
    <t>SHARE TRADE WITHDRAWAL TO CMC MARKETS STOC C6199545</t>
  </si>
  <si>
    <t>SHARE TRADE WITHDRAWAL TO CMC MARKETS STOC C6163180</t>
  </si>
  <si>
    <t>SHARE TRADE WITHDRAWAL TO CMC MARKETS STOC 5711940</t>
  </si>
  <si>
    <t>TRANSFER FROM CMC MARKETS STOC 5709278</t>
  </si>
  <si>
    <t>SHARE TRADE WITHDRAWAL TO CMC MARKETS STOC 5703500</t>
  </si>
  <si>
    <t>TRANSFER FROM CMC MARKETS STOC C6149670</t>
  </si>
  <si>
    <t>TRANSFER FROM CMC MARKETS STOC C6151106</t>
  </si>
  <si>
    <t>TRANSFER FROM CMC MARKETS STOC 5691162</t>
  </si>
  <si>
    <t>SHARE TRADE WITHDRAWAL TO CMC MARKETS STOC C6001028</t>
  </si>
  <si>
    <t>SHARE TRADE WITHDRAWAL TO CMC MARKETS STOC C5999440</t>
  </si>
  <si>
    <t>TRANSFER FROM CMC MARKETS STOC C5999135</t>
  </si>
  <si>
    <t>TRANSFER FROM CMC MARKETS STOC C5998913</t>
  </si>
  <si>
    <t>TRANSFER FROM CMC MARKETS STOC C5999272</t>
  </si>
  <si>
    <t>TRANSFER FROM CMC MARKETS STOC 5496680</t>
  </si>
  <si>
    <t>ANZ INTERNET BANKING FUNDS TFER TRANSFER 438637  FROM       903132354</t>
  </si>
  <si>
    <t>ANZ INTERNET BANKING FUNDS TFER TRANSFER 458887  FROM       903132354</t>
  </si>
  <si>
    <t>SHARE TRADE WITHDRAWAL TO CMC MARKETS STOC C5952068</t>
  </si>
  <si>
    <t>SHARE TRADE WITHDRAWAL TO CMC MARKETS STOC C5940290</t>
  </si>
  <si>
    <t>DIVIDEND FROM WOW DIV          001222098855</t>
  </si>
  <si>
    <t>TRANSFER FROM CMC MARKETS STOC 5432661</t>
  </si>
  <si>
    <t>TRANSFER FROM CMC MARKETS STOC 5421678</t>
  </si>
  <si>
    <t>DIVIDEND FROM NABPD OCT        PD192/00803453</t>
  </si>
  <si>
    <t>DIVIDEND FROM QBE DIVIDEND     18FPA/00827614</t>
  </si>
  <si>
    <t>DIVIDEND FROM MONADELPHOUS LTD 18REC/00803439</t>
  </si>
  <si>
    <t>DIVIDEND FROM CBA FNL DIV      001218227113</t>
  </si>
  <si>
    <t>DIVIDEND FROM AMP LIMITED      18INT/01217462</t>
  </si>
  <si>
    <t>DIVIDEND FROM TLS FNL DIV      001219607988</t>
  </si>
  <si>
    <t>DIVIDEND FROM WESFARMERS LTD   FIN18/00993784</t>
  </si>
  <si>
    <t>DIVIDEND FROM BHP LTD DIVIDEND AF377/01003016</t>
  </si>
  <si>
    <t>DIVIDEND FROM WOODSIDE         INT18/00563033</t>
  </si>
  <si>
    <t>DEBENTURE/NOTE INTEREST FROM CAP NOTES 4 DIST C4S18/00604756</t>
  </si>
  <si>
    <t>ANZ INTERNET BANKING FUNDS TFER TRANSFER 520886  FROM       499449543</t>
  </si>
  <si>
    <t>DIVIDEND FROM SPARK INFRASTRUC S00014182691</t>
  </si>
  <si>
    <t>ANZ INTERNET BANKING FUNDS TFER TRANSFER 134997  FROM       499449543</t>
  </si>
  <si>
    <t>DIVIDEND FROM MAGELLAN FIN GRP S00014182691</t>
  </si>
  <si>
    <t>SHARE TRADE WITHDRAWAL TO ANZ SHARE INV    TRANSFER TO NOM AC</t>
  </si>
  <si>
    <t>SHARE TRADE WITHDRAWAL TO ANZ SHARE INVEST B CBA 118441207-0</t>
  </si>
  <si>
    <t>SHARE TRADE WITHDRAWAL TO ANZ SHARE INVEST B GOR 118383724-0</t>
  </si>
  <si>
    <t>SHARE TRADE WITHDRAWAL TO ANZ SHARE INVEST B CBA 118120095-0</t>
  </si>
  <si>
    <t>SHARE TRADE WITHDRAWAL TO ANZ SHARE INVEST B QBE 118058729-0</t>
  </si>
  <si>
    <t>DIVIDEND FROM NABPD JUL        PD191/00803540</t>
  </si>
  <si>
    <t>SHARE TRADE WITHDRAWAL TO ANZ SHARE INVEST B GOR 117854910-0</t>
  </si>
  <si>
    <t>DIVIDEND FROM NAB INTERIM DIV  DV191/00492985</t>
  </si>
  <si>
    <t>DIVIDEND FROM WBC DIVIDEND     001216205391</t>
  </si>
  <si>
    <t>DIVIDEND FROM MQG FNL DIV      001216015138</t>
  </si>
  <si>
    <t>DIVIDEND FROM ANZ DIVIDEND     A065/00194704</t>
  </si>
  <si>
    <t>TRANSFER FROM ANZ SHARE INVEST S GOR 117735884-0</t>
  </si>
  <si>
    <t>SHARE TRADE WITHDRAWAL TO ANZ SHARE INVEST B GOR 117567985-0</t>
  </si>
  <si>
    <t>SELL SHARES</t>
  </si>
  <si>
    <t>2 EXCESS INTERNET/ONLINE TRANSACTIONS - FEE</t>
  </si>
  <si>
    <t>1 EXCESS EFTPOS  PHONE BANKING  AUTOMATIC TRANSACTIONS - FEE</t>
  </si>
  <si>
    <t xml:space="preserve"> FROM CMC MARKETS STOC 7272455</t>
  </si>
  <si>
    <t xml:space="preserve"> FROM CMC MARKETS STOC 7240113</t>
  </si>
  <si>
    <t xml:space="preserve"> FROM CMC MARKETS STOC 7239835</t>
  </si>
  <si>
    <t xml:space="preserve"> FROM CMC MARKETS STOC 7068297</t>
  </si>
  <si>
    <t xml:space="preserve"> FROM CMC MARKETS STOC 6866173</t>
  </si>
  <si>
    <t xml:space="preserve"> FROM CMC MARKETS STOC 6398404</t>
  </si>
  <si>
    <t xml:space="preserve"> FROM CMC MARKETS STOC 5711941</t>
  </si>
  <si>
    <t xml:space="preserve"> FROM CMC MARKETS STOC 5703501</t>
  </si>
  <si>
    <t xml:space="preserve"> FROM ATO              ATO008000010078440</t>
  </si>
  <si>
    <t>SHARE TRADE WITHDRAWAL TO CMC MARKETS STOC 7272454</t>
  </si>
  <si>
    <t>TRANSFER FROM CMC MARKETS STOC C6885430 (NABPF SELL)</t>
  </si>
  <si>
    <t>BUY or REFUND</t>
  </si>
  <si>
    <t>ANZ INTERNET BANKING FUNDS TFER  786050  TO  012396903132354 *</t>
  </si>
  <si>
    <t>ANZ INTERNET BANKING FUNDS TFER  132881  TO  012396903132354 *</t>
  </si>
  <si>
    <t>3074738 - Mr Ilia Alexander Vishney + Mrs Lana Michelle Vishney &lt;Zodex Superfund A/C&gt;</t>
  </si>
  <si>
    <t>3221898 - Mr Ilia Alexander Vishney + Mrs Lana Michelle Vishney</t>
  </si>
  <si>
    <t>Account</t>
  </si>
  <si>
    <t>Confirmation #</t>
  </si>
  <si>
    <t>Type</t>
  </si>
  <si>
    <t>Trade date</t>
  </si>
  <si>
    <t>Settlement date</t>
  </si>
  <si>
    <t>Price$</t>
  </si>
  <si>
    <t>Brokerage$</t>
  </si>
  <si>
    <t>GST$</t>
  </si>
  <si>
    <t>Other fees$</t>
  </si>
  <si>
    <t>Consideration$</t>
  </si>
  <si>
    <t>By Scheme of Arrangements</t>
  </si>
  <si>
    <t>SHARES TRADED FY 18/19</t>
  </si>
  <si>
    <t>CAPITAL PROFIT/LOSS CALCULATION BY BUY/SELL MATCHING</t>
  </si>
  <si>
    <t xml:space="preserve">NOTES: </t>
  </si>
  <si>
    <t xml:space="preserve">  2. Lines marked blue provide the basis for calculted costs</t>
  </si>
  <si>
    <t>FY 18/19 SHARES BOUGHT ONLY</t>
  </si>
  <si>
    <t xml:space="preserve">3221898 - Mr Ilia Alexander Vishney + Mrs Lana Michelle Vishney </t>
  </si>
  <si>
    <t>see PORTFOLIOS</t>
  </si>
  <si>
    <t xml:space="preserve">  1. Lines marked yellow indicate  matching buys are from previous years and/or as caluclated for the matching quantities</t>
  </si>
  <si>
    <t>FY 17/18 SHARES TRADED (For reference only)</t>
  </si>
  <si>
    <t>LOSS</t>
  </si>
  <si>
    <t>PROFIT</t>
  </si>
  <si>
    <t>TAXGAIN(E-advice)</t>
  </si>
  <si>
    <t>ILANA</t>
  </si>
  <si>
    <t>BUY</t>
  </si>
  <si>
    <t>SELL</t>
  </si>
  <si>
    <t>SHARE TRADE WITHDRAWAL TO CMC MARKETS STOC 7317579</t>
  </si>
  <si>
    <t>DIVIDEND FROM NAB INTERIM DIV  DV201/00484476</t>
  </si>
  <si>
    <t>DIVIDEND FROM ANZ DIVIDEND     A067/00558256</t>
  </si>
  <si>
    <t xml:space="preserve">DEPOSIT </t>
  </si>
  <si>
    <t>CLOSING BALANCE FY18/19</t>
  </si>
  <si>
    <t>OPENING BALANCE FY19/20</t>
  </si>
  <si>
    <t>*</t>
  </si>
  <si>
    <t>Puchase paid for by a loan from ILANA, see SUMMARY</t>
  </si>
  <si>
    <t>ZSF E-TRADE ACCOUNT #74106</t>
  </si>
  <si>
    <t>ILANA E-TRADE ACCOUNT #72559</t>
  </si>
  <si>
    <t>ANZ Acc 49543</t>
  </si>
  <si>
    <t>ANZ Acc  32354</t>
  </si>
  <si>
    <t>ZODEX Superfund</t>
  </si>
  <si>
    <t>NOTE:</t>
  </si>
  <si>
    <t>ZSF</t>
  </si>
  <si>
    <t>CLOSING BALANCE FY 18/19</t>
  </si>
  <si>
    <t>OPENING BALANCE FY 19/20</t>
  </si>
  <si>
    <t>CLOSING BALANCE FY 17/18</t>
  </si>
  <si>
    <t>OPENING BALANCE FY 18/19</t>
  </si>
  <si>
    <t>TRANSFER FROM AJMSPP           001228482433 REFUND</t>
  </si>
  <si>
    <t>OWE to ILANA</t>
  </si>
  <si>
    <t>Dividends</t>
  </si>
  <si>
    <t>BAP</t>
  </si>
  <si>
    <t xml:space="preserve">CREDIT INTEREST PAID  </t>
  </si>
  <si>
    <t xml:space="preserve">DIVIDEND FROM WBC DIVIDEND     001235663716 </t>
  </si>
  <si>
    <t xml:space="preserve">DIVIDEND FROM ANZ DIVIDEND     A068/00555905 </t>
  </si>
  <si>
    <t xml:space="preserve">DIVIDEND FROM MQG DIVIDEND     S00014182691 </t>
  </si>
  <si>
    <t xml:space="preserve">DIVIDEND FROM NAB FINAL DIV    DV202/00480804 </t>
  </si>
  <si>
    <t xml:space="preserve">SHARE TRADE WITHDRAWAL TO CMC MARKETS STOC 8462294 </t>
  </si>
  <si>
    <t xml:space="preserve">TRANSFER FROM RHCL HYBRID      S00014182691 </t>
  </si>
  <si>
    <t xml:space="preserve">DIVIDEND FROM QBE DIVIDEND     19FPA/00823731 </t>
  </si>
  <si>
    <t xml:space="preserve">DIVIDEND FROM BLD FNL DIV      001234268475 </t>
  </si>
  <si>
    <t xml:space="preserve">TRANSFER FROM RHCL DIVIDEND    S00014182691 </t>
  </si>
  <si>
    <t xml:space="preserve">DIVIDEND FROM CBA FNL DIV      001231067864 </t>
  </si>
  <si>
    <t xml:space="preserve">DIVIDEND FROM TLS FNL DIV      001232443035 </t>
  </si>
  <si>
    <t xml:space="preserve">DIVIDEND FROM WOODSIDE         INT19/00549198 </t>
  </si>
  <si>
    <t xml:space="preserve">ANZ INTERNET BANKING FUNDS TFER TRANSFER 366397  FROM       499449543 </t>
  </si>
  <si>
    <t>SHARE TRADE WITHDRAWAL TO CMC MARKETS STOC C7961442 (NAB)</t>
  </si>
  <si>
    <t>SHARE TRADE WITHDRAWAL TO CMC MARKETS STOC C7714584 (CBA)</t>
  </si>
  <si>
    <t>TRANSFER FROM CMC MARKETS STOC C7379379 (CBA)</t>
  </si>
  <si>
    <t>TRANSFER FROM CMC MARKETS STOC C7961192 (BLD)</t>
  </si>
  <si>
    <t>TRANSFER FROM CMC MARKETS STOC C7961356 (ANZ)</t>
  </si>
  <si>
    <t>TRANSFER FROM CMC MARKETS STOC C8295375 (WBC)</t>
  </si>
  <si>
    <t>ZSF Loan settled</t>
  </si>
  <si>
    <t xml:space="preserve">TRANSFER FROM CMC MARKETS STOC 8462295 </t>
  </si>
  <si>
    <t xml:space="preserve">ANZ INTERNET BANKING PAYMENT 286684 TO TAXGAIN </t>
  </si>
  <si>
    <t xml:space="preserve">TRANSFER FROM ATO              ATO005000010983858 </t>
  </si>
  <si>
    <t xml:space="preserve">TRANSFER FROM CMC MARKETS STOC 7317580 </t>
  </si>
  <si>
    <t xml:space="preserve">ANZ INTERNET BANKING FUNDS TFER 679422  TO  012396903132354 </t>
  </si>
  <si>
    <t xml:space="preserve">ANZ INTERNET BANKING FUNDS TFER366397  TO  012012498474106 </t>
  </si>
  <si>
    <t>ANZ INTERNET BANKING FUNDS TFER 517888  TO  012396903132354 (PENSION)</t>
  </si>
  <si>
    <t xml:space="preserve">  DIVIDENDS &amp; DISTRIBUTIONS</t>
  </si>
  <si>
    <t>20 19-20</t>
  </si>
  <si>
    <t>ACTIVITY</t>
  </si>
  <si>
    <t>OFF MARKET</t>
  </si>
  <si>
    <t>FY 19/20 SHARES BOUGHT AND KEPT</t>
  </si>
  <si>
    <t>Ref 18/19</t>
  </si>
  <si>
    <t>Ref 17/18</t>
  </si>
  <si>
    <t xml:space="preserve">  Lines marked yellow are referred to the source for the basis for calculting costs</t>
  </si>
  <si>
    <t>Ref 19/20</t>
  </si>
  <si>
    <t>Asx Code</t>
  </si>
  <si>
    <t>ANZ INTERNET BANKING FUNDS TFER TRANSFER 252491  TO  012396903132354</t>
  </si>
  <si>
    <t>TRANSFER FROM CMC MARKETS STOC 10411081</t>
  </si>
  <si>
    <t>TRANSFER FROM CMC MARKETS STOC 10276001</t>
  </si>
  <si>
    <t>TRANSFER FROM CMC MARKETS STOC 10129577</t>
  </si>
  <si>
    <t>ANZ INTERNET BANKING BPAY BOARDROOM P/L  #6  {769928} RHC SPP paid</t>
  </si>
  <si>
    <t>ANZ INTERNET BANKING BPAY NAB SPP {620383}</t>
  </si>
  <si>
    <t>TRANSFER FROM RAMSAY HEALTH CA S00014182691</t>
  </si>
  <si>
    <t>SHARE TRADE WITHDRAWAL TO CMC MARKETS STOC 10411080</t>
  </si>
  <si>
    <t>SHARE TRADE WITHDRAWAL TO CMC MARKETS STOC 10276000</t>
  </si>
  <si>
    <t>SHARE TRADE WITHDRAWAL TO CMC MARKETS STOC 10129576</t>
  </si>
  <si>
    <t>TRANSFER FROM CMC MARKETS STOC C9715007</t>
  </si>
  <si>
    <t>DIVIDEND FROM QBE DIVIDEND     FPA20/00821687</t>
  </si>
  <si>
    <t>DIVIDEND FROM CBA ITM DIV      001237396735</t>
  </si>
  <si>
    <t>SHARE TRADE WITHDRAWAL TO CMC MARKETS STOC C9317519</t>
  </si>
  <si>
    <t>DIVIDEND FROM TLS ITM DIV      001238661570</t>
  </si>
  <si>
    <t>TRANSFER FROM CMC MARKETS STOC C9281390</t>
  </si>
  <si>
    <t>SHARE TRADE WITHDRAWAL TO CMC MARKETS STOC C9265326</t>
  </si>
  <si>
    <t>DIVIDEND FROM WOODSIDE         FIN19/00549895</t>
  </si>
  <si>
    <t>TRANSFER FROM CMC MARKETS STOC C9766492 SELL NAB</t>
  </si>
  <si>
    <t>EFTPOS MEDICARE BENEFIT   \MELBOURNE         AU</t>
  </si>
  <si>
    <t>NON-ANZ ATM BELLEVUE HILL OS            BELLEVUE HIL</t>
  </si>
  <si>
    <t>ANZ INTERNET BANKING FUNDS TFER TRANSFER 968783  TO 4072201022124837</t>
  </si>
  <si>
    <t>ANZ INTERNET BANKING FUNDS TFER TRANSFER 968928  TO 4564621036547951</t>
  </si>
  <si>
    <t>Share purchase</t>
  </si>
  <si>
    <t>Business expense</t>
  </si>
  <si>
    <t>Accountant</t>
  </si>
  <si>
    <t>TRANSFER FROM NAB SPP REFUND   NSPPA/00850878</t>
  </si>
  <si>
    <t>SHARE TRADE WITHDRAWAL TO CMC MARKETS STOC 10275968</t>
  </si>
  <si>
    <t>DIVIDEND FROM WOW ITM DIV      001240487344</t>
  </si>
  <si>
    <t>DIVIDEND FROM QBE DIVIDEND     FPA20/00839780</t>
  </si>
  <si>
    <t>DIVIDEND FROM CBA ITM DIV      001237396734</t>
  </si>
  <si>
    <t>DIVIDEND FROM EVN ITM DIV      001239768939</t>
  </si>
  <si>
    <t>TRANSFER FROM CMC MARKETS STOC C9281431</t>
  </si>
  <si>
    <t>SHARE TRADE WITHDRAWAL TO CMC MARKETS STOC 9383858</t>
  </si>
  <si>
    <t>payment # 288274</t>
  </si>
  <si>
    <t xml:space="preserve"> PAYMENT 286684</t>
  </si>
  <si>
    <t>FY 19/20 SHARES BOUGHT and KEPT</t>
  </si>
  <si>
    <t>PENSION/SUPERANNUATION FROM CTRLINK SHC      XI1P9460604828406B</t>
  </si>
  <si>
    <t>PENSION/SUPERANNUATION FROM CTRLINK SHC      XI1P9460604821994T</t>
  </si>
  <si>
    <t>ANZ INTERNET BANKING FUNDS TFER TRANSFER 750857  TO 4072201022124837</t>
  </si>
  <si>
    <t>ANZ INTERNET BANKING FUNDS TFER TRANSFER 758725  TO 4072201022124837</t>
  </si>
  <si>
    <t>TRANSFER FROM BUPA_CLM_CR-0906 C79207023 02584517</t>
  </si>
  <si>
    <t>Account Name</t>
  </si>
  <si>
    <t>Last</t>
  </si>
  <si>
    <t>Currency</t>
  </si>
  <si>
    <t>FX Rate</t>
  </si>
  <si>
    <t>CHESS holdings</t>
  </si>
  <si>
    <t>Collateral</t>
  </si>
  <si>
    <t>Recent buys</t>
  </si>
  <si>
    <t>Recent sells</t>
  </si>
  <si>
    <t>Open sells</t>
  </si>
  <si>
    <t>Cond. sells</t>
  </si>
  <si>
    <t>Available to sell</t>
  </si>
  <si>
    <t>Value AUD</t>
  </si>
  <si>
    <t>MR ILIA ALEXANDER VISHNEY + MRS LANA MICHELLE VISHNEY &lt;ZODEX SUPERFUND A/C&gt;</t>
  </si>
  <si>
    <t>AUD</t>
  </si>
  <si>
    <t>total</t>
  </si>
  <si>
    <t>MR ILIA ALEXANDER VISHNEY + MRS LANA MICHELLE VISHNEY</t>
  </si>
  <si>
    <t>2020/21 FY</t>
  </si>
  <si>
    <t xml:space="preserve"> SHARES PORTFOLIO AS OF 1 JULY, 2020</t>
  </si>
  <si>
    <t>ZODEX SUPERFUND PORTFOLIO</t>
  </si>
  <si>
    <t>ILANA (ILIA and LANA VISHNEY) PRIVATE PORTFOLIO</t>
  </si>
  <si>
    <t xml:space="preserve"> SHARES PORTFOLIO AS OF 1 JULY, 2019</t>
  </si>
  <si>
    <t xml:space="preserve">TOTAL HOLDING   </t>
  </si>
  <si>
    <t>ANZ INTERNET BANKING FUNDS TFER TRANSFER 373002  TO  012396903132354</t>
  </si>
  <si>
    <t>ANZ INTERNET BANKING PAYMENT 748478 TO Mahesh Agarwal</t>
  </si>
  <si>
    <t>TRANSFER FROM ATO              ATO006000012645230</t>
  </si>
  <si>
    <t>CLOSING BALANCE FY19/20</t>
  </si>
  <si>
    <t>OPENING BALANCE FY /2021</t>
  </si>
  <si>
    <t>FY 20/21</t>
  </si>
  <si>
    <t>TRANSFER FROM RHC DIVIDEND     S00014182691</t>
  </si>
  <si>
    <t>DIVIDEND FROM CBA ITM DIV      001255992960</t>
  </si>
  <si>
    <t>DIVIDEND FROM TLS ITM DIV      001257114960</t>
  </si>
  <si>
    <t>DIVIDEND FROM WOODSIDE         FIN20/00552181</t>
  </si>
  <si>
    <t>SHARE TRADE WITHDRAWAL TO CMC MARKETS STOC C13294764</t>
  </si>
  <si>
    <t>SHARE TRADE WITHDRAWAL TO CMC MARKETS STOC C13113134</t>
  </si>
  <si>
    <t>TRANSFER FROM CMC MARKETS STOC C13084997</t>
  </si>
  <si>
    <t>DIVIDEND FROM MQG ITM DIV      001254333886</t>
  </si>
  <si>
    <t>DIVIDEND FROM ANZ DIVIDEND     A070/00553628</t>
  </si>
  <si>
    <t>DIVIDEND FROM NAB FINAL DIV    DV212/00479490</t>
  </si>
  <si>
    <t>TRANSFER FROM CMC MARKETS STOC C11953915</t>
  </si>
  <si>
    <t>DIVIDEND FROM WOW FNL DIV      001251611422</t>
  </si>
  <si>
    <t>DIVIDEND FROM CBA FNL DIV      001249162487</t>
  </si>
  <si>
    <t>DIVIDEND FROM ANZ DIVIDEND     A069/00554801</t>
  </si>
  <si>
    <t>DIVIDEND FROM QBE DIVIDEND     20FPA/00821523</t>
  </si>
  <si>
    <t>SHARE TRADE WITHDRAWAL TO CMC MARKETS STOC C11677562</t>
  </si>
  <si>
    <t>DIVIDEND FROM TLS FNL DIV      001250062694</t>
  </si>
  <si>
    <t>DIVIDEND FROM WOODSIDE         INT20/00552196</t>
  </si>
  <si>
    <t>SHARE TRADE WITHDRAWAL TO CMC MARKETS STOC C10844150</t>
  </si>
  <si>
    <t>SHARE TRADE WITHDRAWAL TO CMC MARKETS STOC C10844013</t>
  </si>
  <si>
    <t>TRANSFER FROM CMC MARKETS STOC C10843823</t>
  </si>
  <si>
    <t>DIVIDEND FROM NAB INTERIM DIV  DV211/00981702</t>
  </si>
  <si>
    <t>DIVIDEND FROM MQG DIVIDEND     S00014182691</t>
  </si>
  <si>
    <t>CLOSING BALANCE FY 19/20</t>
  </si>
  <si>
    <t>OPENING BALANCE FY 20/21</t>
  </si>
  <si>
    <t>PAYMENT TO AGL SALES PTY LT 050008625546</t>
  </si>
  <si>
    <t>ANZ INTERNET BANKING FUNDS TFER TRANSFER 392017  TO 4072201022124837</t>
  </si>
  <si>
    <t>ANZ INTERNET BANKING BPAY DEFT PAYMENTS                 {393162}</t>
  </si>
  <si>
    <t>TRANSFER FROM MCARE BENEFITS   053018254 AYWQ</t>
  </si>
  <si>
    <t>PAYMENT TO SYDNEY WATER     115100087913</t>
  </si>
  <si>
    <t>TRANSFER FROM CMC MARKETS STOC 15864652</t>
  </si>
  <si>
    <t>ANZ INTERNET BANKING FUNDS TFER TRANSFER 471472  TO 4072201022124837</t>
  </si>
  <si>
    <t>ANZ INTERNET BANKING FUNDS TFER TRANSFER 472085  TO 4564621036547951</t>
  </si>
  <si>
    <t>TRANSFER FROM INSURANCE AUST L 02215612950521</t>
  </si>
  <si>
    <t>PAYMENT TO AGL RETAIL ENERG 150007738971</t>
  </si>
  <si>
    <t>ANZ INTERNET BANKING FUNDS TFER TRANSFER 931022  TO 4072201022124837</t>
  </si>
  <si>
    <t>TRANSFER FROM MCARE BENEFITS   035015654 AYWQ</t>
  </si>
  <si>
    <t>TRANSFER FROM MCARE BENEFITS   034015677 AYET</t>
  </si>
  <si>
    <t>ANZ INTERNET BANKING FUNDS TFER TRANSFER 240446  TO 4564621036547951</t>
  </si>
  <si>
    <t>ANZ REFUND ANZ REFUND        RID1806C</t>
  </si>
  <si>
    <t>ANZ INTERNET BANKING FUNDS TFER TRANSFER 356092  TO 4072201022124837</t>
  </si>
  <si>
    <t>ANZ INTERNET BANKING FUNDS TFER TRANSFER 356384  TO 4564621036547951</t>
  </si>
  <si>
    <t>PENSION/SUPERANNUATION FROM CTRLINK SHC      XI1P6757604828406B</t>
  </si>
  <si>
    <t>PENSION/SUPERANNUATION FROM CTRLINK SHC      XI1P6757604821994T</t>
  </si>
  <si>
    <t>ANZ INTERNET BANKING FUNDS TFER TRANSFER 685403  TO 4072201022124837</t>
  </si>
  <si>
    <t>TRANSFER FROM MCARE BENEFITS   012017146 AYWQ</t>
  </si>
  <si>
    <t>ANZ INTERNET BANKING FUNDS TFER TRANSFER 502069  TO 4072201022124837</t>
  </si>
  <si>
    <t>ANZ INTERNET BANKING FUNDS TFER TRANSFER 502800  TO 4072201022124837</t>
  </si>
  <si>
    <t>TRANSFER FROM CMC MARKETS STOC 15187609</t>
  </si>
  <si>
    <t>PENSION/SUPERANNUATION FROM ECONOMIC SUPPORT U51P6149604828406B</t>
  </si>
  <si>
    <t>PENSION/SUPERANNUATION FROM ECONOMIC SUPPORT U51P6149604821994T</t>
  </si>
  <si>
    <t>ANZ INTERNET BANKING BPAY DEFT PAYMENTS                 {314410}</t>
  </si>
  <si>
    <t>PAYMENT TO AGL SALES PTY LT 710009429736</t>
  </si>
  <si>
    <t>ANZ INTERNET BANKING FUNDS TFER TRANSFER 269076  TO 4072201022124837</t>
  </si>
  <si>
    <t>TRANSFER FROM MCARE BENEFITS   986018231 AYWQ</t>
  </si>
  <si>
    <t>PAYMENT TO SYDNEY WATER     116700027952</t>
  </si>
  <si>
    <t>ANZ INTERNET BANKING FUNDS TFER TRANSFER 686064  TO 4072201022124837</t>
  </si>
  <si>
    <t>TRANSFER FROM MCARE BENEFITS   980015889 AYET</t>
  </si>
  <si>
    <t>ANZ INTERNET BANKING FUNDS TFER TRANSFER 697013  TO 4072201022124837</t>
  </si>
  <si>
    <t>PAYMENT TO AGL RETAIL ENERG 350008654509</t>
  </si>
  <si>
    <t>ANZ INTERNET BANKING FUNDS TFER TRANSFER 828497  TO 4072201022124837</t>
  </si>
  <si>
    <t>ANZ INTERNET BANKING FUNDS TFER TRANSFER 629490  TO 4072201022124837</t>
  </si>
  <si>
    <t>ANZ INTERNET BANKING FUNDS TFER TRANSFER 629930  TO 4564621036547951</t>
  </si>
  <si>
    <t>TRANSFER FROM CMC MARKETS STOC 14056921</t>
  </si>
  <si>
    <t>ANZ INTERNET BANKING FUNDS TFER TRANSFER 909456  TO 4072201022124837</t>
  </si>
  <si>
    <t>PENSION/SUPERANNUATION FROM CTRLINK SHC      XI1P4401604828406B</t>
  </si>
  <si>
    <t>PENSION/SUPERANNUATION FROM CTRLINK SHC      XI1P4401604821994T</t>
  </si>
  <si>
    <t>ANZ INTERNET BANKING FUNDS TFER TRANSFER 688742  TO 4072201022124837</t>
  </si>
  <si>
    <t>ANZ INTERNET BANKING FUNDS TFER TRANSFER 975118  TO 4564621036547951</t>
  </si>
  <si>
    <t>ANZ INTERNET BANKING FUNDS TFER TRANSFER 176599  TO 4072201022124837</t>
  </si>
  <si>
    <t>NON-ANZ ATM CBA\BONDI JUNCTION NSW</t>
  </si>
  <si>
    <t>PENSION/SUPERANNUATION FROM ECONOMIC SUPPORT U51P4021604828406B</t>
  </si>
  <si>
    <t>PENSION/SUPERANNUATION FROM ECONOMIC SUPPORT U51P4021604821994T</t>
  </si>
  <si>
    <t>TRANSFER FROM MCARE BENEFITS   945017510 AYWQ</t>
  </si>
  <si>
    <t>ANZ INTERNET BANKING BPAY DEFT PAYMENTS                 {396565}</t>
  </si>
  <si>
    <t>TRANSFER FROM MCARE BENEFITS   940017384 AYWQ</t>
  </si>
  <si>
    <t>ANZ INTERNET BANKING FUNDS TFER TRANSFER 163072  TO 4072201022124837</t>
  </si>
  <si>
    <t>ANZ INTERNET BANKING FUNDS TFER TRANSFER 163252  TO 4564621036547951</t>
  </si>
  <si>
    <t>TRANSFER FROM MCARE BENEFITS   939017757 AYET</t>
  </si>
  <si>
    <t>ANZ INTERNET BANKING FUNDS TFER TRANSFER 483744  TO 4072201022124837</t>
  </si>
  <si>
    <t>ANZ INTERNET BANKING FUNDS TFER TRANSFER 586366  TO 4072201022124837</t>
  </si>
  <si>
    <t>PAYMENT TO AGL SALES PTY LT 003008259791</t>
  </si>
  <si>
    <t>ANZ INTERNET BANKING FUNDS TFER TRANSFER 104771  TO 4072201022124837</t>
  </si>
  <si>
    <t>TRANSFER FROM MCARE BENEFITS   925016705 AYWQ</t>
  </si>
  <si>
    <t>PAYMENT TO SYDNEY WATER     117600038317</t>
  </si>
  <si>
    <t>PAYMENT TO RMS ETOLL PH:131 RTA2811750567</t>
  </si>
  <si>
    <t>PAYMENT TO AGL RETAIL ENERG 540008468278</t>
  </si>
  <si>
    <t>ANZ INTERNET BANKING FUNDS TFER TRANSFER 406813  TO 4072201022124837</t>
  </si>
  <si>
    <t>ANZ INTERNET BANKING FUNDS TFER TRANSFER 189462  TO 4072201022124837</t>
  </si>
  <si>
    <t>NON-ANZ ATM CBA\DOUBLE BAY NSW</t>
  </si>
  <si>
    <t>ANZ INTERNET BANKING FUNDS TFER TRANSFER 373002  FROM       499449543</t>
  </si>
  <si>
    <t>ANZ INTERNET BANKING FUNDS TFER TRANSFER 459247  TO 4072201022124837</t>
  </si>
  <si>
    <t>TRANSFER FROM MCARE BENEFITS   894015655 AYET</t>
  </si>
  <si>
    <t>PENSION/SUPERANNUATION FROM CTRLINK SHC      XI1P1931604828406B</t>
  </si>
  <si>
    <t>PENSION/SUPERANNUATION FROM CTRLINK SHC      XI1P1931604821994T</t>
  </si>
  <si>
    <t>ANZ INTERNET BANKING FUNDS TFER TRANSFER 693712  TO 4072201022124837</t>
  </si>
  <si>
    <t>ANZ REFUND ANZ RID1806E      OFFSET REFUND</t>
  </si>
  <si>
    <t>ANZ INTERNET BANKING FUNDS TFER TRANSFER 544464  TO 4072201022124837</t>
  </si>
  <si>
    <t>ANZ INTERNET BANKING BPAY DEFT PAYMENTS                 {708258}</t>
  </si>
  <si>
    <t>ANZ INTERNET BANKING FUNDS TFER TRANSFER 287978  TO 4072201022124837</t>
  </si>
  <si>
    <t>ANZ INTERNET BANKING FUNDS TFER TRANSFER 288639  TO 4072201022124837</t>
  </si>
  <si>
    <t>PAYMENT TO AGL SALES PTY LT 590008417703</t>
  </si>
  <si>
    <t>ANZ INTERNET BANKING FUNDS TFER TRANSFER 173034  TO 4072201022124837</t>
  </si>
  <si>
    <t>PAYMENT TO SYDNEY WATER     117000034749</t>
  </si>
  <si>
    <t>ANZ INTERNET BANKING FUNDS TFER TRANSFER 134720  TO 4072201022124837</t>
  </si>
  <si>
    <t>ANZ INTERNET BANKING FUNDS TFER TRANSFER 754156  TO 4072201022124837</t>
  </si>
  <si>
    <t>ANZ INTERNET BANKING PAYMENT 751072 TO Mahesh Agarwal</t>
  </si>
  <si>
    <t>ANZ INTERNET BANKING FUNDS TFER TRANSFER 754349  TO 4564621036547951</t>
  </si>
  <si>
    <t>TRANSFER FROM ATO              ATO001000013189569</t>
  </si>
  <si>
    <t>TRANSFER FROM ATO              ATO001000013189567</t>
  </si>
  <si>
    <t>PAYMENT TO AGL RETAIL ENERG 230008052709</t>
  </si>
  <si>
    <t>TRANSFER FROM MCARE BENEFITS   849015203 AYET</t>
  </si>
  <si>
    <t>PENSION/SUPERANNUATION FROM ECONOMIC SUPPORT U51P0069604828406B</t>
  </si>
  <si>
    <t>PENSION/SUPERANNUATION FROM ECONOMIC SUPPORT U51P0069604821994T</t>
  </si>
  <si>
    <t>ANZ INTERNET BANKING FUNDS TFER TRANSFER 460430  TO 4072201022124837</t>
  </si>
  <si>
    <t>ANZ INTERNET BANKING FUNDS TFER TRANSFER 715798  TO 4564621036547951</t>
  </si>
  <si>
    <t>ANZ INTERNET BANKING FUNDS TFER TRANSFER 164877  TO 4072201022124837</t>
  </si>
  <si>
    <t>Pension GOV</t>
  </si>
  <si>
    <t>ATO Refund</t>
  </si>
  <si>
    <t>SHARE TRADE WITHDRAWAL TO CMC MARKETS STOC C14575652</t>
  </si>
  <si>
    <t>SHARE TRADE WITHDRAWAL TO CMC MARKETS STOC 15864651</t>
  </si>
  <si>
    <t>SHARE TRADE WITHDRAWAL TO CMC MARKETS STOC C14411287</t>
  </si>
  <si>
    <t>TRANSFER FROM CMC MARKETS STOC C14407392</t>
  </si>
  <si>
    <t>DIVIDEND FROM WOW ITM DIV      001258909461</t>
  </si>
  <si>
    <t>DIVIDEND FROM CBA ITM DIV      001255992961</t>
  </si>
  <si>
    <t>DIVIDEND FROM WOODSIDE         FIN20/00590687</t>
  </si>
  <si>
    <t>SHARE TRADE WITHDRAWAL TO CMC MARKETS STOC 15187608</t>
  </si>
  <si>
    <t>SHARE TRADE WITHDRAWAL TO CMC MARKETS STOC C13160098</t>
  </si>
  <si>
    <t>SHARE TRADE WITHDRAWAL TO CMC MARKETS STOC C13113135</t>
  </si>
  <si>
    <t>TRANSFER FROM CMC MARKETS STOC C13083917</t>
  </si>
  <si>
    <t>SHARE TRADE WITHDRAWAL TO CMC MARKETS STOC 14056920</t>
  </si>
  <si>
    <t>TRANSFER FROM CMC MARKETS STOC C12806049</t>
  </si>
  <si>
    <t>SHARE TRADE WITHDRAWAL TO CMC MARKETS STOC C12798720</t>
  </si>
  <si>
    <t>DIVIDEND FROM ANZ DIVIDEND     A070/00620647</t>
  </si>
  <si>
    <t>DIVIDEND FROM NAB FINAL DIV    DV212/00545769</t>
  </si>
  <si>
    <t>DIVIDEND FROM WOW FNL DIV      001251611423</t>
  </si>
  <si>
    <t>DIVIDEND FROM CBA FNL DIV      001249162486</t>
  </si>
  <si>
    <t>DIVIDEND FROM ANZ DIVIDEND     A069/00623126</t>
  </si>
  <si>
    <t>DIVIDEND FROM QBE DIVIDEND     20FPA/00839379</t>
  </si>
  <si>
    <t>SHARE TRADE WITHDRAWAL TO CMC MARKETS STOC C11027467</t>
  </si>
  <si>
    <t>DIVIDEND FROM NAB INTERIM DIV  DV211/01050831</t>
  </si>
  <si>
    <t>CLOSING BALANCE 19/20</t>
  </si>
  <si>
    <t>WBC/DRP</t>
  </si>
  <si>
    <t>DRP including</t>
  </si>
  <si>
    <t/>
  </si>
  <si>
    <t>BUY/SELL MATCHING</t>
  </si>
  <si>
    <t>No OFF</t>
  </si>
  <si>
    <t>BUY/SELL</t>
  </si>
  <si>
    <t>PROFIT/LOSS</t>
  </si>
  <si>
    <t xml:space="preserve">  TOTAL</t>
  </si>
  <si>
    <t>2020/21 ZSF</t>
  </si>
  <si>
    <t>2020-21 ILANA</t>
  </si>
  <si>
    <t>CONFIRMATIONS</t>
  </si>
  <si>
    <t>2020-21 PURCHASES</t>
  </si>
  <si>
    <t>Accounting ZSF_Main</t>
  </si>
  <si>
    <t>Accounting ILANA_Main</t>
  </si>
  <si>
    <t>Stapler</t>
  </si>
  <si>
    <t>Officeworks</t>
  </si>
  <si>
    <t>Cash</t>
  </si>
  <si>
    <t>ABN 36 004 763 526</t>
  </si>
  <si>
    <t>picture frames</t>
  </si>
  <si>
    <t>Vega Lamp Black</t>
  </si>
  <si>
    <t>Prostate cancer Foundation</t>
  </si>
  <si>
    <t>Donation</t>
  </si>
  <si>
    <t>Receipt No 27244</t>
  </si>
  <si>
    <t>Cartriges</t>
  </si>
  <si>
    <t>InkStation</t>
  </si>
  <si>
    <t>Invoice A2792513</t>
  </si>
  <si>
    <t>SHARES TRADING :</t>
  </si>
  <si>
    <t>Shares bought</t>
  </si>
  <si>
    <t>Shares sold</t>
  </si>
  <si>
    <t>TRADES ZSF</t>
  </si>
  <si>
    <t>DIVIDENDS and DISTRIBUTIONS</t>
  </si>
  <si>
    <t>DIVIDENDS</t>
  </si>
  <si>
    <t>FRANKING CREDITS DUE</t>
  </si>
  <si>
    <t>EXPENDITURES</t>
  </si>
  <si>
    <t>RUNNING EXPENSES</t>
  </si>
  <si>
    <t>ACCOUNTING</t>
  </si>
  <si>
    <t>ZSF-Main</t>
  </si>
  <si>
    <t>CAPITAL GAINS/LOSS (shares)</t>
  </si>
  <si>
    <t>PENSIONS PAID OUT</t>
  </si>
  <si>
    <t>ZODEX SUPERFUND</t>
  </si>
  <si>
    <t>ILANA PERSONAL ACCOUNT</t>
  </si>
  <si>
    <t>TRADES ILANA</t>
  </si>
  <si>
    <t>ILANA-Main</t>
  </si>
  <si>
    <t>PENSION and GOV SUPPORT</t>
  </si>
  <si>
    <t>PENSION ZODEX SUPERFUND</t>
  </si>
  <si>
    <t>ACTIVITIES</t>
  </si>
  <si>
    <t>Referenced</t>
  </si>
  <si>
    <t xml:space="preserve"> SHARES PORTFOLIO AS OF 1 JULY, 2021</t>
  </si>
  <si>
    <t>DIVIDENDS REINVESTMENT PROGRAM</t>
  </si>
  <si>
    <t>ANZ INTERNET BANKING FUNDS TFER TRANSFER 736693  TO  012396903132354</t>
  </si>
  <si>
    <t>TRANSFER FROM CMC MARKETS STOC 16374103</t>
  </si>
  <si>
    <t>DEPOSIT</t>
  </si>
  <si>
    <t>CLOSING BALANCE FY20/21</t>
  </si>
  <si>
    <t>OPENING BALANCE FY 21/22</t>
  </si>
  <si>
    <t>PENSIONS PAID</t>
  </si>
  <si>
    <t>BUY SHARES OFF MRKT</t>
  </si>
  <si>
    <t>ATO RETURN</t>
  </si>
  <si>
    <t>Accounting paid</t>
  </si>
  <si>
    <t>ANZ Refund</t>
  </si>
  <si>
    <t>DIVIDEND FROM WBC DIVIDEND     001260469649</t>
  </si>
  <si>
    <t>SHARE TRADE WITHDRAWAL TO CMC MARKETS STOC C14987712</t>
  </si>
  <si>
    <t>TRANSFER FROM CMC MARKETS STOC C14987018</t>
  </si>
  <si>
    <t>SHARE TRADE WITHDRAWAL TO CMC MARKETS STOC 16374102</t>
  </si>
  <si>
    <t>CLOSING BALANCE FY 20/21</t>
  </si>
  <si>
    <t>AMOUNT SUMMARY</t>
  </si>
  <si>
    <t>FY 21/22</t>
  </si>
  <si>
    <t>ANZ INTERNET BANKING FUNDS TFER TRANSFER 711124  TO  012012526872559</t>
  </si>
  <si>
    <t>ANZ INTERNET BANKING FUNDS TFER TRANSFER 706940  TO  012012526872559</t>
  </si>
  <si>
    <t>PENSION/SUPERANNUATION FROM CTRLINK SHC      XI1P8968604828406B</t>
  </si>
  <si>
    <t>PENSION/SUPERANNUATION FROM CTRLINK SHC      XI1P8968604821994T</t>
  </si>
  <si>
    <t>ANZ INTERNET BANKING FUNDS TFER TRANSFER 657180  TO 4072201022124837</t>
  </si>
  <si>
    <t>CARD ENTRY AT BONDI JUNCTION BRANCH</t>
  </si>
  <si>
    <t>ANZ INTERNET BANKING FUNDS TFER TRANSFER 736693  FROM       499449543</t>
  </si>
  <si>
    <t>ANZ INTERNET BANKING FUNDS TFER TRANSFER 252958  TO 4072201022124837</t>
  </si>
  <si>
    <t>TRANSFER FROM MCARE BENEFITS   073018165 AYWQ</t>
  </si>
  <si>
    <t>ANZ INTERNET BANKING FUNDS TFER TRANSFER 749841  TO 4072201022124837</t>
  </si>
  <si>
    <t>TRANSFER FROM MCARE BENEFITS   066012849 AYWQ</t>
  </si>
  <si>
    <t>TRANSFER FROM MCARE BENEFITS   065017265 AYWQ</t>
  </si>
  <si>
    <t>SUM</t>
  </si>
  <si>
    <t>by line</t>
  </si>
  <si>
    <t>SHARE TRADE WITHDRAWAL TO CMC MARKETS STOC C15162317</t>
  </si>
  <si>
    <t>TRANSFER FROM CMC MARKETS STOC C15161491</t>
  </si>
  <si>
    <t>ANZ INTERNET BANKING FUNDS TFER TRANSFER 711124  FROM       903132354</t>
  </si>
  <si>
    <t>DIVIDEND FROM WBC DIVIDEND     001260469650</t>
  </si>
  <si>
    <t>ANZ INTERNET BANKING FUNDS TFER TRANSFER 706940  FROM       903132354</t>
  </si>
  <si>
    <t>ZSF Main</t>
  </si>
  <si>
    <t xml:space="preserve">2020/21 RETURN </t>
  </si>
  <si>
    <t>126 971 123</t>
  </si>
  <si>
    <t>126 971 115</t>
  </si>
  <si>
    <t>ILIA A. VISHNEY TFN</t>
  </si>
  <si>
    <t>LANA M. VISHNEY TFN</t>
  </si>
  <si>
    <t>99 984 543</t>
  </si>
  <si>
    <t>ZODEX SUPERFUND TFN ABN</t>
  </si>
  <si>
    <t>43 359 735 771</t>
  </si>
  <si>
    <t>NOTES</t>
  </si>
  <si>
    <t>Includes $1531.40 DRP</t>
  </si>
  <si>
    <t>Includes $775.00 DRP</t>
  </si>
  <si>
    <t>REFERENCE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</si>
</sst>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164" formatCode="[$-C09]dd/mmm/yy;@"/>
    <numFmt numFmtId="165" formatCode="0.0000"/>
    <numFmt numFmtId="166" formatCode="0.00000"/>
    <numFmt numFmtId="167" formatCode="[$-409]d/mmm;@"/>
    <numFmt numFmtId="168" formatCode="0.000"/>
    <numFmt numFmtId="169" formatCode="#,##0.000"/>
    <numFmt numFmtId="170" formatCode="[$-C09]dd\-mmm\-yy;@"/>
    <numFmt numFmtId="171" formatCode="d/m/yyyy;@"/>
  </numFmts>
  <fonts count="60" x14ac:knownFonts="1">
    <font>
      <sz val="8"/>
      <name val="Times New Roman"/>
    </font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u/>
      <sz val="8"/>
      <color theme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indexed="8"/>
      <name val="Times New Roman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20"/>
      <color rgb="FFFF000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i/>
      <sz val="8"/>
      <name val="Times New Roman"/>
      <family val="1"/>
    </font>
    <font>
      <sz val="22"/>
      <name val="Times New Roman"/>
      <family val="1"/>
    </font>
    <font>
      <b/>
      <sz val="16"/>
      <name val="Times New Roman"/>
      <family val="1"/>
    </font>
    <font>
      <sz val="8"/>
      <color rgb="FFFF0000"/>
      <name val="Times New Roman"/>
      <family val="1"/>
    </font>
    <font>
      <b/>
      <sz val="16"/>
      <color rgb="FFFF0000"/>
      <name val="Times New Roman"/>
      <family val="1"/>
    </font>
    <font>
      <sz val="10"/>
      <color rgb="FFFF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Dash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Dashed">
        <color auto="1"/>
      </left>
      <right style="medium">
        <color auto="1"/>
      </right>
      <top style="medium">
        <color indexed="64"/>
      </top>
      <bottom/>
      <diagonal/>
    </border>
    <border>
      <left style="mediumDashed">
        <color auto="1"/>
      </left>
      <right style="medium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Dashed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Dashed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 style="thin">
        <color indexed="64"/>
      </top>
      <bottom style="mediumDashDotDot">
        <color auto="1"/>
      </bottom>
      <diagonal/>
    </border>
    <border>
      <left/>
      <right style="mediumDashDotDot">
        <color auto="1"/>
      </right>
      <top style="thin">
        <color indexed="64"/>
      </top>
      <bottom style="mediumDashDotDot">
        <color auto="1"/>
      </bottom>
      <diagonal/>
    </border>
    <border>
      <left style="mediumDashDotDot">
        <color auto="1"/>
      </left>
      <right/>
      <top style="mediumDashDotDot">
        <color auto="1"/>
      </top>
      <bottom style="thin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Dashed">
        <color auto="1"/>
      </left>
      <right style="mediumDashed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mediumDashed">
        <color auto="1"/>
      </right>
      <top style="hair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/>
      <bottom style="hair">
        <color auto="1"/>
      </bottom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 style="hair">
        <color auto="1"/>
      </bottom>
      <diagonal/>
    </border>
    <border>
      <left style="mediumDashed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Dashed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Dashed">
        <color auto="1"/>
      </left>
      <right style="mediumDashed">
        <color auto="1"/>
      </right>
      <top style="double">
        <color auto="1"/>
      </top>
      <bottom/>
      <diagonal/>
    </border>
    <border>
      <left style="mediumDashed">
        <color auto="1"/>
      </left>
      <right/>
      <top style="double">
        <color auto="1"/>
      </top>
      <bottom/>
      <diagonal/>
    </border>
    <border>
      <left style="mediumDashed">
        <color auto="1"/>
      </left>
      <right style="mediumDashed">
        <color auto="1"/>
      </right>
      <top style="double">
        <color indexed="64"/>
      </top>
      <bottom style="double">
        <color indexed="64"/>
      </bottom>
      <diagonal/>
    </border>
    <border>
      <left style="mediumDashed">
        <color auto="1"/>
      </left>
      <right/>
      <top style="double">
        <color indexed="64"/>
      </top>
      <bottom style="double">
        <color indexed="64"/>
      </bottom>
      <diagonal/>
    </border>
  </borders>
  <cellStyleXfs count="23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7" applyNumberFormat="0" applyAlignment="0" applyProtection="0"/>
    <xf numFmtId="0" fontId="11" fillId="28" borderId="18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7" applyNumberFormat="0" applyAlignment="0" applyProtection="0"/>
    <xf numFmtId="0" fontId="18" fillId="0" borderId="22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6" fillId="0" borderId="0"/>
    <xf numFmtId="0" fontId="7" fillId="32" borderId="23" applyNumberFormat="0" applyFont="0" applyAlignment="0" applyProtection="0"/>
    <xf numFmtId="0" fontId="20" fillId="27" borderId="24" applyNumberFormat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26" borderId="0" applyNumberFormat="0" applyBorder="0" applyAlignment="0" applyProtection="0"/>
    <xf numFmtId="0" fontId="31" fillId="31" borderId="0" applyNumberFormat="0" applyBorder="0" applyAlignment="0" applyProtection="0"/>
    <xf numFmtId="0" fontId="32" fillId="30" borderId="17" applyNumberFormat="0" applyAlignment="0" applyProtection="0"/>
    <xf numFmtId="0" fontId="33" fillId="27" borderId="24" applyNumberFormat="0" applyAlignment="0" applyProtection="0"/>
    <xf numFmtId="0" fontId="34" fillId="27" borderId="17" applyNumberFormat="0" applyAlignment="0" applyProtection="0"/>
    <xf numFmtId="0" fontId="35" fillId="0" borderId="22" applyNumberFormat="0" applyFill="0" applyAlignment="0" applyProtection="0"/>
    <xf numFmtId="0" fontId="36" fillId="28" borderId="1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4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40" fillId="16" borderId="0" applyNumberFormat="0" applyBorder="0" applyAlignment="0" applyProtection="0"/>
    <xf numFmtId="0" fontId="4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40" fillId="17" borderId="0" applyNumberFormat="0" applyBorder="0" applyAlignment="0" applyProtection="0"/>
    <xf numFmtId="0" fontId="4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40" fillId="18" borderId="0" applyNumberFormat="0" applyBorder="0" applyAlignment="0" applyProtection="0"/>
    <xf numFmtId="0" fontId="4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40" fillId="19" borderId="0" applyNumberFormat="0" applyBorder="0" applyAlignment="0" applyProtection="0"/>
    <xf numFmtId="0" fontId="3" fillId="0" borderId="0"/>
    <xf numFmtId="0" fontId="3" fillId="32" borderId="23" applyNumberFormat="0" applyFont="0" applyAlignment="0" applyProtection="0"/>
    <xf numFmtId="0" fontId="3" fillId="0" borderId="0"/>
    <xf numFmtId="0" fontId="3" fillId="32" borderId="23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4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7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7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7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7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7" applyNumberFormat="0" applyAlignment="0" applyProtection="0"/>
    <xf numFmtId="0" fontId="11" fillId="28" borderId="18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7" applyNumberFormat="0" applyAlignment="0" applyProtection="0"/>
    <xf numFmtId="0" fontId="18" fillId="0" borderId="22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2" fillId="0" borderId="0"/>
    <xf numFmtId="0" fontId="4" fillId="0" borderId="0"/>
    <xf numFmtId="0" fontId="45" fillId="32" borderId="23" applyNumberFormat="0" applyFont="0" applyAlignment="0" applyProtection="0"/>
    <xf numFmtId="0" fontId="2" fillId="32" borderId="23" applyNumberFormat="0" applyFont="0" applyAlignment="0" applyProtection="0"/>
    <xf numFmtId="0" fontId="7" fillId="32" borderId="23" applyNumberFormat="0" applyFont="0" applyAlignment="0" applyProtection="0"/>
    <xf numFmtId="0" fontId="45" fillId="32" borderId="23" applyNumberFormat="0" applyFont="0" applyAlignment="0" applyProtection="0"/>
    <xf numFmtId="0" fontId="2" fillId="32" borderId="23" applyNumberFormat="0" applyFont="0" applyAlignment="0" applyProtection="0"/>
    <xf numFmtId="0" fontId="20" fillId="27" borderId="24" applyNumberFormat="0" applyAlignment="0" applyProtection="0"/>
    <xf numFmtId="0" fontId="22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32" borderId="23" applyNumberFormat="0" applyFont="0" applyAlignment="0" applyProtection="0"/>
    <xf numFmtId="0" fontId="1" fillId="32" borderId="23" applyNumberFormat="0" applyFont="0" applyAlignment="0" applyProtection="0"/>
    <xf numFmtId="0" fontId="1" fillId="32" borderId="23" applyNumberFormat="0" applyFont="0" applyAlignment="0" applyProtection="0"/>
  </cellStyleXfs>
  <cellXfs count="1162">
    <xf numFmtId="0" fontId="0" fillId="0" borderId="0" xfId="0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3" fontId="0" fillId="0" borderId="0" xfId="0" applyNumberFormat="1"/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4" fontId="0" fillId="0" borderId="0" xfId="0" applyNumberFormat="1"/>
    <xf numFmtId="3" fontId="0" fillId="0" borderId="0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2" fontId="4" fillId="0" borderId="0" xfId="0" applyNumberFormat="1" applyFont="1" applyFill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4" fontId="4" fillId="0" borderId="54" xfId="0" applyNumberFormat="1" applyFont="1" applyBorder="1"/>
    <xf numFmtId="4" fontId="4" fillId="0" borderId="49" xfId="0" applyNumberFormat="1" applyFont="1" applyBorder="1"/>
    <xf numFmtId="3" fontId="4" fillId="0" borderId="32" xfId="0" applyNumberFormat="1" applyFont="1" applyBorder="1"/>
    <xf numFmtId="4" fontId="4" fillId="0" borderId="33" xfId="0" applyNumberFormat="1" applyFont="1" applyBorder="1"/>
    <xf numFmtId="4" fontId="4" fillId="0" borderId="36" xfId="0" applyNumberFormat="1" applyFont="1" applyBorder="1"/>
    <xf numFmtId="0" fontId="4" fillId="0" borderId="32" xfId="0" applyFont="1" applyBorder="1"/>
    <xf numFmtId="4" fontId="4" fillId="0" borderId="31" xfId="0" applyNumberFormat="1" applyFont="1" applyBorder="1"/>
    <xf numFmtId="4" fontId="4" fillId="0" borderId="32" xfId="0" applyNumberFormat="1" applyFont="1" applyBorder="1"/>
    <xf numFmtId="0" fontId="4" fillId="0" borderId="36" xfId="0" applyFont="1" applyBorder="1"/>
    <xf numFmtId="3" fontId="4" fillId="0" borderId="0" xfId="0" applyNumberFormat="1" applyFont="1" applyBorder="1"/>
    <xf numFmtId="2" fontId="4" fillId="0" borderId="0" xfId="0" applyNumberFormat="1" applyFont="1" applyFill="1" applyBorder="1"/>
    <xf numFmtId="4" fontId="5" fillId="0" borderId="0" xfId="0" applyNumberFormat="1" applyFont="1" applyBorder="1"/>
    <xf numFmtId="164" fontId="4" fillId="0" borderId="31" xfId="0" applyNumberFormat="1" applyFont="1" applyBorder="1"/>
    <xf numFmtId="164" fontId="4" fillId="0" borderId="0" xfId="0" applyNumberFormat="1" applyFont="1" applyBorder="1"/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4" fontId="4" fillId="0" borderId="34" xfId="0" applyNumberFormat="1" applyFont="1" applyBorder="1"/>
    <xf numFmtId="4" fontId="4" fillId="0" borderId="57" xfId="0" applyNumberFormat="1" applyFont="1" applyBorder="1"/>
    <xf numFmtId="4" fontId="4" fillId="0" borderId="26" xfId="0" applyNumberFormat="1" applyFont="1" applyBorder="1"/>
    <xf numFmtId="4" fontId="4" fillId="0" borderId="27" xfId="0" applyNumberFormat="1" applyFont="1" applyBorder="1"/>
    <xf numFmtId="0" fontId="4" fillId="0" borderId="34" xfId="0" applyFont="1" applyBorder="1"/>
    <xf numFmtId="0" fontId="0" fillId="0" borderId="55" xfId="0" applyBorder="1"/>
    <xf numFmtId="0" fontId="4" fillId="0" borderId="50" xfId="0" applyFont="1" applyBorder="1"/>
    <xf numFmtId="4" fontId="43" fillId="0" borderId="0" xfId="0" applyNumberFormat="1" applyFont="1" applyBorder="1" applyAlignment="1">
      <alignment horizontal="center"/>
    </xf>
    <xf numFmtId="164" fontId="4" fillId="0" borderId="52" xfId="0" applyNumberFormat="1" applyFont="1" applyBorder="1"/>
    <xf numFmtId="3" fontId="4" fillId="0" borderId="53" xfId="0" applyNumberFormat="1" applyFont="1" applyBorder="1"/>
    <xf numFmtId="0" fontId="4" fillId="0" borderId="53" xfId="0" applyFont="1" applyBorder="1"/>
    <xf numFmtId="4" fontId="4" fillId="0" borderId="58" xfId="0" applyNumberFormat="1" applyFont="1" applyBorder="1"/>
    <xf numFmtId="0" fontId="4" fillId="0" borderId="48" xfId="0" applyFont="1" applyBorder="1"/>
    <xf numFmtId="164" fontId="4" fillId="0" borderId="56" xfId="0" applyNumberFormat="1" applyFont="1" applyBorder="1"/>
    <xf numFmtId="3" fontId="4" fillId="0" borderId="50" xfId="0" applyNumberFormat="1" applyFont="1" applyBorder="1"/>
    <xf numFmtId="4" fontId="4" fillId="0" borderId="60" xfId="0" applyNumberFormat="1" applyFont="1" applyBorder="1"/>
    <xf numFmtId="4" fontId="0" fillId="0" borderId="53" xfId="0" applyNumberFormat="1" applyBorder="1"/>
    <xf numFmtId="4" fontId="4" fillId="0" borderId="56" xfId="0" applyNumberFormat="1" applyFont="1" applyBorder="1"/>
    <xf numFmtId="4" fontId="4" fillId="0" borderId="50" xfId="0" applyNumberFormat="1" applyFont="1" applyBorder="1"/>
    <xf numFmtId="4" fontId="4" fillId="0" borderId="53" xfId="0" applyNumberFormat="1" applyFont="1" applyBorder="1"/>
    <xf numFmtId="4" fontId="4" fillId="0" borderId="48" xfId="0" applyNumberFormat="1" applyFont="1" applyBorder="1"/>
    <xf numFmtId="166" fontId="0" fillId="0" borderId="0" xfId="0" applyNumberFormat="1"/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4" fillId="0" borderId="32" xfId="0" applyNumberFormat="1" applyFont="1" applyBorder="1"/>
    <xf numFmtId="4" fontId="4" fillId="0" borderId="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3" fontId="4" fillId="0" borderId="62" xfId="0" applyNumberFormat="1" applyFont="1" applyBorder="1"/>
    <xf numFmtId="0" fontId="4" fillId="0" borderId="62" xfId="0" applyFont="1" applyBorder="1"/>
    <xf numFmtId="4" fontId="4" fillId="0" borderId="62" xfId="0" applyNumberFormat="1" applyFont="1" applyBorder="1"/>
    <xf numFmtId="164" fontId="4" fillId="0" borderId="62" xfId="0" applyNumberFormat="1" applyFont="1" applyBorder="1"/>
    <xf numFmtId="164" fontId="4" fillId="0" borderId="61" xfId="0" applyNumberFormat="1" applyFont="1" applyBorder="1"/>
    <xf numFmtId="166" fontId="4" fillId="0" borderId="62" xfId="0" applyNumberFormat="1" applyFont="1" applyBorder="1"/>
    <xf numFmtId="4" fontId="25" fillId="0" borderId="0" xfId="0" applyNumberFormat="1" applyFont="1"/>
    <xf numFmtId="0" fontId="0" fillId="0" borderId="63" xfId="0" applyBorder="1"/>
    <xf numFmtId="0" fontId="0" fillId="0" borderId="0" xfId="0" applyFill="1"/>
    <xf numFmtId="15" fontId="0" fillId="0" borderId="0" xfId="0" applyNumberFormat="1"/>
    <xf numFmtId="0" fontId="0" fillId="0" borderId="52" xfId="0" applyBorder="1"/>
    <xf numFmtId="0" fontId="0" fillId="0" borderId="53" xfId="0" applyBorder="1"/>
    <xf numFmtId="0" fontId="0" fillId="0" borderId="54" xfId="0" applyBorder="1"/>
    <xf numFmtId="15" fontId="0" fillId="0" borderId="48" xfId="0" applyNumberFormat="1" applyBorder="1"/>
    <xf numFmtId="0" fontId="0" fillId="0" borderId="49" xfId="0" applyBorder="1"/>
    <xf numFmtId="0" fontId="0" fillId="0" borderId="56" xfId="0" applyBorder="1"/>
    <xf numFmtId="15" fontId="0" fillId="0" borderId="50" xfId="0" applyNumberFormat="1" applyBorder="1"/>
    <xf numFmtId="0" fontId="0" fillId="0" borderId="51" xfId="0" applyBorder="1"/>
    <xf numFmtId="4" fontId="42" fillId="0" borderId="0" xfId="0" applyNumberFormat="1" applyFont="1" applyBorder="1"/>
    <xf numFmtId="0" fontId="0" fillId="0" borderId="0" xfId="0" applyNumberFormat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/>
    <xf numFmtId="0" fontId="42" fillId="0" borderId="53" xfId="100" applyNumberFormat="1" applyFont="1" applyFill="1" applyBorder="1" applyAlignment="1" applyProtection="1">
      <alignment horizontal="left" vertical="top" wrapText="1"/>
      <protection locked="0"/>
    </xf>
    <xf numFmtId="0" fontId="42" fillId="0" borderId="48" xfId="100" applyNumberFormat="1" applyFont="1" applyFill="1" applyBorder="1" applyAlignment="1" applyProtection="1">
      <alignment horizontal="left" vertical="top" wrapText="1"/>
      <protection locked="0"/>
    </xf>
    <xf numFmtId="0" fontId="4" fillId="0" borderId="50" xfId="0" applyNumberFormat="1" applyFont="1" applyBorder="1"/>
    <xf numFmtId="0" fontId="42" fillId="0" borderId="0" xfId="0" applyNumberFormat="1" applyFont="1" applyBorder="1"/>
    <xf numFmtId="0" fontId="4" fillId="0" borderId="0" xfId="0" applyNumberFormat="1" applyFont="1"/>
    <xf numFmtId="165" fontId="0" fillId="0" borderId="0" xfId="0" applyNumberFormat="1"/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4" fillId="0" borderId="53" xfId="0" applyNumberFormat="1" applyFont="1" applyBorder="1"/>
    <xf numFmtId="165" fontId="4" fillId="0" borderId="50" xfId="0" applyNumberFormat="1" applyFont="1" applyBorder="1"/>
    <xf numFmtId="165" fontId="4" fillId="0" borderId="62" xfId="0" applyNumberFormat="1" applyFont="1" applyBorder="1"/>
    <xf numFmtId="165" fontId="4" fillId="0" borderId="32" xfId="0" applyNumberFormat="1" applyFont="1" applyBorder="1"/>
    <xf numFmtId="165" fontId="4" fillId="0" borderId="0" xfId="0" applyNumberFormat="1" applyFont="1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53" xfId="0" applyNumberFormat="1" applyFont="1" applyBorder="1" applyAlignment="1">
      <alignment horizontal="center"/>
    </xf>
    <xf numFmtId="1" fontId="4" fillId="0" borderId="50" xfId="0" applyNumberFormat="1" applyFont="1" applyBorder="1" applyAlignment="1">
      <alignment horizontal="center"/>
    </xf>
    <xf numFmtId="1" fontId="4" fillId="0" borderId="62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2" fillId="0" borderId="63" xfId="100" applyNumberFormat="1" applyFont="1" applyFill="1" applyBorder="1" applyAlignment="1" applyProtection="1">
      <alignment horizontal="left" vertical="top" wrapText="1"/>
      <protection locked="0"/>
    </xf>
    <xf numFmtId="0" fontId="0" fillId="0" borderId="64" xfId="0" applyBorder="1"/>
    <xf numFmtId="3" fontId="0" fillId="0" borderId="0" xfId="0" applyNumberFormat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4" fillId="0" borderId="53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62" xfId="0" applyNumberFormat="1" applyFont="1" applyBorder="1" applyAlignment="1">
      <alignment horizontal="right"/>
    </xf>
    <xf numFmtId="3" fontId="4" fillId="0" borderId="32" xfId="0" applyNumberFormat="1" applyFont="1" applyBorder="1" applyAlignment="1">
      <alignment horizontal="right"/>
    </xf>
    <xf numFmtId="0" fontId="0" fillId="0" borderId="41" xfId="0" applyNumberForma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4" fontId="0" fillId="0" borderId="54" xfId="0" applyNumberFormat="1" applyBorder="1"/>
    <xf numFmtId="0" fontId="0" fillId="0" borderId="0" xfId="0"/>
    <xf numFmtId="0" fontId="5" fillId="0" borderId="0" xfId="0" applyFont="1"/>
    <xf numFmtId="4" fontId="4" fillId="0" borderId="0" xfId="0" applyNumberFormat="1" applyFont="1" applyBorder="1"/>
    <xf numFmtId="0" fontId="4" fillId="0" borderId="0" xfId="0" applyFont="1"/>
    <xf numFmtId="0" fontId="0" fillId="0" borderId="48" xfId="0" applyBorder="1"/>
    <xf numFmtId="4" fontId="0" fillId="0" borderId="48" xfId="0" applyNumberFormat="1" applyBorder="1"/>
    <xf numFmtId="4" fontId="0" fillId="0" borderId="49" xfId="0" applyNumberFormat="1" applyBorder="1"/>
    <xf numFmtId="4" fontId="4" fillId="0" borderId="0" xfId="0" applyNumberFormat="1" applyFont="1"/>
    <xf numFmtId="0" fontId="0" fillId="0" borderId="50" xfId="0" applyBorder="1"/>
    <xf numFmtId="4" fontId="0" fillId="0" borderId="50" xfId="0" applyNumberFormat="1" applyBorder="1"/>
    <xf numFmtId="4" fontId="4" fillId="0" borderId="0" xfId="0" applyNumberFormat="1" applyFont="1" applyFill="1"/>
    <xf numFmtId="167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3" fontId="0" fillId="0" borderId="48" xfId="0" applyNumberFormat="1" applyBorder="1"/>
    <xf numFmtId="4" fontId="0" fillId="0" borderId="51" xfId="0" applyNumberFormat="1" applyBorder="1"/>
    <xf numFmtId="4" fontId="5" fillId="0" borderId="0" xfId="0" applyNumberFormat="1" applyFont="1"/>
    <xf numFmtId="170" fontId="0" fillId="0" borderId="0" xfId="0" applyNumberFormat="1"/>
    <xf numFmtId="170" fontId="0" fillId="0" borderId="11" xfId="0" applyNumberFormat="1" applyBorder="1" applyAlignment="1">
      <alignment horizontal="center"/>
    </xf>
    <xf numFmtId="170" fontId="0" fillId="0" borderId="12" xfId="0" applyNumberFormat="1" applyBorder="1" applyAlignment="1">
      <alignment horizontal="center"/>
    </xf>
    <xf numFmtId="170" fontId="4" fillId="0" borderId="55" xfId="0" applyNumberFormat="1" applyFont="1" applyBorder="1"/>
    <xf numFmtId="170" fontId="4" fillId="0" borderId="56" xfId="0" applyNumberFormat="1" applyFont="1" applyBorder="1"/>
    <xf numFmtId="170" fontId="4" fillId="0" borderId="61" xfId="0" applyNumberFormat="1" applyFont="1" applyBorder="1"/>
    <xf numFmtId="170" fontId="4" fillId="0" borderId="31" xfId="0" applyNumberFormat="1" applyFont="1" applyBorder="1"/>
    <xf numFmtId="170" fontId="4" fillId="0" borderId="0" xfId="0" applyNumberFormat="1" applyFont="1" applyBorder="1"/>
    <xf numFmtId="2" fontId="4" fillId="0" borderId="0" xfId="0" applyNumberFormat="1" applyFont="1"/>
    <xf numFmtId="170" fontId="0" fillId="0" borderId="0" xfId="0" applyNumberFormat="1" applyBorder="1"/>
    <xf numFmtId="0" fontId="0" fillId="0" borderId="48" xfId="0" applyBorder="1" applyAlignment="1">
      <alignment horizontal="center"/>
    </xf>
    <xf numFmtId="0" fontId="4" fillId="0" borderId="0" xfId="0" applyFont="1" applyFill="1" applyBorder="1"/>
    <xf numFmtId="170" fontId="0" fillId="0" borderId="55" xfId="0" applyNumberFormat="1" applyBorder="1"/>
    <xf numFmtId="170" fontId="0" fillId="0" borderId="56" xfId="0" applyNumberFormat="1" applyBorder="1"/>
    <xf numFmtId="0" fontId="0" fillId="0" borderId="50" xfId="0" applyBorder="1" applyAlignment="1">
      <alignment horizontal="center"/>
    </xf>
    <xf numFmtId="0" fontId="47" fillId="0" borderId="0" xfId="0" applyFont="1"/>
    <xf numFmtId="170" fontId="0" fillId="0" borderId="64" xfId="0" applyNumberFormat="1" applyBorder="1"/>
    <xf numFmtId="0" fontId="0" fillId="0" borderId="63" xfId="0" applyBorder="1" applyAlignment="1">
      <alignment horizontal="center"/>
    </xf>
    <xf numFmtId="4" fontId="0" fillId="0" borderId="63" xfId="0" applyNumberFormat="1" applyBorder="1"/>
    <xf numFmtId="170" fontId="0" fillId="0" borderId="74" xfId="0" applyNumberFormat="1" applyBorder="1"/>
    <xf numFmtId="4" fontId="0" fillId="0" borderId="75" xfId="0" applyNumberFormat="1" applyBorder="1"/>
    <xf numFmtId="0" fontId="0" fillId="0" borderId="75" xfId="0" applyBorder="1"/>
    <xf numFmtId="4" fontId="47" fillId="0" borderId="0" xfId="0" applyNumberFormat="1" applyFont="1"/>
    <xf numFmtId="4" fontId="47" fillId="0" borderId="0" xfId="0" applyNumberFormat="1" applyFont="1" applyAlignment="1">
      <alignment horizontal="center"/>
    </xf>
    <xf numFmtId="0" fontId="4" fillId="0" borderId="52" xfId="0" applyFont="1" applyBorder="1" applyAlignment="1">
      <alignment horizontal="center"/>
    </xf>
    <xf numFmtId="4" fontId="4" fillId="0" borderId="53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4" fontId="4" fillId="0" borderId="48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4" fontId="4" fillId="0" borderId="50" xfId="0" applyNumberFormat="1" applyFont="1" applyBorder="1" applyAlignment="1">
      <alignment horizontal="center"/>
    </xf>
    <xf numFmtId="4" fontId="0" fillId="0" borderId="80" xfId="0" applyNumberFormat="1" applyBorder="1"/>
    <xf numFmtId="4" fontId="4" fillId="0" borderId="0" xfId="0" applyNumberFormat="1" applyFont="1" applyAlignment="1">
      <alignment horizontal="center"/>
    </xf>
    <xf numFmtId="0" fontId="43" fillId="0" borderId="0" xfId="0" applyFont="1"/>
    <xf numFmtId="15" fontId="0" fillId="0" borderId="0" xfId="0" applyNumberFormat="1" applyBorder="1"/>
    <xf numFmtId="171" fontId="0" fillId="0" borderId="0" xfId="0" applyNumberFormat="1"/>
    <xf numFmtId="171" fontId="0" fillId="0" borderId="11" xfId="0" applyNumberFormat="1" applyBorder="1" applyAlignment="1">
      <alignment horizontal="center"/>
    </xf>
    <xf numFmtId="171" fontId="0" fillId="0" borderId="12" xfId="0" applyNumberFormat="1" applyBorder="1" applyAlignment="1">
      <alignment horizontal="center"/>
    </xf>
    <xf numFmtId="171" fontId="4" fillId="0" borderId="52" xfId="0" applyNumberFormat="1" applyFont="1" applyBorder="1"/>
    <xf numFmtId="171" fontId="4" fillId="0" borderId="56" xfId="0" applyNumberFormat="1" applyFont="1" applyBorder="1"/>
    <xf numFmtId="171" fontId="4" fillId="0" borderId="0" xfId="0" applyNumberFormat="1" applyFont="1" applyBorder="1"/>
    <xf numFmtId="171" fontId="4" fillId="0" borderId="62" xfId="0" applyNumberFormat="1" applyFont="1" applyBorder="1"/>
    <xf numFmtId="4" fontId="0" fillId="0" borderId="56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4" fillId="0" borderId="0" xfId="0" applyFont="1" applyAlignment="1">
      <alignment horizontal="center"/>
    </xf>
    <xf numFmtId="164" fontId="4" fillId="0" borderId="28" xfId="0" applyNumberFormat="1" applyFont="1" applyFill="1" applyBorder="1"/>
    <xf numFmtId="3" fontId="4" fillId="0" borderId="48" xfId="0" applyNumberFormat="1" applyFont="1" applyFill="1" applyBorder="1" applyAlignment="1">
      <alignment horizontal="right"/>
    </xf>
    <xf numFmtId="0" fontId="4" fillId="0" borderId="29" xfId="0" applyFont="1" applyFill="1" applyBorder="1"/>
    <xf numFmtId="0" fontId="0" fillId="0" borderId="53" xfId="0" applyBorder="1" applyAlignment="1">
      <alignment horizontal="center"/>
    </xf>
    <xf numFmtId="170" fontId="0" fillId="0" borderId="53" xfId="0" applyNumberFormat="1" applyBorder="1"/>
    <xf numFmtId="0" fontId="0" fillId="0" borderId="90" xfId="0" applyBorder="1" applyAlignment="1">
      <alignment horizontal="center"/>
    </xf>
    <xf numFmtId="0" fontId="0" fillId="0" borderId="90" xfId="0" applyBorder="1"/>
    <xf numFmtId="0" fontId="0" fillId="33" borderId="48" xfId="0" applyFill="1" applyBorder="1" applyAlignment="1">
      <alignment horizontal="center"/>
    </xf>
    <xf numFmtId="0" fontId="0" fillId="33" borderId="48" xfId="0" applyFill="1" applyBorder="1"/>
    <xf numFmtId="0" fontId="0" fillId="33" borderId="50" xfId="0" applyFill="1" applyBorder="1"/>
    <xf numFmtId="4" fontId="0" fillId="33" borderId="50" xfId="0" applyNumberFormat="1" applyFill="1" applyBorder="1"/>
    <xf numFmtId="4" fontId="0" fillId="0" borderId="39" xfId="0" applyNumberFormat="1" applyBorder="1"/>
    <xf numFmtId="170" fontId="0" fillId="0" borderId="39" xfId="0" applyNumberFormat="1" applyBorder="1"/>
    <xf numFmtId="0" fontId="0" fillId="0" borderId="39" xfId="0" applyBorder="1"/>
    <xf numFmtId="4" fontId="0" fillId="0" borderId="1" xfId="0" applyNumberFormat="1" applyBorder="1"/>
    <xf numFmtId="170" fontId="0" fillId="0" borderId="1" xfId="0" applyNumberFormat="1" applyBorder="1"/>
    <xf numFmtId="0" fontId="0" fillId="0" borderId="1" xfId="0" applyBorder="1"/>
    <xf numFmtId="0" fontId="0" fillId="33" borderId="50" xfId="0" applyFill="1" applyBorder="1" applyAlignment="1">
      <alignment horizontal="center"/>
    </xf>
    <xf numFmtId="4" fontId="0" fillId="33" borderId="51" xfId="0" applyNumberFormat="1" applyFill="1" applyBorder="1"/>
    <xf numFmtId="0" fontId="4" fillId="0" borderId="50" xfId="0" applyFont="1" applyBorder="1" applyAlignment="1">
      <alignment horizontal="center"/>
    </xf>
    <xf numFmtId="4" fontId="4" fillId="0" borderId="82" xfId="0" applyNumberFormat="1" applyFont="1" applyBorder="1"/>
    <xf numFmtId="0" fontId="0" fillId="0" borderId="48" xfId="0" applyFill="1" applyBorder="1" applyAlignment="1">
      <alignment horizontal="center"/>
    </xf>
    <xf numFmtId="4" fontId="0" fillId="0" borderId="48" xfId="0" applyNumberFormat="1" applyFill="1" applyBorder="1"/>
    <xf numFmtId="0" fontId="0" fillId="0" borderId="48" xfId="0" applyFill="1" applyBorder="1"/>
    <xf numFmtId="4" fontId="0" fillId="0" borderId="80" xfId="0" applyNumberFormat="1" applyBorder="1" applyAlignment="1">
      <alignment horizontal="center"/>
    </xf>
    <xf numFmtId="4" fontId="4" fillId="0" borderId="48" xfId="0" applyNumberFormat="1" applyFont="1" applyFill="1" applyBorder="1"/>
    <xf numFmtId="4" fontId="4" fillId="0" borderId="49" xfId="0" applyNumberFormat="1" applyFont="1" applyFill="1" applyBorder="1"/>
    <xf numFmtId="0" fontId="4" fillId="0" borderId="49" xfId="0" applyFont="1" applyBorder="1"/>
    <xf numFmtId="164" fontId="4" fillId="0" borderId="55" xfId="0" applyNumberFormat="1" applyFont="1" applyFill="1" applyBorder="1"/>
    <xf numFmtId="165" fontId="4" fillId="0" borderId="48" xfId="0" applyNumberFormat="1" applyFont="1" applyFill="1" applyBorder="1"/>
    <xf numFmtId="4" fontId="4" fillId="0" borderId="59" xfId="0" applyNumberFormat="1" applyFont="1" applyFill="1" applyBorder="1"/>
    <xf numFmtId="4" fontId="4" fillId="0" borderId="37" xfId="0" applyNumberFormat="1" applyFont="1" applyFill="1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4" fontId="0" fillId="0" borderId="13" xfId="0" applyNumberFormat="1" applyBorder="1"/>
    <xf numFmtId="4" fontId="0" fillId="0" borderId="14" xfId="0" applyNumberFormat="1" applyBorder="1"/>
    <xf numFmtId="170" fontId="0" fillId="0" borderId="13" xfId="0" applyNumberFormat="1" applyBorder="1"/>
    <xf numFmtId="170" fontId="0" fillId="0" borderId="14" xfId="0" applyNumberFormat="1" applyBorder="1"/>
    <xf numFmtId="0" fontId="47" fillId="0" borderId="0" xfId="0" applyFont="1" applyBorder="1"/>
    <xf numFmtId="170" fontId="47" fillId="0" borderId="0" xfId="0" applyNumberFormat="1" applyFont="1" applyBorder="1"/>
    <xf numFmtId="4" fontId="47" fillId="0" borderId="0" xfId="0" applyNumberFormat="1" applyFont="1" applyBorder="1"/>
    <xf numFmtId="4" fontId="0" fillId="0" borderId="52" xfId="0" applyNumberFormat="1" applyBorder="1" applyAlignment="1">
      <alignment horizontal="center"/>
    </xf>
    <xf numFmtId="0" fontId="47" fillId="0" borderId="1" xfId="0" applyFont="1" applyBorder="1" applyAlignment="1">
      <alignment horizontal="right"/>
    </xf>
    <xf numFmtId="4" fontId="0" fillId="0" borderId="0" xfId="0" applyNumberFormat="1" applyFill="1" applyBorder="1" applyAlignment="1">
      <alignment horizontal="center"/>
    </xf>
    <xf numFmtId="4" fontId="47" fillId="0" borderId="1" xfId="0" applyNumberFormat="1" applyFont="1" applyBorder="1"/>
    <xf numFmtId="170" fontId="42" fillId="0" borderId="0" xfId="0" applyNumberFormat="1" applyFont="1"/>
    <xf numFmtId="4" fontId="42" fillId="0" borderId="0" xfId="0" applyNumberFormat="1" applyFont="1"/>
    <xf numFmtId="0" fontId="42" fillId="0" borderId="0" xfId="0" applyFont="1"/>
    <xf numFmtId="4" fontId="42" fillId="0" borderId="0" xfId="0" applyNumberFormat="1" applyFont="1" applyAlignment="1">
      <alignment horizontal="center"/>
    </xf>
    <xf numFmtId="170" fontId="44" fillId="0" borderId="69" xfId="0" applyNumberFormat="1" applyFont="1" applyBorder="1" applyAlignment="1">
      <alignment horizontal="center" vertical="center"/>
    </xf>
    <xf numFmtId="4" fontId="44" fillId="0" borderId="68" xfId="0" applyNumberFormat="1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4" fontId="44" fillId="0" borderId="68" xfId="0" applyNumberFormat="1" applyFont="1" applyBorder="1" applyAlignment="1">
      <alignment horizontal="center" vertical="center" wrapText="1"/>
    </xf>
    <xf numFmtId="4" fontId="44" fillId="0" borderId="67" xfId="0" applyNumberFormat="1" applyFont="1" applyBorder="1" applyAlignment="1">
      <alignment horizontal="center" vertical="center" wrapText="1"/>
    </xf>
    <xf numFmtId="4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" fontId="0" fillId="0" borderId="96" xfId="0" applyNumberFormat="1" applyBorder="1" applyAlignment="1">
      <alignment horizontal="center"/>
    </xf>
    <xf numFmtId="4" fontId="0" fillId="0" borderId="85" xfId="0" applyNumberFormat="1" applyBorder="1" applyAlignment="1">
      <alignment horizontal="center"/>
    </xf>
    <xf numFmtId="4" fontId="0" fillId="0" borderId="97" xfId="0" applyNumberFormat="1" applyBorder="1" applyAlignment="1">
      <alignment horizontal="center"/>
    </xf>
    <xf numFmtId="1" fontId="44" fillId="0" borderId="0" xfId="0" applyNumberFormat="1" applyFont="1" applyAlignment="1">
      <alignment horizontal="center" vertical="center"/>
    </xf>
    <xf numFmtId="1" fontId="44" fillId="0" borderId="0" xfId="0" applyNumberFormat="1" applyFont="1" applyBorder="1" applyAlignment="1">
      <alignment horizontal="center" vertical="center"/>
    </xf>
    <xf numFmtId="1" fontId="44" fillId="0" borderId="78" xfId="0" applyNumberFormat="1" applyFont="1" applyBorder="1" applyAlignment="1">
      <alignment horizontal="center" vertical="center"/>
    </xf>
    <xf numFmtId="1" fontId="44" fillId="0" borderId="84" xfId="0" applyNumberFormat="1" applyFont="1" applyBorder="1" applyAlignment="1">
      <alignment horizontal="center" vertical="center" wrapText="1"/>
    </xf>
    <xf numFmtId="4" fontId="53" fillId="0" borderId="0" xfId="0" applyNumberFormat="1" applyFont="1"/>
    <xf numFmtId="0" fontId="53" fillId="0" borderId="0" xfId="0" applyFont="1"/>
    <xf numFmtId="170" fontId="53" fillId="0" borderId="0" xfId="0" applyNumberFormat="1" applyFont="1"/>
    <xf numFmtId="4" fontId="53" fillId="0" borderId="0" xfId="0" applyNumberFormat="1" applyFont="1" applyAlignment="1">
      <alignment horizontal="center"/>
    </xf>
    <xf numFmtId="0" fontId="24" fillId="33" borderId="47" xfId="0" applyFont="1" applyFill="1" applyBorder="1" applyAlignment="1">
      <alignment horizontal="center"/>
    </xf>
    <xf numFmtId="4" fontId="42" fillId="0" borderId="1" xfId="0" applyNumberFormat="1" applyFont="1" applyBorder="1"/>
    <xf numFmtId="4" fontId="0" fillId="0" borderId="74" xfId="0" applyNumberFormat="1" applyBorder="1" applyAlignment="1">
      <alignment horizontal="center"/>
    </xf>
    <xf numFmtId="4" fontId="0" fillId="0" borderId="98" xfId="0" applyNumberFormat="1" applyBorder="1" applyAlignment="1">
      <alignment horizontal="center"/>
    </xf>
    <xf numFmtId="4" fontId="0" fillId="0" borderId="76" xfId="0" applyNumberFormat="1" applyBorder="1"/>
    <xf numFmtId="4" fontId="0" fillId="0" borderId="73" xfId="0" applyNumberFormat="1" applyBorder="1"/>
    <xf numFmtId="4" fontId="0" fillId="0" borderId="39" xfId="0" applyNumberFormat="1" applyBorder="1" applyAlignment="1">
      <alignment horizontal="center"/>
    </xf>
    <xf numFmtId="4" fontId="0" fillId="0" borderId="94" xfId="0" applyNumberFormat="1" applyBorder="1" applyAlignment="1">
      <alignment horizontal="center"/>
    </xf>
    <xf numFmtId="0" fontId="25" fillId="0" borderId="0" xfId="0" applyFont="1"/>
    <xf numFmtId="4" fontId="25" fillId="0" borderId="0" xfId="0" applyNumberFormat="1" applyFont="1" applyBorder="1" applyAlignment="1">
      <alignment horizontal="center"/>
    </xf>
    <xf numFmtId="4" fontId="42" fillId="0" borderId="0" xfId="0" applyNumberFormat="1" applyFont="1" applyBorder="1" applyAlignment="1">
      <alignment horizontal="center"/>
    </xf>
    <xf numFmtId="4" fontId="44" fillId="0" borderId="79" xfId="0" applyNumberFormat="1" applyFont="1" applyBorder="1" applyAlignment="1">
      <alignment horizontal="center" vertical="center" wrapText="1"/>
    </xf>
    <xf numFmtId="1" fontId="44" fillId="0" borderId="84" xfId="0" applyNumberFormat="1" applyFont="1" applyBorder="1" applyAlignment="1">
      <alignment horizontal="center" vertical="center"/>
    </xf>
    <xf numFmtId="4" fontId="0" fillId="0" borderId="70" xfId="0" applyNumberFormat="1" applyBorder="1"/>
    <xf numFmtId="4" fontId="0" fillId="0" borderId="82" xfId="0" applyNumberFormat="1" applyBorder="1"/>
    <xf numFmtId="4" fontId="0" fillId="0" borderId="55" xfId="0" applyNumberFormat="1" applyBorder="1"/>
    <xf numFmtId="170" fontId="4" fillId="0" borderId="55" xfId="0" applyNumberFormat="1" applyFont="1" applyFill="1" applyBorder="1"/>
    <xf numFmtId="3" fontId="4" fillId="0" borderId="48" xfId="0" applyNumberFormat="1" applyFont="1" applyFill="1" applyBorder="1"/>
    <xf numFmtId="170" fontId="4" fillId="0" borderId="52" xfId="0" applyNumberFormat="1" applyFont="1" applyBorder="1"/>
    <xf numFmtId="4" fontId="4" fillId="0" borderId="52" xfId="0" applyNumberFormat="1" applyFont="1" applyBorder="1"/>
    <xf numFmtId="0" fontId="4" fillId="0" borderId="0" xfId="0" applyFont="1" applyFill="1"/>
    <xf numFmtId="0" fontId="4" fillId="0" borderId="63" xfId="0" applyFont="1" applyFill="1" applyBorder="1"/>
    <xf numFmtId="4" fontId="4" fillId="0" borderId="71" xfId="0" applyNumberFormat="1" applyFont="1" applyFill="1" applyBorder="1"/>
    <xf numFmtId="164" fontId="4" fillId="0" borderId="64" xfId="0" applyNumberFormat="1" applyFont="1" applyFill="1" applyBorder="1"/>
    <xf numFmtId="1" fontId="4" fillId="0" borderId="63" xfId="0" applyNumberFormat="1" applyFont="1" applyFill="1" applyBorder="1" applyAlignment="1">
      <alignment horizontal="center"/>
    </xf>
    <xf numFmtId="165" fontId="4" fillId="0" borderId="63" xfId="0" applyNumberFormat="1" applyFont="1" applyFill="1" applyBorder="1"/>
    <xf numFmtId="3" fontId="4" fillId="0" borderId="63" xfId="0" applyNumberFormat="1" applyFont="1" applyFill="1" applyBorder="1" applyAlignment="1">
      <alignment horizontal="right"/>
    </xf>
    <xf numFmtId="171" fontId="4" fillId="0" borderId="64" xfId="0" applyNumberFormat="1" applyFont="1" applyFill="1" applyBorder="1"/>
    <xf numFmtId="3" fontId="4" fillId="0" borderId="63" xfId="0" applyNumberFormat="1" applyFont="1" applyFill="1" applyBorder="1"/>
    <xf numFmtId="4" fontId="4" fillId="0" borderId="55" xfId="0" applyNumberFormat="1" applyFont="1" applyFill="1" applyBorder="1"/>
    <xf numFmtId="0" fontId="4" fillId="0" borderId="37" xfId="0" applyFont="1" applyFill="1" applyBorder="1"/>
    <xf numFmtId="0" fontId="4" fillId="0" borderId="48" xfId="0" applyFont="1" applyFill="1" applyBorder="1"/>
    <xf numFmtId="171" fontId="4" fillId="0" borderId="55" xfId="0" applyNumberFormat="1" applyFont="1" applyFill="1" applyBorder="1"/>
    <xf numFmtId="0" fontId="4" fillId="0" borderId="35" xfId="0" applyFont="1" applyFill="1" applyBorder="1"/>
    <xf numFmtId="167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5" fillId="0" borderId="0" xfId="0" applyFont="1" applyAlignment="1">
      <alignment horizontal="center" vertical="center" wrapText="1"/>
    </xf>
    <xf numFmtId="4" fontId="44" fillId="0" borderId="0" xfId="0" applyNumberFormat="1" applyFont="1" applyBorder="1" applyAlignment="1">
      <alignment horizontal="center" vertical="center"/>
    </xf>
    <xf numFmtId="4" fontId="0" fillId="0" borderId="0" xfId="0" applyNumberFormat="1" applyAlignment="1"/>
    <xf numFmtId="4" fontId="0" fillId="0" borderId="56" xfId="0" applyNumberFormat="1" applyBorder="1"/>
    <xf numFmtId="0" fontId="4" fillId="0" borderId="53" xfId="0" applyNumberFormat="1" applyFont="1" applyBorder="1"/>
    <xf numFmtId="0" fontId="42" fillId="0" borderId="52" xfId="0" applyFont="1" applyFill="1" applyBorder="1" applyAlignment="1">
      <alignment horizontal="center"/>
    </xf>
    <xf numFmtId="0" fontId="42" fillId="0" borderId="64" xfId="0" applyFont="1" applyFill="1" applyBorder="1" applyAlignment="1">
      <alignment horizontal="center"/>
    </xf>
    <xf numFmtId="0" fontId="42" fillId="0" borderId="5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4" fillId="0" borderId="1" xfId="0" applyNumberFormat="1" applyFont="1" applyBorder="1" applyAlignment="1">
      <alignment horizontal="center" vertical="center"/>
    </xf>
    <xf numFmtId="4" fontId="0" fillId="0" borderId="39" xfId="0" applyNumberFormat="1" applyBorder="1" applyAlignment="1">
      <alignment horizontal="center"/>
    </xf>
    <xf numFmtId="4" fontId="0" fillId="0" borderId="85" xfId="0" applyNumberFormat="1" applyBorder="1"/>
    <xf numFmtId="4" fontId="0" fillId="0" borderId="97" xfId="0" applyNumberFormat="1" applyBorder="1"/>
    <xf numFmtId="4" fontId="0" fillId="0" borderId="100" xfId="0" applyNumberFormat="1" applyBorder="1"/>
    <xf numFmtId="0" fontId="0" fillId="0" borderId="100" xfId="0" applyBorder="1"/>
    <xf numFmtId="4" fontId="5" fillId="0" borderId="0" xfId="0" applyNumberFormat="1" applyFont="1" applyAlignment="1">
      <alignment horizontal="center"/>
    </xf>
    <xf numFmtId="4" fontId="4" fillId="0" borderId="55" xfId="0" applyNumberFormat="1" applyFont="1" applyBorder="1" applyAlignment="1">
      <alignment horizontal="center"/>
    </xf>
    <xf numFmtId="4" fontId="4" fillId="0" borderId="85" xfId="0" applyNumberFormat="1" applyFont="1" applyBorder="1" applyAlignment="1">
      <alignment horizontal="center"/>
    </xf>
    <xf numFmtId="4" fontId="0" fillId="0" borderId="95" xfId="0" applyNumberFormat="1" applyBorder="1"/>
    <xf numFmtId="4" fontId="44" fillId="0" borderId="102" xfId="0" applyNumberFormat="1" applyFont="1" applyBorder="1" applyAlignment="1">
      <alignment horizontal="center" vertical="center" wrapText="1"/>
    </xf>
    <xf numFmtId="4" fontId="44" fillId="0" borderId="77" xfId="0" applyNumberFormat="1" applyFont="1" applyBorder="1" applyAlignment="1">
      <alignment horizontal="center" vertical="center"/>
    </xf>
    <xf numFmtId="4" fontId="44" fillId="0" borderId="95" xfId="0" applyNumberFormat="1" applyFont="1" applyBorder="1" applyAlignment="1">
      <alignment horizontal="center" vertical="center"/>
    </xf>
    <xf numFmtId="4" fontId="44" fillId="0" borderId="79" xfId="0" applyNumberFormat="1" applyFont="1" applyBorder="1" applyAlignment="1">
      <alignment horizontal="center" vertical="center"/>
    </xf>
    <xf numFmtId="0" fontId="4" fillId="0" borderId="48" xfId="0" applyNumberFormat="1" applyFont="1" applyFill="1" applyBorder="1"/>
    <xf numFmtId="170" fontId="47" fillId="0" borderId="39" xfId="0" applyNumberFormat="1" applyFont="1" applyBorder="1"/>
    <xf numFmtId="4" fontId="47" fillId="0" borderId="39" xfId="0" applyNumberFormat="1" applyFont="1" applyBorder="1"/>
    <xf numFmtId="0" fontId="47" fillId="0" borderId="39" xfId="0" applyFont="1" applyBorder="1" applyAlignment="1">
      <alignment horizontal="right"/>
    </xf>
    <xf numFmtId="170" fontId="5" fillId="33" borderId="55" xfId="0" applyNumberFormat="1" applyFont="1" applyFill="1" applyBorder="1"/>
    <xf numFmtId="4" fontId="5" fillId="33" borderId="48" xfId="0" applyNumberFormat="1" applyFont="1" applyFill="1" applyBorder="1"/>
    <xf numFmtId="0" fontId="5" fillId="33" borderId="48" xfId="0" applyFont="1" applyFill="1" applyBorder="1"/>
    <xf numFmtId="4" fontId="5" fillId="33" borderId="0" xfId="0" applyNumberFormat="1" applyFont="1" applyFill="1"/>
    <xf numFmtId="4" fontId="4" fillId="0" borderId="0" xfId="0" applyNumberFormat="1" applyFont="1" applyFill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47" fillId="0" borderId="0" xfId="0" applyFont="1" applyAlignment="1">
      <alignment horizontal="center"/>
    </xf>
    <xf numFmtId="3" fontId="0" fillId="0" borderId="63" xfId="0" applyNumberFormat="1" applyBorder="1"/>
    <xf numFmtId="4" fontId="47" fillId="0" borderId="0" xfId="0" applyNumberFormat="1" applyFont="1" applyAlignment="1"/>
    <xf numFmtId="0" fontId="47" fillId="0" borderId="0" xfId="0" applyFont="1" applyAlignment="1">
      <alignment horizontal="center" vertical="center" wrapText="1"/>
    </xf>
    <xf numFmtId="4" fontId="47" fillId="0" borderId="0" xfId="0" applyNumberFormat="1" applyFont="1" applyAlignment="1">
      <alignment horizontal="center" vertical="center" wrapText="1"/>
    </xf>
    <xf numFmtId="0" fontId="24" fillId="0" borderId="47" xfId="0" applyFont="1" applyBorder="1"/>
    <xf numFmtId="0" fontId="47" fillId="0" borderId="69" xfId="0" applyFont="1" applyBorder="1" applyAlignment="1">
      <alignment horizontal="center" vertical="center" wrapText="1"/>
    </xf>
    <xf numFmtId="0" fontId="47" fillId="0" borderId="68" xfId="0" applyFont="1" applyBorder="1" applyAlignment="1">
      <alignment horizontal="center" vertical="center" wrapText="1"/>
    </xf>
    <xf numFmtId="4" fontId="47" fillId="0" borderId="68" xfId="0" applyNumberFormat="1" applyFont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4" fontId="0" fillId="0" borderId="53" xfId="0" applyNumberFormat="1" applyBorder="1" applyAlignment="1"/>
    <xf numFmtId="0" fontId="0" fillId="0" borderId="55" xfId="0" applyBorder="1" applyAlignment="1">
      <alignment horizontal="center"/>
    </xf>
    <xf numFmtId="4" fontId="0" fillId="0" borderId="48" xfId="0" applyNumberFormat="1" applyBorder="1" applyAlignment="1"/>
    <xf numFmtId="0" fontId="0" fillId="0" borderId="56" xfId="0" applyBorder="1" applyAlignment="1">
      <alignment horizontal="center"/>
    </xf>
    <xf numFmtId="4" fontId="0" fillId="0" borderId="50" xfId="0" applyNumberFormat="1" applyBorder="1" applyAlignment="1"/>
    <xf numFmtId="0" fontId="0" fillId="0" borderId="64" xfId="0" applyBorder="1" applyAlignment="1">
      <alignment horizontal="center"/>
    </xf>
    <xf numFmtId="15" fontId="0" fillId="0" borderId="63" xfId="0" applyNumberFormat="1" applyBorder="1"/>
    <xf numFmtId="4" fontId="0" fillId="0" borderId="63" xfId="0" applyNumberFormat="1" applyBorder="1" applyAlignment="1"/>
    <xf numFmtId="0" fontId="0" fillId="33" borderId="56" xfId="0" applyFill="1" applyBorder="1" applyAlignment="1">
      <alignment horizontal="center"/>
    </xf>
    <xf numFmtId="15" fontId="0" fillId="33" borderId="50" xfId="0" applyNumberFormat="1" applyFill="1" applyBorder="1"/>
    <xf numFmtId="4" fontId="0" fillId="33" borderId="50" xfId="0" applyNumberFormat="1" applyFill="1" applyBorder="1" applyAlignment="1"/>
    <xf numFmtId="4" fontId="0" fillId="33" borderId="1" xfId="0" applyNumberFormat="1" applyFill="1" applyBorder="1"/>
    <xf numFmtId="4" fontId="0" fillId="0" borderId="0" xfId="0" applyNumberFormat="1" applyFill="1"/>
    <xf numFmtId="0" fontId="0" fillId="0" borderId="74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15" fontId="0" fillId="0" borderId="75" xfId="0" applyNumberFormat="1" applyFill="1" applyBorder="1"/>
    <xf numFmtId="4" fontId="0" fillId="0" borderId="75" xfId="0" applyNumberFormat="1" applyFill="1" applyBorder="1" applyAlignment="1"/>
    <xf numFmtId="0" fontId="0" fillId="0" borderId="75" xfId="0" applyFill="1" applyBorder="1"/>
    <xf numFmtId="4" fontId="0" fillId="0" borderId="76" xfId="0" applyNumberFormat="1" applyFill="1" applyBorder="1"/>
    <xf numFmtId="4" fontId="0" fillId="0" borderId="0" xfId="0" applyNumberFormat="1" applyFill="1" applyBorder="1"/>
    <xf numFmtId="0" fontId="47" fillId="0" borderId="9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15" fontId="0" fillId="0" borderId="50" xfId="0" applyNumberFormat="1" applyFill="1" applyBorder="1"/>
    <xf numFmtId="4" fontId="0" fillId="0" borderId="50" xfId="0" applyNumberFormat="1" applyFill="1" applyBorder="1" applyAlignment="1"/>
    <xf numFmtId="0" fontId="0" fillId="0" borderId="50" xfId="0" applyFill="1" applyBorder="1"/>
    <xf numFmtId="4" fontId="0" fillId="0" borderId="51" xfId="0" applyNumberFormat="1" applyFill="1" applyBorder="1"/>
    <xf numFmtId="4" fontId="0" fillId="0" borderId="1" xfId="0" applyNumberFormat="1" applyFill="1" applyBorder="1"/>
    <xf numFmtId="0" fontId="0" fillId="33" borderId="55" xfId="0" applyFill="1" applyBorder="1" applyAlignment="1">
      <alignment horizontal="center"/>
    </xf>
    <xf numFmtId="0" fontId="4" fillId="33" borderId="48" xfId="0" applyFont="1" applyFill="1" applyBorder="1" applyAlignment="1">
      <alignment horizontal="center" vertical="center" wrapText="1"/>
    </xf>
    <xf numFmtId="15" fontId="0" fillId="33" borderId="48" xfId="0" applyNumberFormat="1" applyFill="1" applyBorder="1"/>
    <xf numFmtId="4" fontId="0" fillId="33" borderId="48" xfId="0" applyNumberFormat="1" applyFill="1" applyBorder="1" applyAlignment="1"/>
    <xf numFmtId="4" fontId="0" fillId="33" borderId="49" xfId="0" applyNumberFormat="1" applyFill="1" applyBorder="1"/>
    <xf numFmtId="0" fontId="24" fillId="0" borderId="0" xfId="0" applyFont="1"/>
    <xf numFmtId="4" fontId="24" fillId="0" borderId="0" xfId="0" applyNumberFormat="1" applyFont="1"/>
    <xf numFmtId="3" fontId="24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0" fontId="54" fillId="35" borderId="55" xfId="0" applyFont="1" applyFill="1" applyBorder="1" applyAlignment="1">
      <alignment horizontal="center"/>
    </xf>
    <xf numFmtId="0" fontId="54" fillId="35" borderId="48" xfId="0" applyFont="1" applyFill="1" applyBorder="1" applyAlignment="1">
      <alignment horizontal="center"/>
    </xf>
    <xf numFmtId="15" fontId="54" fillId="35" borderId="48" xfId="0" applyNumberFormat="1" applyFont="1" applyFill="1" applyBorder="1"/>
    <xf numFmtId="4" fontId="54" fillId="35" borderId="48" xfId="0" applyNumberFormat="1" applyFont="1" applyFill="1" applyBorder="1" applyAlignment="1"/>
    <xf numFmtId="3" fontId="54" fillId="35" borderId="48" xfId="0" applyNumberFormat="1" applyFont="1" applyFill="1" applyBorder="1"/>
    <xf numFmtId="4" fontId="54" fillId="35" borderId="49" xfId="0" applyNumberFormat="1" applyFont="1" applyFill="1" applyBorder="1"/>
    <xf numFmtId="0" fontId="54" fillId="35" borderId="64" xfId="0" applyFont="1" applyFill="1" applyBorder="1" applyAlignment="1">
      <alignment horizontal="center"/>
    </xf>
    <xf numFmtId="0" fontId="54" fillId="35" borderId="63" xfId="0" applyFont="1" applyFill="1" applyBorder="1" applyAlignment="1">
      <alignment horizontal="center"/>
    </xf>
    <xf numFmtId="15" fontId="54" fillId="35" borderId="63" xfId="0" applyNumberFormat="1" applyFont="1" applyFill="1" applyBorder="1"/>
    <xf numFmtId="4" fontId="54" fillId="35" borderId="63" xfId="0" applyNumberFormat="1" applyFont="1" applyFill="1" applyBorder="1" applyAlignment="1"/>
    <xf numFmtId="3" fontId="54" fillId="35" borderId="63" xfId="0" applyNumberFormat="1" applyFont="1" applyFill="1" applyBorder="1"/>
    <xf numFmtId="4" fontId="54" fillId="35" borderId="73" xfId="0" applyNumberFormat="1" applyFont="1" applyFill="1" applyBorder="1"/>
    <xf numFmtId="0" fontId="54" fillId="35" borderId="56" xfId="0" applyFont="1" applyFill="1" applyBorder="1" applyAlignment="1">
      <alignment horizontal="center"/>
    </xf>
    <xf numFmtId="0" fontId="54" fillId="35" borderId="50" xfId="0" applyFont="1" applyFill="1" applyBorder="1" applyAlignment="1">
      <alignment horizontal="center"/>
    </xf>
    <xf numFmtId="15" fontId="54" fillId="35" borderId="50" xfId="0" applyNumberFormat="1" applyFont="1" applyFill="1" applyBorder="1"/>
    <xf numFmtId="4" fontId="54" fillId="35" borderId="50" xfId="0" applyNumberFormat="1" applyFont="1" applyFill="1" applyBorder="1" applyAlignment="1"/>
    <xf numFmtId="3" fontId="54" fillId="35" borderId="50" xfId="0" applyNumberFormat="1" applyFont="1" applyFill="1" applyBorder="1"/>
    <xf numFmtId="4" fontId="54" fillId="35" borderId="51" xfId="0" applyNumberFormat="1" applyFont="1" applyFill="1" applyBorder="1"/>
    <xf numFmtId="0" fontId="0" fillId="0" borderId="89" xfId="0" applyBorder="1" applyAlignment="1">
      <alignment horizontal="center"/>
    </xf>
    <xf numFmtId="15" fontId="0" fillId="0" borderId="90" xfId="0" applyNumberFormat="1" applyBorder="1"/>
    <xf numFmtId="4" fontId="0" fillId="0" borderId="90" xfId="0" applyNumberFormat="1" applyBorder="1" applyAlignment="1"/>
    <xf numFmtId="4" fontId="0" fillId="0" borderId="91" xfId="0" applyNumberFormat="1" applyBorder="1"/>
    <xf numFmtId="0" fontId="24" fillId="36" borderId="9" xfId="0" applyFont="1" applyFill="1" applyBorder="1"/>
    <xf numFmtId="0" fontId="24" fillId="36" borderId="2" xfId="0" applyFont="1" applyFill="1" applyBorder="1" applyAlignment="1">
      <alignment horizontal="center"/>
    </xf>
    <xf numFmtId="15" fontId="24" fillId="36" borderId="2" xfId="0" applyNumberFormat="1" applyFont="1" applyFill="1" applyBorder="1"/>
    <xf numFmtId="4" fontId="24" fillId="36" borderId="2" xfId="0" applyNumberFormat="1" applyFont="1" applyFill="1" applyBorder="1" applyAlignment="1"/>
    <xf numFmtId="0" fontId="24" fillId="36" borderId="2" xfId="0" applyFont="1" applyFill="1" applyBorder="1"/>
    <xf numFmtId="4" fontId="24" fillId="36" borderId="3" xfId="0" applyNumberFormat="1" applyFont="1" applyFill="1" applyBorder="1"/>
    <xf numFmtId="169" fontId="52" fillId="0" borderId="66" xfId="0" applyNumberFormat="1" applyFont="1" applyBorder="1" applyAlignment="1"/>
    <xf numFmtId="0" fontId="4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4" fontId="24" fillId="0" borderId="0" xfId="0" applyNumberFormat="1" applyFont="1" applyFill="1" applyBorder="1"/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4" fontId="25" fillId="0" borderId="81" xfId="0" applyNumberFormat="1" applyFont="1" applyBorder="1" applyAlignment="1">
      <alignment horizontal="center" vertical="center" wrapText="1"/>
    </xf>
    <xf numFmtId="0" fontId="0" fillId="0" borderId="52" xfId="0" applyFill="1" applyBorder="1"/>
    <xf numFmtId="0" fontId="0" fillId="0" borderId="53" xfId="0" applyFill="1" applyBorder="1" applyAlignment="1">
      <alignment horizontal="center"/>
    </xf>
    <xf numFmtId="4" fontId="0" fillId="0" borderId="53" xfId="0" applyNumberFormat="1" applyFill="1" applyBorder="1"/>
    <xf numFmtId="0" fontId="0" fillId="0" borderId="55" xfId="0" applyFill="1" applyBorder="1"/>
    <xf numFmtId="4" fontId="0" fillId="0" borderId="48" xfId="0" applyNumberFormat="1" applyFill="1" applyBorder="1" applyAlignment="1"/>
    <xf numFmtId="4" fontId="0" fillId="0" borderId="49" xfId="0" applyNumberFormat="1" applyFill="1" applyBorder="1"/>
    <xf numFmtId="3" fontId="24" fillId="0" borderId="0" xfId="0" applyNumberFormat="1" applyFont="1" applyBorder="1" applyAlignment="1">
      <alignment horizontal="left" vertical="center" wrapText="1"/>
    </xf>
    <xf numFmtId="3" fontId="0" fillId="0" borderId="48" xfId="0" applyNumberFormat="1" applyFill="1" applyBorder="1"/>
    <xf numFmtId="0" fontId="0" fillId="37" borderId="48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4" fontId="0" fillId="0" borderId="63" xfId="0" applyNumberFormat="1" applyFill="1" applyBorder="1"/>
    <xf numFmtId="4" fontId="0" fillId="0" borderId="50" xfId="0" applyNumberFormat="1" applyFill="1" applyBorder="1"/>
    <xf numFmtId="0" fontId="25" fillId="0" borderId="87" xfId="0" applyFont="1" applyBorder="1" applyAlignment="1">
      <alignment horizontal="center" vertical="center" wrapText="1"/>
    </xf>
    <xf numFmtId="4" fontId="25" fillId="0" borderId="88" xfId="0" applyNumberFormat="1" applyFont="1" applyBorder="1" applyAlignment="1">
      <alignment horizontal="center" vertical="center" wrapText="1"/>
    </xf>
    <xf numFmtId="4" fontId="0" fillId="0" borderId="82" xfId="0" applyNumberFormat="1" applyFill="1" applyBorder="1"/>
    <xf numFmtId="4" fontId="0" fillId="0" borderId="83" xfId="0" applyNumberFormat="1" applyFill="1" applyBorder="1"/>
    <xf numFmtId="4" fontId="0" fillId="0" borderId="70" xfId="0" applyNumberFormat="1" applyFill="1" applyBorder="1"/>
    <xf numFmtId="4" fontId="0" fillId="0" borderId="83" xfId="0" applyNumberFormat="1" applyBorder="1"/>
    <xf numFmtId="15" fontId="0" fillId="0" borderId="48" xfId="0" applyNumberFormat="1" applyFill="1" applyBorder="1"/>
    <xf numFmtId="4" fontId="0" fillId="0" borderId="99" xfId="0" applyNumberFormat="1" applyFill="1" applyBorder="1"/>
    <xf numFmtId="0" fontId="0" fillId="0" borderId="93" xfId="0" applyFill="1" applyBorder="1"/>
    <xf numFmtId="0" fontId="5" fillId="0" borderId="64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4" fontId="0" fillId="0" borderId="0" xfId="0" applyNumberFormat="1" applyBorder="1" applyAlignment="1"/>
    <xf numFmtId="0" fontId="0" fillId="0" borderId="105" xfId="0" applyBorder="1" applyAlignment="1">
      <alignment horizontal="center"/>
    </xf>
    <xf numFmtId="0" fontId="0" fillId="0" borderId="105" xfId="0" applyBorder="1"/>
    <xf numFmtId="4" fontId="0" fillId="0" borderId="105" xfId="0" applyNumberFormat="1" applyBorder="1"/>
    <xf numFmtId="169" fontId="52" fillId="0" borderId="0" xfId="0" applyNumberFormat="1" applyFont="1" applyBorder="1" applyAlignment="1"/>
    <xf numFmtId="4" fontId="0" fillId="33" borderId="0" xfId="0" applyNumberFormat="1" applyFill="1"/>
    <xf numFmtId="0" fontId="4" fillId="0" borderId="63" xfId="0" applyFont="1" applyBorder="1"/>
    <xf numFmtId="4" fontId="0" fillId="0" borderId="86" xfId="0" applyNumberFormat="1" applyBorder="1"/>
    <xf numFmtId="4" fontId="0" fillId="0" borderId="87" xfId="0" applyNumberFormat="1" applyBorder="1"/>
    <xf numFmtId="4" fontId="0" fillId="0" borderId="88" xfId="0" applyNumberFormat="1" applyBorder="1"/>
    <xf numFmtId="4" fontId="4" fillId="0" borderId="63" xfId="0" applyNumberFormat="1" applyFont="1" applyBorder="1"/>
    <xf numFmtId="4" fontId="4" fillId="0" borderId="73" xfId="0" applyNumberFormat="1" applyFont="1" applyBorder="1"/>
    <xf numFmtId="4" fontId="0" fillId="0" borderId="64" xfId="0" applyNumberFormat="1" applyBorder="1"/>
    <xf numFmtId="4" fontId="0" fillId="0" borderId="63" xfId="0" applyNumberFormat="1" applyBorder="1" applyAlignment="1">
      <alignment horizontal="center"/>
    </xf>
    <xf numFmtId="0" fontId="5" fillId="0" borderId="101" xfId="0" applyFont="1" applyBorder="1" applyAlignment="1">
      <alignment horizontal="right"/>
    </xf>
    <xf numFmtId="4" fontId="5" fillId="0" borderId="72" xfId="0" applyNumberFormat="1" applyFont="1" applyBorder="1"/>
    <xf numFmtId="170" fontId="5" fillId="0" borderId="72" xfId="0" applyNumberFormat="1" applyFont="1" applyBorder="1"/>
    <xf numFmtId="4" fontId="5" fillId="0" borderId="72" xfId="0" applyNumberFormat="1" applyFont="1" applyBorder="1" applyAlignment="1">
      <alignment horizontal="center"/>
    </xf>
    <xf numFmtId="4" fontId="44" fillId="0" borderId="0" xfId="0" applyNumberFormat="1" applyFont="1"/>
    <xf numFmtId="4" fontId="0" fillId="0" borderId="49" xfId="0" applyNumberFormat="1" applyBorder="1" applyAlignment="1">
      <alignment horizontal="center"/>
    </xf>
    <xf numFmtId="4" fontId="43" fillId="0" borderId="39" xfId="0" applyNumberFormat="1" applyFont="1" applyBorder="1" applyAlignment="1">
      <alignment horizontal="center"/>
    </xf>
    <xf numFmtId="0" fontId="5" fillId="0" borderId="0" xfId="0" applyFont="1" applyFill="1"/>
    <xf numFmtId="0" fontId="55" fillId="0" borderId="0" xfId="0" applyFont="1" applyAlignment="1">
      <alignment horizontal="right"/>
    </xf>
    <xf numFmtId="0" fontId="55" fillId="0" borderId="1" xfId="0" applyFont="1" applyBorder="1" applyAlignment="1">
      <alignment horizontal="right"/>
    </xf>
    <xf numFmtId="0" fontId="55" fillId="0" borderId="0" xfId="0" applyFont="1" applyBorder="1" applyAlignment="1">
      <alignment horizontal="right"/>
    </xf>
    <xf numFmtId="0" fontId="48" fillId="0" borderId="0" xfId="0" applyFont="1" applyFill="1" applyBorder="1" applyAlignment="1">
      <alignment horizontal="center" vertical="center"/>
    </xf>
    <xf numFmtId="0" fontId="51" fillId="0" borderId="0" xfId="0" applyFont="1" applyBorder="1" applyAlignment="1"/>
    <xf numFmtId="0" fontId="24" fillId="0" borderId="0" xfId="0" applyFont="1" applyFill="1" applyBorder="1" applyAlignment="1"/>
    <xf numFmtId="4" fontId="0" fillId="0" borderId="65" xfId="0" applyNumberFormat="1" applyBorder="1"/>
    <xf numFmtId="4" fontId="0" fillId="33" borderId="48" xfId="0" applyNumberFormat="1" applyFill="1" applyBorder="1" applyAlignment="1">
      <alignment horizontal="center"/>
    </xf>
    <xf numFmtId="170" fontId="4" fillId="0" borderId="48" xfId="0" applyNumberFormat="1" applyFont="1" applyBorder="1"/>
    <xf numFmtId="0" fontId="0" fillId="0" borderId="65" xfId="0" applyBorder="1"/>
    <xf numFmtId="0" fontId="4" fillId="0" borderId="65" xfId="0" applyFont="1" applyBorder="1"/>
    <xf numFmtId="170" fontId="5" fillId="0" borderId="0" xfId="0" applyNumberFormat="1" applyFont="1"/>
    <xf numFmtId="170" fontId="5" fillId="0" borderId="65" xfId="0" applyNumberFormat="1" applyFont="1" applyBorder="1"/>
    <xf numFmtId="0" fontId="5" fillId="0" borderId="0" xfId="0" applyFont="1" applyAlignment="1">
      <alignment horizontal="center"/>
    </xf>
    <xf numFmtId="0" fontId="4" fillId="0" borderId="75" xfId="0" applyFont="1" applyBorder="1"/>
    <xf numFmtId="170" fontId="5" fillId="0" borderId="62" xfId="0" applyNumberFormat="1" applyFont="1" applyBorder="1"/>
    <xf numFmtId="4" fontId="5" fillId="0" borderId="62" xfId="0" applyNumberFormat="1" applyFont="1" applyBorder="1"/>
    <xf numFmtId="4" fontId="5" fillId="0" borderId="62" xfId="0" applyNumberFormat="1" applyFont="1" applyBorder="1" applyAlignment="1">
      <alignment horizontal="center"/>
    </xf>
    <xf numFmtId="170" fontId="5" fillId="0" borderId="104" xfId="0" applyNumberFormat="1" applyFont="1" applyBorder="1"/>
    <xf numFmtId="4" fontId="5" fillId="0" borderId="104" xfId="0" applyNumberFormat="1" applyFont="1" applyBorder="1"/>
    <xf numFmtId="4" fontId="5" fillId="0" borderId="104" xfId="0" applyNumberFormat="1" applyFont="1" applyBorder="1" applyAlignment="1">
      <alignment horizontal="center"/>
    </xf>
    <xf numFmtId="170" fontId="43" fillId="0" borderId="62" xfId="0" applyNumberFormat="1" applyFont="1" applyBorder="1"/>
    <xf numFmtId="4" fontId="43" fillId="0" borderId="62" xfId="0" applyNumberFormat="1" applyFont="1" applyBorder="1"/>
    <xf numFmtId="4" fontId="43" fillId="0" borderId="62" xfId="0" applyNumberFormat="1" applyFont="1" applyBorder="1" applyAlignment="1">
      <alignment horizontal="center"/>
    </xf>
    <xf numFmtId="4" fontId="43" fillId="0" borderId="0" xfId="0" applyNumberFormat="1" applyFont="1"/>
    <xf numFmtId="170" fontId="43" fillId="0" borderId="72" xfId="0" applyNumberFormat="1" applyFont="1" applyBorder="1"/>
    <xf numFmtId="4" fontId="43" fillId="0" borderId="72" xfId="0" applyNumberFormat="1" applyFont="1" applyBorder="1"/>
    <xf numFmtId="0" fontId="43" fillId="0" borderId="72" xfId="0" applyFont="1" applyBorder="1"/>
    <xf numFmtId="4" fontId="43" fillId="0" borderId="72" xfId="0" applyNumberFormat="1" applyFont="1" applyBorder="1" applyAlignment="1">
      <alignment horizontal="center"/>
    </xf>
    <xf numFmtId="170" fontId="43" fillId="0" borderId="104" xfId="0" applyNumberFormat="1" applyFont="1" applyBorder="1"/>
    <xf numFmtId="4" fontId="43" fillId="0" borderId="104" xfId="0" applyNumberFormat="1" applyFont="1" applyBorder="1"/>
    <xf numFmtId="4" fontId="43" fillId="0" borderId="104" xfId="0" applyNumberFormat="1" applyFont="1" applyBorder="1" applyAlignment="1">
      <alignment horizontal="center"/>
    </xf>
    <xf numFmtId="0" fontId="43" fillId="0" borderId="62" xfId="0" applyFont="1" applyBorder="1" applyAlignment="1">
      <alignment horizontal="right"/>
    </xf>
    <xf numFmtId="0" fontId="43" fillId="0" borderId="72" xfId="0" applyFont="1" applyBorder="1" applyAlignment="1">
      <alignment horizontal="right"/>
    </xf>
    <xf numFmtId="0" fontId="43" fillId="0" borderId="104" xfId="0" applyFont="1" applyBorder="1" applyAlignment="1">
      <alignment horizontal="right"/>
    </xf>
    <xf numFmtId="4" fontId="0" fillId="0" borderId="74" xfId="0" applyNumberFormat="1" applyBorder="1"/>
    <xf numFmtId="4" fontId="0" fillId="0" borderId="75" xfId="0" applyNumberFormat="1" applyBorder="1" applyAlignment="1">
      <alignment horizontal="center"/>
    </xf>
    <xf numFmtId="4" fontId="53" fillId="0" borderId="0" xfId="0" applyNumberFormat="1" applyFont="1" applyFill="1"/>
    <xf numFmtId="4" fontId="53" fillId="0" borderId="0" xfId="0" applyNumberFormat="1" applyFont="1" applyFill="1" applyAlignment="1">
      <alignment horizontal="center"/>
    </xf>
    <xf numFmtId="0" fontId="53" fillId="0" borderId="0" xfId="0" applyFont="1" applyFill="1"/>
    <xf numFmtId="0" fontId="24" fillId="33" borderId="0" xfId="0" applyFont="1" applyFill="1" applyBorder="1" applyAlignment="1"/>
    <xf numFmtId="170" fontId="0" fillId="0" borderId="64" xfId="0" applyNumberFormat="1" applyFill="1" applyBorder="1"/>
    <xf numFmtId="4" fontId="0" fillId="0" borderId="64" xfId="0" applyNumberFormat="1" applyFill="1" applyBorder="1"/>
    <xf numFmtId="4" fontId="0" fillId="0" borderId="63" xfId="0" applyNumberFormat="1" applyFill="1" applyBorder="1" applyAlignment="1">
      <alignment horizontal="center"/>
    </xf>
    <xf numFmtId="4" fontId="0" fillId="0" borderId="52" xfId="0" applyNumberFormat="1" applyBorder="1"/>
    <xf numFmtId="4" fontId="4" fillId="0" borderId="55" xfId="0" applyNumberFormat="1" applyFont="1" applyBorder="1"/>
    <xf numFmtId="0" fontId="4" fillId="0" borderId="55" xfId="0" applyFont="1" applyBorder="1"/>
    <xf numFmtId="4" fontId="4" fillId="33" borderId="55" xfId="0" applyNumberFormat="1" applyFont="1" applyFill="1" applyBorder="1"/>
    <xf numFmtId="4" fontId="4" fillId="33" borderId="48" xfId="0" applyNumberFormat="1" applyFont="1" applyFill="1" applyBorder="1" applyAlignment="1">
      <alignment horizontal="center"/>
    </xf>
    <xf numFmtId="4" fontId="4" fillId="33" borderId="48" xfId="0" applyNumberFormat="1" applyFont="1" applyFill="1" applyBorder="1"/>
    <xf numFmtId="4" fontId="5" fillId="0" borderId="0" xfId="0" applyNumberFormat="1" applyFont="1" applyFill="1"/>
    <xf numFmtId="0" fontId="5" fillId="0" borderId="72" xfId="0" applyFont="1" applyBorder="1" applyAlignment="1">
      <alignment horizontal="right"/>
    </xf>
    <xf numFmtId="0" fontId="5" fillId="0" borderId="104" xfId="0" applyFont="1" applyBorder="1" applyAlignment="1">
      <alignment horizontal="right"/>
    </xf>
    <xf numFmtId="4" fontId="4" fillId="0" borderId="63" xfId="0" applyNumberFormat="1" applyFont="1" applyBorder="1" applyAlignment="1">
      <alignment horizontal="center"/>
    </xf>
    <xf numFmtId="4" fontId="52" fillId="0" borderId="0" xfId="0" applyNumberFormat="1" applyFont="1" applyBorder="1" applyAlignment="1"/>
    <xf numFmtId="4" fontId="25" fillId="0" borderId="87" xfId="0" applyNumberFormat="1" applyFont="1" applyBorder="1" applyAlignment="1">
      <alignment horizontal="center" vertical="center" wrapText="1"/>
    </xf>
    <xf numFmtId="4" fontId="44" fillId="0" borderId="69" xfId="0" applyNumberFormat="1" applyFont="1" applyBorder="1" applyAlignment="1">
      <alignment horizontal="center" vertical="center" wrapText="1"/>
    </xf>
    <xf numFmtId="4" fontId="47" fillId="0" borderId="69" xfId="0" applyNumberFormat="1" applyFont="1" applyBorder="1" applyAlignment="1">
      <alignment horizontal="center" vertical="center" wrapText="1"/>
    </xf>
    <xf numFmtId="4" fontId="47" fillId="0" borderId="67" xfId="0" applyNumberFormat="1" applyFont="1" applyBorder="1" applyAlignment="1">
      <alignment horizontal="center" vertical="center" wrapText="1"/>
    </xf>
    <xf numFmtId="4" fontId="5" fillId="0" borderId="48" xfId="0" applyNumberFormat="1" applyFont="1" applyBorder="1"/>
    <xf numFmtId="0" fontId="4" fillId="33" borderId="0" xfId="0" applyFont="1" applyFill="1"/>
    <xf numFmtId="6" fontId="0" fillId="33" borderId="0" xfId="0" applyNumberFormat="1" applyFill="1"/>
    <xf numFmtId="170" fontId="0" fillId="0" borderId="0" xfId="0" applyNumberFormat="1" applyAlignment="1">
      <alignment horizontal="center"/>
    </xf>
    <xf numFmtId="0" fontId="4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1" fillId="0" borderId="0" xfId="0" applyFont="1" applyBorder="1" applyAlignment="1">
      <alignment horizontal="center"/>
    </xf>
    <xf numFmtId="170" fontId="5" fillId="0" borderId="55" xfId="0" applyNumberFormat="1" applyFont="1" applyFill="1" applyBorder="1"/>
    <xf numFmtId="3" fontId="5" fillId="0" borderId="48" xfId="0" applyNumberFormat="1" applyFont="1" applyFill="1" applyBorder="1"/>
    <xf numFmtId="4" fontId="5" fillId="0" borderId="48" xfId="0" applyNumberFormat="1" applyFont="1" applyFill="1" applyBorder="1"/>
    <xf numFmtId="4" fontId="5" fillId="0" borderId="49" xfId="0" applyNumberFormat="1" applyFont="1" applyFill="1" applyBorder="1"/>
    <xf numFmtId="170" fontId="5" fillId="0" borderId="28" xfId="0" applyNumberFormat="1" applyFont="1" applyFill="1" applyBorder="1"/>
    <xf numFmtId="3" fontId="5" fillId="0" borderId="29" xfId="0" applyNumberFormat="1" applyFont="1" applyFill="1" applyBorder="1"/>
    <xf numFmtId="4" fontId="5" fillId="0" borderId="30" xfId="0" applyNumberFormat="1" applyFont="1" applyFill="1" applyBorder="1"/>
    <xf numFmtId="4" fontId="5" fillId="0" borderId="35" xfId="0" applyNumberFormat="1" applyFont="1" applyFill="1" applyBorder="1"/>
    <xf numFmtId="0" fontId="25" fillId="0" borderId="55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4" fontId="5" fillId="0" borderId="48" xfId="0" applyNumberFormat="1" applyFont="1" applyBorder="1" applyAlignment="1">
      <alignment horizontal="center"/>
    </xf>
    <xf numFmtId="4" fontId="5" fillId="0" borderId="75" xfId="0" applyNumberFormat="1" applyFont="1" applyBorder="1" applyAlignment="1">
      <alignment horizontal="center"/>
    </xf>
    <xf numFmtId="0" fontId="0" fillId="0" borderId="85" xfId="0" applyBorder="1"/>
    <xf numFmtId="4" fontId="0" fillId="0" borderId="114" xfId="0" applyNumberFormat="1" applyBorder="1"/>
    <xf numFmtId="0" fontId="49" fillId="0" borderId="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4" fontId="24" fillId="0" borderId="9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70" fontId="4" fillId="0" borderId="64" xfId="0" applyNumberFormat="1" applyFont="1" applyFill="1" applyBorder="1"/>
    <xf numFmtId="0" fontId="42" fillId="0" borderId="0" xfId="0" applyFont="1" applyAlignment="1">
      <alignment horizontal="center"/>
    </xf>
    <xf numFmtId="0" fontId="42" fillId="0" borderId="0" xfId="0" applyNumberFormat="1" applyFont="1"/>
    <xf numFmtId="0" fontId="42" fillId="0" borderId="0" xfId="0" applyFont="1" applyFill="1"/>
    <xf numFmtId="170" fontId="42" fillId="0" borderId="0" xfId="0" applyNumberFormat="1" applyFont="1" applyBorder="1"/>
    <xf numFmtId="3" fontId="42" fillId="0" borderId="0" xfId="0" applyNumberFormat="1" applyFont="1" applyBorder="1"/>
    <xf numFmtId="164" fontId="42" fillId="0" borderId="0" xfId="0" applyNumberFormat="1" applyFont="1" applyBorder="1"/>
    <xf numFmtId="1" fontId="42" fillId="0" borderId="0" xfId="0" applyNumberFormat="1" applyFont="1" applyBorder="1" applyAlignment="1">
      <alignment horizontal="center"/>
    </xf>
    <xf numFmtId="165" fontId="42" fillId="0" borderId="0" xfId="0" applyNumberFormat="1" applyFont="1" applyBorder="1"/>
    <xf numFmtId="3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71" fontId="42" fillId="0" borderId="0" xfId="0" applyNumberFormat="1" applyFont="1" applyBorder="1"/>
    <xf numFmtId="0" fontId="50" fillId="0" borderId="0" xfId="0" applyFont="1"/>
    <xf numFmtId="0" fontId="50" fillId="0" borderId="0" xfId="0" applyFont="1" applyAlignment="1">
      <alignment horizontal="center"/>
    </xf>
    <xf numFmtId="0" fontId="50" fillId="0" borderId="0" xfId="0" applyNumberFormat="1" applyFont="1"/>
    <xf numFmtId="0" fontId="50" fillId="0" borderId="0" xfId="0" applyFont="1" applyFill="1"/>
    <xf numFmtId="4" fontId="50" fillId="0" borderId="0" xfId="0" applyNumberFormat="1" applyFont="1" applyAlignment="1">
      <alignment horizontal="center"/>
    </xf>
    <xf numFmtId="2" fontId="50" fillId="0" borderId="0" xfId="0" applyNumberFormat="1" applyFont="1"/>
    <xf numFmtId="0" fontId="0" fillId="0" borderId="100" xfId="0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116" xfId="0" applyFont="1" applyBorder="1" applyAlignment="1">
      <alignment horizontal="center"/>
    </xf>
    <xf numFmtId="0" fontId="5" fillId="0" borderId="114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4" fillId="0" borderId="119" xfId="0" applyFont="1" applyBorder="1" applyAlignment="1">
      <alignment horizontal="center"/>
    </xf>
    <xf numFmtId="0" fontId="57" fillId="39" borderId="100" xfId="0" applyFont="1" applyFill="1" applyBorder="1"/>
    <xf numFmtId="0" fontId="57" fillId="39" borderId="100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50" fillId="0" borderId="0" xfId="0" applyFont="1" applyAlignment="1">
      <alignment horizontal="center" vertical="center" wrapText="1"/>
    </xf>
    <xf numFmtId="4" fontId="24" fillId="0" borderId="0" xfId="0" applyNumberFormat="1" applyFont="1" applyAlignment="1">
      <alignment horizontal="center"/>
    </xf>
    <xf numFmtId="4" fontId="57" fillId="39" borderId="100" xfId="0" applyNumberFormat="1" applyFont="1" applyFill="1" applyBorder="1"/>
    <xf numFmtId="4" fontId="47" fillId="0" borderId="0" xfId="0" applyNumberFormat="1" applyFont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4" fontId="24" fillId="0" borderId="0" xfId="0" applyNumberFormat="1" applyFont="1" applyBorder="1" applyAlignment="1"/>
    <xf numFmtId="3" fontId="0" fillId="33" borderId="48" xfId="0" applyNumberFormat="1" applyFill="1" applyBorder="1"/>
    <xf numFmtId="0" fontId="0" fillId="0" borderId="117" xfId="0" applyBorder="1" applyAlignment="1">
      <alignment horizontal="center"/>
    </xf>
    <xf numFmtId="0" fontId="0" fillId="0" borderId="78" xfId="0" applyBorder="1" applyAlignment="1">
      <alignment horizontal="center"/>
    </xf>
    <xf numFmtId="15" fontId="0" fillId="0" borderId="78" xfId="0" applyNumberFormat="1" applyBorder="1"/>
    <xf numFmtId="4" fontId="0" fillId="0" borderId="78" xfId="0" applyNumberFormat="1" applyBorder="1" applyAlignment="1"/>
    <xf numFmtId="169" fontId="0" fillId="0" borderId="78" xfId="0" applyNumberFormat="1" applyBorder="1"/>
    <xf numFmtId="0" fontId="0" fillId="0" borderId="78" xfId="0" applyBorder="1"/>
    <xf numFmtId="4" fontId="0" fillId="0" borderId="110" xfId="0" applyNumberFormat="1" applyBorder="1"/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15" fontId="0" fillId="0" borderId="119" xfId="0" applyNumberFormat="1" applyBorder="1"/>
    <xf numFmtId="4" fontId="0" fillId="0" borderId="119" xfId="0" applyNumberFormat="1" applyBorder="1" applyAlignment="1"/>
    <xf numFmtId="3" fontId="0" fillId="0" borderId="119" xfId="0" applyNumberFormat="1" applyBorder="1"/>
    <xf numFmtId="0" fontId="0" fillId="0" borderId="119" xfId="0" applyBorder="1"/>
    <xf numFmtId="4" fontId="0" fillId="0" borderId="120" xfId="0" applyNumberFormat="1" applyBorder="1"/>
    <xf numFmtId="0" fontId="0" fillId="0" borderId="72" xfId="0" applyBorder="1"/>
    <xf numFmtId="0" fontId="0" fillId="33" borderId="72" xfId="0" applyFill="1" applyBorder="1"/>
    <xf numFmtId="4" fontId="0" fillId="0" borderId="118" xfId="0" applyNumberFormat="1" applyBorder="1"/>
    <xf numFmtId="0" fontId="54" fillId="33" borderId="55" xfId="0" applyFont="1" applyFill="1" applyBorder="1" applyAlignment="1">
      <alignment horizontal="center"/>
    </xf>
    <xf numFmtId="0" fontId="54" fillId="33" borderId="48" xfId="0" applyFont="1" applyFill="1" applyBorder="1" applyAlignment="1">
      <alignment horizontal="center"/>
    </xf>
    <xf numFmtId="15" fontId="54" fillId="33" borderId="48" xfId="0" applyNumberFormat="1" applyFont="1" applyFill="1" applyBorder="1"/>
    <xf numFmtId="4" fontId="54" fillId="33" borderId="48" xfId="0" applyNumberFormat="1" applyFont="1" applyFill="1" applyBorder="1" applyAlignment="1"/>
    <xf numFmtId="3" fontId="54" fillId="33" borderId="48" xfId="0" applyNumberFormat="1" applyFont="1" applyFill="1" applyBorder="1"/>
    <xf numFmtId="4" fontId="54" fillId="33" borderId="49" xfId="0" applyNumberFormat="1" applyFont="1" applyFill="1" applyBorder="1"/>
    <xf numFmtId="0" fontId="4" fillId="33" borderId="72" xfId="0" applyFont="1" applyFill="1" applyBorder="1"/>
    <xf numFmtId="0" fontId="0" fillId="0" borderId="72" xfId="0" applyFill="1" applyBorder="1"/>
    <xf numFmtId="0" fontId="54" fillId="0" borderId="55" xfId="0" applyFont="1" applyFill="1" applyBorder="1" applyAlignment="1">
      <alignment horizontal="center"/>
    </xf>
    <xf numFmtId="0" fontId="54" fillId="0" borderId="48" xfId="0" applyFont="1" applyFill="1" applyBorder="1" applyAlignment="1">
      <alignment horizontal="center"/>
    </xf>
    <xf numFmtId="15" fontId="54" fillId="0" borderId="48" xfId="0" applyNumberFormat="1" applyFont="1" applyFill="1" applyBorder="1"/>
    <xf numFmtId="4" fontId="54" fillId="0" borderId="48" xfId="0" applyNumberFormat="1" applyFont="1" applyFill="1" applyBorder="1" applyAlignment="1"/>
    <xf numFmtId="3" fontId="54" fillId="0" borderId="48" xfId="0" applyNumberFormat="1" applyFont="1" applyFill="1" applyBorder="1"/>
    <xf numFmtId="4" fontId="54" fillId="0" borderId="49" xfId="0" applyNumberFormat="1" applyFont="1" applyFill="1" applyBorder="1"/>
    <xf numFmtId="4" fontId="0" fillId="0" borderId="118" xfId="0" applyNumberFormat="1" applyFill="1" applyBorder="1"/>
    <xf numFmtId="0" fontId="0" fillId="0" borderId="55" xfId="0" applyFill="1" applyBorder="1" applyAlignment="1">
      <alignment horizontal="center"/>
    </xf>
    <xf numFmtId="4" fontId="0" fillId="0" borderId="55" xfId="0" applyNumberFormat="1" applyFill="1" applyBorder="1"/>
    <xf numFmtId="0" fontId="24" fillId="0" borderId="0" xfId="0" applyFont="1" applyBorder="1"/>
    <xf numFmtId="0" fontId="0" fillId="33" borderId="0" xfId="0" applyFill="1" applyBorder="1"/>
    <xf numFmtId="4" fontId="0" fillId="0" borderId="121" xfId="0" applyNumberFormat="1" applyBorder="1"/>
    <xf numFmtId="4" fontId="0" fillId="0" borderId="99" xfId="0" applyNumberFormat="1" applyBorder="1"/>
    <xf numFmtId="4" fontId="0" fillId="0" borderId="35" xfId="0" applyNumberFormat="1" applyBorder="1"/>
    <xf numFmtId="0" fontId="0" fillId="0" borderId="35" xfId="0" applyBorder="1"/>
    <xf numFmtId="4" fontId="0" fillId="0" borderId="35" xfId="0" applyNumberFormat="1" applyFill="1" applyBorder="1"/>
    <xf numFmtId="4" fontId="0" fillId="0" borderId="36" xfId="0" applyNumberFormat="1" applyBorder="1"/>
    <xf numFmtId="0" fontId="0" fillId="0" borderId="122" xfId="0" applyBorder="1"/>
    <xf numFmtId="0" fontId="0" fillId="0" borderId="122" xfId="0" applyBorder="1" applyAlignment="1">
      <alignment horizontal="center"/>
    </xf>
    <xf numFmtId="15" fontId="0" fillId="0" borderId="122" xfId="0" applyNumberFormat="1" applyBorder="1"/>
    <xf numFmtId="4" fontId="0" fillId="0" borderId="122" xfId="0" applyNumberFormat="1" applyBorder="1" applyAlignment="1"/>
    <xf numFmtId="3" fontId="0" fillId="0" borderId="122" xfId="0" applyNumberFormat="1" applyBorder="1"/>
    <xf numFmtId="4" fontId="0" fillId="0" borderId="122" xfId="0" applyNumberFormat="1" applyBorder="1"/>
    <xf numFmtId="0" fontId="24" fillId="0" borderId="65" xfId="0" applyFont="1" applyBorder="1"/>
    <xf numFmtId="0" fontId="24" fillId="0" borderId="65" xfId="0" applyFont="1" applyBorder="1" applyAlignment="1">
      <alignment horizontal="center"/>
    </xf>
    <xf numFmtId="0" fontId="0" fillId="39" borderId="9" xfId="0" applyFill="1" applyBorder="1"/>
    <xf numFmtId="0" fontId="0" fillId="39" borderId="2" xfId="0" applyFill="1" applyBorder="1"/>
    <xf numFmtId="4" fontId="0" fillId="39" borderId="2" xfId="0" applyNumberFormat="1" applyFill="1" applyBorder="1"/>
    <xf numFmtId="4" fontId="0" fillId="39" borderId="3" xfId="0" applyNumberFormat="1" applyFill="1" applyBorder="1"/>
    <xf numFmtId="0" fontId="24" fillId="33" borderId="9" xfId="0" applyFont="1" applyFill="1" applyBorder="1" applyAlignment="1">
      <alignment vertical="top"/>
    </xf>
    <xf numFmtId="4" fontId="43" fillId="0" borderId="8" xfId="0" applyNumberFormat="1" applyFont="1" applyBorder="1"/>
    <xf numFmtId="1" fontId="0" fillId="0" borderId="0" xfId="0" applyNumberFormat="1"/>
    <xf numFmtId="1" fontId="24" fillId="36" borderId="2" xfId="0" applyNumberFormat="1" applyFont="1" applyFill="1" applyBorder="1" applyAlignment="1">
      <alignment horizontal="center"/>
    </xf>
    <xf numFmtId="1" fontId="47" fillId="0" borderId="68" xfId="0" applyNumberFormat="1" applyFont="1" applyBorder="1" applyAlignment="1">
      <alignment horizontal="center" vertical="center" wrapText="1"/>
    </xf>
    <xf numFmtId="1" fontId="47" fillId="0" borderId="2" xfId="0" applyNumberFormat="1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4" fillId="0" borderId="63" xfId="0" applyNumberFormat="1" applyFont="1" applyBorder="1" applyAlignment="1">
      <alignment horizontal="center"/>
    </xf>
    <xf numFmtId="1" fontId="4" fillId="0" borderId="48" xfId="0" applyNumberFormat="1" applyFont="1" applyBorder="1" applyAlignment="1">
      <alignment horizontal="center"/>
    </xf>
    <xf numFmtId="1" fontId="5" fillId="0" borderId="5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4" fillId="0" borderId="119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5" fillId="0" borderId="114" xfId="0" applyNumberFormat="1" applyFont="1" applyBorder="1" applyAlignment="1">
      <alignment horizontal="center"/>
    </xf>
    <xf numFmtId="1" fontId="0" fillId="0" borderId="100" xfId="0" applyNumberFormat="1" applyBorder="1" applyAlignment="1">
      <alignment horizontal="center"/>
    </xf>
    <xf numFmtId="1" fontId="57" fillId="39" borderId="100" xfId="0" applyNumberFormat="1" applyFont="1" applyFill="1" applyBorder="1" applyAlignment="1">
      <alignment horizontal="center"/>
    </xf>
    <xf numFmtId="1" fontId="5" fillId="0" borderId="63" xfId="0" applyNumberFormat="1" applyFon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25" fillId="0" borderId="13" xfId="0" applyNumberFormat="1" applyFont="1" applyBorder="1" applyAlignment="1">
      <alignment horizontal="center" vertical="center" wrapText="1"/>
    </xf>
    <xf numFmtId="1" fontId="0" fillId="0" borderId="53" xfId="0" applyNumberFormat="1" applyFill="1" applyBorder="1" applyAlignment="1">
      <alignment horizontal="center"/>
    </xf>
    <xf numFmtId="1" fontId="0" fillId="0" borderId="48" xfId="0" applyNumberFormat="1" applyFill="1" applyBorder="1" applyAlignment="1">
      <alignment horizontal="center"/>
    </xf>
    <xf numFmtId="1" fontId="0" fillId="33" borderId="50" xfId="0" applyNumberFormat="1" applyFill="1" applyBorder="1" applyAlignment="1">
      <alignment horizontal="center"/>
    </xf>
    <xf numFmtId="1" fontId="0" fillId="37" borderId="48" xfId="0" applyNumberFormat="1" applyFill="1" applyBorder="1" applyAlignment="1">
      <alignment horizontal="center"/>
    </xf>
    <xf numFmtId="1" fontId="0" fillId="0" borderId="75" xfId="0" applyNumberFormat="1" applyFill="1" applyBorder="1" applyAlignment="1">
      <alignment horizontal="center"/>
    </xf>
    <xf numFmtId="1" fontId="0" fillId="0" borderId="50" xfId="0" applyNumberFormat="1" applyFill="1" applyBorder="1" applyAlignment="1">
      <alignment horizontal="center"/>
    </xf>
    <xf numFmtId="1" fontId="0" fillId="0" borderId="63" xfId="0" applyNumberFormat="1" applyFill="1" applyBorder="1" applyAlignment="1">
      <alignment horizontal="center"/>
    </xf>
    <xf numFmtId="1" fontId="0" fillId="0" borderId="50" xfId="0" applyNumberForma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0" fillId="0" borderId="105" xfId="0" applyNumberFormat="1" applyBorder="1" applyAlignment="1">
      <alignment horizontal="center"/>
    </xf>
    <xf numFmtId="170" fontId="47" fillId="0" borderId="68" xfId="0" applyNumberFormat="1" applyFont="1" applyBorder="1" applyAlignment="1">
      <alignment horizontal="center" vertical="center" wrapText="1"/>
    </xf>
    <xf numFmtId="170" fontId="24" fillId="0" borderId="0" xfId="0" applyNumberFormat="1" applyFont="1" applyAlignment="1">
      <alignment horizontal="center"/>
    </xf>
    <xf numFmtId="170" fontId="25" fillId="0" borderId="13" xfId="0" applyNumberFormat="1" applyFont="1" applyBorder="1" applyAlignment="1">
      <alignment horizontal="center" vertical="center" wrapText="1"/>
    </xf>
    <xf numFmtId="4" fontId="52" fillId="0" borderId="66" xfId="0" applyNumberFormat="1" applyFont="1" applyBorder="1" applyAlignment="1">
      <alignment horizontal="center"/>
    </xf>
    <xf numFmtId="4" fontId="52" fillId="0" borderId="0" xfId="0" applyNumberFormat="1" applyFont="1" applyBorder="1" applyAlignment="1">
      <alignment horizontal="center"/>
    </xf>
    <xf numFmtId="4" fontId="47" fillId="0" borderId="0" xfId="0" applyNumberFormat="1" applyFont="1" applyBorder="1" applyAlignment="1">
      <alignment horizontal="center" vertical="center" wrapText="1"/>
    </xf>
    <xf numFmtId="4" fontId="47" fillId="0" borderId="10" xfId="0" applyNumberFormat="1" applyFont="1" applyBorder="1" applyAlignment="1">
      <alignment horizontal="center" vertical="center" wrapText="1"/>
    </xf>
    <xf numFmtId="4" fontId="47" fillId="0" borderId="46" xfId="0" applyNumberFormat="1" applyFont="1" applyBorder="1" applyAlignment="1">
      <alignment horizontal="center" vertical="center" wrapText="1"/>
    </xf>
    <xf numFmtId="4" fontId="0" fillId="0" borderId="117" xfId="0" applyNumberFormat="1" applyFill="1" applyBorder="1"/>
    <xf numFmtId="4" fontId="0" fillId="0" borderId="110" xfId="0" applyNumberFormat="1" applyFill="1" applyBorder="1"/>
    <xf numFmtId="4" fontId="0" fillId="0" borderId="53" xfId="0" applyNumberFormat="1" applyFill="1" applyBorder="1" applyAlignment="1">
      <alignment horizontal="center"/>
    </xf>
    <xf numFmtId="4" fontId="0" fillId="0" borderId="48" xfId="0" applyNumberFormat="1" applyFill="1" applyBorder="1" applyAlignment="1">
      <alignment horizontal="center"/>
    </xf>
    <xf numFmtId="4" fontId="0" fillId="0" borderId="119" xfId="0" applyNumberFormat="1" applyFill="1" applyBorder="1" applyAlignment="1">
      <alignment horizontal="center"/>
    </xf>
    <xf numFmtId="4" fontId="4" fillId="0" borderId="48" xfId="0" applyNumberFormat="1" applyFont="1" applyFill="1" applyBorder="1" applyAlignment="1">
      <alignment horizontal="center"/>
    </xf>
    <xf numFmtId="4" fontId="24" fillId="0" borderId="2" xfId="0" applyNumberFormat="1" applyFont="1" applyBorder="1" applyAlignment="1"/>
    <xf numFmtId="4" fontId="24" fillId="0" borderId="0" xfId="0" applyNumberFormat="1" applyFont="1" applyBorder="1" applyAlignment="1">
      <alignment horizontal="left" vertical="center" wrapText="1"/>
    </xf>
    <xf numFmtId="4" fontId="0" fillId="0" borderId="86" xfId="0" applyNumberFormat="1" applyFill="1" applyBorder="1"/>
    <xf numFmtId="4" fontId="0" fillId="0" borderId="87" xfId="0" applyNumberFormat="1" applyFill="1" applyBorder="1" applyAlignment="1">
      <alignment horizontal="center"/>
    </xf>
    <xf numFmtId="4" fontId="0" fillId="0" borderId="88" xfId="0" applyNumberFormat="1" applyFill="1" applyBorder="1" applyAlignment="1">
      <alignment horizontal="center"/>
    </xf>
    <xf numFmtId="4" fontId="0" fillId="0" borderId="104" xfId="0" applyNumberFormat="1" applyFill="1" applyBorder="1"/>
    <xf numFmtId="4" fontId="47" fillId="0" borderId="47" xfId="0" applyNumberFormat="1" applyFont="1" applyBorder="1" applyAlignment="1">
      <alignment horizontal="center" vertical="center" wrapText="1"/>
    </xf>
    <xf numFmtId="4" fontId="43" fillId="0" borderId="88" xfId="0" applyNumberFormat="1" applyFont="1" applyBorder="1" applyAlignment="1">
      <alignment horizontal="center"/>
    </xf>
    <xf numFmtId="170" fontId="24" fillId="36" borderId="2" xfId="0" applyNumberFormat="1" applyFont="1" applyFill="1" applyBorder="1" applyAlignment="1">
      <alignment horizontal="center"/>
    </xf>
    <xf numFmtId="170" fontId="47" fillId="0" borderId="2" xfId="0" applyNumberFormat="1" applyFont="1" applyBorder="1" applyAlignment="1">
      <alignment horizontal="center"/>
    </xf>
    <xf numFmtId="170" fontId="5" fillId="0" borderId="53" xfId="0" applyNumberFormat="1" applyFont="1" applyBorder="1" applyAlignment="1">
      <alignment horizontal="center"/>
    </xf>
    <xf numFmtId="170" fontId="4" fillId="0" borderId="63" xfId="0" applyNumberFormat="1" applyFont="1" applyBorder="1" applyAlignment="1">
      <alignment horizontal="center"/>
    </xf>
    <xf numFmtId="170" fontId="4" fillId="0" borderId="48" xfId="0" applyNumberFormat="1" applyFont="1" applyBorder="1" applyAlignment="1">
      <alignment horizontal="center"/>
    </xf>
    <xf numFmtId="170" fontId="5" fillId="0" borderId="50" xfId="0" applyNumberFormat="1" applyFont="1" applyBorder="1" applyAlignment="1">
      <alignment horizontal="center"/>
    </xf>
    <xf numFmtId="170" fontId="4" fillId="0" borderId="119" xfId="0" applyNumberFormat="1" applyFont="1" applyBorder="1" applyAlignment="1">
      <alignment horizontal="center"/>
    </xf>
    <xf numFmtId="170" fontId="0" fillId="0" borderId="48" xfId="0" applyNumberFormat="1" applyBorder="1" applyAlignment="1">
      <alignment horizontal="center"/>
    </xf>
    <xf numFmtId="170" fontId="5" fillId="0" borderId="114" xfId="0" applyNumberFormat="1" applyFont="1" applyBorder="1" applyAlignment="1">
      <alignment horizontal="center"/>
    </xf>
    <xf numFmtId="170" fontId="4" fillId="0" borderId="53" xfId="0" applyNumberFormat="1" applyFont="1" applyBorder="1" applyAlignment="1">
      <alignment horizontal="center"/>
    </xf>
    <xf numFmtId="170" fontId="4" fillId="0" borderId="50" xfId="0" applyNumberFormat="1" applyFont="1" applyBorder="1" applyAlignment="1">
      <alignment horizontal="center"/>
    </xf>
    <xf numFmtId="170" fontId="4" fillId="0" borderId="0" xfId="0" applyNumberFormat="1" applyFont="1" applyBorder="1" applyAlignment="1">
      <alignment horizontal="center"/>
    </xf>
    <xf numFmtId="170" fontId="0" fillId="0" borderId="100" xfId="0" applyNumberFormat="1" applyBorder="1" applyAlignment="1">
      <alignment horizontal="center"/>
    </xf>
    <xf numFmtId="170" fontId="57" fillId="39" borderId="100" xfId="0" applyNumberFormat="1" applyFont="1" applyFill="1" applyBorder="1" applyAlignment="1">
      <alignment horizontal="center"/>
    </xf>
    <xf numFmtId="170" fontId="5" fillId="0" borderId="63" xfId="0" applyNumberFormat="1" applyFont="1" applyBorder="1" applyAlignment="1">
      <alignment horizontal="center"/>
    </xf>
    <xf numFmtId="170" fontId="0" fillId="0" borderId="50" xfId="0" applyNumberFormat="1" applyBorder="1" applyAlignment="1">
      <alignment horizontal="center"/>
    </xf>
    <xf numFmtId="170" fontId="0" fillId="0" borderId="53" xfId="0" applyNumberFormat="1" applyFill="1" applyBorder="1" applyAlignment="1">
      <alignment horizontal="center"/>
    </xf>
    <xf numFmtId="170" fontId="0" fillId="0" borderId="48" xfId="0" applyNumberFormat="1" applyFill="1" applyBorder="1" applyAlignment="1">
      <alignment horizontal="center"/>
    </xf>
    <xf numFmtId="170" fontId="0" fillId="33" borderId="50" xfId="0" applyNumberFormat="1" applyFill="1" applyBorder="1" applyAlignment="1">
      <alignment horizontal="center"/>
    </xf>
    <xf numFmtId="170" fontId="0" fillId="37" borderId="48" xfId="0" applyNumberFormat="1" applyFill="1" applyBorder="1" applyAlignment="1">
      <alignment horizontal="center"/>
    </xf>
    <xf numFmtId="170" fontId="0" fillId="0" borderId="75" xfId="0" applyNumberFormat="1" applyFill="1" applyBorder="1" applyAlignment="1">
      <alignment horizontal="center"/>
    </xf>
    <xf numFmtId="170" fontId="0" fillId="0" borderId="50" xfId="0" applyNumberFormat="1" applyFill="1" applyBorder="1" applyAlignment="1">
      <alignment horizontal="center"/>
    </xf>
    <xf numFmtId="170" fontId="0" fillId="0" borderId="63" xfId="0" applyNumberFormat="1" applyFill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70" fontId="0" fillId="0" borderId="105" xfId="0" applyNumberFormat="1" applyBorder="1" applyAlignment="1">
      <alignment horizontal="center"/>
    </xf>
    <xf numFmtId="4" fontId="24" fillId="36" borderId="2" xfId="0" applyNumberFormat="1" applyFont="1" applyFill="1" applyBorder="1" applyAlignment="1">
      <alignment horizontal="center"/>
    </xf>
    <xf numFmtId="4" fontId="47" fillId="0" borderId="2" xfId="0" applyNumberFormat="1" applyFont="1" applyBorder="1" applyAlignment="1">
      <alignment horizontal="center"/>
    </xf>
    <xf numFmtId="1" fontId="47" fillId="0" borderId="3" xfId="0" applyNumberFormat="1" applyFont="1" applyBorder="1" applyAlignment="1">
      <alignment horizontal="center"/>
    </xf>
    <xf numFmtId="4" fontId="5" fillId="0" borderId="53" xfId="0" applyNumberFormat="1" applyFont="1" applyBorder="1" applyAlignment="1">
      <alignment horizontal="center"/>
    </xf>
    <xf numFmtId="4" fontId="5" fillId="0" borderId="50" xfId="0" applyNumberFormat="1" applyFont="1" applyBorder="1" applyAlignment="1">
      <alignment horizontal="center"/>
    </xf>
    <xf numFmtId="4" fontId="4" fillId="0" borderId="119" xfId="0" applyNumberFormat="1" applyFont="1" applyBorder="1" applyAlignment="1">
      <alignment horizontal="center"/>
    </xf>
    <xf numFmtId="4" fontId="5" fillId="0" borderId="114" xfId="0" applyNumberFormat="1" applyFont="1" applyBorder="1" applyAlignment="1">
      <alignment horizontal="center"/>
    </xf>
    <xf numFmtId="4" fontId="4" fillId="0" borderId="50" xfId="0" applyNumberFormat="1" applyFont="1" applyFill="1" applyBorder="1" applyAlignment="1">
      <alignment horizontal="center"/>
    </xf>
    <xf numFmtId="4" fontId="0" fillId="0" borderId="100" xfId="0" applyNumberFormat="1" applyBorder="1" applyAlignment="1">
      <alignment horizontal="center"/>
    </xf>
    <xf numFmtId="4" fontId="57" fillId="39" borderId="100" xfId="0" applyNumberFormat="1" applyFont="1" applyFill="1" applyBorder="1" applyAlignment="1">
      <alignment horizontal="center"/>
    </xf>
    <xf numFmtId="4" fontId="5" fillId="0" borderId="63" xfId="0" applyNumberFormat="1" applyFont="1" applyBorder="1" applyAlignment="1">
      <alignment horizontal="center"/>
    </xf>
    <xf numFmtId="4" fontId="0" fillId="33" borderId="50" xfId="0" applyNumberFormat="1" applyFill="1" applyBorder="1" applyAlignment="1">
      <alignment horizontal="center"/>
    </xf>
    <xf numFmtId="4" fontId="0" fillId="37" borderId="48" xfId="0" applyNumberFormat="1" applyFill="1" applyBorder="1" applyAlignment="1">
      <alignment horizontal="center"/>
    </xf>
    <xf numFmtId="4" fontId="0" fillId="0" borderId="75" xfId="0" applyNumberFormat="1" applyFill="1" applyBorder="1" applyAlignment="1">
      <alignment horizontal="center"/>
    </xf>
    <xf numFmtId="4" fontId="0" fillId="0" borderId="50" xfId="0" applyNumberFormat="1" applyFill="1" applyBorder="1" applyAlignment="1">
      <alignment horizontal="center"/>
    </xf>
    <xf numFmtId="4" fontId="0" fillId="0" borderId="105" xfId="0" applyNumberFormat="1" applyBorder="1" applyAlignment="1">
      <alignment horizontal="center"/>
    </xf>
    <xf numFmtId="4" fontId="24" fillId="36" borderId="3" xfId="0" applyNumberFormat="1" applyFont="1" applyFill="1" applyBorder="1" applyAlignment="1">
      <alignment horizontal="center"/>
    </xf>
    <xf numFmtId="4" fontId="5" fillId="0" borderId="54" xfId="0" applyNumberFormat="1" applyFont="1" applyBorder="1" applyAlignment="1">
      <alignment horizontal="center"/>
    </xf>
    <xf numFmtId="4" fontId="4" fillId="0" borderId="49" xfId="0" applyNumberFormat="1" applyFont="1" applyBorder="1" applyAlignment="1">
      <alignment horizontal="center"/>
    </xf>
    <xf numFmtId="4" fontId="5" fillId="0" borderId="51" xfId="0" applyNumberFormat="1" applyFont="1" applyBorder="1" applyAlignment="1">
      <alignment horizontal="center"/>
    </xf>
    <xf numFmtId="4" fontId="4" fillId="0" borderId="120" xfId="0" applyNumberFormat="1" applyFont="1" applyBorder="1" applyAlignment="1">
      <alignment horizontal="center"/>
    </xf>
    <xf numFmtId="4" fontId="4" fillId="0" borderId="73" xfId="0" applyNumberFormat="1" applyFont="1" applyBorder="1" applyAlignment="1">
      <alignment horizontal="center"/>
    </xf>
    <xf numFmtId="4" fontId="4" fillId="0" borderId="54" xfId="0" applyNumberFormat="1" applyFont="1" applyBorder="1" applyAlignment="1">
      <alignment horizontal="center"/>
    </xf>
    <xf numFmtId="4" fontId="4" fillId="0" borderId="51" xfId="0" applyNumberFormat="1" applyFont="1" applyBorder="1" applyAlignment="1">
      <alignment horizontal="center"/>
    </xf>
    <xf numFmtId="4" fontId="5" fillId="0" borderId="49" xfId="0" applyNumberFormat="1" applyFon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33" borderId="51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0" fontId="50" fillId="0" borderId="66" xfId="0" applyFont="1" applyBorder="1" applyAlignment="1">
      <alignment horizontal="center" vertical="center" wrapText="1"/>
    </xf>
    <xf numFmtId="4" fontId="50" fillId="0" borderId="0" xfId="0" applyNumberFormat="1" applyFont="1" applyBorder="1" applyAlignment="1">
      <alignment horizontal="center" vertical="center" wrapText="1"/>
    </xf>
    <xf numFmtId="4" fontId="5" fillId="0" borderId="73" xfId="0" applyNumberFormat="1" applyFont="1" applyBorder="1" applyAlignment="1">
      <alignment horizontal="center"/>
    </xf>
    <xf numFmtId="0" fontId="50" fillId="0" borderId="69" xfId="0" applyFont="1" applyBorder="1" applyAlignment="1">
      <alignment horizontal="center" vertical="center" wrapText="1"/>
    </xf>
    <xf numFmtId="1" fontId="50" fillId="0" borderId="68" xfId="0" applyNumberFormat="1" applyFont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 wrapText="1"/>
    </xf>
    <xf numFmtId="170" fontId="50" fillId="0" borderId="68" xfId="0" applyNumberFormat="1" applyFont="1" applyBorder="1" applyAlignment="1">
      <alignment horizontal="center" vertical="center" wrapText="1"/>
    </xf>
    <xf numFmtId="4" fontId="50" fillId="0" borderId="68" xfId="0" applyNumberFormat="1" applyFont="1" applyBorder="1" applyAlignment="1">
      <alignment horizontal="center" vertical="center" wrapText="1"/>
    </xf>
    <xf numFmtId="4" fontId="50" fillId="0" borderId="67" xfId="0" applyNumberFormat="1" applyFont="1" applyBorder="1" applyAlignment="1">
      <alignment horizontal="center" vertical="center" wrapText="1"/>
    </xf>
    <xf numFmtId="4" fontId="50" fillId="0" borderId="69" xfId="0" applyNumberFormat="1" applyFont="1" applyFill="1" applyBorder="1" applyAlignment="1">
      <alignment horizontal="center" vertical="center"/>
    </xf>
    <xf numFmtId="4" fontId="50" fillId="0" borderId="68" xfId="0" applyNumberFormat="1" applyFont="1" applyFill="1" applyBorder="1" applyAlignment="1">
      <alignment horizontal="center" vertical="center"/>
    </xf>
    <xf numFmtId="4" fontId="50" fillId="0" borderId="67" xfId="0" applyNumberFormat="1" applyFont="1" applyFill="1" applyBorder="1" applyAlignment="1">
      <alignment horizontal="center" vertical="center" wrapText="1"/>
    </xf>
    <xf numFmtId="4" fontId="4" fillId="0" borderId="124" xfId="0" applyNumberFormat="1" applyFont="1" applyBorder="1"/>
    <xf numFmtId="0" fontId="4" fillId="0" borderId="123" xfId="0" applyFont="1" applyBorder="1"/>
    <xf numFmtId="4" fontId="24" fillId="0" borderId="125" xfId="0" applyNumberFormat="1" applyFont="1" applyBorder="1"/>
    <xf numFmtId="4" fontId="24" fillId="0" borderId="126" xfId="0" applyNumberFormat="1" applyFont="1" applyBorder="1"/>
    <xf numFmtId="0" fontId="5" fillId="0" borderId="55" xfId="0" applyFont="1" applyBorder="1"/>
    <xf numFmtId="170" fontId="5" fillId="0" borderId="48" xfId="0" applyNumberFormat="1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0" xfId="0" applyFont="1" applyBorder="1"/>
    <xf numFmtId="0" fontId="5" fillId="0" borderId="56" xfId="0" applyFont="1" applyBorder="1"/>
    <xf numFmtId="170" fontId="5" fillId="0" borderId="50" xfId="0" applyNumberFormat="1" applyFont="1" applyBorder="1"/>
    <xf numFmtId="0" fontId="5" fillId="0" borderId="50" xfId="0" applyFont="1" applyBorder="1"/>
    <xf numFmtId="4" fontId="5" fillId="0" borderId="50" xfId="0" applyNumberFormat="1" applyFont="1" applyBorder="1"/>
    <xf numFmtId="0" fontId="5" fillId="0" borderId="51" xfId="0" applyFont="1" applyBorder="1"/>
    <xf numFmtId="165" fontId="52" fillId="0" borderId="0" xfId="0" applyNumberFormat="1" applyFont="1" applyBorder="1" applyAlignment="1"/>
    <xf numFmtId="165" fontId="5" fillId="0" borderId="48" xfId="0" applyNumberFormat="1" applyFont="1" applyFill="1" applyBorder="1"/>
    <xf numFmtId="165" fontId="25" fillId="0" borderId="0" xfId="0" applyNumberFormat="1" applyFont="1" applyBorder="1" applyAlignment="1">
      <alignment horizontal="center"/>
    </xf>
    <xf numFmtId="165" fontId="5" fillId="0" borderId="29" xfId="0" applyNumberFormat="1" applyFont="1" applyFill="1" applyBorder="1"/>
    <xf numFmtId="165" fontId="4" fillId="0" borderId="0" xfId="0" applyNumberFormat="1" applyFont="1" applyBorder="1" applyAlignment="1">
      <alignment horizontal="center"/>
    </xf>
    <xf numFmtId="1" fontId="4" fillId="0" borderId="48" xfId="0" applyNumberFormat="1" applyFont="1" applyFill="1" applyBorder="1" applyAlignment="1">
      <alignment horizontal="center"/>
    </xf>
    <xf numFmtId="0" fontId="5" fillId="0" borderId="48" xfId="0" applyFont="1" applyFill="1" applyBorder="1"/>
    <xf numFmtId="4" fontId="5" fillId="0" borderId="71" xfId="0" applyNumberFormat="1" applyFont="1" applyFill="1" applyBorder="1"/>
    <xf numFmtId="164" fontId="5" fillId="0" borderId="55" xfId="0" applyNumberFormat="1" applyFont="1" applyFill="1" applyBorder="1"/>
    <xf numFmtId="1" fontId="5" fillId="0" borderId="0" xfId="0" applyNumberFormat="1" applyFont="1" applyFill="1" applyAlignment="1">
      <alignment horizontal="center"/>
    </xf>
    <xf numFmtId="170" fontId="4" fillId="0" borderId="28" xfId="0" applyNumberFormat="1" applyFont="1" applyFill="1" applyBorder="1"/>
    <xf numFmtId="3" fontId="4" fillId="0" borderId="29" xfId="0" applyNumberFormat="1" applyFont="1" applyFill="1" applyBorder="1"/>
    <xf numFmtId="165" fontId="4" fillId="0" borderId="29" xfId="0" applyNumberFormat="1" applyFont="1" applyFill="1" applyBorder="1"/>
    <xf numFmtId="4" fontId="4" fillId="0" borderId="30" xfId="0" applyNumberFormat="1" applyFont="1" applyFill="1" applyBorder="1"/>
    <xf numFmtId="4" fontId="4" fillId="0" borderId="35" xfId="0" applyNumberFormat="1" applyFont="1" applyFill="1" applyBorder="1"/>
    <xf numFmtId="164" fontId="4" fillId="0" borderId="38" xfId="0" applyNumberFormat="1" applyFont="1" applyFill="1" applyBorder="1"/>
    <xf numFmtId="1" fontId="4" fillId="0" borderId="29" xfId="0" applyNumberFormat="1" applyFont="1" applyFill="1" applyBorder="1" applyAlignment="1">
      <alignment horizontal="center"/>
    </xf>
    <xf numFmtId="165" fontId="4" fillId="0" borderId="30" xfId="0" applyNumberFormat="1" applyFont="1" applyFill="1" applyBorder="1"/>
    <xf numFmtId="165" fontId="4" fillId="0" borderId="82" xfId="0" applyNumberFormat="1" applyFont="1" applyFill="1" applyBorder="1"/>
    <xf numFmtId="4" fontId="4" fillId="0" borderId="123" xfId="0" applyNumberFormat="1" applyFont="1" applyFill="1" applyBorder="1"/>
    <xf numFmtId="4" fontId="4" fillId="0" borderId="13" xfId="0" applyNumberFormat="1" applyFont="1" applyBorder="1"/>
    <xf numFmtId="4" fontId="4" fillId="0" borderId="63" xfId="0" applyNumberFormat="1" applyFont="1" applyFill="1" applyBorder="1"/>
    <xf numFmtId="164" fontId="5" fillId="0" borderId="38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65" fontId="5" fillId="0" borderId="30" xfId="0" applyNumberFormat="1" applyFont="1" applyFill="1" applyBorder="1"/>
    <xf numFmtId="0" fontId="4" fillId="0" borderId="75" xfId="0" applyNumberFormat="1" applyFont="1" applyFill="1" applyBorder="1"/>
    <xf numFmtId="170" fontId="4" fillId="0" borderId="127" xfId="0" applyNumberFormat="1" applyFont="1" applyFill="1" applyBorder="1"/>
    <xf numFmtId="3" fontId="4" fillId="0" borderId="128" xfId="0" applyNumberFormat="1" applyFont="1" applyFill="1" applyBorder="1"/>
    <xf numFmtId="165" fontId="4" fillId="0" borderId="128" xfId="0" applyNumberFormat="1" applyFont="1" applyFill="1" applyBorder="1"/>
    <xf numFmtId="4" fontId="4" fillId="0" borderId="129" xfId="0" applyNumberFormat="1" applyFont="1" applyFill="1" applyBorder="1"/>
    <xf numFmtId="4" fontId="4" fillId="0" borderId="130" xfId="0" applyNumberFormat="1" applyFont="1" applyFill="1" applyBorder="1"/>
    <xf numFmtId="4" fontId="4" fillId="0" borderId="122" xfId="0" applyNumberFormat="1" applyFont="1" applyFill="1" applyBorder="1"/>
    <xf numFmtId="4" fontId="4" fillId="0" borderId="8" xfId="0" applyNumberFormat="1" applyFont="1" applyFill="1" applyBorder="1"/>
    <xf numFmtId="170" fontId="4" fillId="0" borderId="66" xfId="0" applyNumberFormat="1" applyFont="1" applyFill="1" applyBorder="1"/>
    <xf numFmtId="3" fontId="4" fillId="0" borderId="0" xfId="0" applyNumberFormat="1" applyFont="1" applyFill="1" applyBorder="1"/>
    <xf numFmtId="0" fontId="4" fillId="0" borderId="130" xfId="0" applyFont="1" applyFill="1" applyBorder="1"/>
    <xf numFmtId="0" fontId="5" fillId="0" borderId="63" xfId="0" applyFont="1" applyFill="1" applyBorder="1"/>
    <xf numFmtId="4" fontId="5" fillId="0" borderId="37" xfId="0" applyNumberFormat="1" applyFont="1" applyFill="1" applyBorder="1"/>
    <xf numFmtId="3" fontId="5" fillId="0" borderId="63" xfId="0" applyNumberFormat="1" applyFont="1" applyFill="1" applyBorder="1"/>
    <xf numFmtId="4" fontId="5" fillId="0" borderId="59" xfId="0" applyNumberFormat="1" applyFont="1" applyFill="1" applyBorder="1"/>
    <xf numFmtId="1" fontId="5" fillId="0" borderId="48" xfId="0" applyNumberFormat="1" applyFont="1" applyFill="1" applyBorder="1" applyAlignment="1">
      <alignment horizontal="center"/>
    </xf>
    <xf numFmtId="3" fontId="5" fillId="0" borderId="48" xfId="0" applyNumberFormat="1" applyFont="1" applyFill="1" applyBorder="1" applyAlignment="1">
      <alignment horizontal="right"/>
    </xf>
    <xf numFmtId="2" fontId="5" fillId="0" borderId="63" xfId="0" applyNumberFormat="1" applyFont="1" applyFill="1" applyBorder="1"/>
    <xf numFmtId="164" fontId="5" fillId="0" borderId="28" xfId="0" applyNumberFormat="1" applyFont="1" applyFill="1" applyBorder="1"/>
    <xf numFmtId="170" fontId="5" fillId="0" borderId="64" xfId="0" applyNumberFormat="1" applyFont="1" applyFill="1" applyBorder="1"/>
    <xf numFmtId="4" fontId="5" fillId="0" borderId="48" xfId="0" applyNumberFormat="1" applyFont="1" applyFill="1" applyBorder="1" applyAlignment="1">
      <alignment horizontal="right"/>
    </xf>
    <xf numFmtId="164" fontId="5" fillId="0" borderId="127" xfId="0" applyNumberFormat="1" applyFont="1" applyFill="1" applyBorder="1"/>
    <xf numFmtId="3" fontId="5" fillId="0" borderId="122" xfId="0" applyNumberFormat="1" applyFont="1" applyFill="1" applyBorder="1" applyAlignment="1">
      <alignment horizontal="right"/>
    </xf>
    <xf numFmtId="0" fontId="5" fillId="0" borderId="128" xfId="0" applyFont="1" applyFill="1" applyBorder="1"/>
    <xf numFmtId="164" fontId="4" fillId="0" borderId="131" xfId="0" applyNumberFormat="1" applyFont="1" applyFill="1" applyBorder="1"/>
    <xf numFmtId="1" fontId="4" fillId="0" borderId="128" xfId="0" applyNumberFormat="1" applyFont="1" applyFill="1" applyBorder="1" applyAlignment="1">
      <alignment horizontal="center"/>
    </xf>
    <xf numFmtId="165" fontId="4" fillId="0" borderId="129" xfId="0" applyNumberFormat="1" applyFont="1" applyFill="1" applyBorder="1"/>
    <xf numFmtId="0" fontId="47" fillId="0" borderId="78" xfId="0" applyFont="1" applyBorder="1"/>
    <xf numFmtId="4" fontId="0" fillId="0" borderId="119" xfId="0" applyNumberFormat="1" applyBorder="1"/>
    <xf numFmtId="0" fontId="0" fillId="0" borderId="84" xfId="0" applyBorder="1"/>
    <xf numFmtId="0" fontId="25" fillId="0" borderId="0" xfId="0" applyFont="1" applyAlignment="1">
      <alignment horizontal="center"/>
    </xf>
    <xf numFmtId="0" fontId="47" fillId="0" borderId="103" xfId="0" applyFont="1" applyBorder="1"/>
    <xf numFmtId="0" fontId="50" fillId="0" borderId="86" xfId="0" applyFont="1" applyBorder="1" applyAlignment="1">
      <alignment horizontal="center" vertical="center" wrapText="1"/>
    </xf>
    <xf numFmtId="0" fontId="50" fillId="0" borderId="87" xfId="0" applyFont="1" applyBorder="1" applyAlignment="1">
      <alignment horizontal="center" vertical="center"/>
    </xf>
    <xf numFmtId="0" fontId="50" fillId="0" borderId="88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87" xfId="0" applyFont="1" applyBorder="1" applyAlignment="1">
      <alignment horizontal="center" vertical="center" wrapText="1"/>
    </xf>
    <xf numFmtId="170" fontId="0" fillId="0" borderId="72" xfId="0" applyNumberFormat="1" applyBorder="1"/>
    <xf numFmtId="4" fontId="0" fillId="0" borderId="72" xfId="0" applyNumberFormat="1" applyBorder="1"/>
    <xf numFmtId="0" fontId="4" fillId="0" borderId="72" xfId="0" applyFont="1" applyBorder="1"/>
    <xf numFmtId="4" fontId="0" fillId="0" borderId="65" xfId="0" applyNumberFormat="1" applyBorder="1" applyAlignment="1">
      <alignment horizontal="center"/>
    </xf>
    <xf numFmtId="4" fontId="0" fillId="0" borderId="78" xfId="0" applyNumberFormat="1" applyBorder="1" applyAlignment="1">
      <alignment horizontal="center"/>
    </xf>
    <xf numFmtId="4" fontId="0" fillId="0" borderId="103" xfId="0" applyNumberFormat="1" applyBorder="1" applyAlignment="1">
      <alignment horizontal="center"/>
    </xf>
    <xf numFmtId="0" fontId="43" fillId="0" borderId="0" xfId="0" applyFont="1" applyBorder="1"/>
    <xf numFmtId="4" fontId="43" fillId="0" borderId="0" xfId="0" applyNumberFormat="1" applyFont="1" applyBorder="1"/>
    <xf numFmtId="4" fontId="4" fillId="0" borderId="78" xfId="0" applyNumberFormat="1" applyFont="1" applyBorder="1"/>
    <xf numFmtId="4" fontId="4" fillId="0" borderId="110" xfId="0" applyNumberFormat="1" applyFont="1" applyBorder="1"/>
    <xf numFmtId="169" fontId="4" fillId="0" borderId="63" xfId="0" applyNumberFormat="1" applyFont="1" applyFill="1" applyBorder="1" applyAlignment="1">
      <alignment horizontal="right"/>
    </xf>
    <xf numFmtId="0" fontId="47" fillId="0" borderId="0" xfId="0" applyFont="1" applyAlignment="1">
      <alignment horizontal="center" vertical="center" wrapText="1"/>
    </xf>
    <xf numFmtId="4" fontId="47" fillId="0" borderId="0" xfId="0" applyNumberFormat="1" applyFont="1" applyAlignment="1">
      <alignment horizontal="center"/>
    </xf>
    <xf numFmtId="4" fontId="4" fillId="33" borderId="71" xfId="0" applyNumberFormat="1" applyFont="1" applyFill="1" applyBorder="1"/>
    <xf numFmtId="4" fontId="50" fillId="0" borderId="0" xfId="0" applyNumberFormat="1" applyFont="1" applyFill="1"/>
    <xf numFmtId="4" fontId="44" fillId="0" borderId="0" xfId="0" applyNumberFormat="1" applyFont="1" applyFill="1"/>
    <xf numFmtId="4" fontId="4" fillId="0" borderId="129" xfId="0" applyNumberFormat="1" applyFont="1" applyBorder="1"/>
    <xf numFmtId="4" fontId="4" fillId="0" borderId="130" xfId="0" applyNumberFormat="1" applyFont="1" applyBorder="1"/>
    <xf numFmtId="4" fontId="4" fillId="0" borderId="133" xfId="0" applyNumberFormat="1" applyFont="1" applyBorder="1"/>
    <xf numFmtId="4" fontId="4" fillId="0" borderId="134" xfId="0" applyNumberFormat="1" applyFont="1" applyBorder="1"/>
    <xf numFmtId="4" fontId="4" fillId="0" borderId="0" xfId="0" applyNumberFormat="1" applyFont="1" applyBorder="1" applyAlignment="1"/>
    <xf numFmtId="4" fontId="5" fillId="0" borderId="0" xfId="0" applyNumberFormat="1" applyFont="1" applyBorder="1" applyAlignment="1"/>
    <xf numFmtId="4" fontId="4" fillId="0" borderId="75" xfId="0" applyNumberFormat="1" applyFont="1" applyBorder="1"/>
    <xf numFmtId="4" fontId="4" fillId="0" borderId="76" xfId="0" applyNumberFormat="1" applyFont="1" applyBorder="1"/>
    <xf numFmtId="165" fontId="4" fillId="0" borderId="0" xfId="0" applyNumberFormat="1" applyFont="1" applyFill="1" applyBorder="1"/>
    <xf numFmtId="4" fontId="44" fillId="0" borderId="0" xfId="0" applyNumberFormat="1" applyFont="1" applyFill="1" applyBorder="1"/>
    <xf numFmtId="4" fontId="49" fillId="0" borderId="0" xfId="0" applyNumberFormat="1" applyFont="1" applyBorder="1" applyAlignment="1"/>
    <xf numFmtId="4" fontId="50" fillId="0" borderId="0" xfId="0" applyNumberFormat="1" applyFont="1" applyBorder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7" fillId="0" borderId="0" xfId="0" applyFont="1" applyBorder="1" applyAlignment="1">
      <alignment horizontal="center"/>
    </xf>
    <xf numFmtId="1" fontId="47" fillId="0" borderId="0" xfId="0" applyNumberFormat="1" applyFont="1" applyBorder="1" applyAlignment="1">
      <alignment horizontal="center"/>
    </xf>
    <xf numFmtId="170" fontId="47" fillId="0" borderId="0" xfId="0" applyNumberFormat="1" applyFont="1" applyBorder="1" applyAlignment="1">
      <alignment horizontal="center"/>
    </xf>
    <xf numFmtId="4" fontId="47" fillId="0" borderId="0" xfId="0" applyNumberFormat="1" applyFon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70" fontId="0" fillId="0" borderId="63" xfId="0" applyNumberFormat="1" applyBorder="1" applyAlignment="1">
      <alignment horizontal="center"/>
    </xf>
    <xf numFmtId="4" fontId="0" fillId="0" borderId="73" xfId="0" applyNumberFormat="1" applyBorder="1" applyAlignment="1">
      <alignment horizontal="center"/>
    </xf>
    <xf numFmtId="0" fontId="0" fillId="0" borderId="89" xfId="0" applyBorder="1"/>
    <xf numFmtId="1" fontId="0" fillId="0" borderId="90" xfId="0" applyNumberFormat="1" applyBorder="1" applyAlignment="1">
      <alignment horizontal="center"/>
    </xf>
    <xf numFmtId="170" fontId="0" fillId="0" borderId="90" xfId="0" applyNumberFormat="1" applyBorder="1" applyAlignment="1">
      <alignment horizontal="center"/>
    </xf>
    <xf numFmtId="4" fontId="0" fillId="0" borderId="90" xfId="0" applyNumberFormat="1" applyBorder="1" applyAlignment="1">
      <alignment horizontal="center"/>
    </xf>
    <xf numFmtId="4" fontId="0" fillId="0" borderId="91" xfId="0" applyNumberFormat="1" applyBorder="1" applyAlignment="1">
      <alignment horizontal="center"/>
    </xf>
    <xf numFmtId="1" fontId="43" fillId="0" borderId="82" xfId="0" applyNumberFormat="1" applyFont="1" applyBorder="1" applyAlignment="1">
      <alignment horizontal="center"/>
    </xf>
    <xf numFmtId="1" fontId="43" fillId="0" borderId="72" xfId="0" applyNumberFormat="1" applyFont="1" applyBorder="1" applyAlignment="1">
      <alignment horizontal="center"/>
    </xf>
    <xf numFmtId="0" fontId="0" fillId="39" borderId="0" xfId="0" applyFill="1"/>
    <xf numFmtId="0" fontId="0" fillId="39" borderId="0" xfId="0" applyFill="1" applyAlignment="1">
      <alignment horizontal="center"/>
    </xf>
    <xf numFmtId="1" fontId="0" fillId="39" borderId="0" xfId="0" applyNumberFormat="1" applyFill="1" applyAlignment="1">
      <alignment horizontal="center"/>
    </xf>
    <xf numFmtId="170" fontId="0" fillId="39" borderId="0" xfId="0" applyNumberFormat="1" applyFill="1" applyAlignment="1">
      <alignment horizontal="center"/>
    </xf>
    <xf numFmtId="4" fontId="0" fillId="39" borderId="0" xfId="0" applyNumberFormat="1" applyFill="1" applyAlignment="1">
      <alignment horizontal="center"/>
    </xf>
    <xf numFmtId="4" fontId="0" fillId="39" borderId="0" xfId="0" applyNumberFormat="1" applyFill="1"/>
    <xf numFmtId="4" fontId="24" fillId="36" borderId="2" xfId="0" applyNumberFormat="1" applyFont="1" applyFill="1" applyBorder="1"/>
    <xf numFmtId="4" fontId="54" fillId="33" borderId="48" xfId="0" applyNumberFormat="1" applyFont="1" applyFill="1" applyBorder="1"/>
    <xf numFmtId="4" fontId="54" fillId="0" borderId="48" xfId="0" applyNumberFormat="1" applyFont="1" applyFill="1" applyBorder="1"/>
    <xf numFmtId="4" fontId="0" fillId="33" borderId="48" xfId="0" applyNumberFormat="1" applyFill="1" applyBorder="1"/>
    <xf numFmtId="4" fontId="0" fillId="0" borderId="78" xfId="0" applyNumberFormat="1" applyBorder="1"/>
    <xf numFmtId="4" fontId="24" fillId="0" borderId="65" xfId="0" applyNumberFormat="1" applyFont="1" applyBorder="1" applyAlignment="1">
      <alignment horizontal="center"/>
    </xf>
    <xf numFmtId="4" fontId="54" fillId="35" borderId="48" xfId="0" applyNumberFormat="1" applyFont="1" applyFill="1" applyBorder="1"/>
    <xf numFmtId="4" fontId="54" fillId="35" borderId="50" xfId="0" applyNumberFormat="1" applyFont="1" applyFill="1" applyBorder="1"/>
    <xf numFmtId="4" fontId="54" fillId="35" borderId="63" xfId="0" applyNumberFormat="1" applyFont="1" applyFill="1" applyBorder="1"/>
    <xf numFmtId="4" fontId="0" fillId="0" borderId="75" xfId="0" applyNumberFormat="1" applyFill="1" applyBorder="1"/>
    <xf numFmtId="4" fontId="0" fillId="0" borderId="90" xfId="0" applyNumberFormat="1" applyBorder="1"/>
    <xf numFmtId="4" fontId="0" fillId="0" borderId="139" xfId="0" applyNumberFormat="1" applyBorder="1"/>
    <xf numFmtId="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" fontId="5" fillId="0" borderId="88" xfId="0" applyNumberFormat="1" applyFont="1" applyBorder="1" applyAlignment="1">
      <alignment horizontal="center"/>
    </xf>
    <xf numFmtId="4" fontId="0" fillId="0" borderId="8" xfId="0" applyNumberFormat="1" applyBorder="1"/>
    <xf numFmtId="4" fontId="25" fillId="0" borderId="47" xfId="0" applyNumberFormat="1" applyFont="1" applyBorder="1"/>
    <xf numFmtId="4" fontId="0" fillId="0" borderId="117" xfId="0" applyNumberFormat="1" applyBorder="1"/>
    <xf numFmtId="0" fontId="5" fillId="0" borderId="86" xfId="0" applyFont="1" applyBorder="1" applyAlignment="1">
      <alignment horizontal="center"/>
    </xf>
    <xf numFmtId="4" fontId="5" fillId="0" borderId="87" xfId="0" applyNumberFormat="1" applyFont="1" applyBorder="1" applyAlignment="1">
      <alignment horizontal="center"/>
    </xf>
    <xf numFmtId="1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43" fillId="0" borderId="47" xfId="0" applyNumberFormat="1" applyFont="1" applyBorder="1" applyAlignment="1">
      <alignment horizontal="center" vertical="center" wrapText="1"/>
    </xf>
    <xf numFmtId="170" fontId="0" fillId="0" borderId="14" xfId="0" applyNumberFormat="1" applyBorder="1" applyAlignment="1">
      <alignment horizontal="center"/>
    </xf>
    <xf numFmtId="1" fontId="0" fillId="0" borderId="119" xfId="0" applyNumberFormat="1" applyBorder="1" applyAlignment="1">
      <alignment horizontal="center"/>
    </xf>
    <xf numFmtId="170" fontId="0" fillId="0" borderId="119" xfId="0" applyNumberFormat="1" applyBorder="1" applyAlignment="1">
      <alignment horizontal="center"/>
    </xf>
    <xf numFmtId="4" fontId="0" fillId="0" borderId="119" xfId="0" applyNumberFormat="1" applyBorder="1" applyAlignment="1">
      <alignment horizontal="center"/>
    </xf>
    <xf numFmtId="4" fontId="0" fillId="0" borderId="120" xfId="0" applyNumberFormat="1" applyBorder="1" applyAlignment="1">
      <alignment horizontal="center"/>
    </xf>
    <xf numFmtId="1" fontId="0" fillId="33" borderId="48" xfId="0" applyNumberFormat="1" applyFill="1" applyBorder="1" applyAlignment="1">
      <alignment horizontal="center"/>
    </xf>
    <xf numFmtId="170" fontId="0" fillId="33" borderId="48" xfId="0" applyNumberFormat="1" applyFill="1" applyBorder="1" applyAlignment="1">
      <alignment horizontal="center"/>
    </xf>
    <xf numFmtId="4" fontId="0" fillId="33" borderId="49" xfId="0" applyNumberFormat="1" applyFill="1" applyBorder="1" applyAlignment="1">
      <alignment horizontal="center"/>
    </xf>
    <xf numFmtId="4" fontId="0" fillId="0" borderId="119" xfId="0" applyNumberFormat="1" applyFill="1" applyBorder="1"/>
    <xf numFmtId="4" fontId="0" fillId="0" borderId="113" xfId="0" applyNumberFormat="1" applyBorder="1"/>
    <xf numFmtId="4" fontId="0" fillId="0" borderId="140" xfId="0" applyNumberFormat="1" applyBorder="1"/>
    <xf numFmtId="0" fontId="5" fillId="0" borderId="117" xfId="0" applyFont="1" applyBorder="1" applyAlignment="1">
      <alignment horizontal="center"/>
    </xf>
    <xf numFmtId="4" fontId="5" fillId="0" borderId="78" xfId="0" applyNumberFormat="1" applyFont="1" applyBorder="1" applyAlignment="1">
      <alignment horizontal="center"/>
    </xf>
    <xf numFmtId="4" fontId="50" fillId="0" borderId="86" xfId="0" applyNumberFormat="1" applyFont="1" applyBorder="1" applyAlignment="1">
      <alignment horizontal="right"/>
    </xf>
    <xf numFmtId="4" fontId="50" fillId="0" borderId="88" xfId="0" applyNumberFormat="1" applyFont="1" applyBorder="1" applyAlignment="1">
      <alignment horizontal="center"/>
    </xf>
    <xf numFmtId="1" fontId="43" fillId="0" borderId="72" xfId="0" applyNumberFormat="1" applyFont="1" applyBorder="1" applyAlignment="1"/>
    <xf numFmtId="1" fontId="43" fillId="0" borderId="0" xfId="0" applyNumberFormat="1" applyFont="1" applyBorder="1" applyAlignment="1">
      <alignment horizontal="center"/>
    </xf>
    <xf numFmtId="14" fontId="5" fillId="0" borderId="48" xfId="0" applyNumberFormat="1" applyFont="1" applyBorder="1"/>
    <xf numFmtId="170" fontId="5" fillId="0" borderId="0" xfId="0" applyNumberFormat="1" applyFont="1" applyBorder="1"/>
    <xf numFmtId="4" fontId="43" fillId="0" borderId="47" xfId="0" applyNumberFormat="1" applyFont="1" applyBorder="1"/>
    <xf numFmtId="0" fontId="25" fillId="0" borderId="139" xfId="0" applyFont="1" applyBorder="1"/>
    <xf numFmtId="4" fontId="25" fillId="0" borderId="139" xfId="0" applyNumberFormat="1" applyFont="1" applyBorder="1"/>
    <xf numFmtId="0" fontId="25" fillId="0" borderId="0" xfId="0" applyFont="1" applyAlignment="1">
      <alignment horizontal="right"/>
    </xf>
    <xf numFmtId="0" fontId="43" fillId="0" borderId="139" xfId="0" applyFont="1" applyBorder="1"/>
    <xf numFmtId="0" fontId="47" fillId="0" borderId="1" xfId="0" applyFont="1" applyBorder="1"/>
    <xf numFmtId="0" fontId="25" fillId="0" borderId="141" xfId="0" applyFont="1" applyBorder="1" applyAlignment="1">
      <alignment horizontal="center"/>
    </xf>
    <xf numFmtId="0" fontId="25" fillId="0" borderId="143" xfId="0" applyFont="1" applyBorder="1" applyAlignment="1">
      <alignment horizontal="center"/>
    </xf>
    <xf numFmtId="0" fontId="25" fillId="0" borderId="142" xfId="0" applyFont="1" applyBorder="1" applyAlignment="1">
      <alignment horizontal="center"/>
    </xf>
    <xf numFmtId="0" fontId="25" fillId="40" borderId="139" xfId="0" applyFont="1" applyFill="1" applyBorder="1"/>
    <xf numFmtId="4" fontId="25" fillId="40" borderId="139" xfId="0" applyNumberFormat="1" applyFont="1" applyFill="1" applyBorder="1"/>
    <xf numFmtId="0" fontId="25" fillId="40" borderId="142" xfId="0" applyFont="1" applyFill="1" applyBorder="1" applyAlignment="1">
      <alignment horizontal="center"/>
    </xf>
    <xf numFmtId="0" fontId="25" fillId="0" borderId="0" xfId="0" applyFont="1" applyBorder="1"/>
    <xf numFmtId="4" fontId="25" fillId="0" borderId="0" xfId="0" applyNumberFormat="1" applyFont="1" applyBorder="1"/>
    <xf numFmtId="0" fontId="25" fillId="0" borderId="14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" fontId="50" fillId="0" borderId="146" xfId="0" applyNumberFormat="1" applyFont="1" applyBorder="1"/>
    <xf numFmtId="0" fontId="4" fillId="33" borderId="63" xfId="0" applyFont="1" applyFill="1" applyBorder="1"/>
    <xf numFmtId="0" fontId="0" fillId="33" borderId="63" xfId="0" applyFill="1" applyBorder="1" applyAlignment="1">
      <alignment horizontal="center"/>
    </xf>
    <xf numFmtId="15" fontId="0" fillId="33" borderId="63" xfId="0" applyNumberFormat="1" applyFill="1" applyBorder="1"/>
    <xf numFmtId="4" fontId="0" fillId="33" borderId="63" xfId="0" applyNumberFormat="1" applyFill="1" applyBorder="1" applyAlignment="1"/>
    <xf numFmtId="0" fontId="0" fillId="33" borderId="63" xfId="0" applyFill="1" applyBorder="1"/>
    <xf numFmtId="4" fontId="0" fillId="33" borderId="63" xfId="0" applyNumberFormat="1" applyFill="1" applyBorder="1"/>
    <xf numFmtId="0" fontId="0" fillId="0" borderId="73" xfId="0" applyBorder="1"/>
    <xf numFmtId="0" fontId="0" fillId="0" borderId="49" xfId="0" applyFill="1" applyBorder="1"/>
    <xf numFmtId="3" fontId="0" fillId="0" borderId="50" xfId="0" applyNumberFormat="1" applyBorder="1"/>
    <xf numFmtId="0" fontId="4" fillId="33" borderId="48" xfId="0" applyFont="1" applyFill="1" applyBorder="1"/>
    <xf numFmtId="4" fontId="43" fillId="0" borderId="3" xfId="0" applyNumberFormat="1" applyFont="1" applyBorder="1" applyAlignment="1">
      <alignment horizontal="center" vertical="center" wrapText="1"/>
    </xf>
    <xf numFmtId="4" fontId="43" fillId="0" borderId="9" xfId="0" applyNumberFormat="1" applyFont="1" applyBorder="1" applyAlignment="1">
      <alignment horizontal="center" vertical="center" wrapText="1"/>
    </xf>
    <xf numFmtId="0" fontId="0" fillId="0" borderId="147" xfId="0" applyBorder="1"/>
    <xf numFmtId="0" fontId="0" fillId="0" borderId="72" xfId="0" applyBorder="1" applyAlignment="1">
      <alignment horizontal="center"/>
    </xf>
    <xf numFmtId="1" fontId="0" fillId="0" borderId="72" xfId="0" applyNumberFormat="1" applyBorder="1" applyAlignment="1">
      <alignment horizontal="center"/>
    </xf>
    <xf numFmtId="170" fontId="0" fillId="0" borderId="72" xfId="0" applyNumberFormat="1" applyBorder="1" applyAlignment="1">
      <alignment horizontal="center"/>
    </xf>
    <xf numFmtId="4" fontId="0" fillId="0" borderId="72" xfId="0" applyNumberFormat="1" applyBorder="1" applyAlignment="1">
      <alignment horizontal="center"/>
    </xf>
    <xf numFmtId="1" fontId="0" fillId="0" borderId="85" xfId="0" applyNumberFormat="1" applyBorder="1" applyAlignment="1">
      <alignment horizontal="center"/>
    </xf>
    <xf numFmtId="170" fontId="43" fillId="0" borderId="72" xfId="0" applyNumberFormat="1" applyFont="1" applyBorder="1" applyAlignment="1"/>
    <xf numFmtId="170" fontId="43" fillId="0" borderId="85" xfId="0" applyNumberFormat="1" applyFont="1" applyBorder="1" applyAlignment="1"/>
    <xf numFmtId="170" fontId="43" fillId="0" borderId="72" xfId="0" applyNumberFormat="1" applyFont="1" applyBorder="1" applyAlignment="1">
      <alignment horizontal="center"/>
    </xf>
    <xf numFmtId="170" fontId="43" fillId="0" borderId="85" xfId="0" applyNumberFormat="1" applyFont="1" applyBorder="1" applyAlignment="1">
      <alignment horizontal="center"/>
    </xf>
    <xf numFmtId="4" fontId="0" fillId="0" borderId="49" xfId="0" applyNumberFormat="1" applyFill="1" applyBorder="1" applyAlignment="1">
      <alignment horizontal="center"/>
    </xf>
    <xf numFmtId="4" fontId="0" fillId="0" borderId="82" xfId="0" applyNumberFormat="1" applyBorder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104" xfId="0" applyNumberFormat="1" applyBorder="1"/>
    <xf numFmtId="170" fontId="4" fillId="0" borderId="72" xfId="0" applyNumberFormat="1" applyFont="1" applyBorder="1"/>
    <xf numFmtId="170" fontId="5" fillId="0" borderId="55" xfId="0" applyNumberFormat="1" applyFont="1" applyBorder="1"/>
    <xf numFmtId="4" fontId="5" fillId="0" borderId="55" xfId="0" applyNumberFormat="1" applyFont="1" applyBorder="1"/>
    <xf numFmtId="4" fontId="24" fillId="0" borderId="0" xfId="0" applyNumberFormat="1" applyFont="1" applyFill="1" applyBorder="1" applyAlignment="1"/>
    <xf numFmtId="4" fontId="4" fillId="0" borderId="84" xfId="0" applyNumberFormat="1" applyFont="1" applyBorder="1"/>
    <xf numFmtId="4" fontId="43" fillId="0" borderId="65" xfId="0" applyNumberFormat="1" applyFont="1" applyBorder="1"/>
    <xf numFmtId="170" fontId="0" fillId="0" borderId="150" xfId="0" applyNumberFormat="1" applyBorder="1"/>
    <xf numFmtId="4" fontId="0" fillId="0" borderId="151" xfId="0" applyNumberFormat="1" applyBorder="1"/>
    <xf numFmtId="0" fontId="4" fillId="0" borderId="151" xfId="0" applyFont="1" applyBorder="1"/>
    <xf numFmtId="4" fontId="0" fillId="0" borderId="109" xfId="0" applyNumberFormat="1" applyBorder="1"/>
    <xf numFmtId="4" fontId="0" fillId="0" borderId="151" xfId="0" applyNumberFormat="1" applyBorder="1" applyAlignment="1">
      <alignment horizontal="center"/>
    </xf>
    <xf numFmtId="0" fontId="24" fillId="33" borderId="47" xfId="0" applyFont="1" applyFill="1" applyBorder="1" applyAlignment="1"/>
    <xf numFmtId="1" fontId="44" fillId="0" borderId="103" xfId="0" applyNumberFormat="1" applyFont="1" applyBorder="1" applyAlignment="1">
      <alignment horizontal="center" vertical="center"/>
    </xf>
    <xf numFmtId="4" fontId="0" fillId="0" borderId="153" xfId="0" applyNumberFormat="1" applyBorder="1" applyAlignment="1">
      <alignment horizontal="center"/>
    </xf>
    <xf numFmtId="0" fontId="4" fillId="0" borderId="95" xfId="0" applyFont="1" applyBorder="1"/>
    <xf numFmtId="170" fontId="4" fillId="0" borderId="64" xfId="0" applyNumberFormat="1" applyFont="1" applyBorder="1"/>
    <xf numFmtId="4" fontId="0" fillId="0" borderId="154" xfId="0" applyNumberFormat="1" applyBorder="1"/>
    <xf numFmtId="4" fontId="0" fillId="0" borderId="152" xfId="0" applyNumberFormat="1" applyBorder="1" applyAlignment="1">
      <alignment horizontal="center"/>
    </xf>
    <xf numFmtId="4" fontId="4" fillId="0" borderId="64" xfId="0" applyNumberFormat="1" applyFont="1" applyBorder="1" applyAlignment="1">
      <alignment horizontal="center"/>
    </xf>
    <xf numFmtId="4" fontId="4" fillId="0" borderId="94" xfId="0" applyNumberFormat="1" applyFont="1" applyBorder="1" applyAlignment="1">
      <alignment horizontal="center"/>
    </xf>
    <xf numFmtId="4" fontId="4" fillId="0" borderId="70" xfId="0" applyNumberFormat="1" applyFont="1" applyBorder="1"/>
    <xf numFmtId="4" fontId="4" fillId="0" borderId="155" xfId="0" applyNumberFormat="1" applyFont="1" applyBorder="1"/>
    <xf numFmtId="4" fontId="0" fillId="0" borderId="150" xfId="0" applyNumberFormat="1" applyBorder="1" applyAlignment="1">
      <alignment horizontal="center"/>
    </xf>
    <xf numFmtId="4" fontId="5" fillId="0" borderId="156" xfId="0" applyNumberFormat="1" applyFont="1" applyFill="1" applyBorder="1" applyAlignment="1">
      <alignment horizontal="center"/>
    </xf>
    <xf numFmtId="1" fontId="44" fillId="0" borderId="158" xfId="0" applyNumberFormat="1" applyFont="1" applyBorder="1" applyAlignment="1">
      <alignment horizontal="center" vertical="center"/>
    </xf>
    <xf numFmtId="4" fontId="0" fillId="0" borderId="95" xfId="0" applyNumberFormat="1" applyBorder="1" applyAlignment="1">
      <alignment horizontal="center"/>
    </xf>
    <xf numFmtId="4" fontId="4" fillId="0" borderId="95" xfId="0" applyNumberFormat="1" applyFont="1" applyBorder="1"/>
    <xf numFmtId="1" fontId="44" fillId="0" borderId="159" xfId="0" applyNumberFormat="1" applyFont="1" applyBorder="1" applyAlignment="1">
      <alignment horizontal="center" vertical="center"/>
    </xf>
    <xf numFmtId="4" fontId="0" fillId="0" borderId="160" xfId="0" applyNumberFormat="1" applyBorder="1"/>
    <xf numFmtId="4" fontId="0" fillId="0" borderId="94" xfId="0" applyNumberFormat="1" applyBorder="1"/>
    <xf numFmtId="4" fontId="43" fillId="0" borderId="95" xfId="0" applyNumberFormat="1" applyFont="1" applyBorder="1"/>
    <xf numFmtId="4" fontId="5" fillId="33" borderId="0" xfId="0" applyNumberFormat="1" applyFont="1" applyFill="1" applyBorder="1"/>
    <xf numFmtId="4" fontId="4" fillId="33" borderId="0" xfId="0" applyNumberFormat="1" applyFont="1" applyFill="1" applyBorder="1"/>
    <xf numFmtId="4" fontId="4" fillId="0" borderId="65" xfId="0" applyNumberFormat="1" applyFont="1" applyBorder="1"/>
    <xf numFmtId="4" fontId="5" fillId="0" borderId="95" xfId="0" applyNumberFormat="1" applyFont="1" applyBorder="1"/>
    <xf numFmtId="170" fontId="5" fillId="0" borderId="147" xfId="0" applyNumberFormat="1" applyFont="1" applyBorder="1"/>
    <xf numFmtId="4" fontId="5" fillId="0" borderId="123" xfId="0" applyNumberFormat="1" applyFont="1" applyBorder="1"/>
    <xf numFmtId="170" fontId="5" fillId="0" borderId="107" xfId="0" applyNumberFormat="1" applyFont="1" applyBorder="1"/>
    <xf numFmtId="4" fontId="5" fillId="0" borderId="108" xfId="0" applyNumberFormat="1" applyFont="1" applyBorder="1"/>
    <xf numFmtId="4" fontId="0" fillId="0" borderId="161" xfId="0" applyNumberFormat="1" applyBorder="1"/>
    <xf numFmtId="4" fontId="0" fillId="0" borderId="148" xfId="0" applyNumberFormat="1" applyBorder="1" applyAlignment="1">
      <alignment horizontal="center"/>
    </xf>
    <xf numFmtId="4" fontId="0" fillId="0" borderId="148" xfId="0" applyNumberFormat="1" applyBorder="1"/>
    <xf numFmtId="4" fontId="0" fillId="0" borderId="53" xfId="0" applyNumberFormat="1" applyBorder="1" applyAlignment="1">
      <alignment horizontal="center"/>
    </xf>
    <xf numFmtId="4" fontId="5" fillId="0" borderId="48" xfId="0" applyNumberFormat="1" applyFont="1" applyFill="1" applyBorder="1" applyAlignment="1">
      <alignment horizontal="center"/>
    </xf>
    <xf numFmtId="4" fontId="5" fillId="0" borderId="50" xfId="0" applyNumberFormat="1" applyFont="1" applyFill="1" applyBorder="1" applyAlignment="1">
      <alignment horizontal="center"/>
    </xf>
    <xf numFmtId="4" fontId="5" fillId="0" borderId="63" xfId="0" applyNumberFormat="1" applyFont="1" applyFill="1" applyBorder="1" applyAlignment="1">
      <alignment horizontal="center"/>
    </xf>
    <xf numFmtId="170" fontId="5" fillId="0" borderId="61" xfId="0" applyNumberFormat="1" applyFont="1" applyBorder="1"/>
    <xf numFmtId="0" fontId="5" fillId="0" borderId="53" xfId="0" applyFont="1" applyBorder="1" applyAlignment="1">
      <alignment horizontal="right"/>
    </xf>
    <xf numFmtId="4" fontId="5" fillId="0" borderId="106" xfId="0" applyNumberFormat="1" applyFont="1" applyBorder="1"/>
    <xf numFmtId="4" fontId="25" fillId="0" borderId="162" xfId="0" applyNumberFormat="1" applyFont="1" applyFill="1" applyBorder="1"/>
    <xf numFmtId="4" fontId="5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4" fontId="43" fillId="0" borderId="0" xfId="0" applyNumberFormat="1" applyFont="1" applyFill="1" applyBorder="1"/>
    <xf numFmtId="4" fontId="25" fillId="0" borderId="0" xfId="0" applyNumberFormat="1" applyFont="1" applyFill="1" applyBorder="1"/>
    <xf numFmtId="0" fontId="59" fillId="0" borderId="149" xfId="0" applyFont="1" applyBorder="1"/>
    <xf numFmtId="4" fontId="59" fillId="0" borderId="149" xfId="0" applyNumberFormat="1" applyFont="1" applyBorder="1"/>
    <xf numFmtId="0" fontId="59" fillId="0" borderId="163" xfId="0" applyFont="1" applyBorder="1" applyAlignment="1">
      <alignment horizontal="center"/>
    </xf>
    <xf numFmtId="0" fontId="57" fillId="0" borderId="164" xfId="0" applyFont="1" applyBorder="1"/>
    <xf numFmtId="0" fontId="59" fillId="41" borderId="115" xfId="0" applyFont="1" applyFill="1" applyBorder="1"/>
    <xf numFmtId="4" fontId="59" fillId="41" borderId="115" xfId="0" applyNumberFormat="1" applyFont="1" applyFill="1" applyBorder="1"/>
    <xf numFmtId="0" fontId="59" fillId="41" borderId="165" xfId="0" applyFont="1" applyFill="1" applyBorder="1" applyAlignment="1">
      <alignment horizontal="center"/>
    </xf>
    <xf numFmtId="0" fontId="57" fillId="41" borderId="166" xfId="0" applyFont="1" applyFill="1" applyBorder="1"/>
    <xf numFmtId="0" fontId="48" fillId="42" borderId="47" xfId="0" applyFont="1" applyFill="1" applyBorder="1"/>
    <xf numFmtId="1" fontId="4" fillId="0" borderId="0" xfId="0" applyNumberFormat="1" applyFont="1" applyFill="1" applyBorder="1" applyAlignment="1">
      <alignment horizontal="center"/>
    </xf>
    <xf numFmtId="164" fontId="4" fillId="33" borderId="55" xfId="0" applyNumberFormat="1" applyFont="1" applyFill="1" applyBorder="1"/>
    <xf numFmtId="3" fontId="4" fillId="33" borderId="48" xfId="0" applyNumberFormat="1" applyFont="1" applyFill="1" applyBorder="1" applyAlignment="1">
      <alignment horizontal="right"/>
    </xf>
    <xf numFmtId="4" fontId="4" fillId="33" borderId="59" xfId="0" applyNumberFormat="1" applyFont="1" applyFill="1" applyBorder="1"/>
    <xf numFmtId="4" fontId="4" fillId="33" borderId="37" xfId="0" applyNumberFormat="1" applyFont="1" applyFill="1" applyBorder="1"/>
    <xf numFmtId="169" fontId="5" fillId="0" borderId="48" xfId="0" applyNumberFormat="1" applyFont="1" applyFill="1" applyBorder="1" applyAlignment="1">
      <alignment horizontal="right"/>
    </xf>
    <xf numFmtId="4" fontId="4" fillId="33" borderId="30" xfId="0" applyNumberFormat="1" applyFont="1" applyFill="1" applyBorder="1"/>
    <xf numFmtId="0" fontId="47" fillId="0" borderId="47" xfId="0" applyFont="1" applyBorder="1" applyAlignment="1">
      <alignment horizontal="center"/>
    </xf>
    <xf numFmtId="0" fontId="42" fillId="33" borderId="64" xfId="0" applyFont="1" applyFill="1" applyBorder="1" applyAlignment="1">
      <alignment horizontal="center"/>
    </xf>
    <xf numFmtId="0" fontId="42" fillId="33" borderId="48" xfId="100" applyNumberFormat="1" applyFont="1" applyFill="1" applyBorder="1" applyAlignment="1" applyProtection="1">
      <alignment horizontal="left" vertical="top" wrapText="1"/>
      <protection locked="0"/>
    </xf>
    <xf numFmtId="170" fontId="4" fillId="33" borderId="55" xfId="0" applyNumberFormat="1" applyFont="1" applyFill="1" applyBorder="1"/>
    <xf numFmtId="3" fontId="4" fillId="33" borderId="48" xfId="0" applyNumberFormat="1" applyFont="1" applyFill="1" applyBorder="1"/>
    <xf numFmtId="165" fontId="4" fillId="33" borderId="48" xfId="0" applyNumberFormat="1" applyFont="1" applyFill="1" applyBorder="1"/>
    <xf numFmtId="4" fontId="4" fillId="33" borderId="49" xfId="0" applyNumberFormat="1" applyFont="1" applyFill="1" applyBorder="1"/>
    <xf numFmtId="1" fontId="4" fillId="33" borderId="48" xfId="0" applyNumberFormat="1" applyFont="1" applyFill="1" applyBorder="1" applyAlignment="1">
      <alignment horizontal="center"/>
    </xf>
    <xf numFmtId="4" fontId="4" fillId="33" borderId="0" xfId="0" applyNumberFormat="1" applyFont="1" applyFill="1" applyAlignment="1">
      <alignment horizontal="center"/>
    </xf>
    <xf numFmtId="0" fontId="4" fillId="33" borderId="35" xfId="0" applyFont="1" applyFill="1" applyBorder="1"/>
    <xf numFmtId="0" fontId="24" fillId="33" borderId="9" xfId="0" applyFont="1" applyFill="1" applyBorder="1" applyAlignment="1">
      <alignment horizontal="center"/>
    </xf>
    <xf numFmtId="0" fontId="24" fillId="33" borderId="2" xfId="0" applyFont="1" applyFill="1" applyBorder="1" applyAlignment="1">
      <alignment horizontal="center"/>
    </xf>
    <xf numFmtId="0" fontId="24" fillId="33" borderId="3" xfId="0" applyFont="1" applyFill="1" applyBorder="1" applyAlignment="1">
      <alignment horizontal="center"/>
    </xf>
    <xf numFmtId="0" fontId="47" fillId="0" borderId="0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50" fillId="34" borderId="111" xfId="0" applyFont="1" applyFill="1" applyBorder="1" applyAlignment="1">
      <alignment horizontal="center"/>
    </xf>
    <xf numFmtId="0" fontId="50" fillId="34" borderId="132" xfId="0" applyFont="1" applyFill="1" applyBorder="1" applyAlignment="1">
      <alignment horizontal="center"/>
    </xf>
    <xf numFmtId="0" fontId="50" fillId="34" borderId="112" xfId="0" applyFont="1" applyFill="1" applyBorder="1" applyAlignment="1">
      <alignment horizontal="center"/>
    </xf>
    <xf numFmtId="0" fontId="47" fillId="0" borderId="0" xfId="0" applyFont="1" applyAlignment="1">
      <alignment horizontal="right"/>
    </xf>
    <xf numFmtId="4" fontId="24" fillId="33" borderId="9" xfId="0" applyNumberFormat="1" applyFont="1" applyFill="1" applyBorder="1" applyAlignment="1">
      <alignment horizontal="center"/>
    </xf>
    <xf numFmtId="4" fontId="24" fillId="33" borderId="3" xfId="0" applyNumberFormat="1" applyFont="1" applyFill="1" applyBorder="1" applyAlignment="1">
      <alignment horizontal="center"/>
    </xf>
    <xf numFmtId="4" fontId="44" fillId="0" borderId="9" xfId="0" applyNumberFormat="1" applyFont="1" applyBorder="1" applyAlignment="1">
      <alignment horizontal="center" vertical="center"/>
    </xf>
    <xf numFmtId="4" fontId="44" fillId="0" borderId="3" xfId="0" applyNumberFormat="1" applyFont="1" applyBorder="1" applyAlignment="1">
      <alignment horizontal="center" vertical="center"/>
    </xf>
    <xf numFmtId="4" fontId="56" fillId="33" borderId="9" xfId="0" applyNumberFormat="1" applyFont="1" applyFill="1" applyBorder="1" applyAlignment="1">
      <alignment horizontal="center"/>
    </xf>
    <xf numFmtId="4" fontId="56" fillId="33" borderId="3" xfId="0" applyNumberFormat="1" applyFont="1" applyFill="1" applyBorder="1" applyAlignment="1">
      <alignment horizontal="center"/>
    </xf>
    <xf numFmtId="4" fontId="44" fillId="0" borderId="79" xfId="0" applyNumberFormat="1" applyFont="1" applyBorder="1" applyAlignment="1">
      <alignment horizontal="center" vertical="center"/>
    </xf>
    <xf numFmtId="4" fontId="44" fillId="0" borderId="158" xfId="0" applyNumberFormat="1" applyFont="1" applyBorder="1" applyAlignment="1">
      <alignment horizontal="center" vertical="center"/>
    </xf>
    <xf numFmtId="4" fontId="44" fillId="0" borderId="157" xfId="0" applyNumberFormat="1" applyFont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56" fillId="38" borderId="2" xfId="0" applyNumberFormat="1" applyFont="1" applyFill="1" applyBorder="1" applyAlignment="1">
      <alignment horizontal="left" vertical="center"/>
    </xf>
    <xf numFmtId="164" fontId="56" fillId="38" borderId="3" xfId="0" applyNumberFormat="1" applyFont="1" applyFill="1" applyBorder="1" applyAlignment="1">
      <alignment horizontal="left" vertical="center"/>
    </xf>
    <xf numFmtId="1" fontId="56" fillId="38" borderId="9" xfId="0" applyNumberFormat="1" applyFont="1" applyFill="1" applyBorder="1" applyAlignment="1">
      <alignment horizontal="center" vertical="center"/>
    </xf>
    <xf numFmtId="1" fontId="56" fillId="38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42" fillId="0" borderId="135" xfId="0" applyNumberFormat="1" applyFont="1" applyBorder="1" applyAlignment="1">
      <alignment horizontal="center"/>
    </xf>
    <xf numFmtId="4" fontId="42" fillId="0" borderId="136" xfId="0" applyNumberFormat="1" applyFont="1" applyBorder="1" applyAlignment="1">
      <alignment horizontal="center"/>
    </xf>
    <xf numFmtId="4" fontId="44" fillId="0" borderId="0" xfId="0" applyNumberFormat="1" applyFont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0" fontId="24" fillId="33" borderId="9" xfId="0" applyNumberFormat="1" applyFont="1" applyFill="1" applyBorder="1" applyAlignment="1">
      <alignment horizontal="center"/>
    </xf>
    <xf numFmtId="170" fontId="24" fillId="33" borderId="2" xfId="0" applyNumberFormat="1" applyFont="1" applyFill="1" applyBorder="1" applyAlignment="1">
      <alignment horizontal="center"/>
    </xf>
    <xf numFmtId="170" fontId="24" fillId="33" borderId="3" xfId="0" applyNumberFormat="1" applyFont="1" applyFill="1" applyBorder="1" applyAlignment="1">
      <alignment horizontal="center"/>
    </xf>
    <xf numFmtId="4" fontId="25" fillId="33" borderId="125" xfId="0" applyNumberFormat="1" applyFont="1" applyFill="1" applyBorder="1" applyAlignment="1">
      <alignment horizontal="center"/>
    </xf>
    <xf numFmtId="4" fontId="25" fillId="33" borderId="126" xfId="0" applyNumberFormat="1" applyFont="1" applyFill="1" applyBorder="1" applyAlignment="1">
      <alignment horizontal="center"/>
    </xf>
    <xf numFmtId="4" fontId="49" fillId="0" borderId="137" xfId="0" applyNumberFormat="1" applyFont="1" applyBorder="1" applyAlignment="1">
      <alignment horizontal="center"/>
    </xf>
    <xf numFmtId="4" fontId="49" fillId="0" borderId="138" xfId="0" applyNumberFormat="1" applyFont="1" applyBorder="1" applyAlignment="1">
      <alignment horizontal="center"/>
    </xf>
    <xf numFmtId="4" fontId="50" fillId="0" borderId="135" xfId="0" applyNumberFormat="1" applyFont="1" applyBorder="1" applyAlignment="1">
      <alignment horizontal="center"/>
    </xf>
    <xf numFmtId="4" fontId="50" fillId="0" borderId="136" xfId="0" applyNumberFormat="1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" fontId="50" fillId="0" borderId="149" xfId="0" applyNumberFormat="1" applyFont="1" applyBorder="1" applyAlignment="1">
      <alignment horizontal="center"/>
    </xf>
    <xf numFmtId="4" fontId="5" fillId="0" borderId="149" xfId="0" applyNumberFormat="1" applyFont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43" fillId="0" borderId="0" xfId="0" applyNumberFormat="1" applyFont="1" applyFill="1" applyBorder="1" applyAlignment="1">
      <alignment horizontal="center"/>
    </xf>
    <xf numFmtId="4" fontId="4" fillId="0" borderId="137" xfId="0" applyNumberFormat="1" applyFont="1" applyBorder="1" applyAlignment="1">
      <alignment horizontal="center"/>
    </xf>
    <xf numFmtId="4" fontId="4" fillId="0" borderId="138" xfId="0" applyNumberFormat="1" applyFont="1" applyBorder="1" applyAlignment="1">
      <alignment horizontal="center"/>
    </xf>
    <xf numFmtId="4" fontId="5" fillId="0" borderId="135" xfId="0" applyNumberFormat="1" applyFont="1" applyBorder="1" applyAlignment="1">
      <alignment horizontal="center"/>
    </xf>
    <xf numFmtId="4" fontId="5" fillId="0" borderId="136" xfId="0" applyNumberFormat="1" applyFont="1" applyBorder="1" applyAlignment="1">
      <alignment horizontal="center"/>
    </xf>
    <xf numFmtId="0" fontId="58" fillId="0" borderId="10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46" xfId="0" applyFont="1" applyBorder="1" applyAlignment="1">
      <alignment horizontal="center" vertical="center"/>
    </xf>
    <xf numFmtId="0" fontId="58" fillId="0" borderId="9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92" xfId="0" applyFont="1" applyBorder="1" applyAlignment="1">
      <alignment horizontal="center" vertical="center"/>
    </xf>
    <xf numFmtId="169" fontId="58" fillId="0" borderId="10" xfId="0" applyNumberFormat="1" applyFont="1" applyBorder="1" applyAlignment="1">
      <alignment horizontal="center" vertical="center"/>
    </xf>
    <xf numFmtId="169" fontId="58" fillId="0" borderId="39" xfId="0" applyNumberFormat="1" applyFont="1" applyBorder="1" applyAlignment="1">
      <alignment horizontal="center" vertical="center"/>
    </xf>
    <xf numFmtId="169" fontId="58" fillId="0" borderId="46" xfId="0" applyNumberFormat="1" applyFont="1" applyBorder="1" applyAlignment="1">
      <alignment horizontal="center" vertical="center"/>
    </xf>
    <xf numFmtId="169" fontId="58" fillId="0" borderId="93" xfId="0" applyNumberFormat="1" applyFont="1" applyBorder="1" applyAlignment="1">
      <alignment horizontal="center" vertical="center"/>
    </xf>
    <xf numFmtId="169" fontId="58" fillId="0" borderId="1" xfId="0" applyNumberFormat="1" applyFont="1" applyBorder="1" applyAlignment="1">
      <alignment horizontal="center" vertical="center"/>
    </xf>
    <xf numFmtId="169" fontId="58" fillId="0" borderId="92" xfId="0" applyNumberFormat="1" applyFont="1" applyBorder="1" applyAlignment="1">
      <alignment horizontal="center" vertical="center"/>
    </xf>
    <xf numFmtId="4" fontId="24" fillId="0" borderId="115" xfId="0" applyNumberFormat="1" applyFont="1" applyBorder="1" applyAlignment="1">
      <alignment horizontal="center"/>
    </xf>
    <xf numFmtId="4" fontId="24" fillId="0" borderId="126" xfId="0" applyNumberFormat="1" applyFont="1" applyBorder="1" applyAlignment="1">
      <alignment horizontal="center"/>
    </xf>
    <xf numFmtId="4" fontId="24" fillId="0" borderId="125" xfId="0" applyNumberFormat="1" applyFont="1" applyBorder="1" applyAlignment="1">
      <alignment horizontal="center"/>
    </xf>
    <xf numFmtId="0" fontId="24" fillId="0" borderId="65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39" xfId="0" applyFont="1" applyBorder="1" applyAlignment="1">
      <alignment horizontal="center"/>
    </xf>
    <xf numFmtId="0" fontId="51" fillId="0" borderId="46" xfId="0" applyFont="1" applyBorder="1" applyAlignment="1">
      <alignment horizontal="center"/>
    </xf>
    <xf numFmtId="0" fontId="51" fillId="0" borderId="93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0" borderId="92" xfId="0" applyFont="1" applyBorder="1" applyAlignment="1">
      <alignment horizontal="center"/>
    </xf>
    <xf numFmtId="169" fontId="51" fillId="0" borderId="10" xfId="0" applyNumberFormat="1" applyFont="1" applyBorder="1" applyAlignment="1">
      <alignment horizontal="center"/>
    </xf>
    <xf numFmtId="169" fontId="51" fillId="0" borderId="39" xfId="0" applyNumberFormat="1" applyFont="1" applyBorder="1" applyAlignment="1">
      <alignment horizontal="center"/>
    </xf>
    <xf numFmtId="169" fontId="51" fillId="0" borderId="46" xfId="0" applyNumberFormat="1" applyFont="1" applyBorder="1" applyAlignment="1">
      <alignment horizontal="center"/>
    </xf>
    <xf numFmtId="169" fontId="51" fillId="0" borderId="93" xfId="0" applyNumberFormat="1" applyFont="1" applyBorder="1" applyAlignment="1">
      <alignment horizontal="center"/>
    </xf>
    <xf numFmtId="169" fontId="51" fillId="0" borderId="1" xfId="0" applyNumberFormat="1" applyFont="1" applyBorder="1" applyAlignment="1">
      <alignment horizontal="center"/>
    </xf>
    <xf numFmtId="169" fontId="51" fillId="0" borderId="92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4" fontId="47" fillId="0" borderId="66" xfId="0" applyNumberFormat="1" applyFont="1" applyBorder="1" applyAlignment="1">
      <alignment horizontal="center"/>
    </xf>
    <xf numFmtId="4" fontId="47" fillId="0" borderId="0" xfId="0" applyNumberFormat="1" applyFont="1" applyAlignment="1">
      <alignment horizontal="center"/>
    </xf>
    <xf numFmtId="4" fontId="24" fillId="0" borderId="2" xfId="0" applyNumberFormat="1" applyFont="1" applyBorder="1" applyAlignment="1">
      <alignment horizontal="center"/>
    </xf>
    <xf numFmtId="4" fontId="24" fillId="0" borderId="3" xfId="0" applyNumberFormat="1" applyFont="1" applyBorder="1" applyAlignment="1">
      <alignment horizontal="center"/>
    </xf>
    <xf numFmtId="0" fontId="25" fillId="0" borderId="107" xfId="0" applyFont="1" applyBorder="1" applyAlignment="1">
      <alignment horizontal="left" vertical="center" wrapText="1"/>
    </xf>
    <xf numFmtId="0" fontId="25" fillId="0" borderId="104" xfId="0" applyFont="1" applyBorder="1" applyAlignment="1">
      <alignment horizontal="left" vertical="center" wrapText="1"/>
    </xf>
    <xf numFmtId="0" fontId="25" fillId="0" borderId="108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25" fillId="0" borderId="106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/>
    </xf>
    <xf numFmtId="4" fontId="50" fillId="0" borderId="93" xfId="0" applyNumberFormat="1" applyFont="1" applyBorder="1" applyAlignment="1">
      <alignment horizontal="right"/>
    </xf>
    <xf numFmtId="4" fontId="50" fillId="0" borderId="145" xfId="0" applyNumberFormat="1" applyFont="1" applyBorder="1" applyAlignment="1">
      <alignment horizontal="right"/>
    </xf>
    <xf numFmtId="0" fontId="48" fillId="0" borderId="109" xfId="0" applyFont="1" applyFill="1" applyBorder="1" applyAlignment="1">
      <alignment horizontal="center" vertical="center"/>
    </xf>
    <xf numFmtId="0" fontId="25" fillId="33" borderId="2" xfId="0" applyFont="1" applyFill="1" applyBorder="1" applyAlignment="1">
      <alignment horizontal="left" vertical="center" wrapText="1"/>
    </xf>
    <xf numFmtId="0" fontId="25" fillId="33" borderId="3" xfId="0" applyFont="1" applyFill="1" applyBorder="1" applyAlignment="1">
      <alignment horizontal="left" vertical="center" wrapText="1"/>
    </xf>
  </cellXfs>
  <cellStyles count="239">
    <cellStyle name="20% - Accent1" xfId="1" builtinId="30" customBuiltin="1"/>
    <cellStyle name="20% - Accent1 2" xfId="88"/>
    <cellStyle name="20% - Accent1 2 2" xfId="101"/>
    <cellStyle name="20% - Accent1 2 2 2" xfId="174"/>
    <cellStyle name="20% - Accent1 2 3" xfId="173"/>
    <cellStyle name="20% - Accent1 3" xfId="61"/>
    <cellStyle name="20% - Accent1 3 2" xfId="102"/>
    <cellStyle name="20% - Accent1 3 2 2" xfId="176"/>
    <cellStyle name="20% - Accent1 3 3" xfId="175"/>
    <cellStyle name="20% - Accent1 4" xfId="103"/>
    <cellStyle name="20% - Accent1 5" xfId="172"/>
    <cellStyle name="20% - Accent2" xfId="2" builtinId="34" customBuiltin="1"/>
    <cellStyle name="20% - Accent2 2" xfId="90"/>
    <cellStyle name="20% - Accent2 2 2" xfId="104"/>
    <cellStyle name="20% - Accent2 2 2 2" xfId="179"/>
    <cellStyle name="20% - Accent2 2 3" xfId="178"/>
    <cellStyle name="20% - Accent2 3" xfId="65"/>
    <cellStyle name="20% - Accent2 3 2" xfId="105"/>
    <cellStyle name="20% - Accent2 3 2 2" xfId="181"/>
    <cellStyle name="20% - Accent2 3 3" xfId="180"/>
    <cellStyle name="20% - Accent2 4" xfId="106"/>
    <cellStyle name="20% - Accent2 5" xfId="177"/>
    <cellStyle name="20% - Accent3" xfId="3" builtinId="38" customBuiltin="1"/>
    <cellStyle name="20% - Accent3 2" xfId="92"/>
    <cellStyle name="20% - Accent3 2 2" xfId="107"/>
    <cellStyle name="20% - Accent3 2 2 2" xfId="184"/>
    <cellStyle name="20% - Accent3 2 3" xfId="183"/>
    <cellStyle name="20% - Accent3 3" xfId="69"/>
    <cellStyle name="20% - Accent3 3 2" xfId="108"/>
    <cellStyle name="20% - Accent3 3 2 2" xfId="186"/>
    <cellStyle name="20% - Accent3 3 3" xfId="185"/>
    <cellStyle name="20% - Accent3 4" xfId="109"/>
    <cellStyle name="20% - Accent3 5" xfId="182"/>
    <cellStyle name="20% - Accent4" xfId="4" builtinId="42" customBuiltin="1"/>
    <cellStyle name="20% - Accent4 2" xfId="94"/>
    <cellStyle name="20% - Accent4 2 2" xfId="110"/>
    <cellStyle name="20% - Accent4 2 2 2" xfId="189"/>
    <cellStyle name="20% - Accent4 2 3" xfId="188"/>
    <cellStyle name="20% - Accent4 3" xfId="73"/>
    <cellStyle name="20% - Accent4 3 2" xfId="111"/>
    <cellStyle name="20% - Accent4 3 2 2" xfId="191"/>
    <cellStyle name="20% - Accent4 3 3" xfId="190"/>
    <cellStyle name="20% - Accent4 4" xfId="112"/>
    <cellStyle name="20% - Accent4 5" xfId="187"/>
    <cellStyle name="20% - Accent5" xfId="5" builtinId="46" customBuiltin="1"/>
    <cellStyle name="20% - Accent5 2" xfId="96"/>
    <cellStyle name="20% - Accent5 2 2" xfId="113"/>
    <cellStyle name="20% - Accent5 2 2 2" xfId="194"/>
    <cellStyle name="20% - Accent5 2 3" xfId="193"/>
    <cellStyle name="20% - Accent5 3" xfId="77"/>
    <cellStyle name="20% - Accent5 3 2" xfId="114"/>
    <cellStyle name="20% - Accent5 3 2 2" xfId="196"/>
    <cellStyle name="20% - Accent5 3 3" xfId="195"/>
    <cellStyle name="20% - Accent5 4" xfId="115"/>
    <cellStyle name="20% - Accent5 5" xfId="192"/>
    <cellStyle name="20% - Accent6" xfId="6" builtinId="50" customBuiltin="1"/>
    <cellStyle name="20% - Accent6 2" xfId="98"/>
    <cellStyle name="20% - Accent6 2 2" xfId="116"/>
    <cellStyle name="20% - Accent6 2 2 2" xfId="199"/>
    <cellStyle name="20% - Accent6 2 3" xfId="198"/>
    <cellStyle name="20% - Accent6 3" xfId="81"/>
    <cellStyle name="20% - Accent6 3 2" xfId="117"/>
    <cellStyle name="20% - Accent6 3 2 2" xfId="201"/>
    <cellStyle name="20% - Accent6 3 3" xfId="200"/>
    <cellStyle name="20% - Accent6 4" xfId="118"/>
    <cellStyle name="20% - Accent6 5" xfId="197"/>
    <cellStyle name="40% - Accent1" xfId="7" builtinId="31" customBuiltin="1"/>
    <cellStyle name="40% - Accent1 2" xfId="89"/>
    <cellStyle name="40% - Accent1 2 2" xfId="119"/>
    <cellStyle name="40% - Accent1 2 2 2" xfId="204"/>
    <cellStyle name="40% - Accent1 2 3" xfId="203"/>
    <cellStyle name="40% - Accent1 3" xfId="62"/>
    <cellStyle name="40% - Accent1 3 2" xfId="120"/>
    <cellStyle name="40% - Accent1 3 2 2" xfId="206"/>
    <cellStyle name="40% - Accent1 3 3" xfId="205"/>
    <cellStyle name="40% - Accent1 4" xfId="121"/>
    <cellStyle name="40% - Accent1 5" xfId="202"/>
    <cellStyle name="40% - Accent2" xfId="8" builtinId="35" customBuiltin="1"/>
    <cellStyle name="40% - Accent2 2" xfId="91"/>
    <cellStyle name="40% - Accent2 2 2" xfId="122"/>
    <cellStyle name="40% - Accent2 2 2 2" xfId="209"/>
    <cellStyle name="40% - Accent2 2 3" xfId="208"/>
    <cellStyle name="40% - Accent2 3" xfId="66"/>
    <cellStyle name="40% - Accent2 3 2" xfId="123"/>
    <cellStyle name="40% - Accent2 3 2 2" xfId="211"/>
    <cellStyle name="40% - Accent2 3 3" xfId="210"/>
    <cellStyle name="40% - Accent2 4" xfId="124"/>
    <cellStyle name="40% - Accent2 5" xfId="207"/>
    <cellStyle name="40% - Accent3" xfId="9" builtinId="39" customBuiltin="1"/>
    <cellStyle name="40% - Accent3 2" xfId="93"/>
    <cellStyle name="40% - Accent3 2 2" xfId="125"/>
    <cellStyle name="40% - Accent3 2 2 2" xfId="214"/>
    <cellStyle name="40% - Accent3 2 3" xfId="213"/>
    <cellStyle name="40% - Accent3 3" xfId="70"/>
    <cellStyle name="40% - Accent3 3 2" xfId="126"/>
    <cellStyle name="40% - Accent3 3 2 2" xfId="216"/>
    <cellStyle name="40% - Accent3 3 3" xfId="215"/>
    <cellStyle name="40% - Accent3 4" xfId="127"/>
    <cellStyle name="40% - Accent3 5" xfId="212"/>
    <cellStyle name="40% - Accent4" xfId="10" builtinId="43" customBuiltin="1"/>
    <cellStyle name="40% - Accent4 2" xfId="95"/>
    <cellStyle name="40% - Accent4 2 2" xfId="128"/>
    <cellStyle name="40% - Accent4 2 2 2" xfId="219"/>
    <cellStyle name="40% - Accent4 2 3" xfId="218"/>
    <cellStyle name="40% - Accent4 3" xfId="74"/>
    <cellStyle name="40% - Accent4 3 2" xfId="129"/>
    <cellStyle name="40% - Accent4 3 2 2" xfId="221"/>
    <cellStyle name="40% - Accent4 3 3" xfId="220"/>
    <cellStyle name="40% - Accent4 4" xfId="130"/>
    <cellStyle name="40% - Accent4 5" xfId="217"/>
    <cellStyle name="40% - Accent5" xfId="11" builtinId="47" customBuiltin="1"/>
    <cellStyle name="40% - Accent5 2" xfId="97"/>
    <cellStyle name="40% - Accent5 2 2" xfId="131"/>
    <cellStyle name="40% - Accent5 2 2 2" xfId="224"/>
    <cellStyle name="40% - Accent5 2 3" xfId="223"/>
    <cellStyle name="40% - Accent5 3" xfId="78"/>
    <cellStyle name="40% - Accent5 3 2" xfId="132"/>
    <cellStyle name="40% - Accent5 3 2 2" xfId="226"/>
    <cellStyle name="40% - Accent5 3 3" xfId="225"/>
    <cellStyle name="40% - Accent5 4" xfId="133"/>
    <cellStyle name="40% - Accent5 5" xfId="222"/>
    <cellStyle name="40% - Accent6" xfId="12" builtinId="51" customBuiltin="1"/>
    <cellStyle name="40% - Accent6 2" xfId="99"/>
    <cellStyle name="40% - Accent6 2 2" xfId="134"/>
    <cellStyle name="40% - Accent6 2 2 2" xfId="229"/>
    <cellStyle name="40% - Accent6 2 3" xfId="228"/>
    <cellStyle name="40% - Accent6 3" xfId="82"/>
    <cellStyle name="40% - Accent6 3 2" xfId="135"/>
    <cellStyle name="40% - Accent6 3 2 2" xfId="231"/>
    <cellStyle name="40% - Accent6 3 3" xfId="230"/>
    <cellStyle name="40% - Accent6 4" xfId="136"/>
    <cellStyle name="40% - Accent6 5" xfId="227"/>
    <cellStyle name="60% - Accent1" xfId="13" builtinId="32" customBuiltin="1"/>
    <cellStyle name="60% - Accent1 2" xfId="63"/>
    <cellStyle name="60% - Accent1 3" xfId="137"/>
    <cellStyle name="60% - Accent2" xfId="14" builtinId="36" customBuiltin="1"/>
    <cellStyle name="60% - Accent2 2" xfId="67"/>
    <cellStyle name="60% - Accent2 3" xfId="138"/>
    <cellStyle name="60% - Accent3" xfId="15" builtinId="40" customBuiltin="1"/>
    <cellStyle name="60% - Accent3 2" xfId="71"/>
    <cellStyle name="60% - Accent3 3" xfId="139"/>
    <cellStyle name="60% - Accent4" xfId="16" builtinId="44" customBuiltin="1"/>
    <cellStyle name="60% - Accent4 2" xfId="75"/>
    <cellStyle name="60% - Accent4 3" xfId="140"/>
    <cellStyle name="60% - Accent5" xfId="17" builtinId="48" customBuiltin="1"/>
    <cellStyle name="60% - Accent5 2" xfId="79"/>
    <cellStyle name="60% - Accent5 3" xfId="141"/>
    <cellStyle name="60% - Accent6" xfId="18" builtinId="52" customBuiltin="1"/>
    <cellStyle name="60% - Accent6 2" xfId="83"/>
    <cellStyle name="60% - Accent6 3" xfId="142"/>
    <cellStyle name="Accent1" xfId="19" builtinId="29" customBuiltin="1"/>
    <cellStyle name="Accent1 2" xfId="60"/>
    <cellStyle name="Accent1 3" xfId="143"/>
    <cellStyle name="Accent2" xfId="20" builtinId="33" customBuiltin="1"/>
    <cellStyle name="Accent2 2" xfId="64"/>
    <cellStyle name="Accent2 3" xfId="144"/>
    <cellStyle name="Accent3" xfId="21" builtinId="37" customBuiltin="1"/>
    <cellStyle name="Accent3 2" xfId="68"/>
    <cellStyle name="Accent3 3" xfId="145"/>
    <cellStyle name="Accent4" xfId="22" builtinId="41" customBuiltin="1"/>
    <cellStyle name="Accent4 2" xfId="72"/>
    <cellStyle name="Accent4 3" xfId="146"/>
    <cellStyle name="Accent5" xfId="23" builtinId="45" customBuiltin="1"/>
    <cellStyle name="Accent5 2" xfId="76"/>
    <cellStyle name="Accent5 3" xfId="147"/>
    <cellStyle name="Accent6" xfId="24" builtinId="49" customBuiltin="1"/>
    <cellStyle name="Accent6 2" xfId="80"/>
    <cellStyle name="Accent6 3" xfId="148"/>
    <cellStyle name="Bad" xfId="25" builtinId="27" customBuiltin="1"/>
    <cellStyle name="Bad 2" xfId="50"/>
    <cellStyle name="Bad 3" xfId="149"/>
    <cellStyle name="Calculation" xfId="26" builtinId="22" customBuiltin="1"/>
    <cellStyle name="Calculation 2" xfId="54"/>
    <cellStyle name="Calculation 3" xfId="150"/>
    <cellStyle name="Check Cell" xfId="27" builtinId="23" customBuiltin="1"/>
    <cellStyle name="Check Cell 2" xfId="56"/>
    <cellStyle name="Check Cell 3" xfId="151"/>
    <cellStyle name="Explanatory Text" xfId="28" builtinId="53" customBuiltin="1"/>
    <cellStyle name="Explanatory Text 2" xfId="58"/>
    <cellStyle name="Explanatory Text 3" xfId="152"/>
    <cellStyle name="Good" xfId="29" builtinId="26" customBuiltin="1"/>
    <cellStyle name="Good 2" xfId="49"/>
    <cellStyle name="Good 3" xfId="153"/>
    <cellStyle name="Heading 1" xfId="30" builtinId="16" customBuiltin="1"/>
    <cellStyle name="Heading 1 2" xfId="45"/>
    <cellStyle name="Heading 1 3" xfId="154"/>
    <cellStyle name="Heading 2" xfId="31" builtinId="17" customBuiltin="1"/>
    <cellStyle name="Heading 2 2" xfId="46"/>
    <cellStyle name="Heading 2 3" xfId="155"/>
    <cellStyle name="Heading 3" xfId="32" builtinId="18" customBuiltin="1"/>
    <cellStyle name="Heading 3 2" xfId="47"/>
    <cellStyle name="Heading 3 3" xfId="156"/>
    <cellStyle name="Heading 4" xfId="33" builtinId="19" customBuiltin="1"/>
    <cellStyle name="Heading 4 2" xfId="48"/>
    <cellStyle name="Heading 4 3" xfId="157"/>
    <cellStyle name="Hyperlink 2" xfId="100"/>
    <cellStyle name="Input" xfId="34" builtinId="20" customBuiltin="1"/>
    <cellStyle name="Input 2" xfId="52"/>
    <cellStyle name="Input 3" xfId="158"/>
    <cellStyle name="Linked Cell" xfId="35" builtinId="24" customBuiltin="1"/>
    <cellStyle name="Linked Cell 2" xfId="55"/>
    <cellStyle name="Linked Cell 3" xfId="159"/>
    <cellStyle name="Neutral" xfId="36" builtinId="28" customBuiltin="1"/>
    <cellStyle name="Neutral 2" xfId="51"/>
    <cellStyle name="Neutral 3" xfId="160"/>
    <cellStyle name="Normal" xfId="0" builtinId="0"/>
    <cellStyle name="Normal 2" xfId="37"/>
    <cellStyle name="Normal 2 2" xfId="84"/>
    <cellStyle name="Normal 2 2 2" xfId="161"/>
    <cellStyle name="Normal 2 2 2 2" xfId="233"/>
    <cellStyle name="Normal 2 2 3" xfId="232"/>
    <cellStyle name="Normal 3" xfId="38"/>
    <cellStyle name="Normal 3 2" xfId="86"/>
    <cellStyle name="Normal 3 2 2" xfId="162"/>
    <cellStyle name="Normal 3 2 2 2" xfId="235"/>
    <cellStyle name="Normal 3 2 3" xfId="234"/>
    <cellStyle name="Normal 4" xfId="44"/>
    <cellStyle name="Normal 5" xfId="163"/>
    <cellStyle name="Note 2" xfId="39"/>
    <cellStyle name="Note 2 2" xfId="85"/>
    <cellStyle name="Note 2 2 2" xfId="164"/>
    <cellStyle name="Note 2 2 3" xfId="165"/>
    <cellStyle name="Note 2 2 3 2" xfId="237"/>
    <cellStyle name="Note 2 3" xfId="166"/>
    <cellStyle name="Note 2 4" xfId="236"/>
    <cellStyle name="Note 3" xfId="87"/>
    <cellStyle name="Note 3 2" xfId="167"/>
    <cellStyle name="Note 3 3" xfId="168"/>
    <cellStyle name="Note 3 3 2" xfId="238"/>
    <cellStyle name="Output" xfId="40" builtinId="21" customBuiltin="1"/>
    <cellStyle name="Output 2" xfId="53"/>
    <cellStyle name="Output 3" xfId="169"/>
    <cellStyle name="Title" xfId="41" builtinId="15" customBuiltin="1"/>
    <cellStyle name="Total" xfId="42" builtinId="25" customBuiltin="1"/>
    <cellStyle name="Total 2" xfId="59"/>
    <cellStyle name="Total 3" xfId="170"/>
    <cellStyle name="Warning Text" xfId="43" builtinId="11" customBuiltin="1"/>
    <cellStyle name="Warning Text 2" xfId="57"/>
    <cellStyle name="Warning Text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37415</xdr:colOff>
      <xdr:row>111</xdr:row>
      <xdr:rowOff>114301</xdr:rowOff>
    </xdr:from>
    <xdr:ext cx="1113237" cy="403953"/>
    <xdr:sp macro="" textlink="">
      <xdr:nvSpPr>
        <xdr:cNvPr id="2" name="TextBox 1"/>
        <xdr:cNvSpPr txBox="1"/>
      </xdr:nvSpPr>
      <xdr:spPr>
        <a:xfrm rot="19745565">
          <a:off x="2885390" y="11106151"/>
          <a:ext cx="1113237" cy="4039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2000"/>
            <a:t>FY16/17</a:t>
          </a:r>
        </a:p>
        <a:p>
          <a:endParaRPr lang="en-A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62099</xdr:colOff>
      <xdr:row>131</xdr:row>
      <xdr:rowOff>130658</xdr:rowOff>
    </xdr:from>
    <xdr:ext cx="1399807" cy="405432"/>
    <xdr:sp macro="" textlink="">
      <xdr:nvSpPr>
        <xdr:cNvPr id="2" name="Rectangle 1"/>
        <xdr:cNvSpPr/>
      </xdr:nvSpPr>
      <xdr:spPr>
        <a:xfrm rot="20198671">
          <a:off x="8625074" y="17380433"/>
          <a:ext cx="1399807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19-20 FY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501497</xdr:colOff>
      <xdr:row>57</xdr:row>
      <xdr:rowOff>7157</xdr:rowOff>
    </xdr:from>
    <xdr:ext cx="1101306" cy="498729"/>
    <xdr:sp macro="" textlink="">
      <xdr:nvSpPr>
        <xdr:cNvPr id="2" name="Rectangle 1"/>
        <xdr:cNvSpPr/>
      </xdr:nvSpPr>
      <xdr:spPr>
        <a:xfrm rot="19320884">
          <a:off x="8845397" y="7693832"/>
          <a:ext cx="1101306" cy="49872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FY19-20</a:t>
          </a:r>
        </a:p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66</xdr:row>
      <xdr:rowOff>95245</xdr:rowOff>
    </xdr:from>
    <xdr:to>
      <xdr:col>3</xdr:col>
      <xdr:colOff>147517</xdr:colOff>
      <xdr:row>66</xdr:row>
      <xdr:rowOff>140964</xdr:rowOff>
    </xdr:to>
    <xdr:sp macro="" textlink="">
      <xdr:nvSpPr>
        <xdr:cNvPr id="2" name="TextBox 1"/>
        <xdr:cNvSpPr txBox="1"/>
      </xdr:nvSpPr>
      <xdr:spPr>
        <a:xfrm rot="16200000" flipV="1">
          <a:off x="1398686" y="15108133"/>
          <a:ext cx="45719" cy="3665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231318</xdr:colOff>
      <xdr:row>103</xdr:row>
      <xdr:rowOff>114991</xdr:rowOff>
    </xdr:from>
    <xdr:ext cx="3013162" cy="508321"/>
    <xdr:sp macro="" textlink="">
      <xdr:nvSpPr>
        <xdr:cNvPr id="2" name="TextBox 1"/>
        <xdr:cNvSpPr txBox="1"/>
      </xdr:nvSpPr>
      <xdr:spPr>
        <a:xfrm rot="19495597">
          <a:off x="2431593" y="9668566"/>
          <a:ext cx="3013162" cy="5083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2400"/>
            <a:t>FOR</a:t>
          </a:r>
          <a:r>
            <a:rPr lang="en-AU" sz="2400" baseline="0"/>
            <a:t> REFERENCE ONLY</a:t>
          </a:r>
          <a:endParaRPr lang="en-AU" sz="24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130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971925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3</xdr:col>
      <xdr:colOff>70144</xdr:colOff>
      <xdr:row>139</xdr:row>
      <xdr:rowOff>41212</xdr:rowOff>
    </xdr:from>
    <xdr:ext cx="2402680" cy="411875"/>
    <xdr:sp macro="" textlink="">
      <xdr:nvSpPr>
        <xdr:cNvPr id="4" name="TextBox 3"/>
        <xdr:cNvSpPr txBox="1"/>
      </xdr:nvSpPr>
      <xdr:spPr>
        <a:xfrm rot="19720072">
          <a:off x="2203744" y="16605187"/>
          <a:ext cx="2402680" cy="41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2000" b="1"/>
            <a:t>FOR REFEENCE ONLY</a:t>
          </a:r>
        </a:p>
      </xdr:txBody>
    </xdr:sp>
    <xdr:clientData/>
  </xdr:oneCellAnchor>
  <xdr:oneCellAnchor>
    <xdr:from>
      <xdr:col>5</xdr:col>
      <xdr:colOff>124384</xdr:colOff>
      <xdr:row>49</xdr:row>
      <xdr:rowOff>161925</xdr:rowOff>
    </xdr:from>
    <xdr:ext cx="3180230" cy="937629"/>
    <xdr:sp macro="" textlink="">
      <xdr:nvSpPr>
        <xdr:cNvPr id="2" name="Rectangle 1"/>
        <xdr:cNvSpPr/>
      </xdr:nvSpPr>
      <xdr:spPr>
        <a:xfrm rot="19714512">
          <a:off x="3524809" y="8496300"/>
          <a:ext cx="31802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2019-20FY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-14/ILANA/Ilana_bank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ESS(32354)"/>
      <sheetName val="E-Tr (72559)"/>
      <sheetName val="E-TR 3221898"/>
      <sheetName val="Loan"/>
      <sheetName val="Toal Offset"/>
      <sheetName val="VISAAMEX"/>
      <sheetName val="Tax_CLAIM"/>
      <sheetName val="RENT"/>
      <sheetName val="Sheet1"/>
      <sheetName val="Tot Loan(24864)"/>
      <sheetName val="Toal Offset_BP(07385)"/>
      <sheetName val="VisaCheck"/>
      <sheetName val="TAX_R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G8">
            <v>35259</v>
          </cell>
        </row>
      </sheetData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invest.etrade.com.au/QuotesAndResearch/Shares/quote.aspx?tab=Quotes&amp;symbol=QBE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invest.etrade.com.au/QuotesAndResearch/Shares/quote.aspx?tab=Quotes&amp;symbol=NAB" TargetMode="External"/><Relationship Id="rId1" Type="http://schemas.openxmlformats.org/officeDocument/2006/relationships/hyperlink" Target="https://invest.etrade.com.au/QuotesAndResearch/Shares/quote.aspx?tab=Quotes&amp;symbol=ANZ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invest.etrade.com.au/QuotesAndResearch/Shares/quote.aspx?tab=Quotes&amp;symbol=TLS" TargetMode="External"/><Relationship Id="rId4" Type="http://schemas.openxmlformats.org/officeDocument/2006/relationships/hyperlink" Target="https://invest.etrade.com.au/QuotesAndResearch/Shares/quote.aspx?tab=Quotes&amp;symbol=RHCPA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rading.anzshareinvesting.com.au/trade/confirmation.asp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17" workbookViewId="0">
      <selection activeCell="G42" sqref="G42"/>
    </sheetView>
  </sheetViews>
  <sheetFormatPr defaultRowHeight="12.75" x14ac:dyDescent="0.2"/>
  <cols>
    <col min="1" max="1" width="9.33203125" style="276"/>
    <col min="2" max="2" width="37.6640625" style="276" customWidth="1"/>
    <col min="3" max="3" width="14.5" style="276" customWidth="1"/>
    <col min="4" max="4" width="15.33203125" style="276" customWidth="1"/>
    <col min="5" max="5" width="18.83203125" style="837" customWidth="1"/>
    <col min="6" max="6" width="21.5" customWidth="1"/>
    <col min="7" max="7" width="18.83203125" customWidth="1"/>
    <col min="8" max="8" width="18.83203125" style="5" customWidth="1"/>
    <col min="9" max="9" width="12.5" customWidth="1"/>
    <col min="10" max="10" width="10.83203125" customWidth="1"/>
    <col min="11" max="11" width="20.5" style="484" customWidth="1"/>
    <col min="13" max="13" width="12.5" customWidth="1"/>
    <col min="14" max="14" width="11.33203125" customWidth="1"/>
  </cols>
  <sheetData>
    <row r="2" spans="1:11" s="133" customFormat="1" x14ac:dyDescent="0.2">
      <c r="A2" s="276"/>
      <c r="B2" s="276"/>
      <c r="C2" s="276"/>
      <c r="D2" s="276"/>
      <c r="E2" s="837"/>
      <c r="H2" s="5"/>
      <c r="K2" s="484"/>
    </row>
    <row r="3" spans="1:11" s="133" customFormat="1" ht="13.5" thickBot="1" x14ac:dyDescent="0.25">
      <c r="A3" s="276"/>
      <c r="B3" s="276"/>
      <c r="C3" s="276"/>
      <c r="D3" s="276"/>
      <c r="E3" s="837"/>
      <c r="H3" s="5"/>
      <c r="K3" s="484"/>
    </row>
    <row r="4" spans="1:11" s="133" customFormat="1" ht="16.5" thickBot="1" x14ac:dyDescent="0.3">
      <c r="A4" s="276"/>
      <c r="B4" s="1042" t="s">
        <v>637</v>
      </c>
      <c r="C4" s="276"/>
      <c r="D4" s="276"/>
      <c r="E4" s="837"/>
      <c r="H4" s="5"/>
      <c r="K4" s="484"/>
    </row>
    <row r="5" spans="1:11" s="133" customFormat="1" x14ac:dyDescent="0.2">
      <c r="A5" s="276"/>
      <c r="B5" s="276"/>
      <c r="C5" s="276"/>
      <c r="D5" s="276"/>
      <c r="E5" s="837"/>
      <c r="H5" s="5"/>
      <c r="K5" s="484"/>
    </row>
    <row r="6" spans="1:11" s="133" customFormat="1" x14ac:dyDescent="0.2">
      <c r="A6" s="276"/>
      <c r="B6" s="276" t="s">
        <v>640</v>
      </c>
      <c r="C6" s="276" t="s">
        <v>638</v>
      </c>
      <c r="D6" s="276"/>
      <c r="E6" s="837"/>
      <c r="H6" s="5"/>
      <c r="K6" s="484"/>
    </row>
    <row r="7" spans="1:11" s="133" customFormat="1" x14ac:dyDescent="0.2">
      <c r="A7" s="276"/>
      <c r="B7" s="276" t="s">
        <v>641</v>
      </c>
      <c r="C7" s="276" t="s">
        <v>639</v>
      </c>
      <c r="D7" s="276"/>
      <c r="E7" s="837"/>
      <c r="H7" s="5"/>
      <c r="K7" s="484"/>
    </row>
    <row r="8" spans="1:11" s="133" customFormat="1" x14ac:dyDescent="0.2">
      <c r="A8" s="276"/>
      <c r="B8" s="276" t="s">
        <v>643</v>
      </c>
      <c r="C8" s="276" t="s">
        <v>642</v>
      </c>
      <c r="D8" s="276" t="s">
        <v>644</v>
      </c>
      <c r="E8" s="837"/>
      <c r="H8" s="5"/>
      <c r="K8" s="484"/>
    </row>
    <row r="9" spans="1:11" s="133" customFormat="1" ht="13.5" thickBot="1" x14ac:dyDescent="0.25">
      <c r="A9" s="276"/>
      <c r="B9" s="276"/>
      <c r="C9" s="276"/>
      <c r="D9" s="276"/>
      <c r="E9" s="837"/>
      <c r="H9" s="5"/>
      <c r="K9" s="484"/>
    </row>
    <row r="10" spans="1:11" s="133" customFormat="1" ht="19.5" thickBot="1" x14ac:dyDescent="0.35">
      <c r="A10" s="276"/>
      <c r="B10" s="1060" t="s">
        <v>590</v>
      </c>
      <c r="C10" s="1061"/>
      <c r="D10" s="1062"/>
      <c r="E10" s="1063" t="s">
        <v>648</v>
      </c>
      <c r="F10" s="1050" t="s">
        <v>645</v>
      </c>
      <c r="H10" s="5"/>
      <c r="K10" s="484"/>
    </row>
    <row r="11" spans="1:11" s="133" customFormat="1" x14ac:dyDescent="0.2">
      <c r="A11" s="276"/>
      <c r="B11" s="276"/>
      <c r="C11" s="276"/>
      <c r="D11" s="276"/>
      <c r="E11" s="1064"/>
      <c r="H11" s="5"/>
      <c r="K11" s="484"/>
    </row>
    <row r="12" spans="1:11" s="133" customFormat="1" ht="16.5" thickBot="1" x14ac:dyDescent="0.3">
      <c r="A12" s="276"/>
      <c r="B12" s="941" t="s">
        <v>577</v>
      </c>
      <c r="C12" s="276"/>
      <c r="D12" s="276"/>
      <c r="E12" s="942"/>
      <c r="H12" s="5"/>
      <c r="K12" s="484"/>
    </row>
    <row r="13" spans="1:11" s="133" customFormat="1" x14ac:dyDescent="0.2">
      <c r="A13" s="276"/>
      <c r="B13" s="276" t="s">
        <v>578</v>
      </c>
      <c r="C13" s="83">
        <f>Trades_ZSF!N8</f>
        <v>-163774.26999999999</v>
      </c>
      <c r="D13" s="276"/>
      <c r="E13" s="942" t="s">
        <v>580</v>
      </c>
      <c r="H13" s="5"/>
      <c r="K13" s="484"/>
    </row>
    <row r="14" spans="1:11" s="133" customFormat="1" x14ac:dyDescent="0.2">
      <c r="A14" s="276"/>
      <c r="B14" s="937" t="s">
        <v>579</v>
      </c>
      <c r="C14" s="938">
        <f>Trades_ZSF!O8</f>
        <v>152836.41999999998</v>
      </c>
      <c r="D14" s="937"/>
      <c r="E14" s="944" t="s">
        <v>580</v>
      </c>
      <c r="H14" s="5"/>
      <c r="K14" s="484"/>
    </row>
    <row r="15" spans="1:11" s="133" customFormat="1" x14ac:dyDescent="0.2">
      <c r="A15" s="276"/>
      <c r="B15" s="939" t="s">
        <v>80</v>
      </c>
      <c r="C15" s="83">
        <f>SUM(C13:C14)</f>
        <v>-10937.850000000006</v>
      </c>
      <c r="D15" s="276"/>
      <c r="E15" s="943"/>
      <c r="H15" s="5"/>
      <c r="K15" s="484"/>
    </row>
    <row r="16" spans="1:11" s="133" customFormat="1" x14ac:dyDescent="0.2">
      <c r="A16" s="276"/>
      <c r="B16" s="276"/>
      <c r="C16" s="83"/>
      <c r="D16" s="276"/>
      <c r="E16" s="942"/>
      <c r="H16" s="5"/>
      <c r="K16" s="484"/>
    </row>
    <row r="17" spans="1:11" s="133" customFormat="1" x14ac:dyDescent="0.2">
      <c r="A17" s="276"/>
      <c r="B17" s="940" t="s">
        <v>588</v>
      </c>
      <c r="C17" s="938">
        <f>Trades_ZSF!P24</f>
        <v>-8960.9257900000084</v>
      </c>
      <c r="D17" s="937"/>
      <c r="E17" s="944" t="s">
        <v>580</v>
      </c>
      <c r="H17" s="5"/>
      <c r="K17" s="484"/>
    </row>
    <row r="18" spans="1:11" s="133" customFormat="1" x14ac:dyDescent="0.2">
      <c r="A18" s="276"/>
      <c r="B18" s="276"/>
      <c r="C18" s="83"/>
      <c r="D18" s="276"/>
      <c r="E18" s="943"/>
      <c r="H18" s="5"/>
      <c r="K18" s="484"/>
    </row>
    <row r="19" spans="1:11" s="133" customFormat="1" x14ac:dyDescent="0.2">
      <c r="A19" s="276"/>
      <c r="B19" s="937" t="s">
        <v>581</v>
      </c>
      <c r="C19" s="938">
        <f>DIVIDENDS!Z31</f>
        <v>33631.932149999993</v>
      </c>
      <c r="D19" s="937"/>
      <c r="E19" s="944" t="s">
        <v>582</v>
      </c>
      <c r="F19" s="136" t="s">
        <v>646</v>
      </c>
      <c r="H19" s="5"/>
      <c r="K19" s="484"/>
    </row>
    <row r="20" spans="1:11" s="133" customFormat="1" x14ac:dyDescent="0.2">
      <c r="A20" s="276"/>
      <c r="B20" s="276"/>
      <c r="C20" s="83"/>
      <c r="D20" s="276"/>
      <c r="E20" s="950"/>
      <c r="H20" s="5"/>
      <c r="K20" s="484"/>
    </row>
    <row r="21" spans="1:11" s="133" customFormat="1" x14ac:dyDescent="0.2">
      <c r="A21" s="276"/>
      <c r="B21" s="945" t="s">
        <v>583</v>
      </c>
      <c r="C21" s="946">
        <f>DIVIDENDS!AA28</f>
        <v>13931.542350000003</v>
      </c>
      <c r="D21" s="945"/>
      <c r="E21" s="947" t="s">
        <v>582</v>
      </c>
      <c r="H21" s="5"/>
      <c r="K21" s="484"/>
    </row>
    <row r="22" spans="1:11" s="133" customFormat="1" x14ac:dyDescent="0.2">
      <c r="A22" s="276"/>
      <c r="B22" s="276"/>
      <c r="C22" s="83"/>
      <c r="D22" s="276"/>
      <c r="E22" s="943"/>
      <c r="H22" s="5"/>
      <c r="K22" s="484"/>
    </row>
    <row r="23" spans="1:11" x14ac:dyDescent="0.2">
      <c r="B23" s="181" t="s">
        <v>584</v>
      </c>
      <c r="C23" s="83"/>
      <c r="E23" s="942"/>
    </row>
    <row r="24" spans="1:11" x14ac:dyDescent="0.2">
      <c r="B24" s="276" t="s">
        <v>589</v>
      </c>
      <c r="C24" s="83">
        <f>ZSF_Main!I7</f>
        <v>-60000</v>
      </c>
      <c r="E24" s="942" t="s">
        <v>587</v>
      </c>
    </row>
    <row r="25" spans="1:11" x14ac:dyDescent="0.2">
      <c r="B25" s="937" t="s">
        <v>586</v>
      </c>
      <c r="C25" s="938">
        <f>ZSF_Main!P7</f>
        <v>-1595</v>
      </c>
      <c r="D25" s="937"/>
      <c r="E25" s="944" t="s">
        <v>636</v>
      </c>
    </row>
    <row r="26" spans="1:11" s="133" customFormat="1" x14ac:dyDescent="0.2">
      <c r="A26" s="276"/>
      <c r="B26" s="948"/>
      <c r="C26" s="949"/>
      <c r="D26" s="948"/>
      <c r="E26" s="950"/>
      <c r="H26" s="5"/>
      <c r="K26" s="484"/>
    </row>
    <row r="27" spans="1:11" ht="13.5" thickBot="1" x14ac:dyDescent="0.25">
      <c r="C27" s="83"/>
      <c r="E27" s="950"/>
    </row>
    <row r="28" spans="1:11" ht="14.25" thickTop="1" thickBot="1" x14ac:dyDescent="0.25">
      <c r="A28" s="1038"/>
      <c r="B28" s="1038"/>
      <c r="C28" s="1039"/>
      <c r="D28" s="1038"/>
      <c r="E28" s="1040"/>
      <c r="F28" s="1041"/>
    </row>
    <row r="29" spans="1:11" s="133" customFormat="1" ht="13.5" thickTop="1" x14ac:dyDescent="0.2">
      <c r="A29" s="1034"/>
      <c r="B29" s="1034"/>
      <c r="C29" s="1035"/>
      <c r="D29" s="1034"/>
      <c r="E29" s="1036"/>
      <c r="F29" s="1037"/>
      <c r="H29" s="5"/>
      <c r="K29" s="484"/>
    </row>
    <row r="30" spans="1:11" ht="13.5" thickBot="1" x14ac:dyDescent="0.25">
      <c r="C30" s="83"/>
      <c r="E30" s="943"/>
    </row>
    <row r="31" spans="1:11" s="133" customFormat="1" ht="19.5" thickBot="1" x14ac:dyDescent="0.35">
      <c r="A31" s="276"/>
      <c r="B31" s="1060" t="s">
        <v>591</v>
      </c>
      <c r="C31" s="1061"/>
      <c r="D31" s="1061"/>
      <c r="E31" s="942"/>
      <c r="H31" s="5"/>
      <c r="K31" s="484"/>
    </row>
    <row r="32" spans="1:11" x14ac:dyDescent="0.2">
      <c r="C32" s="83"/>
      <c r="E32" s="942"/>
    </row>
    <row r="33" spans="1:11" s="133" customFormat="1" ht="16.5" thickBot="1" x14ac:dyDescent="0.3">
      <c r="A33" s="276"/>
      <c r="B33" s="941" t="s">
        <v>577</v>
      </c>
      <c r="C33" s="276"/>
      <c r="D33" s="276"/>
      <c r="E33" s="942"/>
      <c r="H33" s="5"/>
      <c r="K33" s="484"/>
    </row>
    <row r="34" spans="1:11" s="133" customFormat="1" x14ac:dyDescent="0.2">
      <c r="A34" s="276"/>
      <c r="B34" s="276" t="s">
        <v>578</v>
      </c>
      <c r="C34" s="83">
        <f>Trades_ILANA!N23</f>
        <v>-164848.46</v>
      </c>
      <c r="D34" s="276"/>
      <c r="E34" s="942" t="s">
        <v>592</v>
      </c>
      <c r="H34" s="5"/>
      <c r="K34" s="484"/>
    </row>
    <row r="35" spans="1:11" s="133" customFormat="1" x14ac:dyDescent="0.2">
      <c r="A35" s="276"/>
      <c r="B35" s="937" t="s">
        <v>579</v>
      </c>
      <c r="C35" s="938">
        <f>Trades_ILANA!O23</f>
        <v>159988.01999999999</v>
      </c>
      <c r="D35" s="937"/>
      <c r="E35" s="944" t="s">
        <v>592</v>
      </c>
      <c r="H35" s="5"/>
      <c r="K35" s="484"/>
    </row>
    <row r="36" spans="1:11" s="133" customFormat="1" x14ac:dyDescent="0.2">
      <c r="A36" s="276"/>
      <c r="B36" s="939" t="s">
        <v>80</v>
      </c>
      <c r="C36" s="83">
        <f>SUM(C34:C35)</f>
        <v>-4860.4400000000023</v>
      </c>
      <c r="D36" s="276"/>
      <c r="E36" s="943"/>
      <c r="H36" s="5"/>
      <c r="K36" s="484"/>
    </row>
    <row r="37" spans="1:11" s="133" customFormat="1" x14ac:dyDescent="0.2">
      <c r="A37" s="276"/>
      <c r="B37" s="276"/>
      <c r="C37" s="83"/>
      <c r="D37" s="276"/>
      <c r="E37" s="942"/>
      <c r="H37" s="5"/>
      <c r="K37" s="484"/>
    </row>
    <row r="38" spans="1:11" s="133" customFormat="1" x14ac:dyDescent="0.2">
      <c r="A38" s="276"/>
      <c r="B38" s="940" t="s">
        <v>588</v>
      </c>
      <c r="C38" s="938">
        <f>Trades_ILANA!P48</f>
        <v>1362.7100000000009</v>
      </c>
      <c r="D38" s="938"/>
      <c r="E38" s="944" t="s">
        <v>592</v>
      </c>
      <c r="H38" s="5"/>
      <c r="K38" s="484"/>
    </row>
    <row r="39" spans="1:11" s="133" customFormat="1" x14ac:dyDescent="0.2">
      <c r="A39" s="276"/>
      <c r="B39" s="850"/>
      <c r="C39" s="949"/>
      <c r="D39" s="949"/>
      <c r="E39" s="950"/>
      <c r="H39" s="5"/>
      <c r="K39" s="484"/>
    </row>
    <row r="40" spans="1:11" s="133" customFormat="1" x14ac:dyDescent="0.2">
      <c r="A40" s="276"/>
      <c r="B40" s="937" t="s">
        <v>581</v>
      </c>
      <c r="C40" s="938">
        <f>DIVIDENDS!Z54</f>
        <v>12359.59367</v>
      </c>
      <c r="D40" s="937"/>
      <c r="E40" s="944" t="s">
        <v>582</v>
      </c>
      <c r="F40" s="136" t="s">
        <v>647</v>
      </c>
      <c r="H40" s="5"/>
      <c r="K40" s="484"/>
    </row>
    <row r="41" spans="1:11" s="133" customFormat="1" x14ac:dyDescent="0.2">
      <c r="A41" s="276"/>
      <c r="B41" s="276"/>
      <c r="C41" s="83"/>
      <c r="D41" s="276"/>
      <c r="E41" s="943"/>
      <c r="G41" s="1">
        <f>C21+C42</f>
        <v>19212.369492857149</v>
      </c>
      <c r="H41" s="5"/>
      <c r="K41" s="484"/>
    </row>
    <row r="42" spans="1:11" s="133" customFormat="1" x14ac:dyDescent="0.2">
      <c r="A42" s="276"/>
      <c r="B42" s="945" t="s">
        <v>583</v>
      </c>
      <c r="C42" s="946">
        <f>DIVIDENDS!AA39</f>
        <v>5280.8271428571443</v>
      </c>
      <c r="D42" s="945"/>
      <c r="E42" s="947" t="s">
        <v>582</v>
      </c>
      <c r="H42" s="5"/>
      <c r="K42" s="484"/>
    </row>
    <row r="43" spans="1:11" s="133" customFormat="1" x14ac:dyDescent="0.2">
      <c r="A43" s="276"/>
      <c r="B43" s="276"/>
      <c r="C43" s="83"/>
      <c r="D43" s="276"/>
      <c r="E43" s="950"/>
      <c r="H43" s="5"/>
      <c r="K43" s="484"/>
    </row>
    <row r="44" spans="1:11" s="133" customFormat="1" x14ac:dyDescent="0.2">
      <c r="A44" s="276"/>
      <c r="B44" s="937" t="s">
        <v>594</v>
      </c>
      <c r="C44" s="938">
        <f>ILANA_Main!L6</f>
        <v>3052.6800000000003</v>
      </c>
      <c r="D44" s="937"/>
      <c r="E44" s="944" t="s">
        <v>593</v>
      </c>
      <c r="H44" s="5"/>
      <c r="K44" s="484"/>
    </row>
    <row r="45" spans="1:11" s="133" customFormat="1" x14ac:dyDescent="0.2">
      <c r="A45" s="276"/>
      <c r="B45" s="276"/>
      <c r="C45" s="83"/>
      <c r="D45" s="276"/>
      <c r="E45" s="950"/>
      <c r="H45" s="5"/>
      <c r="K45" s="484"/>
    </row>
    <row r="46" spans="1:11" s="133" customFormat="1" x14ac:dyDescent="0.2">
      <c r="A46" s="276"/>
      <c r="B46" s="937" t="s">
        <v>595</v>
      </c>
      <c r="C46" s="938">
        <v>60000</v>
      </c>
      <c r="D46" s="937"/>
      <c r="E46" s="944" t="s">
        <v>593</v>
      </c>
      <c r="H46" s="5"/>
      <c r="K46" s="484"/>
    </row>
    <row r="47" spans="1:11" s="133" customFormat="1" x14ac:dyDescent="0.2">
      <c r="A47" s="276"/>
      <c r="B47" s="276"/>
      <c r="C47" s="83"/>
      <c r="D47" s="83"/>
      <c r="E47" s="943"/>
      <c r="H47" s="5"/>
      <c r="K47" s="484"/>
    </row>
    <row r="48" spans="1:11" s="133" customFormat="1" x14ac:dyDescent="0.2">
      <c r="A48" s="276"/>
      <c r="B48" s="181" t="s">
        <v>584</v>
      </c>
      <c r="C48" s="83"/>
      <c r="D48" s="276"/>
      <c r="E48" s="942"/>
      <c r="H48" s="5"/>
      <c r="K48" s="484"/>
    </row>
    <row r="49" spans="1:11" s="133" customFormat="1" x14ac:dyDescent="0.2">
      <c r="A49" s="276"/>
      <c r="B49" s="276" t="s">
        <v>586</v>
      </c>
      <c r="C49" s="83">
        <f>-ACTIVITIES!G19</f>
        <v>-440</v>
      </c>
      <c r="D49" s="276"/>
      <c r="E49" s="942" t="s">
        <v>596</v>
      </c>
      <c r="H49" s="5"/>
      <c r="K49" s="484"/>
    </row>
    <row r="50" spans="1:11" x14ac:dyDescent="0.2">
      <c r="B50" s="937" t="s">
        <v>585</v>
      </c>
      <c r="C50" s="938">
        <f>-(ACTIVITIES!G27-ACTIVITIES!G19)</f>
        <v>-126.6099999999999</v>
      </c>
      <c r="D50" s="937"/>
      <c r="E50" s="944" t="s">
        <v>596</v>
      </c>
    </row>
    <row r="51" spans="1:11" x14ac:dyDescent="0.2">
      <c r="C51" s="83">
        <f>SUM(C49:C50)</f>
        <v>-566.6099999999999</v>
      </c>
      <c r="E51" s="943"/>
    </row>
  </sheetData>
  <sheetProtection sheet="1" objects="1" scenarios="1"/>
  <mergeCells count="3">
    <mergeCell ref="B10:D10"/>
    <mergeCell ref="B31:D31"/>
    <mergeCell ref="E10:E11"/>
  </mergeCells>
  <pageMargins left="0.23622047244094491" right="0.23622047244094491" top="0.39370078740157483" bottom="0.35433070866141736" header="0.31496062992125984" footer="0.31496062992125984"/>
  <pageSetup paperSize="9" scale="13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>
      <selection activeCell="C21" sqref="C21"/>
    </sheetView>
  </sheetViews>
  <sheetFormatPr defaultRowHeight="11.25" x14ac:dyDescent="0.2"/>
  <cols>
    <col min="2" max="2" width="4.6640625" customWidth="1"/>
    <col min="3" max="3" width="11.33203125" style="149" customWidth="1"/>
    <col min="4" max="4" width="30.6640625" customWidth="1"/>
    <col min="5" max="5" width="29.6640625" customWidth="1"/>
    <col min="6" max="6" width="18.1640625" customWidth="1"/>
    <col min="7" max="7" width="16.5" style="1" customWidth="1"/>
    <col min="8" max="8" width="26.83203125" customWidth="1"/>
  </cols>
  <sheetData>
    <row r="1" spans="2:8" s="133" customFormat="1" x14ac:dyDescent="0.2">
      <c r="C1" s="149"/>
      <c r="G1" s="1"/>
    </row>
    <row r="2" spans="2:8" s="133" customFormat="1" x14ac:dyDescent="0.2">
      <c r="C2" s="149"/>
      <c r="G2" s="1"/>
    </row>
    <row r="3" spans="2:8" s="133" customFormat="1" x14ac:dyDescent="0.2">
      <c r="C3" s="149"/>
      <c r="G3" s="1"/>
    </row>
    <row r="4" spans="2:8" ht="12" thickBot="1" x14ac:dyDescent="0.25"/>
    <row r="5" spans="2:8" ht="15.75" customHeight="1" x14ac:dyDescent="0.2">
      <c r="D5" s="1130" t="s">
        <v>562</v>
      </c>
      <c r="E5" s="1131"/>
      <c r="F5" s="1132"/>
    </row>
    <row r="6" spans="2:8" ht="12" customHeight="1" thickBot="1" x14ac:dyDescent="0.25">
      <c r="D6" s="1133"/>
      <c r="E6" s="1134"/>
      <c r="F6" s="1135"/>
    </row>
    <row r="7" spans="2:8" ht="15.75" x14ac:dyDescent="0.25">
      <c r="E7" s="534"/>
    </row>
    <row r="8" spans="2:8" ht="12" thickBot="1" x14ac:dyDescent="0.25"/>
    <row r="9" spans="2:8" x14ac:dyDescent="0.2">
      <c r="B9" s="229"/>
      <c r="C9" s="237"/>
      <c r="D9" s="230"/>
      <c r="E9" s="230"/>
      <c r="F9" s="230" t="s">
        <v>56</v>
      </c>
      <c r="G9" s="235"/>
      <c r="H9" s="231"/>
    </row>
    <row r="10" spans="2:8" ht="12" thickBot="1" x14ac:dyDescent="0.25">
      <c r="B10" s="232" t="s">
        <v>14</v>
      </c>
      <c r="C10" s="238" t="s">
        <v>13</v>
      </c>
      <c r="D10" s="233" t="s">
        <v>57</v>
      </c>
      <c r="E10" s="233" t="s">
        <v>58</v>
      </c>
      <c r="F10" s="233" t="s">
        <v>59</v>
      </c>
      <c r="G10" s="236" t="s">
        <v>51</v>
      </c>
      <c r="H10" s="234" t="s">
        <v>60</v>
      </c>
    </row>
    <row r="11" spans="2:8" s="133" customFormat="1" ht="12" thickTop="1" x14ac:dyDescent="0.2">
      <c r="B11" s="2"/>
      <c r="C11" s="158"/>
      <c r="D11" s="2"/>
      <c r="E11" s="2"/>
      <c r="F11" s="2"/>
      <c r="G11" s="3"/>
      <c r="H11" s="2"/>
    </row>
    <row r="12" spans="2:8" ht="12" thickBot="1" x14ac:dyDescent="0.25">
      <c r="C12" s="482" t="s">
        <v>290</v>
      </c>
    </row>
    <row r="13" spans="2:8" x14ac:dyDescent="0.2">
      <c r="B13" s="87"/>
      <c r="C13" s="201"/>
      <c r="D13" s="88"/>
      <c r="E13" s="88"/>
      <c r="F13" s="88"/>
      <c r="G13" s="64"/>
      <c r="H13" s="89"/>
    </row>
    <row r="14" spans="2:8" s="776" customFormat="1" thickBot="1" x14ac:dyDescent="0.2">
      <c r="B14" s="777">
        <v>1</v>
      </c>
      <c r="C14" s="778">
        <v>44036</v>
      </c>
      <c r="D14" s="779" t="s">
        <v>563</v>
      </c>
      <c r="E14" s="779" t="s">
        <v>274</v>
      </c>
      <c r="F14" s="779" t="s">
        <v>288</v>
      </c>
      <c r="G14" s="780">
        <v>-1595</v>
      </c>
      <c r="H14" s="781" t="s">
        <v>374</v>
      </c>
    </row>
    <row r="15" spans="2:8" s="2" customFormat="1" ht="13.5" thickBot="1" x14ac:dyDescent="0.25">
      <c r="C15" s="156"/>
      <c r="D15" s="28"/>
      <c r="E15" s="28"/>
      <c r="F15" s="28"/>
      <c r="G15" s="910">
        <f>SUM(G14)</f>
        <v>-1595</v>
      </c>
      <c r="H15" s="28"/>
    </row>
    <row r="16" spans="2:8" s="2" customFormat="1" x14ac:dyDescent="0.2"/>
    <row r="17" spans="2:8" s="2" customFormat="1" x14ac:dyDescent="0.2">
      <c r="B17" s="480"/>
      <c r="C17" s="483" t="s">
        <v>275</v>
      </c>
      <c r="D17" s="481"/>
      <c r="E17" s="481"/>
      <c r="F17" s="481"/>
      <c r="G17" s="477"/>
      <c r="H17" s="481"/>
    </row>
    <row r="18" spans="2:8" s="776" customFormat="1" x14ac:dyDescent="0.2">
      <c r="B18" s="53"/>
      <c r="C18" s="479"/>
      <c r="D18" s="60"/>
      <c r="E18" s="60"/>
      <c r="F18" s="60"/>
      <c r="G18" s="138"/>
      <c r="H18" s="224"/>
    </row>
    <row r="19" spans="2:8" s="776" customFormat="1" ht="10.5" x14ac:dyDescent="0.15">
      <c r="B19" s="772">
        <v>2</v>
      </c>
      <c r="C19" s="773">
        <v>44036</v>
      </c>
      <c r="D19" s="774" t="s">
        <v>564</v>
      </c>
      <c r="E19" s="774" t="s">
        <v>274</v>
      </c>
      <c r="F19" s="774" t="s">
        <v>289</v>
      </c>
      <c r="G19" s="530">
        <v>440</v>
      </c>
      <c r="H19" s="775" t="s">
        <v>373</v>
      </c>
    </row>
    <row r="20" spans="2:8" s="776" customFormat="1" ht="10.5" x14ac:dyDescent="0.15">
      <c r="B20" s="772"/>
      <c r="C20" s="773"/>
      <c r="D20" s="774"/>
      <c r="E20" s="774"/>
      <c r="F20" s="774"/>
      <c r="G20" s="530"/>
      <c r="H20" s="775"/>
    </row>
    <row r="21" spans="2:8" s="776" customFormat="1" ht="10.5" x14ac:dyDescent="0.15">
      <c r="B21" s="772"/>
      <c r="C21" s="934">
        <v>44238</v>
      </c>
      <c r="D21" s="776" t="s">
        <v>565</v>
      </c>
      <c r="E21" s="774" t="s">
        <v>566</v>
      </c>
      <c r="F21" s="774" t="s">
        <v>567</v>
      </c>
      <c r="G21" s="530">
        <v>12.33</v>
      </c>
      <c r="H21" s="775" t="s">
        <v>568</v>
      </c>
    </row>
    <row r="22" spans="2:8" s="776" customFormat="1" ht="10.5" x14ac:dyDescent="0.15">
      <c r="B22" s="772"/>
      <c r="C22" s="773">
        <v>44102</v>
      </c>
      <c r="D22" s="774" t="s">
        <v>569</v>
      </c>
      <c r="E22" s="774" t="s">
        <v>566</v>
      </c>
      <c r="F22" s="774" t="s">
        <v>61</v>
      </c>
      <c r="G22" s="530">
        <v>26</v>
      </c>
      <c r="H22" s="775" t="s">
        <v>568</v>
      </c>
    </row>
    <row r="23" spans="2:8" s="776" customFormat="1" ht="10.5" x14ac:dyDescent="0.15">
      <c r="B23" s="772"/>
      <c r="C23" s="773">
        <v>44260</v>
      </c>
      <c r="D23" s="530" t="s">
        <v>570</v>
      </c>
      <c r="E23" s="774" t="s">
        <v>566</v>
      </c>
      <c r="F23" s="774" t="s">
        <v>61</v>
      </c>
      <c r="G23" s="530">
        <v>25.5</v>
      </c>
      <c r="H23" s="775" t="s">
        <v>568</v>
      </c>
    </row>
    <row r="24" spans="2:8" s="776" customFormat="1" ht="10.5" x14ac:dyDescent="0.15">
      <c r="B24" s="772"/>
      <c r="C24" s="773">
        <v>44175</v>
      </c>
      <c r="D24" s="776" t="s">
        <v>572</v>
      </c>
      <c r="E24" s="774" t="s">
        <v>571</v>
      </c>
      <c r="F24" s="774" t="s">
        <v>61</v>
      </c>
      <c r="G24" s="43">
        <v>30</v>
      </c>
      <c r="H24" s="775" t="s">
        <v>573</v>
      </c>
    </row>
    <row r="25" spans="2:8" s="776" customFormat="1" ht="10.5" x14ac:dyDescent="0.15">
      <c r="B25" s="772"/>
      <c r="C25" s="773">
        <v>44017</v>
      </c>
      <c r="D25" s="774" t="s">
        <v>574</v>
      </c>
      <c r="E25" s="774" t="s">
        <v>575</v>
      </c>
      <c r="F25" s="774" t="s">
        <v>61</v>
      </c>
      <c r="G25" s="530">
        <v>32.78</v>
      </c>
      <c r="H25" s="775" t="s">
        <v>576</v>
      </c>
    </row>
    <row r="26" spans="2:8" s="776" customFormat="1" thickBot="1" x14ac:dyDescent="0.2">
      <c r="B26" s="777"/>
      <c r="C26" s="778"/>
      <c r="D26" s="779"/>
      <c r="E26" s="779"/>
      <c r="F26" s="779"/>
      <c r="G26" s="780"/>
      <c r="H26" s="781"/>
    </row>
    <row r="27" spans="2:8" s="776" customFormat="1" ht="13.5" thickBot="1" x14ac:dyDescent="0.25">
      <c r="C27" s="935"/>
      <c r="G27" s="936">
        <f>SUM(G19:G26)</f>
        <v>566.6099999999999</v>
      </c>
    </row>
    <row r="28" spans="2:8" s="776" customFormat="1" ht="10.5" x14ac:dyDescent="0.15">
      <c r="C28" s="935"/>
      <c r="G28" s="43"/>
    </row>
  </sheetData>
  <sheetProtection sheet="1" objects="1" scenarios="1"/>
  <mergeCells count="1">
    <mergeCell ref="D5:F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workbookViewId="0">
      <selection activeCell="P46" sqref="P46"/>
    </sheetView>
  </sheetViews>
  <sheetFormatPr defaultRowHeight="11.25" x14ac:dyDescent="0.2"/>
  <cols>
    <col min="5" max="5" width="10" style="149" bestFit="1" customWidth="1"/>
    <col min="13" max="13" width="3.1640625" customWidth="1"/>
  </cols>
  <sheetData/>
  <sortState ref="A5:AL47">
    <sortCondition descending="1" ref="E5:E47"/>
  </sortState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workbookViewId="0">
      <selection activeCell="E2" sqref="E2"/>
    </sheetView>
  </sheetViews>
  <sheetFormatPr defaultRowHeight="11.25" x14ac:dyDescent="0.2"/>
  <cols>
    <col min="1" max="1" width="10.83203125" customWidth="1"/>
    <col min="2" max="2" width="83.83203125" customWidth="1"/>
    <col min="3" max="3" width="9.33203125" style="5" customWidth="1"/>
    <col min="4" max="4" width="7.5" customWidth="1"/>
    <col min="5" max="5" width="7.6640625" customWidth="1"/>
    <col min="6" max="6" width="8.5" customWidth="1"/>
    <col min="7" max="7" width="10.5" customWidth="1"/>
    <col min="8" max="12" width="8.83203125" style="133" customWidth="1"/>
    <col min="13" max="13" width="11" customWidth="1"/>
    <col min="14" max="14" width="16.33203125" customWidth="1"/>
    <col min="15" max="21" width="11.83203125" customWidth="1"/>
  </cols>
  <sheetData>
    <row r="1" spans="1:14" s="133" customFormat="1" x14ac:dyDescent="0.2">
      <c r="C1" s="5"/>
    </row>
    <row r="2" spans="1:14" s="133" customFormat="1" x14ac:dyDescent="0.2">
      <c r="C2" s="5"/>
    </row>
    <row r="3" spans="1:14" s="133" customFormat="1" x14ac:dyDescent="0.2">
      <c r="C3" s="5"/>
    </row>
    <row r="4" spans="1:14" s="133" customFormat="1" ht="15.75" customHeight="1" x14ac:dyDescent="0.2">
      <c r="B4" s="1065" t="s">
        <v>598</v>
      </c>
      <c r="C4" s="1066"/>
      <c r="D4" s="1066"/>
      <c r="E4" s="1066"/>
      <c r="F4" s="1066"/>
      <c r="G4" s="1067"/>
    </row>
    <row r="5" spans="1:14" s="133" customFormat="1" ht="12" thickBot="1" x14ac:dyDescent="0.25">
      <c r="C5" s="5"/>
    </row>
    <row r="6" spans="1:14" s="842" customFormat="1" ht="33" customHeight="1" thickBot="1" x14ac:dyDescent="0.25">
      <c r="A6" s="839" t="s">
        <v>101</v>
      </c>
      <c r="B6" s="840" t="s">
        <v>381</v>
      </c>
      <c r="C6" s="840" t="s">
        <v>3</v>
      </c>
      <c r="D6" s="840" t="s">
        <v>382</v>
      </c>
      <c r="E6" s="843" t="s">
        <v>383</v>
      </c>
      <c r="F6" s="843" t="s">
        <v>384</v>
      </c>
      <c r="G6" s="843" t="s">
        <v>385</v>
      </c>
      <c r="H6" s="843" t="s">
        <v>386</v>
      </c>
      <c r="I6" s="843" t="s">
        <v>387</v>
      </c>
      <c r="J6" s="843" t="s">
        <v>388</v>
      </c>
      <c r="K6" s="843" t="s">
        <v>389</v>
      </c>
      <c r="L6" s="843" t="s">
        <v>390</v>
      </c>
      <c r="M6" s="843" t="s">
        <v>391</v>
      </c>
      <c r="N6" s="841" t="s">
        <v>392</v>
      </c>
    </row>
    <row r="7" spans="1:14" s="133" customFormat="1" x14ac:dyDescent="0.2">
      <c r="C7" s="5"/>
    </row>
    <row r="8" spans="1:14" s="133" customFormat="1" ht="16.5" thickBot="1" x14ac:dyDescent="0.3">
      <c r="A8" s="213"/>
      <c r="B8" s="838" t="s">
        <v>399</v>
      </c>
      <c r="C8" s="599"/>
      <c r="D8" s="836"/>
      <c r="E8" s="213"/>
      <c r="F8" s="213"/>
      <c r="G8" s="213"/>
      <c r="H8" s="213"/>
      <c r="I8" s="213"/>
      <c r="J8" s="213"/>
      <c r="K8" s="213"/>
      <c r="L8" s="213"/>
      <c r="M8" s="2"/>
      <c r="N8" s="213"/>
    </row>
    <row r="9" spans="1:14" s="133" customFormat="1" x14ac:dyDescent="0.2">
      <c r="A9" s="87"/>
      <c r="B9" s="88"/>
      <c r="C9" s="200"/>
      <c r="D9" s="88"/>
      <c r="E9" s="88"/>
      <c r="F9" s="88"/>
      <c r="G9" s="88"/>
      <c r="H9" s="88"/>
      <c r="I9" s="88"/>
      <c r="J9" s="88"/>
      <c r="K9" s="88"/>
      <c r="L9" s="88"/>
      <c r="M9" s="88"/>
      <c r="N9" s="132"/>
    </row>
    <row r="10" spans="1:14" s="133" customFormat="1" x14ac:dyDescent="0.2">
      <c r="A10" s="121">
        <v>3074738</v>
      </c>
      <c r="B10" s="84" t="s">
        <v>393</v>
      </c>
      <c r="C10" s="166" t="s">
        <v>46</v>
      </c>
      <c r="D10" s="84">
        <v>7.0000000000000007E-2</v>
      </c>
      <c r="E10" s="84" t="s">
        <v>394</v>
      </c>
      <c r="F10" s="84"/>
      <c r="G10" s="84">
        <v>197390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197390</v>
      </c>
      <c r="N10" s="273">
        <v>13817.3</v>
      </c>
    </row>
    <row r="11" spans="1:14" s="133" customFormat="1" x14ac:dyDescent="0.2">
      <c r="A11" s="121">
        <v>3074738</v>
      </c>
      <c r="B11" s="84" t="s">
        <v>393</v>
      </c>
      <c r="C11" s="166" t="s">
        <v>95</v>
      </c>
      <c r="D11" s="84">
        <v>1.6E-2</v>
      </c>
      <c r="E11" s="84" t="s">
        <v>394</v>
      </c>
      <c r="F11" s="84"/>
      <c r="G11" s="84">
        <v>48695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48695</v>
      </c>
      <c r="N11" s="273">
        <v>779.12</v>
      </c>
    </row>
    <row r="12" spans="1:14" s="133" customFormat="1" x14ac:dyDescent="0.2">
      <c r="A12" s="121">
        <v>3074738</v>
      </c>
      <c r="B12" s="84" t="s">
        <v>393</v>
      </c>
      <c r="C12" s="166" t="s">
        <v>0</v>
      </c>
      <c r="D12" s="84">
        <v>28.15</v>
      </c>
      <c r="E12" s="84" t="s">
        <v>394</v>
      </c>
      <c r="F12" s="84"/>
      <c r="G12" s="84">
        <v>5000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5000</v>
      </c>
      <c r="N12" s="273">
        <v>140750</v>
      </c>
    </row>
    <row r="13" spans="1:14" s="133" customFormat="1" x14ac:dyDescent="0.2">
      <c r="A13" s="121">
        <v>3074738</v>
      </c>
      <c r="B13" s="84" t="s">
        <v>393</v>
      </c>
      <c r="C13" s="166" t="s">
        <v>30</v>
      </c>
      <c r="D13" s="84">
        <v>99.87</v>
      </c>
      <c r="E13" s="84" t="s">
        <v>394</v>
      </c>
      <c r="F13" s="84"/>
      <c r="G13" s="84">
        <v>2500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2500</v>
      </c>
      <c r="N13" s="273">
        <v>249675</v>
      </c>
    </row>
    <row r="14" spans="1:14" s="133" customFormat="1" x14ac:dyDescent="0.2">
      <c r="A14" s="121">
        <v>3074738</v>
      </c>
      <c r="B14" s="84" t="s">
        <v>393</v>
      </c>
      <c r="C14" s="166" t="s">
        <v>31</v>
      </c>
      <c r="D14" s="84">
        <v>156.43</v>
      </c>
      <c r="E14" s="84" t="s">
        <v>394</v>
      </c>
      <c r="F14" s="84"/>
      <c r="G14" s="84">
        <v>500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500</v>
      </c>
      <c r="N14" s="273">
        <v>78215</v>
      </c>
    </row>
    <row r="15" spans="1:14" s="133" customFormat="1" x14ac:dyDescent="0.2">
      <c r="A15" s="121">
        <v>3074738</v>
      </c>
      <c r="B15" s="84" t="s">
        <v>393</v>
      </c>
      <c r="C15" s="166" t="s">
        <v>7</v>
      </c>
      <c r="D15" s="84">
        <v>26.22</v>
      </c>
      <c r="E15" s="84" t="s">
        <v>394</v>
      </c>
      <c r="F15" s="84"/>
      <c r="G15" s="84">
        <v>6000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6000</v>
      </c>
      <c r="N15" s="273">
        <v>157320</v>
      </c>
    </row>
    <row r="16" spans="1:14" s="133" customFormat="1" x14ac:dyDescent="0.2">
      <c r="A16" s="121">
        <v>3074738</v>
      </c>
      <c r="B16" s="84" t="s">
        <v>393</v>
      </c>
      <c r="C16" s="166" t="s">
        <v>8</v>
      </c>
      <c r="D16" s="84">
        <v>10.79</v>
      </c>
      <c r="E16" s="84" t="s">
        <v>394</v>
      </c>
      <c r="F16" s="84"/>
      <c r="G16" s="84">
        <v>5000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5000</v>
      </c>
      <c r="N16" s="273">
        <v>53950</v>
      </c>
    </row>
    <row r="17" spans="1:14" s="133" customFormat="1" x14ac:dyDescent="0.2">
      <c r="A17" s="121">
        <v>3074738</v>
      </c>
      <c r="B17" s="84" t="s">
        <v>393</v>
      </c>
      <c r="C17" s="166" t="s">
        <v>97</v>
      </c>
      <c r="D17" s="84">
        <v>62.95</v>
      </c>
      <c r="E17" s="84" t="s">
        <v>394</v>
      </c>
      <c r="F17" s="84"/>
      <c r="G17" s="84">
        <v>1000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1000</v>
      </c>
      <c r="N17" s="273">
        <v>62950</v>
      </c>
    </row>
    <row r="18" spans="1:14" s="133" customFormat="1" x14ac:dyDescent="0.2">
      <c r="A18" s="121">
        <v>3074738</v>
      </c>
      <c r="B18" s="84" t="s">
        <v>393</v>
      </c>
      <c r="C18" s="166" t="s">
        <v>9</v>
      </c>
      <c r="D18" s="84">
        <v>104.69</v>
      </c>
      <c r="E18" s="84" t="s">
        <v>394</v>
      </c>
      <c r="F18" s="84"/>
      <c r="G18" s="84">
        <v>1800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1800</v>
      </c>
      <c r="N18" s="273">
        <v>188442</v>
      </c>
    </row>
    <row r="19" spans="1:14" s="133" customFormat="1" x14ac:dyDescent="0.2">
      <c r="A19" s="121">
        <v>3074738</v>
      </c>
      <c r="B19" s="84" t="s">
        <v>393</v>
      </c>
      <c r="C19" s="166" t="s">
        <v>10</v>
      </c>
      <c r="D19" s="84">
        <v>3.76</v>
      </c>
      <c r="E19" s="84" t="s">
        <v>394</v>
      </c>
      <c r="F19" s="84"/>
      <c r="G19" s="84">
        <v>40000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40000</v>
      </c>
      <c r="N19" s="959">
        <v>150400</v>
      </c>
    </row>
    <row r="20" spans="1:14" s="133" customFormat="1" x14ac:dyDescent="0.2">
      <c r="A20" s="121">
        <v>3074738</v>
      </c>
      <c r="B20" s="84" t="s">
        <v>393</v>
      </c>
      <c r="C20" s="166" t="s">
        <v>11</v>
      </c>
      <c r="D20" s="84">
        <v>25.81</v>
      </c>
      <c r="E20" s="84" t="s">
        <v>394</v>
      </c>
      <c r="F20" s="84"/>
      <c r="G20" s="84">
        <v>6000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6000</v>
      </c>
      <c r="N20" s="273">
        <v>154860</v>
      </c>
    </row>
    <row r="21" spans="1:14" s="133" customFormat="1" x14ac:dyDescent="0.2">
      <c r="A21" s="121">
        <v>3074738</v>
      </c>
      <c r="B21" s="84" t="s">
        <v>393</v>
      </c>
      <c r="C21" s="166" t="s">
        <v>33</v>
      </c>
      <c r="D21" s="84">
        <v>22.21</v>
      </c>
      <c r="E21" s="84" t="s">
        <v>394</v>
      </c>
      <c r="F21" s="84"/>
      <c r="G21" s="84">
        <v>3000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3000</v>
      </c>
      <c r="N21" s="273">
        <v>66630</v>
      </c>
    </row>
    <row r="22" spans="1:14" s="133" customFormat="1" ht="12" thickBot="1" x14ac:dyDescent="0.25">
      <c r="A22" s="92"/>
      <c r="B22" s="141"/>
      <c r="C22" s="163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7"/>
    </row>
    <row r="23" spans="1:14" s="276" customFormat="1" ht="12.75" x14ac:dyDescent="0.2">
      <c r="C23" s="837"/>
      <c r="N23" s="83">
        <f>SUM(N10:N22)</f>
        <v>1317788.42</v>
      </c>
    </row>
    <row r="24" spans="1:14" s="133" customFormat="1" x14ac:dyDescent="0.2">
      <c r="C24" s="5"/>
    </row>
    <row r="25" spans="1:14" s="133" customFormat="1" ht="16.5" thickBot="1" x14ac:dyDescent="0.3">
      <c r="A25" s="2"/>
      <c r="B25" s="838" t="s">
        <v>400</v>
      </c>
      <c r="C25" s="599"/>
      <c r="D25" s="836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33" customFormat="1" x14ac:dyDescent="0.2">
      <c r="A26" s="87"/>
      <c r="B26" s="88"/>
      <c r="C26" s="200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</row>
    <row r="27" spans="1:14" s="133" customFormat="1" x14ac:dyDescent="0.2">
      <c r="A27" s="121">
        <v>3221898</v>
      </c>
      <c r="B27" s="84" t="s">
        <v>396</v>
      </c>
      <c r="C27" s="166" t="s">
        <v>0</v>
      </c>
      <c r="D27" s="84">
        <v>28.15</v>
      </c>
      <c r="E27" s="84" t="s">
        <v>394</v>
      </c>
      <c r="F27" s="84"/>
      <c r="G27" s="84">
        <v>4000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4000</v>
      </c>
      <c r="N27" s="273">
        <v>112600</v>
      </c>
    </row>
    <row r="28" spans="1:14" s="133" customFormat="1" x14ac:dyDescent="0.2">
      <c r="A28" s="53">
        <v>3221898</v>
      </c>
      <c r="B28" s="137" t="s">
        <v>396</v>
      </c>
      <c r="C28" s="159" t="s">
        <v>30</v>
      </c>
      <c r="D28" s="137">
        <v>99.87</v>
      </c>
      <c r="E28" s="137" t="s">
        <v>394</v>
      </c>
      <c r="F28" s="137"/>
      <c r="G28" s="137">
        <v>2000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2000</v>
      </c>
      <c r="N28" s="139">
        <v>199740</v>
      </c>
    </row>
    <row r="29" spans="1:14" s="133" customFormat="1" x14ac:dyDescent="0.2">
      <c r="A29" s="53">
        <v>3221898</v>
      </c>
      <c r="B29" s="137" t="s">
        <v>396</v>
      </c>
      <c r="C29" s="159" t="s">
        <v>7</v>
      </c>
      <c r="D29" s="137">
        <v>26.22</v>
      </c>
      <c r="E29" s="137" t="s">
        <v>394</v>
      </c>
      <c r="F29" s="137"/>
      <c r="G29" s="137">
        <v>3000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3000</v>
      </c>
      <c r="N29" s="139">
        <v>78660</v>
      </c>
    </row>
    <row r="30" spans="1:14" s="133" customFormat="1" x14ac:dyDescent="0.2">
      <c r="A30" s="53">
        <v>3221898</v>
      </c>
      <c r="B30" s="137" t="s">
        <v>396</v>
      </c>
      <c r="C30" s="159" t="s">
        <v>8</v>
      </c>
      <c r="D30" s="137">
        <v>10.79</v>
      </c>
      <c r="E30" s="137" t="s">
        <v>394</v>
      </c>
      <c r="F30" s="137"/>
      <c r="G30" s="137">
        <v>1000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1000</v>
      </c>
      <c r="N30" s="139">
        <v>10790</v>
      </c>
    </row>
    <row r="31" spans="1:14" s="133" customFormat="1" x14ac:dyDescent="0.2">
      <c r="A31" s="53">
        <v>3221898</v>
      </c>
      <c r="B31" s="137" t="s">
        <v>396</v>
      </c>
      <c r="C31" s="159" t="s">
        <v>11</v>
      </c>
      <c r="D31" s="137">
        <v>25.81</v>
      </c>
      <c r="E31" s="137" t="s">
        <v>394</v>
      </c>
      <c r="F31" s="137"/>
      <c r="G31" s="137">
        <v>3000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3000</v>
      </c>
      <c r="N31" s="139">
        <v>77430</v>
      </c>
    </row>
    <row r="32" spans="1:14" s="133" customFormat="1" x14ac:dyDescent="0.2">
      <c r="A32" s="53">
        <v>3221898</v>
      </c>
      <c r="B32" s="137" t="s">
        <v>396</v>
      </c>
      <c r="C32" s="159" t="s">
        <v>37</v>
      </c>
      <c r="D32" s="137">
        <v>38.130000000000003</v>
      </c>
      <c r="E32" s="137" t="s">
        <v>394</v>
      </c>
      <c r="F32" s="137"/>
      <c r="G32" s="137">
        <v>1000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1000</v>
      </c>
      <c r="N32" s="139">
        <v>38130</v>
      </c>
    </row>
    <row r="33" spans="1:17" s="133" customFormat="1" x14ac:dyDescent="0.2">
      <c r="A33" s="53">
        <v>3221898</v>
      </c>
      <c r="B33" s="137" t="s">
        <v>396</v>
      </c>
      <c r="C33" s="159" t="s">
        <v>33</v>
      </c>
      <c r="D33" s="137">
        <v>22.21</v>
      </c>
      <c r="E33" s="137" t="s">
        <v>394</v>
      </c>
      <c r="F33" s="137"/>
      <c r="G33" s="137">
        <v>1000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1000</v>
      </c>
      <c r="N33" s="139">
        <v>22210</v>
      </c>
    </row>
    <row r="34" spans="1:17" s="133" customFormat="1" ht="12" thickBot="1" x14ac:dyDescent="0.25">
      <c r="A34" s="92"/>
      <c r="B34" s="141"/>
      <c r="C34" s="163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94"/>
    </row>
    <row r="35" spans="1:17" s="276" customFormat="1" ht="12.75" x14ac:dyDescent="0.2">
      <c r="C35" s="837"/>
      <c r="N35" s="83">
        <f>SUM(N27:N34)</f>
        <v>539560</v>
      </c>
    </row>
    <row r="36" spans="1:17" s="133" customFormat="1" x14ac:dyDescent="0.2">
      <c r="C36" s="5"/>
    </row>
    <row r="37" spans="1:17" s="133" customFormat="1" ht="15.75" x14ac:dyDescent="0.25">
      <c r="C37" s="5"/>
      <c r="K37" s="1068" t="s">
        <v>402</v>
      </c>
      <c r="L37" s="1068"/>
      <c r="M37" s="1068"/>
      <c r="N37" s="171">
        <f>N23+N35</f>
        <v>1857348.42</v>
      </c>
    </row>
    <row r="38" spans="1:17" s="133" customFormat="1" x14ac:dyDescent="0.2">
      <c r="C38" s="5"/>
    </row>
    <row r="39" spans="1:17" s="133" customFormat="1" x14ac:dyDescent="0.2">
      <c r="C39" s="5"/>
    </row>
    <row r="40" spans="1:17" s="133" customFormat="1" x14ac:dyDescent="0.2">
      <c r="A40" s="888"/>
      <c r="B40" s="888"/>
      <c r="C40" s="889"/>
      <c r="D40" s="888"/>
      <c r="E40" s="888"/>
      <c r="F40" s="888"/>
      <c r="G40" s="888"/>
      <c r="H40" s="888"/>
      <c r="I40" s="888"/>
      <c r="J40" s="888"/>
      <c r="K40" s="888"/>
      <c r="L40" s="888"/>
      <c r="M40" s="888"/>
      <c r="N40" s="888"/>
      <c r="O40" s="888"/>
      <c r="P40" s="888"/>
      <c r="Q40" s="888"/>
    </row>
    <row r="41" spans="1:17" s="133" customFormat="1" x14ac:dyDescent="0.2">
      <c r="C41" s="5"/>
    </row>
    <row r="42" spans="1:17" s="133" customFormat="1" x14ac:dyDescent="0.2">
      <c r="C42" s="5"/>
    </row>
    <row r="43" spans="1:17" s="133" customFormat="1" ht="15.75" customHeight="1" x14ac:dyDescent="0.2">
      <c r="B43" s="1065" t="s">
        <v>398</v>
      </c>
      <c r="C43" s="1066"/>
      <c r="D43" s="1066"/>
      <c r="E43" s="1066"/>
      <c r="F43" s="1066"/>
      <c r="G43" s="1067"/>
    </row>
    <row r="44" spans="1:17" s="133" customFormat="1" ht="12" thickBot="1" x14ac:dyDescent="0.25">
      <c r="C44" s="5"/>
    </row>
    <row r="45" spans="1:17" s="842" customFormat="1" ht="33" customHeight="1" thickBot="1" x14ac:dyDescent="0.25">
      <c r="A45" s="839" t="s">
        <v>101</v>
      </c>
      <c r="B45" s="840" t="s">
        <v>381</v>
      </c>
      <c r="C45" s="840" t="s">
        <v>3</v>
      </c>
      <c r="D45" s="840" t="s">
        <v>382</v>
      </c>
      <c r="E45" s="840" t="s">
        <v>383</v>
      </c>
      <c r="F45" s="840" t="s">
        <v>384</v>
      </c>
      <c r="G45" s="843" t="s">
        <v>385</v>
      </c>
      <c r="H45" s="843" t="s">
        <v>386</v>
      </c>
      <c r="I45" s="843" t="s">
        <v>387</v>
      </c>
      <c r="J45" s="843" t="s">
        <v>388</v>
      </c>
      <c r="K45" s="843" t="s">
        <v>389</v>
      </c>
      <c r="L45" s="843" t="s">
        <v>390</v>
      </c>
      <c r="M45" s="840" t="s">
        <v>391</v>
      </c>
      <c r="N45" s="841" t="s">
        <v>392</v>
      </c>
    </row>
    <row r="46" spans="1:17" s="133" customFormat="1" x14ac:dyDescent="0.2">
      <c r="C46" s="5"/>
    </row>
    <row r="47" spans="1:17" s="133" customFormat="1" ht="16.5" thickBot="1" x14ac:dyDescent="0.3">
      <c r="A47" s="213"/>
      <c r="B47" s="838" t="s">
        <v>399</v>
      </c>
      <c r="C47" s="599"/>
      <c r="D47" s="836"/>
      <c r="E47" s="213"/>
      <c r="F47" s="213"/>
      <c r="G47" s="213"/>
      <c r="H47" s="213"/>
      <c r="I47" s="213"/>
      <c r="J47" s="213"/>
      <c r="K47" s="213"/>
      <c r="L47" s="213"/>
      <c r="M47" s="2"/>
      <c r="N47" s="213"/>
    </row>
    <row r="48" spans="1:17" s="133" customFormat="1" x14ac:dyDescent="0.2">
      <c r="A48" s="87">
        <v>3074738</v>
      </c>
      <c r="B48" s="88" t="s">
        <v>393</v>
      </c>
      <c r="C48" s="200" t="s">
        <v>46</v>
      </c>
      <c r="D48" s="88">
        <v>6.0999999999999999E-2</v>
      </c>
      <c r="E48" s="88" t="s">
        <v>394</v>
      </c>
      <c r="F48" s="88"/>
      <c r="G48" s="88">
        <v>197390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197390</v>
      </c>
      <c r="N48" s="132">
        <v>12040.79</v>
      </c>
    </row>
    <row r="49" spans="1:14" s="133" customFormat="1" x14ac:dyDescent="0.2">
      <c r="A49" s="53">
        <v>3074738</v>
      </c>
      <c r="B49" s="137" t="s">
        <v>393</v>
      </c>
      <c r="C49" s="159" t="s">
        <v>95</v>
      </c>
      <c r="D49" s="137">
        <v>1.4E-2</v>
      </c>
      <c r="E49" s="137" t="s">
        <v>394</v>
      </c>
      <c r="F49" s="137"/>
      <c r="G49" s="137">
        <v>48695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48695</v>
      </c>
      <c r="N49" s="91">
        <v>681.73</v>
      </c>
    </row>
    <row r="50" spans="1:14" s="133" customFormat="1" x14ac:dyDescent="0.2">
      <c r="A50" s="53">
        <v>3074738</v>
      </c>
      <c r="B50" s="137" t="s">
        <v>393</v>
      </c>
      <c r="C50" s="159" t="s">
        <v>0</v>
      </c>
      <c r="D50" s="137">
        <v>18.64</v>
      </c>
      <c r="E50" s="137" t="s">
        <v>394</v>
      </c>
      <c r="F50" s="137"/>
      <c r="G50" s="137">
        <v>3000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3000</v>
      </c>
      <c r="N50" s="139">
        <v>55920</v>
      </c>
    </row>
    <row r="51" spans="1:14" s="133" customFormat="1" x14ac:dyDescent="0.2">
      <c r="A51" s="53">
        <v>3074738</v>
      </c>
      <c r="B51" s="137" t="s">
        <v>393</v>
      </c>
      <c r="C51" s="159" t="s">
        <v>30</v>
      </c>
      <c r="D51" s="137">
        <v>69.42</v>
      </c>
      <c r="E51" s="137" t="s">
        <v>394</v>
      </c>
      <c r="F51" s="137"/>
      <c r="G51" s="137">
        <v>2500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2500</v>
      </c>
      <c r="N51" s="139">
        <v>173550</v>
      </c>
    </row>
    <row r="52" spans="1:14" s="133" customFormat="1" x14ac:dyDescent="0.2">
      <c r="A52" s="53">
        <v>3074738</v>
      </c>
      <c r="B52" s="137" t="s">
        <v>393</v>
      </c>
      <c r="C52" s="159" t="s">
        <v>31</v>
      </c>
      <c r="D52" s="137">
        <v>118.6</v>
      </c>
      <c r="E52" s="137" t="s">
        <v>394</v>
      </c>
      <c r="F52" s="137"/>
      <c r="G52" s="137">
        <v>500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500</v>
      </c>
      <c r="N52" s="139">
        <v>59300</v>
      </c>
    </row>
    <row r="53" spans="1:14" s="133" customFormat="1" x14ac:dyDescent="0.2">
      <c r="A53" s="53">
        <v>3074738</v>
      </c>
      <c r="B53" s="137" t="s">
        <v>393</v>
      </c>
      <c r="C53" s="159" t="s">
        <v>7</v>
      </c>
      <c r="D53" s="137">
        <v>18.22</v>
      </c>
      <c r="E53" s="137" t="s">
        <v>394</v>
      </c>
      <c r="F53" s="137"/>
      <c r="G53" s="137">
        <v>10120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10120</v>
      </c>
      <c r="N53" s="139">
        <v>184386.4</v>
      </c>
    </row>
    <row r="54" spans="1:14" s="133" customFormat="1" x14ac:dyDescent="0.2">
      <c r="A54" s="53">
        <v>3074738</v>
      </c>
      <c r="B54" s="137" t="s">
        <v>393</v>
      </c>
      <c r="C54" s="159" t="s">
        <v>8</v>
      </c>
      <c r="D54" s="137">
        <v>8.86</v>
      </c>
      <c r="E54" s="137" t="s">
        <v>394</v>
      </c>
      <c r="F54" s="137"/>
      <c r="G54" s="137">
        <v>5000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5000</v>
      </c>
      <c r="N54" s="139">
        <v>44300</v>
      </c>
    </row>
    <row r="55" spans="1:14" s="133" customFormat="1" x14ac:dyDescent="0.2">
      <c r="A55" s="53">
        <v>3074738</v>
      </c>
      <c r="B55" s="137" t="s">
        <v>393</v>
      </c>
      <c r="C55" s="159" t="s">
        <v>97</v>
      </c>
      <c r="D55" s="137">
        <v>66.52</v>
      </c>
      <c r="E55" s="137" t="s">
        <v>394</v>
      </c>
      <c r="F55" s="137"/>
      <c r="G55" s="137">
        <v>820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820</v>
      </c>
      <c r="N55" s="139">
        <v>54546.400000000001</v>
      </c>
    </row>
    <row r="56" spans="1:14" s="133" customFormat="1" x14ac:dyDescent="0.2">
      <c r="A56" s="53">
        <v>3074738</v>
      </c>
      <c r="B56" s="137" t="s">
        <v>393</v>
      </c>
      <c r="C56" s="159" t="s">
        <v>9</v>
      </c>
      <c r="D56" s="137">
        <v>102.84</v>
      </c>
      <c r="E56" s="137" t="s">
        <v>394</v>
      </c>
      <c r="F56" s="137"/>
      <c r="G56" s="137">
        <v>1500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1500</v>
      </c>
      <c r="N56" s="139">
        <v>154260</v>
      </c>
    </row>
    <row r="57" spans="1:14" s="133" customFormat="1" x14ac:dyDescent="0.2">
      <c r="A57" s="53">
        <v>3074738</v>
      </c>
      <c r="B57" s="137" t="s">
        <v>393</v>
      </c>
      <c r="C57" s="159" t="s">
        <v>10</v>
      </c>
      <c r="D57" s="137">
        <v>3.13</v>
      </c>
      <c r="E57" s="137" t="s">
        <v>394</v>
      </c>
      <c r="F57" s="137"/>
      <c r="G57" s="137">
        <v>40000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40000</v>
      </c>
      <c r="N57" s="139">
        <v>125200</v>
      </c>
    </row>
    <row r="58" spans="1:14" s="133" customFormat="1" x14ac:dyDescent="0.2">
      <c r="A58" s="53">
        <v>3074738</v>
      </c>
      <c r="B58" s="137" t="s">
        <v>393</v>
      </c>
      <c r="C58" s="159" t="s">
        <v>11</v>
      </c>
      <c r="D58" s="137">
        <v>17.95</v>
      </c>
      <c r="E58" s="137" t="s">
        <v>394</v>
      </c>
      <c r="F58" s="137"/>
      <c r="G58" s="137">
        <v>4940</v>
      </c>
      <c r="H58" s="137">
        <v>0</v>
      </c>
      <c r="I58" s="137">
        <v>0</v>
      </c>
      <c r="J58" s="137">
        <v>0</v>
      </c>
      <c r="K58" s="137">
        <v>0</v>
      </c>
      <c r="L58" s="137">
        <v>0</v>
      </c>
      <c r="M58" s="137">
        <v>4940</v>
      </c>
      <c r="N58" s="139">
        <v>88673</v>
      </c>
    </row>
    <row r="59" spans="1:14" s="133" customFormat="1" x14ac:dyDescent="0.2">
      <c r="A59" s="53">
        <v>3074738</v>
      </c>
      <c r="B59" s="137" t="s">
        <v>393</v>
      </c>
      <c r="C59" s="159" t="s">
        <v>37</v>
      </c>
      <c r="D59" s="137">
        <v>37.28</v>
      </c>
      <c r="E59" s="137" t="s">
        <v>394</v>
      </c>
      <c r="F59" s="137"/>
      <c r="G59" s="137">
        <v>500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500</v>
      </c>
      <c r="N59" s="139">
        <v>18640</v>
      </c>
    </row>
    <row r="60" spans="1:14" s="133" customFormat="1" ht="12" thickBot="1" x14ac:dyDescent="0.25">
      <c r="A60" s="92">
        <v>3074738</v>
      </c>
      <c r="B60" s="141" t="s">
        <v>393</v>
      </c>
      <c r="C60" s="163" t="s">
        <v>33</v>
      </c>
      <c r="D60" s="141">
        <v>21.65</v>
      </c>
      <c r="E60" s="141" t="s">
        <v>394</v>
      </c>
      <c r="F60" s="141"/>
      <c r="G60" s="141">
        <v>3000</v>
      </c>
      <c r="H60" s="141">
        <v>0</v>
      </c>
      <c r="I60" s="141">
        <v>0</v>
      </c>
      <c r="J60" s="141">
        <v>0</v>
      </c>
      <c r="K60" s="141">
        <v>0</v>
      </c>
      <c r="L60" s="141">
        <v>0</v>
      </c>
      <c r="M60" s="141">
        <v>3000</v>
      </c>
      <c r="N60" s="147">
        <v>64950</v>
      </c>
    </row>
    <row r="61" spans="1:14" s="276" customFormat="1" ht="12.75" x14ac:dyDescent="0.2">
      <c r="C61" s="837"/>
      <c r="N61" s="83">
        <v>1036448.32</v>
      </c>
    </row>
    <row r="62" spans="1:14" s="133" customFormat="1" x14ac:dyDescent="0.2">
      <c r="C62" s="5"/>
    </row>
    <row r="63" spans="1:14" s="133" customFormat="1" ht="16.5" thickBot="1" x14ac:dyDescent="0.3">
      <c r="A63" s="2"/>
      <c r="B63" s="838" t="s">
        <v>400</v>
      </c>
      <c r="C63" s="599"/>
      <c r="D63" s="836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133" customFormat="1" x14ac:dyDescent="0.2">
      <c r="A64" s="87">
        <v>3221898</v>
      </c>
      <c r="B64" s="88" t="s">
        <v>396</v>
      </c>
      <c r="C64" s="200" t="s">
        <v>0</v>
      </c>
      <c r="D64" s="88">
        <v>18.64</v>
      </c>
      <c r="E64" s="88" t="s">
        <v>394</v>
      </c>
      <c r="F64" s="88"/>
      <c r="G64" s="88">
        <v>2000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2000</v>
      </c>
      <c r="N64" s="89">
        <v>37280</v>
      </c>
    </row>
    <row r="65" spans="1:14" s="133" customFormat="1" x14ac:dyDescent="0.2">
      <c r="A65" s="53">
        <v>3221898</v>
      </c>
      <c r="B65" s="137" t="s">
        <v>396</v>
      </c>
      <c r="C65" s="159" t="s">
        <v>30</v>
      </c>
      <c r="D65" s="137">
        <v>69.42</v>
      </c>
      <c r="E65" s="137" t="s">
        <v>394</v>
      </c>
      <c r="F65" s="137"/>
      <c r="G65" s="137">
        <v>3000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3000</v>
      </c>
      <c r="N65" s="91">
        <v>208260</v>
      </c>
    </row>
    <row r="66" spans="1:14" s="133" customFormat="1" x14ac:dyDescent="0.2">
      <c r="A66" s="53">
        <v>3221898</v>
      </c>
      <c r="B66" s="137" t="s">
        <v>396</v>
      </c>
      <c r="C66" s="159" t="s">
        <v>7</v>
      </c>
      <c r="D66" s="137">
        <v>18.22</v>
      </c>
      <c r="E66" s="137" t="s">
        <v>394</v>
      </c>
      <c r="F66" s="137"/>
      <c r="G66" s="137">
        <v>2559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2559</v>
      </c>
      <c r="N66" s="91">
        <v>46624.98</v>
      </c>
    </row>
    <row r="67" spans="1:14" s="133" customFormat="1" x14ac:dyDescent="0.2">
      <c r="A67" s="53">
        <v>3221898</v>
      </c>
      <c r="B67" s="137" t="s">
        <v>396</v>
      </c>
      <c r="C67" s="159" t="s">
        <v>8</v>
      </c>
      <c r="D67" s="137">
        <v>8.86</v>
      </c>
      <c r="E67" s="137" t="s">
        <v>394</v>
      </c>
      <c r="F67" s="137"/>
      <c r="G67" s="137">
        <v>1000</v>
      </c>
      <c r="H67" s="137">
        <v>0</v>
      </c>
      <c r="I67" s="137">
        <v>0</v>
      </c>
      <c r="J67" s="137">
        <v>0</v>
      </c>
      <c r="K67" s="137">
        <v>0</v>
      </c>
      <c r="L67" s="137">
        <v>0</v>
      </c>
      <c r="M67" s="137">
        <v>1000</v>
      </c>
      <c r="N67" s="91">
        <v>8860</v>
      </c>
    </row>
    <row r="68" spans="1:14" s="133" customFormat="1" x14ac:dyDescent="0.2">
      <c r="A68" s="53">
        <v>3221898</v>
      </c>
      <c r="B68" s="137" t="s">
        <v>396</v>
      </c>
      <c r="C68" s="159" t="s">
        <v>11</v>
      </c>
      <c r="D68" s="137">
        <v>17.95</v>
      </c>
      <c r="E68" s="137" t="s">
        <v>394</v>
      </c>
      <c r="F68" s="137"/>
      <c r="G68" s="137">
        <v>2500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2500</v>
      </c>
      <c r="N68" s="91">
        <v>44875</v>
      </c>
    </row>
    <row r="69" spans="1:14" s="133" customFormat="1" ht="12" thickBot="1" x14ac:dyDescent="0.25">
      <c r="A69" s="92">
        <v>3221898</v>
      </c>
      <c r="B69" s="141" t="s">
        <v>396</v>
      </c>
      <c r="C69" s="163" t="s">
        <v>37</v>
      </c>
      <c r="D69" s="141">
        <v>37.28</v>
      </c>
      <c r="E69" s="141" t="s">
        <v>394</v>
      </c>
      <c r="F69" s="141"/>
      <c r="G69" s="141">
        <v>1000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1000</v>
      </c>
      <c r="N69" s="94">
        <v>37280</v>
      </c>
    </row>
    <row r="70" spans="1:14" s="276" customFormat="1" ht="12.75" x14ac:dyDescent="0.2">
      <c r="C70" s="837"/>
      <c r="N70" s="83">
        <v>383179.98</v>
      </c>
    </row>
    <row r="71" spans="1:14" s="133" customFormat="1" x14ac:dyDescent="0.2">
      <c r="C71" s="5"/>
    </row>
    <row r="72" spans="1:14" s="133" customFormat="1" ht="15.75" x14ac:dyDescent="0.25">
      <c r="C72" s="5"/>
      <c r="K72" s="1068" t="s">
        <v>402</v>
      </c>
      <c r="L72" s="1068"/>
      <c r="M72" s="1068"/>
      <c r="N72" s="171">
        <v>1419628.3</v>
      </c>
    </row>
    <row r="73" spans="1:14" s="133" customFormat="1" x14ac:dyDescent="0.2">
      <c r="C73" s="5"/>
    </row>
    <row r="74" spans="1:14" s="133" customFormat="1" x14ac:dyDescent="0.2">
      <c r="C74" s="5"/>
    </row>
    <row r="75" spans="1:14" s="133" customFormat="1" x14ac:dyDescent="0.2">
      <c r="C75" s="5"/>
    </row>
    <row r="76" spans="1:14" s="133" customFormat="1" ht="15.75" customHeight="1" x14ac:dyDescent="0.2">
      <c r="B76" s="1065" t="s">
        <v>401</v>
      </c>
      <c r="C76" s="1066"/>
      <c r="D76" s="1066"/>
      <c r="E76" s="1066"/>
      <c r="F76" s="1066"/>
      <c r="G76" s="1067"/>
    </row>
    <row r="77" spans="1:14" s="133" customFormat="1" x14ac:dyDescent="0.2">
      <c r="C77" s="5"/>
    </row>
    <row r="78" spans="1:14" s="133" customFormat="1" x14ac:dyDescent="0.2">
      <c r="C78" s="5"/>
    </row>
    <row r="79" spans="1:14" ht="12" thickBot="1" x14ac:dyDescent="0.25"/>
    <row r="80" spans="1:14" s="419" customFormat="1" ht="30" customHeight="1" thickBot="1" x14ac:dyDescent="0.25">
      <c r="A80" s="346" t="s">
        <v>101</v>
      </c>
      <c r="B80" s="347" t="s">
        <v>381</v>
      </c>
      <c r="C80" s="347" t="s">
        <v>3</v>
      </c>
      <c r="D80" s="347" t="s">
        <v>382</v>
      </c>
      <c r="E80" s="347" t="s">
        <v>383</v>
      </c>
      <c r="F80" s="347" t="s">
        <v>384</v>
      </c>
      <c r="G80" s="347" t="s">
        <v>385</v>
      </c>
      <c r="H80" s="347" t="s">
        <v>386</v>
      </c>
      <c r="I80" s="347" t="s">
        <v>387</v>
      </c>
      <c r="J80" s="347" t="s">
        <v>388</v>
      </c>
      <c r="K80" s="347" t="s">
        <v>389</v>
      </c>
      <c r="L80" s="347" t="s">
        <v>390</v>
      </c>
      <c r="M80" s="347" t="s">
        <v>391</v>
      </c>
      <c r="N80" s="349" t="s">
        <v>392</v>
      </c>
    </row>
    <row r="81" spans="1:14" s="133" customFormat="1" ht="16.5" thickTop="1" x14ac:dyDescent="0.25">
      <c r="A81" s="603"/>
      <c r="B81" s="834" t="s">
        <v>292</v>
      </c>
      <c r="C81" s="599"/>
      <c r="D81" s="603"/>
      <c r="E81" s="603"/>
      <c r="F81" s="603"/>
      <c r="G81" s="603"/>
      <c r="H81" s="603"/>
      <c r="I81" s="603"/>
      <c r="J81" s="603"/>
      <c r="K81" s="603"/>
      <c r="L81" s="603"/>
      <c r="M81" s="603"/>
      <c r="N81" s="603"/>
    </row>
    <row r="82" spans="1:14" s="133" customFormat="1" x14ac:dyDescent="0.2">
      <c r="A82" s="137">
        <v>3074738</v>
      </c>
      <c r="B82" s="137" t="s">
        <v>393</v>
      </c>
      <c r="C82" s="159" t="s">
        <v>46</v>
      </c>
      <c r="D82" s="137">
        <v>5.8999999999999997E-2</v>
      </c>
      <c r="E82" s="137" t="s">
        <v>394</v>
      </c>
      <c r="F82" s="137"/>
      <c r="G82" s="137">
        <v>197390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197390</v>
      </c>
      <c r="N82" s="138">
        <v>11646.01</v>
      </c>
    </row>
    <row r="83" spans="1:14" s="133" customFormat="1" x14ac:dyDescent="0.2">
      <c r="A83" s="137">
        <v>3074738</v>
      </c>
      <c r="B83" s="137" t="s">
        <v>393</v>
      </c>
      <c r="C83" s="159" t="s">
        <v>95</v>
      </c>
      <c r="D83" s="137">
        <v>1.4E-2</v>
      </c>
      <c r="E83" s="137" t="s">
        <v>394</v>
      </c>
      <c r="F83" s="137"/>
      <c r="G83" s="137">
        <v>48695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7">
        <v>48695</v>
      </c>
      <c r="N83" s="137">
        <v>681.73</v>
      </c>
    </row>
    <row r="84" spans="1:14" s="133" customFormat="1" x14ac:dyDescent="0.2">
      <c r="A84" s="137">
        <v>3074738</v>
      </c>
      <c r="B84" s="137" t="s">
        <v>393</v>
      </c>
      <c r="C84" s="159" t="s">
        <v>0</v>
      </c>
      <c r="D84" s="137">
        <v>18.8</v>
      </c>
      <c r="E84" s="137" t="s">
        <v>394</v>
      </c>
      <c r="F84" s="137"/>
      <c r="G84" s="137">
        <v>3000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3000</v>
      </c>
      <c r="N84" s="138">
        <v>56400</v>
      </c>
    </row>
    <row r="85" spans="1:14" s="133" customFormat="1" x14ac:dyDescent="0.2">
      <c r="A85" s="137">
        <v>3074738</v>
      </c>
      <c r="B85" s="137" t="s">
        <v>393</v>
      </c>
      <c r="C85" s="159" t="s">
        <v>30</v>
      </c>
      <c r="D85" s="137">
        <v>69.27</v>
      </c>
      <c r="E85" s="137" t="s">
        <v>394</v>
      </c>
      <c r="F85" s="137"/>
      <c r="G85" s="137">
        <v>2500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37">
        <v>2500</v>
      </c>
      <c r="N85" s="138">
        <v>173175</v>
      </c>
    </row>
    <row r="86" spans="1:14" s="133" customFormat="1" x14ac:dyDescent="0.2">
      <c r="A86" s="137">
        <v>3074738</v>
      </c>
      <c r="B86" s="137" t="s">
        <v>393</v>
      </c>
      <c r="C86" s="159" t="s">
        <v>31</v>
      </c>
      <c r="D86" s="137">
        <v>119.19</v>
      </c>
      <c r="E86" s="137" t="s">
        <v>394</v>
      </c>
      <c r="F86" s="137"/>
      <c r="G86" s="137">
        <v>500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7">
        <v>500</v>
      </c>
      <c r="N86" s="138">
        <v>59595</v>
      </c>
    </row>
    <row r="87" spans="1:14" s="133" customFormat="1" x14ac:dyDescent="0.2">
      <c r="A87" s="137">
        <v>3074738</v>
      </c>
      <c r="B87" s="137" t="s">
        <v>393</v>
      </c>
      <c r="C87" s="159" t="s">
        <v>7</v>
      </c>
      <c r="D87" s="137">
        <v>18.399999999999999</v>
      </c>
      <c r="E87" s="137" t="s">
        <v>394</v>
      </c>
      <c r="F87" s="137"/>
      <c r="G87" s="137">
        <v>10120</v>
      </c>
      <c r="H87" s="137">
        <v>0</v>
      </c>
      <c r="I87" s="137">
        <v>0</v>
      </c>
      <c r="J87" s="137">
        <v>0</v>
      </c>
      <c r="K87" s="137">
        <v>0</v>
      </c>
      <c r="L87" s="137">
        <v>0</v>
      </c>
      <c r="M87" s="137">
        <v>10120</v>
      </c>
      <c r="N87" s="138">
        <v>186208</v>
      </c>
    </row>
    <row r="88" spans="1:14" s="133" customFormat="1" x14ac:dyDescent="0.2">
      <c r="A88" s="137">
        <v>3074738</v>
      </c>
      <c r="B88" s="137" t="s">
        <v>393</v>
      </c>
      <c r="C88" s="159" t="s">
        <v>8</v>
      </c>
      <c r="D88" s="137">
        <v>8.8800000000000008</v>
      </c>
      <c r="E88" s="137" t="s">
        <v>394</v>
      </c>
      <c r="F88" s="137"/>
      <c r="G88" s="137">
        <v>5000</v>
      </c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7">
        <v>5000</v>
      </c>
      <c r="N88" s="138">
        <v>44400</v>
      </c>
    </row>
    <row r="89" spans="1:14" s="133" customFormat="1" x14ac:dyDescent="0.2">
      <c r="A89" s="137">
        <v>3074738</v>
      </c>
      <c r="B89" s="137" t="s">
        <v>393</v>
      </c>
      <c r="C89" s="159" t="s">
        <v>97</v>
      </c>
      <c r="D89" s="137">
        <v>65.489999999999995</v>
      </c>
      <c r="E89" s="137" t="s">
        <v>394</v>
      </c>
      <c r="F89" s="137"/>
      <c r="G89" s="137">
        <v>820</v>
      </c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7">
        <v>820</v>
      </c>
      <c r="N89" s="138">
        <v>53701.8</v>
      </c>
    </row>
    <row r="90" spans="1:14" s="133" customFormat="1" x14ac:dyDescent="0.2">
      <c r="A90" s="137">
        <v>3074738</v>
      </c>
      <c r="B90" s="137" t="s">
        <v>393</v>
      </c>
      <c r="C90" s="159" t="s">
        <v>9</v>
      </c>
      <c r="D90" s="137">
        <v>103.35</v>
      </c>
      <c r="E90" s="137" t="s">
        <v>394</v>
      </c>
      <c r="F90" s="137"/>
      <c r="G90" s="137">
        <v>1500</v>
      </c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7">
        <v>1500</v>
      </c>
      <c r="N90" s="138">
        <v>155025</v>
      </c>
    </row>
    <row r="91" spans="1:14" s="133" customFormat="1" x14ac:dyDescent="0.2">
      <c r="A91" s="137">
        <v>3074738</v>
      </c>
      <c r="B91" s="137" t="s">
        <v>393</v>
      </c>
      <c r="C91" s="159" t="s">
        <v>10</v>
      </c>
      <c r="D91" s="137">
        <v>3.13</v>
      </c>
      <c r="E91" s="137" t="s">
        <v>394</v>
      </c>
      <c r="F91" s="137"/>
      <c r="G91" s="137">
        <v>40000</v>
      </c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7">
        <v>40000</v>
      </c>
      <c r="N91" s="138">
        <v>125200</v>
      </c>
    </row>
    <row r="92" spans="1:14" s="133" customFormat="1" x14ac:dyDescent="0.2">
      <c r="A92" s="137">
        <v>3074738</v>
      </c>
      <c r="B92" s="137" t="s">
        <v>393</v>
      </c>
      <c r="C92" s="159" t="s">
        <v>11</v>
      </c>
      <c r="D92" s="137">
        <v>17.989999999999998</v>
      </c>
      <c r="E92" s="137" t="s">
        <v>394</v>
      </c>
      <c r="F92" s="137"/>
      <c r="G92" s="137">
        <v>4940</v>
      </c>
      <c r="H92" s="137">
        <v>0</v>
      </c>
      <c r="I92" s="137">
        <v>0</v>
      </c>
      <c r="J92" s="137">
        <v>0</v>
      </c>
      <c r="K92" s="137">
        <v>0</v>
      </c>
      <c r="L92" s="137">
        <v>0</v>
      </c>
      <c r="M92" s="137">
        <v>4940</v>
      </c>
      <c r="N92" s="138">
        <v>88870.6</v>
      </c>
    </row>
    <row r="93" spans="1:14" s="133" customFormat="1" x14ac:dyDescent="0.2">
      <c r="A93" s="137">
        <v>3074738</v>
      </c>
      <c r="B93" s="137" t="s">
        <v>393</v>
      </c>
      <c r="C93" s="159" t="s">
        <v>37</v>
      </c>
      <c r="D93" s="137">
        <v>36.39</v>
      </c>
      <c r="E93" s="137" t="s">
        <v>394</v>
      </c>
      <c r="F93" s="137"/>
      <c r="G93" s="137">
        <v>500</v>
      </c>
      <c r="H93" s="137">
        <v>0</v>
      </c>
      <c r="I93" s="137">
        <v>0</v>
      </c>
      <c r="J93" s="137">
        <v>0</v>
      </c>
      <c r="K93" s="137">
        <v>0</v>
      </c>
      <c r="L93" s="137">
        <v>0</v>
      </c>
      <c r="M93" s="137">
        <v>500</v>
      </c>
      <c r="N93" s="138">
        <v>18195</v>
      </c>
    </row>
    <row r="94" spans="1:14" s="133" customFormat="1" x14ac:dyDescent="0.2">
      <c r="A94" s="610">
        <v>3074738</v>
      </c>
      <c r="B94" s="610" t="s">
        <v>393</v>
      </c>
      <c r="C94" s="606" t="s">
        <v>33</v>
      </c>
      <c r="D94" s="610">
        <v>21.16</v>
      </c>
      <c r="E94" s="610" t="s">
        <v>394</v>
      </c>
      <c r="F94" s="610"/>
      <c r="G94" s="610">
        <v>3000</v>
      </c>
      <c r="H94" s="610">
        <v>0</v>
      </c>
      <c r="I94" s="610">
        <v>0</v>
      </c>
      <c r="J94" s="610">
        <v>0</v>
      </c>
      <c r="K94" s="610">
        <v>0</v>
      </c>
      <c r="L94" s="610">
        <v>0</v>
      </c>
      <c r="M94" s="610">
        <v>3000</v>
      </c>
      <c r="N94" s="835">
        <v>63480</v>
      </c>
    </row>
    <row r="95" spans="1:14" s="133" customFormat="1" x14ac:dyDescent="0.2">
      <c r="C95" s="5"/>
      <c r="M95" s="133" t="s">
        <v>395</v>
      </c>
      <c r="N95" s="1">
        <v>1036578.14</v>
      </c>
    </row>
    <row r="96" spans="1:14" s="133" customFormat="1" ht="15.75" x14ac:dyDescent="0.25">
      <c r="B96" s="164" t="s">
        <v>275</v>
      </c>
      <c r="C96" s="5"/>
    </row>
    <row r="97" spans="1:14" s="133" customFormat="1" x14ac:dyDescent="0.2">
      <c r="A97" s="137">
        <v>3221898</v>
      </c>
      <c r="B97" s="137" t="s">
        <v>396</v>
      </c>
      <c r="C97" s="159" t="s">
        <v>0</v>
      </c>
      <c r="D97" s="137">
        <v>18.8</v>
      </c>
      <c r="E97" s="137" t="s">
        <v>394</v>
      </c>
      <c r="F97" s="137"/>
      <c r="G97" s="137">
        <v>2000</v>
      </c>
      <c r="H97" s="137">
        <v>0</v>
      </c>
      <c r="I97" s="137">
        <v>0</v>
      </c>
      <c r="J97" s="137">
        <v>0</v>
      </c>
      <c r="K97" s="137">
        <v>0</v>
      </c>
      <c r="L97" s="137">
        <v>0</v>
      </c>
      <c r="M97" s="137">
        <v>2000</v>
      </c>
      <c r="N97" s="138">
        <v>37600</v>
      </c>
    </row>
    <row r="98" spans="1:14" s="133" customFormat="1" x14ac:dyDescent="0.2">
      <c r="A98" s="137">
        <v>3221898</v>
      </c>
      <c r="B98" s="137" t="s">
        <v>396</v>
      </c>
      <c r="C98" s="159" t="s">
        <v>30</v>
      </c>
      <c r="D98" s="137">
        <v>69.27</v>
      </c>
      <c r="E98" s="137" t="s">
        <v>394</v>
      </c>
      <c r="F98" s="137"/>
      <c r="G98" s="137">
        <v>3000</v>
      </c>
      <c r="H98" s="137">
        <v>0</v>
      </c>
      <c r="I98" s="137">
        <v>0</v>
      </c>
      <c r="J98" s="137">
        <v>0</v>
      </c>
      <c r="K98" s="137">
        <v>0</v>
      </c>
      <c r="L98" s="137">
        <v>0</v>
      </c>
      <c r="M98" s="137">
        <v>3000</v>
      </c>
      <c r="N98" s="138">
        <v>207810</v>
      </c>
    </row>
    <row r="99" spans="1:14" s="133" customFormat="1" x14ac:dyDescent="0.2">
      <c r="A99" s="137">
        <v>3221898</v>
      </c>
      <c r="B99" s="137" t="s">
        <v>396</v>
      </c>
      <c r="C99" s="159" t="s">
        <v>7</v>
      </c>
      <c r="D99" s="137">
        <v>18.399999999999999</v>
      </c>
      <c r="E99" s="137" t="s">
        <v>394</v>
      </c>
      <c r="F99" s="137"/>
      <c r="G99" s="137">
        <v>2559</v>
      </c>
      <c r="H99" s="137">
        <v>0</v>
      </c>
      <c r="I99" s="137">
        <v>0</v>
      </c>
      <c r="J99" s="137">
        <v>0</v>
      </c>
      <c r="K99" s="137">
        <v>0</v>
      </c>
      <c r="L99" s="137">
        <v>0</v>
      </c>
      <c r="M99" s="137">
        <v>2559</v>
      </c>
      <c r="N99" s="138">
        <v>47085.599999999999</v>
      </c>
    </row>
    <row r="100" spans="1:14" s="133" customFormat="1" x14ac:dyDescent="0.2">
      <c r="A100" s="137">
        <v>3221898</v>
      </c>
      <c r="B100" s="137" t="s">
        <v>396</v>
      </c>
      <c r="C100" s="159" t="s">
        <v>8</v>
      </c>
      <c r="D100" s="137">
        <v>8.8800000000000008</v>
      </c>
      <c r="E100" s="137" t="s">
        <v>394</v>
      </c>
      <c r="F100" s="137"/>
      <c r="G100" s="137">
        <v>1000</v>
      </c>
      <c r="H100" s="137">
        <v>0</v>
      </c>
      <c r="I100" s="137">
        <v>0</v>
      </c>
      <c r="J100" s="137">
        <v>0</v>
      </c>
      <c r="K100" s="137">
        <v>0</v>
      </c>
      <c r="L100" s="137">
        <v>0</v>
      </c>
      <c r="M100" s="137">
        <v>1000</v>
      </c>
      <c r="N100" s="138">
        <v>8880</v>
      </c>
    </row>
    <row r="101" spans="1:14" s="133" customFormat="1" x14ac:dyDescent="0.2">
      <c r="A101" s="137">
        <v>3221898</v>
      </c>
      <c r="B101" s="137" t="s">
        <v>396</v>
      </c>
      <c r="C101" s="159" t="s">
        <v>11</v>
      </c>
      <c r="D101" s="137">
        <v>17.989999999999998</v>
      </c>
      <c r="E101" s="137" t="s">
        <v>394</v>
      </c>
      <c r="F101" s="137"/>
      <c r="G101" s="137">
        <v>2500</v>
      </c>
      <c r="H101" s="137">
        <v>0</v>
      </c>
      <c r="I101" s="137">
        <v>0</v>
      </c>
      <c r="J101" s="137">
        <v>0</v>
      </c>
      <c r="K101" s="137">
        <v>0</v>
      </c>
      <c r="L101" s="137">
        <v>0</v>
      </c>
      <c r="M101" s="137">
        <v>2500</v>
      </c>
      <c r="N101" s="138">
        <v>44975</v>
      </c>
    </row>
    <row r="102" spans="1:14" s="133" customFormat="1" x14ac:dyDescent="0.2">
      <c r="A102" s="610">
        <v>3221898</v>
      </c>
      <c r="B102" s="610" t="s">
        <v>396</v>
      </c>
      <c r="C102" s="606" t="s">
        <v>37</v>
      </c>
      <c r="D102" s="610">
        <v>36.39</v>
      </c>
      <c r="E102" s="610" t="s">
        <v>394</v>
      </c>
      <c r="F102" s="610"/>
      <c r="G102" s="610">
        <v>1000</v>
      </c>
      <c r="H102" s="610">
        <v>0</v>
      </c>
      <c r="I102" s="610">
        <v>0</v>
      </c>
      <c r="J102" s="610">
        <v>0</v>
      </c>
      <c r="K102" s="610">
        <v>0</v>
      </c>
      <c r="L102" s="610">
        <v>0</v>
      </c>
      <c r="M102" s="610">
        <v>1000</v>
      </c>
      <c r="N102" s="835">
        <v>36390</v>
      </c>
    </row>
    <row r="103" spans="1:14" s="133" customFormat="1" x14ac:dyDescent="0.2">
      <c r="C103" s="5"/>
      <c r="M103" s="133" t="s">
        <v>395</v>
      </c>
      <c r="N103" s="1">
        <v>382740.6</v>
      </c>
    </row>
    <row r="104" spans="1:14" s="133" customFormat="1" x14ac:dyDescent="0.2">
      <c r="C104" s="5"/>
    </row>
  </sheetData>
  <sheetProtection sheet="1" objects="1" scenarios="1"/>
  <sortState ref="A13:Q31">
    <sortCondition ref="A13:A31"/>
  </sortState>
  <mergeCells count="5">
    <mergeCell ref="B43:G43"/>
    <mergeCell ref="K72:M72"/>
    <mergeCell ref="B76:G76"/>
    <mergeCell ref="B4:G4"/>
    <mergeCell ref="K37:M3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D1" workbookViewId="0">
      <selection activeCell="B5" sqref="B5"/>
    </sheetView>
  </sheetViews>
  <sheetFormatPr defaultRowHeight="11.25" x14ac:dyDescent="0.2"/>
  <cols>
    <col min="1" max="1" width="9.33203125" style="133"/>
    <col min="2" max="2" width="12.1640625" style="149" customWidth="1"/>
    <col min="3" max="3" width="11.33203125" style="1" customWidth="1"/>
    <col min="4" max="4" width="74.5" customWidth="1"/>
    <col min="5" max="5" width="13.83203125" style="1" customWidth="1"/>
    <col min="6" max="6" width="11.83203125" style="1" customWidth="1"/>
    <col min="7" max="7" width="11.1640625" style="1" customWidth="1"/>
    <col min="8" max="8" width="3.5" style="1" customWidth="1"/>
    <col min="9" max="9" width="12" style="26" customWidth="1"/>
    <col min="10" max="10" width="13" style="26" customWidth="1"/>
    <col min="11" max="11" width="10.83203125" style="26" customWidth="1"/>
    <col min="12" max="12" width="10.83203125" style="1" customWidth="1"/>
    <col min="13" max="13" width="13.5" style="1" customWidth="1"/>
    <col min="14" max="17" width="10.83203125" style="1" customWidth="1"/>
    <col min="18" max="18" width="11.5" customWidth="1"/>
  </cols>
  <sheetData>
    <row r="1" spans="2:18" s="133" customFormat="1" x14ac:dyDescent="0.2">
      <c r="B1" s="149"/>
      <c r="C1" s="1"/>
      <c r="E1" s="1"/>
      <c r="F1" s="1"/>
      <c r="G1" s="1"/>
      <c r="H1" s="1"/>
      <c r="I1" s="26"/>
      <c r="J1" s="26"/>
      <c r="K1" s="26"/>
      <c r="L1" s="1"/>
      <c r="M1" s="1"/>
      <c r="N1" s="1"/>
      <c r="O1" s="1"/>
      <c r="P1" s="1"/>
      <c r="Q1" s="1"/>
    </row>
    <row r="2" spans="2:18" s="133" customFormat="1" ht="12" thickBot="1" x14ac:dyDescent="0.25">
      <c r="B2" s="149"/>
      <c r="C2" s="1"/>
      <c r="E2" s="1"/>
      <c r="F2" s="1"/>
      <c r="G2" s="1"/>
      <c r="H2" s="1"/>
      <c r="I2" s="26"/>
      <c r="J2" s="26"/>
      <c r="K2" s="26"/>
      <c r="L2" s="1"/>
      <c r="M2" s="1"/>
      <c r="N2" s="1"/>
      <c r="O2" s="1"/>
      <c r="P2" s="1"/>
      <c r="Q2" s="1"/>
    </row>
    <row r="3" spans="2:18" s="133" customFormat="1" ht="19.5" customHeight="1" thickBot="1" x14ac:dyDescent="0.35">
      <c r="B3" s="1069" t="s">
        <v>616</v>
      </c>
      <c r="C3" s="1070"/>
      <c r="E3" s="1"/>
      <c r="F3" s="1"/>
      <c r="G3" s="1"/>
      <c r="H3" s="1"/>
      <c r="I3" s="26"/>
      <c r="J3" s="26"/>
      <c r="K3" s="26"/>
      <c r="L3" s="1"/>
      <c r="M3" s="1"/>
      <c r="N3" s="1"/>
      <c r="O3" s="1"/>
      <c r="P3" s="1"/>
      <c r="Q3" s="1"/>
    </row>
    <row r="4" spans="2:18" s="265" customFormat="1" ht="21" customHeight="1" thickBot="1" x14ac:dyDescent="0.35">
      <c r="B4" s="266"/>
      <c r="C4" s="264"/>
      <c r="D4" s="268" t="s">
        <v>85</v>
      </c>
      <c r="E4" s="264"/>
      <c r="F4" s="264"/>
      <c r="G4" s="264"/>
      <c r="H4" s="264"/>
      <c r="I4" s="267"/>
      <c r="J4" s="267"/>
      <c r="K4" s="267"/>
      <c r="L4" s="264"/>
      <c r="M4" s="264"/>
      <c r="N4" s="264"/>
      <c r="O4" s="264"/>
      <c r="P4" s="264"/>
      <c r="Q4" s="264"/>
    </row>
    <row r="5" spans="2:18" s="248" customFormat="1" ht="22.5" customHeight="1" thickBot="1" x14ac:dyDescent="0.25">
      <c r="B5" s="246"/>
      <c r="C5" s="247"/>
      <c r="E5" s="247"/>
      <c r="F5" s="247"/>
      <c r="G5" s="247"/>
      <c r="H5" s="467"/>
      <c r="I5" s="249"/>
      <c r="J5" s="249"/>
      <c r="K5" s="247"/>
      <c r="L5" s="269"/>
      <c r="M5" s="95"/>
      <c r="N5" s="247"/>
      <c r="O5" s="247"/>
      <c r="P5" s="247"/>
      <c r="Q5" s="247"/>
    </row>
    <row r="6" spans="2:18" s="256" customFormat="1" ht="43.5" customHeight="1" thickBot="1" x14ac:dyDescent="0.25">
      <c r="B6" s="250" t="s">
        <v>13</v>
      </c>
      <c r="C6" s="251" t="s">
        <v>44</v>
      </c>
      <c r="D6" s="252" t="s">
        <v>57</v>
      </c>
      <c r="E6" s="251" t="s">
        <v>78</v>
      </c>
      <c r="F6" s="251" t="s">
        <v>79</v>
      </c>
      <c r="G6" s="328" t="s">
        <v>80</v>
      </c>
      <c r="H6" s="327"/>
      <c r="I6" s="527" t="s">
        <v>605</v>
      </c>
      <c r="J6" s="253" t="s">
        <v>133</v>
      </c>
      <c r="K6" s="253" t="s">
        <v>77</v>
      </c>
      <c r="L6" s="253" t="s">
        <v>15</v>
      </c>
      <c r="M6" s="279" t="s">
        <v>606</v>
      </c>
      <c r="N6" s="279" t="s">
        <v>89</v>
      </c>
      <c r="O6" s="253" t="s">
        <v>607</v>
      </c>
      <c r="P6" s="253" t="s">
        <v>608</v>
      </c>
      <c r="Q6" s="254" t="s">
        <v>609</v>
      </c>
      <c r="R6" s="255" t="s">
        <v>86</v>
      </c>
    </row>
    <row r="7" spans="2:18" s="28" customFormat="1" ht="12" thickTop="1" x14ac:dyDescent="0.2">
      <c r="B7" s="980"/>
      <c r="C7" s="138">
        <f>SUM(C12:C21)</f>
        <v>734.83000000000175</v>
      </c>
      <c r="D7" s="846"/>
      <c r="E7" s="138">
        <f t="shared" ref="E7:F7" si="0">SUM(E12:E21)</f>
        <v>-61595</v>
      </c>
      <c r="F7" s="138">
        <f t="shared" si="0"/>
        <v>62329.83</v>
      </c>
      <c r="G7" s="139">
        <f>SUM(E7:F7)</f>
        <v>734.83000000000175</v>
      </c>
      <c r="H7" s="135"/>
      <c r="I7" s="138">
        <f t="shared" ref="I7:Q7" si="1">SUM(I12:I21)</f>
        <v>-60000</v>
      </c>
      <c r="J7" s="138">
        <f t="shared" si="1"/>
        <v>39000</v>
      </c>
      <c r="K7" s="138">
        <f t="shared" si="1"/>
        <v>2.02</v>
      </c>
      <c r="L7" s="138">
        <f t="shared" si="1"/>
        <v>0</v>
      </c>
      <c r="M7" s="138">
        <f t="shared" si="1"/>
        <v>0</v>
      </c>
      <c r="N7" s="138">
        <f t="shared" si="1"/>
        <v>0</v>
      </c>
      <c r="O7" s="138">
        <f t="shared" si="1"/>
        <v>23279.52</v>
      </c>
      <c r="P7" s="138">
        <f t="shared" si="1"/>
        <v>-1595</v>
      </c>
      <c r="Q7" s="138">
        <f t="shared" si="1"/>
        <v>48.29</v>
      </c>
      <c r="R7" s="135">
        <f>SUM(I7:Q7)+G22</f>
        <v>768.01000000000101</v>
      </c>
    </row>
    <row r="8" spans="2:18" s="2" customFormat="1" ht="12" thickBot="1" x14ac:dyDescent="0.25">
      <c r="B8" s="844"/>
      <c r="C8" s="979"/>
      <c r="D8" s="846"/>
      <c r="E8" s="845"/>
      <c r="F8" s="845"/>
      <c r="G8" s="845"/>
      <c r="H8" s="3"/>
      <c r="I8" s="477"/>
      <c r="J8" s="477"/>
      <c r="K8" s="847"/>
      <c r="L8" s="847"/>
      <c r="M8" s="477"/>
      <c r="N8" s="477"/>
      <c r="O8" s="477"/>
      <c r="P8" s="477"/>
      <c r="Q8" s="477"/>
      <c r="R8" s="3"/>
    </row>
    <row r="9" spans="2:18" s="164" customFormat="1" ht="15.75" x14ac:dyDescent="0.25">
      <c r="B9" s="330"/>
      <c r="D9" s="332" t="s">
        <v>604</v>
      </c>
      <c r="E9" s="331"/>
      <c r="F9" s="331"/>
      <c r="G9" s="331">
        <v>768.00999999999908</v>
      </c>
      <c r="H9" s="241"/>
      <c r="I9" s="469"/>
      <c r="J9" s="469"/>
      <c r="K9" s="469"/>
      <c r="L9" s="469"/>
      <c r="M9" s="469"/>
      <c r="N9" s="469"/>
      <c r="O9" s="469"/>
      <c r="P9" s="469"/>
      <c r="Q9" s="469"/>
      <c r="R9" s="171"/>
    </row>
    <row r="10" spans="2:18" s="133" customFormat="1" x14ac:dyDescent="0.2">
      <c r="B10" s="158"/>
      <c r="C10" s="3"/>
      <c r="D10" s="2"/>
      <c r="E10" s="3"/>
      <c r="F10" s="3"/>
      <c r="G10" s="3"/>
      <c r="H10" s="3"/>
      <c r="I10" s="3"/>
      <c r="J10" s="3"/>
      <c r="K10" s="4"/>
      <c r="L10" s="4"/>
      <c r="M10" s="3"/>
      <c r="N10" s="3"/>
      <c r="O10" s="3"/>
      <c r="P10" s="3"/>
      <c r="Q10" s="3"/>
      <c r="R10" s="1"/>
    </row>
    <row r="11" spans="2:18" s="133" customFormat="1" ht="16.5" thickBot="1" x14ac:dyDescent="0.3">
      <c r="B11" s="212"/>
      <c r="C11" s="211"/>
      <c r="D11" s="243" t="s">
        <v>603</v>
      </c>
      <c r="E11" s="211"/>
      <c r="F11" s="211"/>
      <c r="G11" s="245">
        <v>768.00999999999908</v>
      </c>
      <c r="H11" s="211"/>
      <c r="I11" s="195"/>
      <c r="J11" s="195"/>
      <c r="K11" s="195"/>
      <c r="L11" s="195"/>
      <c r="M11" s="211"/>
      <c r="N11" s="211"/>
      <c r="O11" s="338"/>
      <c r="P11" s="211"/>
      <c r="Q11" s="211"/>
    </row>
    <row r="12" spans="2:18" s="133" customFormat="1" x14ac:dyDescent="0.2">
      <c r="B12" s="161">
        <v>44377</v>
      </c>
      <c r="C12" s="138">
        <v>0.05</v>
      </c>
      <c r="D12" s="60" t="s">
        <v>43</v>
      </c>
      <c r="E12" s="138">
        <f t="shared" ref="E12:E15" si="2">IF(C12&lt;0,C12,0)</f>
        <v>0</v>
      </c>
      <c r="F12" s="138">
        <f t="shared" ref="F12:F15" si="3">IF(C12&lt;0,0,C12)</f>
        <v>0.05</v>
      </c>
      <c r="G12" s="139">
        <f t="shared" ref="G12:G15" si="4">G13+E12+F12</f>
        <v>768.00999999999908</v>
      </c>
      <c r="H12" s="1"/>
      <c r="I12" s="283"/>
      <c r="J12" s="317"/>
      <c r="K12" s="194">
        <v>0.05</v>
      </c>
      <c r="L12" s="194"/>
      <c r="M12" s="138"/>
      <c r="N12" s="138"/>
      <c r="O12" s="138"/>
      <c r="P12" s="282"/>
      <c r="Q12" s="139"/>
      <c r="R12" s="1">
        <f t="shared" ref="R12:R21" si="5">SUM(I12:Q12)-C12</f>
        <v>0</v>
      </c>
    </row>
    <row r="13" spans="2:18" s="133" customFormat="1" x14ac:dyDescent="0.2">
      <c r="B13" s="161">
        <v>44356</v>
      </c>
      <c r="C13" s="138">
        <v>-40000</v>
      </c>
      <c r="D13" s="60" t="s">
        <v>600</v>
      </c>
      <c r="E13" s="138">
        <f t="shared" si="2"/>
        <v>-40000</v>
      </c>
      <c r="F13" s="138">
        <f t="shared" si="3"/>
        <v>0</v>
      </c>
      <c r="G13" s="139">
        <f t="shared" si="4"/>
        <v>767.95999999999913</v>
      </c>
      <c r="H13" s="1"/>
      <c r="I13" s="283">
        <v>-40000</v>
      </c>
      <c r="J13" s="317"/>
      <c r="K13" s="194"/>
      <c r="L13" s="194"/>
      <c r="M13" s="138"/>
      <c r="N13" s="138"/>
      <c r="O13" s="138"/>
      <c r="P13" s="282"/>
      <c r="Q13" s="139"/>
      <c r="R13" s="1">
        <f t="shared" si="5"/>
        <v>0</v>
      </c>
    </row>
    <row r="14" spans="2:18" s="133" customFormat="1" x14ac:dyDescent="0.2">
      <c r="B14" s="161">
        <v>44355</v>
      </c>
      <c r="C14" s="138">
        <v>39000</v>
      </c>
      <c r="D14" s="60" t="s">
        <v>601</v>
      </c>
      <c r="E14" s="138">
        <f t="shared" si="2"/>
        <v>0</v>
      </c>
      <c r="F14" s="138">
        <f t="shared" si="3"/>
        <v>39000</v>
      </c>
      <c r="G14" s="139">
        <f t="shared" si="4"/>
        <v>40767.96</v>
      </c>
      <c r="H14" s="1"/>
      <c r="I14" s="283"/>
      <c r="J14" s="317">
        <v>39000</v>
      </c>
      <c r="K14" s="194"/>
      <c r="L14" s="194"/>
      <c r="M14" s="138"/>
      <c r="N14" s="138"/>
      <c r="O14" s="138"/>
      <c r="P14" s="282"/>
      <c r="Q14" s="139"/>
      <c r="R14" s="1">
        <f t="shared" si="5"/>
        <v>0</v>
      </c>
    </row>
    <row r="15" spans="2:18" s="133" customFormat="1" x14ac:dyDescent="0.2">
      <c r="B15" s="161">
        <v>44347</v>
      </c>
      <c r="C15" s="138">
        <v>48.29</v>
      </c>
      <c r="D15" s="60" t="s">
        <v>602</v>
      </c>
      <c r="E15" s="138">
        <f t="shared" si="2"/>
        <v>0</v>
      </c>
      <c r="F15" s="138">
        <f t="shared" si="3"/>
        <v>48.29</v>
      </c>
      <c r="G15" s="139">
        <f t="shared" si="4"/>
        <v>1767.9599999999982</v>
      </c>
      <c r="H15" s="1"/>
      <c r="I15" s="283"/>
      <c r="J15" s="317"/>
      <c r="K15" s="194"/>
      <c r="L15" s="194"/>
      <c r="M15" s="138"/>
      <c r="N15" s="138"/>
      <c r="O15" s="138"/>
      <c r="P15" s="282"/>
      <c r="Q15" s="139">
        <v>48.29</v>
      </c>
      <c r="R15" s="1">
        <f t="shared" si="5"/>
        <v>0</v>
      </c>
    </row>
    <row r="16" spans="2:18" s="133" customFormat="1" x14ac:dyDescent="0.2">
      <c r="B16" s="161">
        <v>44104</v>
      </c>
      <c r="C16" s="138">
        <v>0.75</v>
      </c>
      <c r="D16" s="60" t="s">
        <v>43</v>
      </c>
      <c r="E16" s="138">
        <f t="shared" ref="E16:E20" si="6">IF(C16&lt;0,C16,0)</f>
        <v>0</v>
      </c>
      <c r="F16" s="138">
        <f t="shared" ref="F16:F20" si="7">IF(C16&lt;0,0,C16)</f>
        <v>0.75</v>
      </c>
      <c r="G16" s="139">
        <f t="shared" ref="G16:G20" si="8">G17+E16+F16</f>
        <v>1719.6699999999983</v>
      </c>
      <c r="H16" s="1"/>
      <c r="I16" s="283"/>
      <c r="J16" s="317"/>
      <c r="K16" s="194">
        <v>0.75</v>
      </c>
      <c r="L16" s="194"/>
      <c r="M16" s="138"/>
      <c r="N16" s="138"/>
      <c r="O16" s="138"/>
      <c r="P16" s="282"/>
      <c r="Q16" s="139"/>
      <c r="R16" s="1">
        <f t="shared" si="5"/>
        <v>0</v>
      </c>
    </row>
    <row r="17" spans="2:18" s="133" customFormat="1" x14ac:dyDescent="0.2">
      <c r="B17" s="161">
        <v>44099</v>
      </c>
      <c r="C17" s="138">
        <v>-20000</v>
      </c>
      <c r="D17" s="60" t="s">
        <v>403</v>
      </c>
      <c r="E17" s="138">
        <f t="shared" si="6"/>
        <v>-20000</v>
      </c>
      <c r="F17" s="138">
        <f t="shared" si="7"/>
        <v>0</v>
      </c>
      <c r="G17" s="139">
        <f t="shared" si="8"/>
        <v>1718.9199999999983</v>
      </c>
      <c r="H17" s="1"/>
      <c r="I17" s="283">
        <v>-20000</v>
      </c>
      <c r="J17" s="317"/>
      <c r="K17" s="194"/>
      <c r="L17" s="194"/>
      <c r="M17" s="138"/>
      <c r="N17" s="138"/>
      <c r="O17" s="138"/>
      <c r="P17" s="282"/>
      <c r="Q17" s="139"/>
      <c r="R17" s="1">
        <f t="shared" si="5"/>
        <v>0</v>
      </c>
    </row>
    <row r="18" spans="2:18" s="133" customFormat="1" x14ac:dyDescent="0.2">
      <c r="B18" s="161">
        <v>44074</v>
      </c>
      <c r="C18" s="138">
        <v>0.92</v>
      </c>
      <c r="D18" s="60" t="s">
        <v>43</v>
      </c>
      <c r="E18" s="138">
        <f t="shared" si="6"/>
        <v>0</v>
      </c>
      <c r="F18" s="138">
        <f t="shared" si="7"/>
        <v>0.92</v>
      </c>
      <c r="G18" s="139">
        <f t="shared" si="8"/>
        <v>21718.92</v>
      </c>
      <c r="H18" s="1"/>
      <c r="I18" s="283"/>
      <c r="J18" s="317"/>
      <c r="K18" s="194">
        <v>0.92</v>
      </c>
      <c r="L18" s="194"/>
      <c r="M18" s="138"/>
      <c r="N18" s="138"/>
      <c r="O18" s="138"/>
      <c r="P18" s="282"/>
      <c r="Q18" s="139"/>
      <c r="R18" s="1">
        <f t="shared" si="5"/>
        <v>0</v>
      </c>
    </row>
    <row r="19" spans="2:18" s="133" customFormat="1" x14ac:dyDescent="0.2">
      <c r="B19" s="161">
        <v>44043</v>
      </c>
      <c r="C19" s="138">
        <v>0.3</v>
      </c>
      <c r="D19" s="60" t="s">
        <v>43</v>
      </c>
      <c r="E19" s="138">
        <f t="shared" si="6"/>
        <v>0</v>
      </c>
      <c r="F19" s="138">
        <f t="shared" si="7"/>
        <v>0.3</v>
      </c>
      <c r="G19" s="139">
        <f t="shared" si="8"/>
        <v>21718</v>
      </c>
      <c r="H19" s="1"/>
      <c r="I19" s="283"/>
      <c r="J19" s="317"/>
      <c r="K19" s="194">
        <v>0.3</v>
      </c>
      <c r="L19" s="194"/>
      <c r="M19" s="138"/>
      <c r="N19" s="138"/>
      <c r="O19" s="138"/>
      <c r="P19" s="282"/>
      <c r="Q19" s="139"/>
      <c r="R19" s="1">
        <f t="shared" si="5"/>
        <v>0</v>
      </c>
    </row>
    <row r="20" spans="2:18" s="133" customFormat="1" x14ac:dyDescent="0.2">
      <c r="B20" s="161">
        <v>44036</v>
      </c>
      <c r="C20" s="138">
        <v>-1595</v>
      </c>
      <c r="D20" s="60" t="s">
        <v>404</v>
      </c>
      <c r="E20" s="138">
        <f t="shared" si="6"/>
        <v>-1595</v>
      </c>
      <c r="F20" s="138">
        <f t="shared" si="7"/>
        <v>0</v>
      </c>
      <c r="G20" s="139">
        <f t="shared" si="8"/>
        <v>21717.7</v>
      </c>
      <c r="H20" s="1"/>
      <c r="I20" s="283"/>
      <c r="J20" s="317"/>
      <c r="K20" s="194"/>
      <c r="L20" s="194"/>
      <c r="M20" s="138"/>
      <c r="N20" s="138"/>
      <c r="O20" s="138"/>
      <c r="P20" s="282">
        <v>-1595</v>
      </c>
      <c r="Q20" s="139"/>
      <c r="R20" s="1">
        <f t="shared" si="5"/>
        <v>0</v>
      </c>
    </row>
    <row r="21" spans="2:18" s="133" customFormat="1" ht="12" thickBot="1" x14ac:dyDescent="0.25">
      <c r="B21" s="162">
        <v>44033</v>
      </c>
      <c r="C21" s="552">
        <v>23279.52</v>
      </c>
      <c r="D21" s="141" t="s">
        <v>405</v>
      </c>
      <c r="E21" s="138">
        <f t="shared" ref="E21" si="9">IF(C21&lt;0,C21,0)</f>
        <v>0</v>
      </c>
      <c r="F21" s="138">
        <f t="shared" ref="F21" si="10">IF(C21&lt;0,0,C21)</f>
        <v>23279.52</v>
      </c>
      <c r="G21" s="139">
        <f t="shared" ref="G21" si="11">G22+E21+F21</f>
        <v>23312.7</v>
      </c>
      <c r="H21" s="211"/>
      <c r="I21" s="309"/>
      <c r="J21" s="318"/>
      <c r="K21" s="191"/>
      <c r="L21" s="191"/>
      <c r="M21" s="142"/>
      <c r="N21" s="142"/>
      <c r="O21" s="142">
        <v>23279.52</v>
      </c>
      <c r="P21" s="443"/>
      <c r="Q21" s="147"/>
      <c r="R21" s="1">
        <f t="shared" si="5"/>
        <v>0</v>
      </c>
    </row>
    <row r="22" spans="2:18" s="164" customFormat="1" ht="15.75" x14ac:dyDescent="0.25">
      <c r="B22" s="330"/>
      <c r="D22" s="332" t="s">
        <v>407</v>
      </c>
      <c r="E22" s="331"/>
      <c r="F22" s="331"/>
      <c r="G22" s="331">
        <v>33.180000000000149</v>
      </c>
      <c r="H22" s="241"/>
      <c r="I22" s="469"/>
      <c r="J22" s="469"/>
      <c r="K22" s="469"/>
      <c r="L22" s="469"/>
      <c r="M22" s="469"/>
      <c r="N22" s="469"/>
      <c r="O22" s="469"/>
      <c r="P22" s="469"/>
      <c r="Q22" s="469"/>
      <c r="R22" s="171"/>
    </row>
    <row r="23" spans="2:18" s="133" customFormat="1" x14ac:dyDescent="0.2">
      <c r="B23" s="158"/>
      <c r="C23" s="3"/>
      <c r="D23" s="2"/>
      <c r="E23" s="3"/>
      <c r="F23" s="3"/>
      <c r="G23" s="3"/>
      <c r="H23" s="3"/>
      <c r="I23" s="3"/>
      <c r="J23" s="3"/>
      <c r="K23" s="4"/>
      <c r="L23" s="4"/>
      <c r="M23" s="3"/>
      <c r="N23" s="3"/>
      <c r="O23" s="3"/>
      <c r="P23" s="3"/>
      <c r="Q23" s="3"/>
      <c r="R23" s="1"/>
    </row>
    <row r="24" spans="2:18" s="133" customFormat="1" ht="16.5" thickBot="1" x14ac:dyDescent="0.3">
      <c r="B24" s="212"/>
      <c r="C24" s="211"/>
      <c r="D24" s="243" t="s">
        <v>406</v>
      </c>
      <c r="E24" s="211"/>
      <c r="F24" s="211"/>
      <c r="G24" s="245">
        <v>33.180000000000149</v>
      </c>
      <c r="H24" s="211"/>
      <c r="I24" s="195"/>
      <c r="J24" s="195"/>
      <c r="K24" s="195"/>
      <c r="L24" s="195"/>
      <c r="M24" s="211"/>
      <c r="N24" s="211"/>
      <c r="O24" s="338"/>
      <c r="P24" s="211"/>
      <c r="Q24" s="211"/>
    </row>
    <row r="25" spans="2:18" s="133" customFormat="1" x14ac:dyDescent="0.2">
      <c r="B25" s="161">
        <v>43980</v>
      </c>
      <c r="C25" s="138">
        <v>0.09</v>
      </c>
      <c r="D25" s="60" t="s">
        <v>43</v>
      </c>
      <c r="E25" s="138">
        <f t="shared" ref="E25:E40" si="12">IF(C25&lt;0,C25,0)</f>
        <v>0</v>
      </c>
      <c r="F25" s="138">
        <f t="shared" ref="F25:F40" si="13">IF(C25&lt;0,0,C25)</f>
        <v>0.09</v>
      </c>
      <c r="G25" s="139">
        <f t="shared" ref="G25:G40" si="14">G26+E25+F25</f>
        <v>33.180000000000149</v>
      </c>
      <c r="H25" s="1"/>
      <c r="I25" s="283"/>
      <c r="J25" s="317"/>
      <c r="K25" s="194">
        <v>0.09</v>
      </c>
      <c r="L25" s="194"/>
      <c r="M25" s="138"/>
      <c r="N25" s="138"/>
      <c r="O25" s="138"/>
      <c r="P25" s="282"/>
      <c r="Q25" s="139"/>
      <c r="R25" s="1">
        <f>SUM(I25:Q25)-C25</f>
        <v>0</v>
      </c>
    </row>
    <row r="26" spans="2:18" s="133" customFormat="1" x14ac:dyDescent="0.2">
      <c r="B26" s="161">
        <v>43965</v>
      </c>
      <c r="C26" s="138">
        <v>-20000</v>
      </c>
      <c r="D26" s="60" t="s">
        <v>339</v>
      </c>
      <c r="E26" s="138">
        <f t="shared" si="12"/>
        <v>-20000</v>
      </c>
      <c r="F26" s="138">
        <f t="shared" si="13"/>
        <v>0</v>
      </c>
      <c r="G26" s="139">
        <f t="shared" si="14"/>
        <v>33.090000000000146</v>
      </c>
      <c r="H26" s="1"/>
      <c r="I26" s="283"/>
      <c r="J26" s="317"/>
      <c r="K26" s="194"/>
      <c r="L26" s="194"/>
      <c r="N26" s="138">
        <v>-20000</v>
      </c>
      <c r="O26" s="138"/>
      <c r="P26" s="282"/>
      <c r="Q26" s="139"/>
      <c r="R26" s="1">
        <f t="shared" ref="R26:R42" si="15">SUM(I26:Q26)-C26</f>
        <v>0</v>
      </c>
    </row>
    <row r="27" spans="2:18" s="133" customFormat="1" x14ac:dyDescent="0.2">
      <c r="B27" s="161">
        <v>43965</v>
      </c>
      <c r="C27" s="138">
        <v>20000</v>
      </c>
      <c r="D27" s="60" t="s">
        <v>340</v>
      </c>
      <c r="E27" s="138">
        <f t="shared" si="12"/>
        <v>0</v>
      </c>
      <c r="F27" s="138">
        <f t="shared" si="13"/>
        <v>20000</v>
      </c>
      <c r="G27" s="139">
        <f t="shared" si="14"/>
        <v>20033.09</v>
      </c>
      <c r="H27" s="1"/>
      <c r="I27" s="283">
        <v>20000</v>
      </c>
      <c r="J27" s="317"/>
      <c r="K27" s="194"/>
      <c r="L27" s="194"/>
      <c r="M27" s="138"/>
      <c r="N27" s="138"/>
      <c r="O27" s="138"/>
      <c r="P27" s="282"/>
      <c r="Q27" s="139"/>
      <c r="R27" s="1">
        <f t="shared" si="15"/>
        <v>0</v>
      </c>
    </row>
    <row r="28" spans="2:18" s="133" customFormat="1" x14ac:dyDescent="0.2">
      <c r="B28" s="161">
        <v>43957</v>
      </c>
      <c r="C28" s="138">
        <v>-30000</v>
      </c>
      <c r="D28" s="60" t="s">
        <v>344</v>
      </c>
      <c r="E28" s="138">
        <f t="shared" si="12"/>
        <v>-30000</v>
      </c>
      <c r="F28" s="138">
        <f t="shared" si="13"/>
        <v>0</v>
      </c>
      <c r="G28" s="139">
        <f t="shared" si="14"/>
        <v>33.090000000000146</v>
      </c>
      <c r="H28" s="1"/>
      <c r="I28" s="283"/>
      <c r="J28" s="317"/>
      <c r="K28" s="194"/>
      <c r="L28" s="194"/>
      <c r="M28" s="138">
        <v>-30000</v>
      </c>
      <c r="N28" s="138"/>
      <c r="O28" s="138"/>
      <c r="P28" s="282"/>
      <c r="Q28" s="139"/>
      <c r="R28" s="1">
        <f t="shared" si="15"/>
        <v>0</v>
      </c>
    </row>
    <row r="29" spans="2:18" s="133" customFormat="1" x14ac:dyDescent="0.2">
      <c r="B29" s="161">
        <v>43956</v>
      </c>
      <c r="C29" s="138">
        <v>30000</v>
      </c>
      <c r="D29" s="60" t="s">
        <v>341</v>
      </c>
      <c r="E29" s="138">
        <f t="shared" si="12"/>
        <v>0</v>
      </c>
      <c r="F29" s="138">
        <f t="shared" si="13"/>
        <v>30000</v>
      </c>
      <c r="G29" s="139">
        <f t="shared" si="14"/>
        <v>30033.09</v>
      </c>
      <c r="H29" s="1"/>
      <c r="I29" s="283">
        <v>30000</v>
      </c>
      <c r="J29" s="317"/>
      <c r="K29" s="194"/>
      <c r="L29" s="194"/>
      <c r="M29" s="138"/>
      <c r="N29" s="138"/>
      <c r="O29" s="138"/>
      <c r="P29" s="282"/>
      <c r="Q29" s="139"/>
      <c r="R29" s="1">
        <f t="shared" si="15"/>
        <v>0</v>
      </c>
    </row>
    <row r="30" spans="2:18" s="133" customFormat="1" x14ac:dyDescent="0.2">
      <c r="B30" s="161">
        <v>43951</v>
      </c>
      <c r="C30" s="138">
        <v>0.16</v>
      </c>
      <c r="D30" s="60" t="s">
        <v>43</v>
      </c>
      <c r="E30" s="138">
        <f t="shared" si="12"/>
        <v>0</v>
      </c>
      <c r="F30" s="138">
        <f t="shared" si="13"/>
        <v>0.16</v>
      </c>
      <c r="G30" s="139">
        <f t="shared" si="14"/>
        <v>33.090000000000288</v>
      </c>
      <c r="H30" s="1"/>
      <c r="I30" s="283"/>
      <c r="J30" s="317"/>
      <c r="K30" s="194">
        <v>0.16</v>
      </c>
      <c r="L30" s="194"/>
      <c r="M30" s="138"/>
      <c r="N30" s="138"/>
      <c r="O30" s="138"/>
      <c r="P30" s="282"/>
      <c r="Q30" s="139"/>
      <c r="R30" s="1">
        <f t="shared" si="15"/>
        <v>0</v>
      </c>
    </row>
    <row r="31" spans="2:18" s="133" customFormat="1" x14ac:dyDescent="0.2">
      <c r="B31" s="161">
        <v>43950</v>
      </c>
      <c r="C31" s="138">
        <v>-30000</v>
      </c>
      <c r="D31" s="60" t="s">
        <v>343</v>
      </c>
      <c r="E31" s="138">
        <f t="shared" si="12"/>
        <v>-30000</v>
      </c>
      <c r="F31" s="138">
        <f t="shared" si="13"/>
        <v>0</v>
      </c>
      <c r="G31" s="139">
        <f t="shared" si="14"/>
        <v>32.930000000000291</v>
      </c>
      <c r="H31" s="1"/>
      <c r="I31" s="283"/>
      <c r="J31" s="317"/>
      <c r="K31" s="194"/>
      <c r="L31" s="194"/>
      <c r="M31" s="138">
        <v>-30000</v>
      </c>
      <c r="N31" s="138"/>
      <c r="O31" s="138"/>
      <c r="P31" s="282"/>
      <c r="Q31" s="139"/>
      <c r="R31" s="1">
        <f t="shared" si="15"/>
        <v>0</v>
      </c>
    </row>
    <row r="32" spans="2:18" s="133" customFormat="1" x14ac:dyDescent="0.2">
      <c r="B32" s="161">
        <v>43948</v>
      </c>
      <c r="C32" s="138">
        <v>30000</v>
      </c>
      <c r="D32" s="60" t="s">
        <v>342</v>
      </c>
      <c r="E32" s="138">
        <f t="shared" si="12"/>
        <v>0</v>
      </c>
      <c r="F32" s="138">
        <f t="shared" si="13"/>
        <v>30000</v>
      </c>
      <c r="G32" s="139">
        <f t="shared" si="14"/>
        <v>30032.93</v>
      </c>
      <c r="H32" s="1"/>
      <c r="I32" s="283">
        <v>30000</v>
      </c>
      <c r="J32" s="317"/>
      <c r="K32" s="194"/>
      <c r="L32" s="194"/>
      <c r="M32" s="138"/>
      <c r="N32" s="138"/>
      <c r="O32" s="138"/>
      <c r="P32" s="282"/>
      <c r="Q32" s="139"/>
      <c r="R32" s="1">
        <f t="shared" si="15"/>
        <v>0</v>
      </c>
    </row>
    <row r="33" spans="2:18" s="133" customFormat="1" x14ac:dyDescent="0.2">
      <c r="B33" s="161">
        <v>43830</v>
      </c>
      <c r="C33" s="138">
        <v>0.82</v>
      </c>
      <c r="D33" s="60" t="s">
        <v>301</v>
      </c>
      <c r="E33" s="138">
        <f t="shared" si="12"/>
        <v>0</v>
      </c>
      <c r="F33" s="138">
        <f t="shared" si="13"/>
        <v>0.82</v>
      </c>
      <c r="G33" s="139">
        <f t="shared" si="14"/>
        <v>32.930000000000582</v>
      </c>
      <c r="H33" s="1"/>
      <c r="I33" s="283"/>
      <c r="J33" s="317"/>
      <c r="K33" s="194">
        <v>0.82</v>
      </c>
      <c r="L33" s="194"/>
      <c r="M33" s="138"/>
      <c r="N33" s="138"/>
      <c r="O33" s="138"/>
      <c r="P33" s="282"/>
      <c r="Q33" s="139"/>
      <c r="R33" s="1">
        <f t="shared" si="15"/>
        <v>0</v>
      </c>
    </row>
    <row r="34" spans="2:18" s="133" customFormat="1" x14ac:dyDescent="0.2">
      <c r="B34" s="161">
        <v>43808</v>
      </c>
      <c r="C34" s="138">
        <v>-30000</v>
      </c>
      <c r="D34" s="60" t="s">
        <v>328</v>
      </c>
      <c r="E34" s="138">
        <f t="shared" si="12"/>
        <v>-30000</v>
      </c>
      <c r="F34" s="138">
        <f t="shared" si="13"/>
        <v>0</v>
      </c>
      <c r="G34" s="139">
        <f t="shared" si="14"/>
        <v>32.110000000000582</v>
      </c>
      <c r="H34" s="1"/>
      <c r="I34" s="283"/>
      <c r="J34" s="551"/>
      <c r="K34" s="194"/>
      <c r="L34" s="194"/>
      <c r="M34" s="138"/>
      <c r="N34" s="138">
        <v>-30000</v>
      </c>
      <c r="O34" s="138"/>
      <c r="P34" s="282"/>
      <c r="Q34" s="139"/>
      <c r="R34" s="1">
        <f t="shared" si="15"/>
        <v>0</v>
      </c>
    </row>
    <row r="35" spans="2:18" s="133" customFormat="1" x14ac:dyDescent="0.2">
      <c r="B35" s="161">
        <v>43798</v>
      </c>
      <c r="C35" s="138">
        <v>0.74</v>
      </c>
      <c r="D35" s="60" t="s">
        <v>301</v>
      </c>
      <c r="E35" s="138">
        <f t="shared" si="12"/>
        <v>0</v>
      </c>
      <c r="F35" s="138">
        <f t="shared" si="13"/>
        <v>0.74</v>
      </c>
      <c r="G35" s="139">
        <f t="shared" si="14"/>
        <v>30032.11</v>
      </c>
      <c r="H35" s="1"/>
      <c r="I35" s="283"/>
      <c r="J35" s="317"/>
      <c r="K35" s="194">
        <v>0.74</v>
      </c>
      <c r="L35" s="194"/>
      <c r="M35" s="138"/>
      <c r="N35" s="138"/>
      <c r="O35" s="138"/>
      <c r="P35" s="282"/>
      <c r="Q35" s="139"/>
      <c r="R35" s="1">
        <f t="shared" si="15"/>
        <v>0</v>
      </c>
    </row>
    <row r="36" spans="2:18" s="133" customFormat="1" x14ac:dyDescent="0.2">
      <c r="B36" s="161">
        <v>43789</v>
      </c>
      <c r="C36" s="138">
        <v>30000</v>
      </c>
      <c r="D36" s="60" t="s">
        <v>322</v>
      </c>
      <c r="E36" s="138">
        <f t="shared" si="12"/>
        <v>0</v>
      </c>
      <c r="F36" s="138">
        <f t="shared" si="13"/>
        <v>30000</v>
      </c>
      <c r="G36" s="139">
        <f t="shared" si="14"/>
        <v>30031.37</v>
      </c>
      <c r="H36" s="1"/>
      <c r="I36" s="283">
        <v>30000</v>
      </c>
      <c r="J36" s="317"/>
      <c r="K36" s="194"/>
      <c r="L36" s="194"/>
      <c r="M36" s="138"/>
      <c r="N36" s="138"/>
      <c r="O36" s="138"/>
      <c r="P36" s="282"/>
      <c r="Q36" s="139"/>
      <c r="R36" s="1">
        <f t="shared" si="15"/>
        <v>0</v>
      </c>
    </row>
    <row r="37" spans="2:18" s="133" customFormat="1" x14ac:dyDescent="0.2">
      <c r="B37" s="161">
        <v>43707</v>
      </c>
      <c r="C37" s="138">
        <v>0.09</v>
      </c>
      <c r="D37" s="60" t="s">
        <v>301</v>
      </c>
      <c r="E37" s="138">
        <f t="shared" si="12"/>
        <v>0</v>
      </c>
      <c r="F37" s="138">
        <f t="shared" si="13"/>
        <v>0.09</v>
      </c>
      <c r="G37" s="139">
        <f t="shared" si="14"/>
        <v>31.369999999998836</v>
      </c>
      <c r="H37" s="1"/>
      <c r="I37" s="283"/>
      <c r="J37" s="317"/>
      <c r="K37" s="194">
        <v>0.09</v>
      </c>
      <c r="L37" s="194"/>
      <c r="M37" s="138"/>
      <c r="N37" s="138"/>
      <c r="O37" s="138"/>
      <c r="P37" s="282"/>
      <c r="Q37" s="139"/>
      <c r="R37" s="1">
        <f t="shared" si="15"/>
        <v>0</v>
      </c>
    </row>
    <row r="38" spans="2:18" s="133" customFormat="1" x14ac:dyDescent="0.2">
      <c r="B38" s="161">
        <v>43691</v>
      </c>
      <c r="C38" s="138">
        <v>-1650</v>
      </c>
      <c r="D38" s="60" t="s">
        <v>323</v>
      </c>
      <c r="E38" s="138">
        <f t="shared" si="12"/>
        <v>-1650</v>
      </c>
      <c r="F38" s="138">
        <f t="shared" si="13"/>
        <v>0</v>
      </c>
      <c r="G38" s="139">
        <f t="shared" si="14"/>
        <v>31.279999999998836</v>
      </c>
      <c r="H38" s="1"/>
      <c r="I38" s="283"/>
      <c r="J38" s="317"/>
      <c r="K38" s="194"/>
      <c r="L38" s="194"/>
      <c r="M38" s="138"/>
      <c r="N38" s="138"/>
      <c r="O38" s="138"/>
      <c r="P38" s="282">
        <v>-1650</v>
      </c>
      <c r="Q38" s="139"/>
      <c r="R38" s="1">
        <f t="shared" si="15"/>
        <v>0</v>
      </c>
    </row>
    <row r="39" spans="2:18" s="133" customFormat="1" x14ac:dyDescent="0.2">
      <c r="B39" s="161">
        <v>43691</v>
      </c>
      <c r="C39" s="138">
        <v>-27900</v>
      </c>
      <c r="D39" s="60" t="s">
        <v>327</v>
      </c>
      <c r="E39" s="138">
        <f t="shared" si="12"/>
        <v>-27900</v>
      </c>
      <c r="F39" s="138">
        <f t="shared" si="13"/>
        <v>0</v>
      </c>
      <c r="G39" s="139">
        <f t="shared" si="14"/>
        <v>1681.2799999999988</v>
      </c>
      <c r="H39" s="1"/>
      <c r="I39" s="283">
        <v>-27900</v>
      </c>
      <c r="J39" s="317"/>
      <c r="K39" s="194"/>
      <c r="L39" s="194"/>
      <c r="M39" s="138"/>
      <c r="N39" s="138"/>
      <c r="O39" s="138"/>
      <c r="P39" s="282"/>
      <c r="Q39" s="139"/>
      <c r="R39" s="1">
        <f t="shared" si="15"/>
        <v>0</v>
      </c>
    </row>
    <row r="40" spans="2:18" s="133" customFormat="1" x14ac:dyDescent="0.2">
      <c r="B40" s="161">
        <v>43690</v>
      </c>
      <c r="C40" s="138">
        <v>28902</v>
      </c>
      <c r="D40" s="60" t="s">
        <v>324</v>
      </c>
      <c r="E40" s="138">
        <f t="shared" si="12"/>
        <v>0</v>
      </c>
      <c r="F40" s="138">
        <f t="shared" si="13"/>
        <v>28902</v>
      </c>
      <c r="G40" s="139">
        <f t="shared" si="14"/>
        <v>29581.279999999999</v>
      </c>
      <c r="H40" s="1"/>
      <c r="I40" s="283"/>
      <c r="J40" s="317"/>
      <c r="K40" s="194"/>
      <c r="L40" s="194"/>
      <c r="M40" s="138"/>
      <c r="N40" s="138"/>
      <c r="O40" s="138">
        <v>28902</v>
      </c>
      <c r="P40" s="282"/>
      <c r="Q40" s="139"/>
      <c r="R40" s="1">
        <f t="shared" si="15"/>
        <v>0</v>
      </c>
    </row>
    <row r="41" spans="2:18" s="133" customFormat="1" x14ac:dyDescent="0.2">
      <c r="B41" s="161">
        <v>43649</v>
      </c>
      <c r="C41" s="138">
        <v>-70000</v>
      </c>
      <c r="D41" s="60" t="s">
        <v>326</v>
      </c>
      <c r="E41" s="138">
        <f t="shared" ref="E41:E42" si="16">IF(C41&lt;0,C41,0)</f>
        <v>-70000</v>
      </c>
      <c r="F41" s="138">
        <f t="shared" ref="F41:F42" si="17">IF(C41&lt;0,0,C41)</f>
        <v>0</v>
      </c>
      <c r="G41" s="139">
        <f t="shared" ref="G41:G42" si="18">G42+E41+F41</f>
        <v>679.27999999999884</v>
      </c>
      <c r="H41" s="1"/>
      <c r="I41" s="283"/>
      <c r="J41" s="317">
        <v>-70000</v>
      </c>
      <c r="K41" s="194"/>
      <c r="L41" s="194"/>
      <c r="M41" s="138"/>
      <c r="N41" s="138"/>
      <c r="O41" s="138"/>
      <c r="P41" s="282"/>
      <c r="Q41" s="139"/>
      <c r="R41" s="1">
        <f t="shared" si="15"/>
        <v>0</v>
      </c>
    </row>
    <row r="42" spans="2:18" s="133" customFormat="1" ht="12" thickBot="1" x14ac:dyDescent="0.25">
      <c r="B42" s="162">
        <v>43649</v>
      </c>
      <c r="C42" s="552">
        <v>70000</v>
      </c>
      <c r="D42" s="141" t="s">
        <v>325</v>
      </c>
      <c r="E42" s="138">
        <f t="shared" si="16"/>
        <v>0</v>
      </c>
      <c r="F42" s="138">
        <f t="shared" si="17"/>
        <v>70000</v>
      </c>
      <c r="G42" s="139">
        <f t="shared" si="18"/>
        <v>70679.28</v>
      </c>
      <c r="H42" s="211"/>
      <c r="I42" s="309">
        <v>70000</v>
      </c>
      <c r="J42" s="318"/>
      <c r="K42" s="191"/>
      <c r="L42" s="191"/>
      <c r="M42" s="142"/>
      <c r="N42" s="142"/>
      <c r="O42" s="142"/>
      <c r="P42" s="443"/>
      <c r="Q42" s="147"/>
      <c r="R42" s="1">
        <f t="shared" si="15"/>
        <v>0</v>
      </c>
    </row>
    <row r="43" spans="2:18" s="164" customFormat="1" ht="15.75" x14ac:dyDescent="0.25">
      <c r="B43" s="330"/>
      <c r="D43" s="332" t="s">
        <v>283</v>
      </c>
      <c r="E43" s="331"/>
      <c r="F43" s="331"/>
      <c r="G43" s="331">
        <v>679.27999999999884</v>
      </c>
      <c r="H43" s="241"/>
      <c r="I43" s="469"/>
      <c r="J43" s="469"/>
      <c r="K43" s="469"/>
      <c r="L43" s="469"/>
      <c r="M43" s="469"/>
      <c r="N43" s="469"/>
      <c r="O43" s="469"/>
      <c r="P43" s="469"/>
      <c r="Q43" s="469"/>
      <c r="R43" s="171"/>
    </row>
    <row r="44" spans="2:18" s="133" customFormat="1" x14ac:dyDescent="0.2">
      <c r="B44" s="158"/>
      <c r="C44" s="3"/>
      <c r="D44" s="2"/>
      <c r="E44" s="3"/>
      <c r="F44" s="3"/>
      <c r="G44" s="3"/>
      <c r="H44" s="3"/>
      <c r="I44" s="3"/>
      <c r="J44" s="3"/>
      <c r="K44" s="4"/>
      <c r="L44" s="4"/>
      <c r="M44" s="3"/>
      <c r="N44" s="3"/>
      <c r="O44" s="3"/>
      <c r="P44" s="3"/>
      <c r="Q44" s="3"/>
      <c r="R44" s="1"/>
    </row>
    <row r="45" spans="2:18" s="133" customFormat="1" ht="16.5" thickBot="1" x14ac:dyDescent="0.3">
      <c r="B45" s="212"/>
      <c r="C45" s="211"/>
      <c r="D45" s="243" t="s">
        <v>282</v>
      </c>
      <c r="E45" s="211"/>
      <c r="F45" s="211"/>
      <c r="G45" s="245">
        <v>679.27999999999884</v>
      </c>
      <c r="H45" s="211"/>
      <c r="I45" s="195"/>
      <c r="J45" s="195"/>
      <c r="K45" s="195"/>
      <c r="L45" s="195"/>
      <c r="M45" s="211"/>
      <c r="N45" s="211"/>
      <c r="O45" s="338"/>
      <c r="P45" s="211"/>
      <c r="Q45" s="211"/>
    </row>
    <row r="46" spans="2:18" s="133" customFormat="1" x14ac:dyDescent="0.2">
      <c r="B46" s="161">
        <v>43644</v>
      </c>
      <c r="C46" s="138">
        <v>-1.2</v>
      </c>
      <c r="D46" s="60" t="s">
        <v>234</v>
      </c>
      <c r="E46" s="138">
        <f t="shared" ref="E46:E56" si="19">IF(C46&lt;0,C46,0)</f>
        <v>-1.2</v>
      </c>
      <c r="F46" s="138">
        <f t="shared" ref="F46:F56" si="20">IF(C46&lt;0,0,C46)</f>
        <v>0</v>
      </c>
      <c r="G46" s="139">
        <f t="shared" ref="G46:G56" si="21">G47+E46+F46</f>
        <v>679.28000000000168</v>
      </c>
      <c r="H46" s="1"/>
      <c r="I46" s="283"/>
      <c r="J46" s="317"/>
      <c r="K46" s="194">
        <v>-1.2</v>
      </c>
      <c r="L46" s="194"/>
      <c r="M46" s="138"/>
      <c r="N46" s="138"/>
      <c r="O46" s="138"/>
      <c r="P46" s="282"/>
      <c r="Q46" s="139"/>
      <c r="R46" s="1">
        <f t="shared" ref="R46:R59" si="22">SUM(I46:Q46)-C46</f>
        <v>0</v>
      </c>
    </row>
    <row r="47" spans="2:18" s="133" customFormat="1" x14ac:dyDescent="0.2">
      <c r="B47" s="161">
        <v>43644</v>
      </c>
      <c r="C47" s="138">
        <v>-0.6</v>
      </c>
      <c r="D47" s="60" t="s">
        <v>235</v>
      </c>
      <c r="E47" s="138">
        <f t="shared" si="19"/>
        <v>-0.6</v>
      </c>
      <c r="F47" s="138">
        <f t="shared" si="20"/>
        <v>0</v>
      </c>
      <c r="G47" s="139">
        <f t="shared" si="21"/>
        <v>680.48000000000172</v>
      </c>
      <c r="H47" s="1"/>
      <c r="I47" s="283"/>
      <c r="J47" s="317"/>
      <c r="K47" s="194">
        <v>-0.6</v>
      </c>
      <c r="L47" s="194"/>
      <c r="M47" s="138"/>
      <c r="N47" s="138"/>
      <c r="O47" s="138"/>
      <c r="P47" s="282"/>
      <c r="Q47" s="139"/>
      <c r="R47" s="1">
        <f t="shared" si="22"/>
        <v>0</v>
      </c>
    </row>
    <row r="48" spans="2:18" s="133" customFormat="1" x14ac:dyDescent="0.2">
      <c r="B48" s="161">
        <v>43644</v>
      </c>
      <c r="C48" s="138">
        <v>-520</v>
      </c>
      <c r="D48" s="60" t="s">
        <v>248</v>
      </c>
      <c r="E48" s="138">
        <f t="shared" si="19"/>
        <v>-520</v>
      </c>
      <c r="F48" s="138">
        <f t="shared" si="20"/>
        <v>0</v>
      </c>
      <c r="G48" s="139">
        <f t="shared" si="21"/>
        <v>681.08000000000175</v>
      </c>
      <c r="H48" s="1"/>
      <c r="I48" s="283"/>
      <c r="J48" s="317">
        <v>-520</v>
      </c>
      <c r="K48" s="194"/>
      <c r="L48" s="194"/>
      <c r="M48" s="138"/>
      <c r="N48" s="138"/>
      <c r="O48" s="138"/>
      <c r="P48" s="282"/>
      <c r="Q48" s="139"/>
      <c r="R48" s="1">
        <f t="shared" si="22"/>
        <v>0</v>
      </c>
    </row>
    <row r="49" spans="2:18" s="133" customFormat="1" x14ac:dyDescent="0.2">
      <c r="B49" s="161">
        <v>43643</v>
      </c>
      <c r="C49" s="138">
        <v>-480</v>
      </c>
      <c r="D49" s="60" t="s">
        <v>249</v>
      </c>
      <c r="E49" s="138">
        <f t="shared" si="19"/>
        <v>-480</v>
      </c>
      <c r="F49" s="138">
        <f t="shared" si="20"/>
        <v>0</v>
      </c>
      <c r="G49" s="139">
        <f t="shared" si="21"/>
        <v>1201.0800000000017</v>
      </c>
      <c r="H49" s="1"/>
      <c r="I49" s="283"/>
      <c r="J49" s="317">
        <v>-480</v>
      </c>
      <c r="K49" s="194"/>
      <c r="L49" s="194"/>
      <c r="M49" s="138"/>
      <c r="N49" s="138"/>
      <c r="O49" s="138"/>
      <c r="P49" s="282"/>
      <c r="Q49" s="139"/>
      <c r="R49" s="1">
        <f t="shared" si="22"/>
        <v>0</v>
      </c>
    </row>
    <row r="50" spans="2:18" s="133" customFormat="1" x14ac:dyDescent="0.2">
      <c r="B50" s="161">
        <v>43643</v>
      </c>
      <c r="C50" s="138">
        <v>1200</v>
      </c>
      <c r="D50" s="60" t="s">
        <v>236</v>
      </c>
      <c r="E50" s="138">
        <f t="shared" si="19"/>
        <v>0</v>
      </c>
      <c r="F50" s="138">
        <f t="shared" si="20"/>
        <v>1200</v>
      </c>
      <c r="G50" s="139">
        <f t="shared" si="21"/>
        <v>1681.0800000000017</v>
      </c>
      <c r="H50" s="1"/>
      <c r="I50" s="283">
        <v>1200</v>
      </c>
      <c r="J50" s="317"/>
      <c r="K50" s="194"/>
      <c r="L50" s="194"/>
      <c r="M50" s="138"/>
      <c r="N50" s="138"/>
      <c r="O50" s="138"/>
      <c r="P50" s="282"/>
      <c r="Q50" s="139"/>
      <c r="R50" s="1">
        <f t="shared" si="22"/>
        <v>0</v>
      </c>
    </row>
    <row r="51" spans="2:18" s="133" customFormat="1" x14ac:dyDescent="0.2">
      <c r="B51" s="161">
        <v>43641</v>
      </c>
      <c r="C51" s="138">
        <v>-9100</v>
      </c>
      <c r="D51" s="60" t="s">
        <v>130</v>
      </c>
      <c r="E51" s="138">
        <f t="shared" si="19"/>
        <v>-9100</v>
      </c>
      <c r="F51" s="138">
        <f t="shared" si="20"/>
        <v>0</v>
      </c>
      <c r="G51" s="139">
        <f t="shared" si="21"/>
        <v>481.08000000000175</v>
      </c>
      <c r="H51" s="1"/>
      <c r="I51" s="283"/>
      <c r="J51" s="317"/>
      <c r="K51" s="194"/>
      <c r="L51" s="194"/>
      <c r="M51" s="138"/>
      <c r="N51" s="138">
        <v>-9100</v>
      </c>
      <c r="O51" s="138"/>
      <c r="P51" s="282"/>
      <c r="Q51" s="139"/>
      <c r="R51" s="1">
        <f t="shared" si="22"/>
        <v>0</v>
      </c>
    </row>
    <row r="52" spans="2:18" s="133" customFormat="1" x14ac:dyDescent="0.2">
      <c r="B52" s="161">
        <v>43641</v>
      </c>
      <c r="C52" s="138">
        <v>5800</v>
      </c>
      <c r="D52" s="60" t="s">
        <v>237</v>
      </c>
      <c r="E52" s="138">
        <f t="shared" si="19"/>
        <v>0</v>
      </c>
      <c r="F52" s="138">
        <f t="shared" si="20"/>
        <v>5800</v>
      </c>
      <c r="G52" s="139">
        <f t="shared" si="21"/>
        <v>9581.0800000000017</v>
      </c>
      <c r="H52" s="1"/>
      <c r="I52" s="283">
        <v>5800</v>
      </c>
      <c r="J52" s="317"/>
      <c r="K52" s="194"/>
      <c r="L52" s="194"/>
      <c r="M52" s="138"/>
      <c r="N52" s="138"/>
      <c r="O52" s="138"/>
      <c r="P52" s="282"/>
      <c r="Q52" s="139"/>
      <c r="R52" s="1">
        <f t="shared" si="22"/>
        <v>0</v>
      </c>
    </row>
    <row r="53" spans="2:18" s="133" customFormat="1" x14ac:dyDescent="0.2">
      <c r="B53" s="161">
        <v>43641</v>
      </c>
      <c r="C53" s="138">
        <v>3500</v>
      </c>
      <c r="D53" s="60" t="s">
        <v>238</v>
      </c>
      <c r="E53" s="138">
        <f t="shared" si="19"/>
        <v>0</v>
      </c>
      <c r="F53" s="138">
        <f t="shared" si="20"/>
        <v>3500</v>
      </c>
      <c r="G53" s="139">
        <f t="shared" si="21"/>
        <v>3781.0800000000017</v>
      </c>
      <c r="H53" s="1"/>
      <c r="I53" s="283">
        <v>3500</v>
      </c>
      <c r="J53" s="317"/>
      <c r="K53" s="194"/>
      <c r="L53" s="194"/>
      <c r="M53" s="138"/>
      <c r="N53" s="138"/>
      <c r="O53" s="138"/>
      <c r="P53" s="282"/>
      <c r="Q53" s="139"/>
      <c r="R53" s="1">
        <f t="shared" si="22"/>
        <v>0</v>
      </c>
    </row>
    <row r="54" spans="2:18" s="133" customFormat="1" x14ac:dyDescent="0.2">
      <c r="B54" s="161">
        <v>43619</v>
      </c>
      <c r="C54" s="138">
        <v>-33000</v>
      </c>
      <c r="D54" s="60" t="s">
        <v>129</v>
      </c>
      <c r="E54" s="138">
        <f t="shared" si="19"/>
        <v>-33000</v>
      </c>
      <c r="F54" s="138">
        <f t="shared" si="20"/>
        <v>0</v>
      </c>
      <c r="G54" s="139">
        <f t="shared" si="21"/>
        <v>281.08000000000175</v>
      </c>
      <c r="H54" s="1"/>
      <c r="I54" s="283"/>
      <c r="J54" s="317"/>
      <c r="K54" s="194"/>
      <c r="L54" s="194"/>
      <c r="M54" s="138"/>
      <c r="N54" s="138">
        <v>-33000</v>
      </c>
      <c r="O54" s="138"/>
      <c r="P54" s="282"/>
      <c r="Q54" s="139"/>
      <c r="R54" s="1">
        <f t="shared" si="22"/>
        <v>0</v>
      </c>
    </row>
    <row r="55" spans="2:18" s="133" customFormat="1" x14ac:dyDescent="0.2">
      <c r="B55" s="161">
        <v>43619</v>
      </c>
      <c r="C55" s="138">
        <v>33000</v>
      </c>
      <c r="D55" s="60" t="s">
        <v>239</v>
      </c>
      <c r="E55" s="138">
        <f t="shared" si="19"/>
        <v>0</v>
      </c>
      <c r="F55" s="138">
        <f t="shared" si="20"/>
        <v>33000</v>
      </c>
      <c r="G55" s="139">
        <f t="shared" si="21"/>
        <v>33281.08</v>
      </c>
      <c r="H55" s="1"/>
      <c r="I55" s="283">
        <v>33000</v>
      </c>
      <c r="J55" s="317"/>
      <c r="K55" s="194"/>
      <c r="L55" s="194"/>
      <c r="M55" s="138"/>
      <c r="N55" s="138"/>
      <c r="O55" s="138"/>
      <c r="P55" s="282"/>
      <c r="Q55" s="139"/>
      <c r="R55" s="1">
        <f t="shared" si="22"/>
        <v>0</v>
      </c>
    </row>
    <row r="56" spans="2:18" s="133" customFormat="1" x14ac:dyDescent="0.2">
      <c r="B56" s="161">
        <v>43616</v>
      </c>
      <c r="C56" s="138">
        <v>0.1</v>
      </c>
      <c r="D56" s="60" t="s">
        <v>43</v>
      </c>
      <c r="E56" s="138">
        <f t="shared" si="19"/>
        <v>0</v>
      </c>
      <c r="F56" s="138">
        <f t="shared" si="20"/>
        <v>0.1</v>
      </c>
      <c r="G56" s="139">
        <f t="shared" si="21"/>
        <v>281.07999999999959</v>
      </c>
      <c r="H56" s="1"/>
      <c r="I56" s="283"/>
      <c r="J56" s="317"/>
      <c r="K56" s="194">
        <v>0.1</v>
      </c>
      <c r="L56" s="194"/>
      <c r="M56" s="138"/>
      <c r="N56" s="138"/>
      <c r="O56" s="138"/>
      <c r="P56" s="282"/>
      <c r="Q56" s="139"/>
      <c r="R56" s="1">
        <f t="shared" si="22"/>
        <v>0</v>
      </c>
    </row>
    <row r="57" spans="2:18" s="133" customFormat="1" x14ac:dyDescent="0.2">
      <c r="B57" s="161">
        <v>43595</v>
      </c>
      <c r="C57" s="138">
        <v>205</v>
      </c>
      <c r="D57" s="60" t="s">
        <v>127</v>
      </c>
      <c r="E57" s="138">
        <f t="shared" ref="E57:E74" si="23">IF(C57&lt;0,C57,0)</f>
        <v>0</v>
      </c>
      <c r="F57" s="138">
        <f t="shared" ref="F57:F74" si="24">IF(C57&lt;0,0,C57)</f>
        <v>205</v>
      </c>
      <c r="G57" s="139">
        <f t="shared" ref="G57:G73" si="25">G58+E57+F57</f>
        <v>280.97999999999956</v>
      </c>
      <c r="H57" s="1"/>
      <c r="I57" s="283"/>
      <c r="J57" s="317"/>
      <c r="K57" s="194"/>
      <c r="L57" s="478">
        <v>205</v>
      </c>
      <c r="M57" s="138"/>
      <c r="N57" s="138"/>
      <c r="O57" s="138"/>
      <c r="P57" s="282"/>
      <c r="Q57" s="139"/>
      <c r="R57" s="1">
        <f t="shared" si="22"/>
        <v>0</v>
      </c>
    </row>
    <row r="58" spans="2:18" s="133" customFormat="1" x14ac:dyDescent="0.2">
      <c r="B58" s="161">
        <v>43593</v>
      </c>
      <c r="C58" s="138">
        <v>-25000</v>
      </c>
      <c r="D58" s="137" t="s">
        <v>122</v>
      </c>
      <c r="E58" s="138">
        <f t="shared" si="23"/>
        <v>-25000</v>
      </c>
      <c r="F58" s="138">
        <f t="shared" si="24"/>
        <v>0</v>
      </c>
      <c r="G58" s="139">
        <f t="shared" si="25"/>
        <v>75.979999999999563</v>
      </c>
      <c r="H58" s="1"/>
      <c r="I58" s="283"/>
      <c r="J58" s="317"/>
      <c r="K58" s="194"/>
      <c r="L58" s="194"/>
      <c r="M58" s="138"/>
      <c r="N58" s="138">
        <v>-25000</v>
      </c>
      <c r="O58" s="138"/>
      <c r="P58" s="282"/>
      <c r="Q58" s="139"/>
      <c r="R58" s="1">
        <f t="shared" si="22"/>
        <v>0</v>
      </c>
    </row>
    <row r="59" spans="2:18" s="133" customFormat="1" x14ac:dyDescent="0.2">
      <c r="B59" s="161">
        <v>43592</v>
      </c>
      <c r="C59" s="138">
        <v>25000</v>
      </c>
      <c r="D59" s="137" t="s">
        <v>240</v>
      </c>
      <c r="E59" s="138">
        <f t="shared" si="23"/>
        <v>0</v>
      </c>
      <c r="F59" s="138">
        <f t="shared" si="24"/>
        <v>25000</v>
      </c>
      <c r="G59" s="139">
        <f t="shared" si="25"/>
        <v>25075.98</v>
      </c>
      <c r="H59" s="1"/>
      <c r="I59" s="283">
        <v>25000</v>
      </c>
      <c r="J59" s="317"/>
      <c r="K59" s="194"/>
      <c r="L59" s="194"/>
      <c r="M59" s="138"/>
      <c r="N59" s="138"/>
      <c r="O59" s="138"/>
      <c r="P59" s="282"/>
      <c r="Q59" s="139"/>
      <c r="R59" s="1">
        <f t="shared" si="22"/>
        <v>0</v>
      </c>
    </row>
    <row r="60" spans="2:18" s="133" customFormat="1" x14ac:dyDescent="0.2">
      <c r="B60" s="161">
        <v>43579</v>
      </c>
      <c r="C60" s="138">
        <v>51.3</v>
      </c>
      <c r="D60" s="60" t="s">
        <v>281</v>
      </c>
      <c r="E60" s="138">
        <f t="shared" si="23"/>
        <v>0</v>
      </c>
      <c r="F60" s="138">
        <f t="shared" si="24"/>
        <v>51.3</v>
      </c>
      <c r="G60" s="139">
        <f t="shared" si="25"/>
        <v>75.979999999999492</v>
      </c>
      <c r="H60" s="1"/>
      <c r="I60" s="283"/>
      <c r="J60" s="317"/>
      <c r="K60" s="194"/>
      <c r="M60" s="138"/>
      <c r="N60" s="138"/>
      <c r="O60" s="138"/>
      <c r="P60" s="282"/>
      <c r="Q60" s="468">
        <v>51.3</v>
      </c>
      <c r="R60" s="1">
        <f>SUM(I60:Q60)-C60</f>
        <v>0</v>
      </c>
    </row>
    <row r="61" spans="2:18" s="133" customFormat="1" x14ac:dyDescent="0.2">
      <c r="B61" s="161">
        <v>43553</v>
      </c>
      <c r="C61" s="138">
        <v>0.37</v>
      </c>
      <c r="D61" s="137" t="s">
        <v>43</v>
      </c>
      <c r="E61" s="138">
        <f t="shared" si="23"/>
        <v>0</v>
      </c>
      <c r="F61" s="138">
        <f t="shared" si="24"/>
        <v>0.37</v>
      </c>
      <c r="G61" s="139">
        <f t="shared" si="25"/>
        <v>24.679999999999492</v>
      </c>
      <c r="H61" s="1"/>
      <c r="I61" s="283"/>
      <c r="J61" s="317"/>
      <c r="K61" s="194">
        <v>0.37</v>
      </c>
      <c r="L61" s="194"/>
      <c r="M61" s="138"/>
      <c r="N61" s="138"/>
      <c r="O61" s="138"/>
      <c r="P61" s="282"/>
      <c r="Q61" s="139"/>
      <c r="R61" s="1">
        <f t="shared" ref="R61:R74" si="26">SUM(I61:Q61)-C61</f>
        <v>0</v>
      </c>
    </row>
    <row r="62" spans="2:18" s="133" customFormat="1" x14ac:dyDescent="0.2">
      <c r="B62" s="161">
        <v>43535</v>
      </c>
      <c r="C62" s="138">
        <v>-15000</v>
      </c>
      <c r="D62" s="137" t="s">
        <v>120</v>
      </c>
      <c r="E62" s="138">
        <f t="shared" si="23"/>
        <v>-15000</v>
      </c>
      <c r="F62" s="138">
        <f t="shared" si="24"/>
        <v>0</v>
      </c>
      <c r="G62" s="139">
        <f t="shared" si="25"/>
        <v>24.309999999999491</v>
      </c>
      <c r="H62" s="1"/>
      <c r="I62" s="283"/>
      <c r="J62" s="317"/>
      <c r="K62" s="194"/>
      <c r="L62" s="194"/>
      <c r="M62" s="138">
        <v>-15000</v>
      </c>
      <c r="N62" s="138"/>
      <c r="O62" s="138"/>
      <c r="P62" s="282"/>
      <c r="Q62" s="139"/>
      <c r="R62" s="1">
        <f t="shared" si="26"/>
        <v>0</v>
      </c>
    </row>
    <row r="63" spans="2:18" s="133" customFormat="1" x14ac:dyDescent="0.2">
      <c r="B63" s="161">
        <v>43529</v>
      </c>
      <c r="C63" s="138">
        <v>100</v>
      </c>
      <c r="D63" s="137" t="s">
        <v>123</v>
      </c>
      <c r="E63" s="138">
        <f t="shared" si="23"/>
        <v>0</v>
      </c>
      <c r="F63" s="138">
        <f t="shared" si="24"/>
        <v>100</v>
      </c>
      <c r="G63" s="139">
        <f t="shared" si="25"/>
        <v>15024.31</v>
      </c>
      <c r="H63" s="1"/>
      <c r="I63" s="283"/>
      <c r="J63" s="317"/>
      <c r="K63" s="194"/>
      <c r="L63" s="194"/>
      <c r="M63" s="138"/>
      <c r="N63" s="138">
        <v>100</v>
      </c>
      <c r="O63" s="138"/>
      <c r="P63" s="282"/>
      <c r="Q63" s="139"/>
      <c r="R63" s="1">
        <f t="shared" si="26"/>
        <v>0</v>
      </c>
    </row>
    <row r="64" spans="2:18" s="133" customFormat="1" x14ac:dyDescent="0.2">
      <c r="B64" s="161">
        <v>43528</v>
      </c>
      <c r="C64" s="138">
        <v>14800</v>
      </c>
      <c r="D64" s="137" t="s">
        <v>241</v>
      </c>
      <c r="E64" s="138">
        <f t="shared" si="23"/>
        <v>0</v>
      </c>
      <c r="F64" s="138">
        <f t="shared" si="24"/>
        <v>14800</v>
      </c>
      <c r="G64" s="139">
        <f t="shared" si="25"/>
        <v>14924.31</v>
      </c>
      <c r="H64" s="1"/>
      <c r="I64" s="283">
        <v>14800</v>
      </c>
      <c r="J64" s="317"/>
      <c r="K64" s="194"/>
      <c r="L64" s="194"/>
      <c r="M64" s="138"/>
      <c r="N64" s="138"/>
      <c r="O64" s="138"/>
      <c r="P64" s="282"/>
      <c r="Q64" s="139"/>
      <c r="R64" s="1">
        <f t="shared" si="26"/>
        <v>0</v>
      </c>
    </row>
    <row r="65" spans="2:18" s="133" customFormat="1" x14ac:dyDescent="0.2">
      <c r="B65" s="161">
        <v>43434</v>
      </c>
      <c r="C65" s="138">
        <v>0.06</v>
      </c>
      <c r="D65" s="137" t="s">
        <v>43</v>
      </c>
      <c r="E65" s="138">
        <f t="shared" si="23"/>
        <v>0</v>
      </c>
      <c r="F65" s="138">
        <f t="shared" si="24"/>
        <v>0.06</v>
      </c>
      <c r="G65" s="139">
        <f t="shared" si="25"/>
        <v>124.31</v>
      </c>
      <c r="H65" s="1"/>
      <c r="I65" s="283"/>
      <c r="J65" s="317"/>
      <c r="K65" s="194">
        <v>0.06</v>
      </c>
      <c r="L65" s="194"/>
      <c r="M65" s="138"/>
      <c r="N65" s="138"/>
      <c r="O65" s="138"/>
      <c r="P65" s="282"/>
      <c r="Q65" s="139"/>
      <c r="R65" s="1">
        <f t="shared" si="26"/>
        <v>0</v>
      </c>
    </row>
    <row r="66" spans="2:18" s="133" customFormat="1" x14ac:dyDescent="0.2">
      <c r="B66" s="161">
        <v>43423</v>
      </c>
      <c r="C66" s="138">
        <v>-10000</v>
      </c>
      <c r="D66" s="137" t="s">
        <v>124</v>
      </c>
      <c r="E66" s="138">
        <f t="shared" si="23"/>
        <v>-10000</v>
      </c>
      <c r="F66" s="138">
        <f t="shared" si="24"/>
        <v>0</v>
      </c>
      <c r="G66" s="139">
        <f t="shared" si="25"/>
        <v>124.25</v>
      </c>
      <c r="H66" s="1"/>
      <c r="I66" s="283"/>
      <c r="J66" s="317"/>
      <c r="K66" s="194"/>
      <c r="L66" s="194"/>
      <c r="M66" s="138"/>
      <c r="N66" s="138">
        <v>-10000</v>
      </c>
      <c r="O66" s="138"/>
      <c r="P66" s="282"/>
      <c r="Q66" s="139"/>
      <c r="R66" s="1">
        <f t="shared" si="26"/>
        <v>0</v>
      </c>
    </row>
    <row r="67" spans="2:18" s="133" customFormat="1" x14ac:dyDescent="0.2">
      <c r="B67" s="161">
        <v>43423</v>
      </c>
      <c r="C67" s="138">
        <v>5000</v>
      </c>
      <c r="D67" s="137" t="s">
        <v>242</v>
      </c>
      <c r="E67" s="138">
        <f t="shared" si="23"/>
        <v>0</v>
      </c>
      <c r="F67" s="138">
        <f t="shared" si="24"/>
        <v>5000</v>
      </c>
      <c r="G67" s="139">
        <f t="shared" si="25"/>
        <v>10124.25</v>
      </c>
      <c r="H67" s="1"/>
      <c r="I67" s="283">
        <v>5000</v>
      </c>
      <c r="J67" s="317"/>
      <c r="K67" s="194"/>
      <c r="L67" s="194"/>
      <c r="M67" s="138"/>
      <c r="N67" s="138"/>
      <c r="O67" s="138"/>
      <c r="P67" s="282"/>
      <c r="Q67" s="139"/>
      <c r="R67" s="1">
        <f t="shared" si="26"/>
        <v>0</v>
      </c>
    </row>
    <row r="68" spans="2:18" s="133" customFormat="1" x14ac:dyDescent="0.2">
      <c r="B68" s="161">
        <v>43420</v>
      </c>
      <c r="C68" s="138">
        <v>5000</v>
      </c>
      <c r="D68" s="137" t="s">
        <v>243</v>
      </c>
      <c r="E68" s="138">
        <f t="shared" si="23"/>
        <v>0</v>
      </c>
      <c r="F68" s="138">
        <f t="shared" si="24"/>
        <v>5000</v>
      </c>
      <c r="G68" s="139">
        <f t="shared" si="25"/>
        <v>5124.25</v>
      </c>
      <c r="H68" s="1"/>
      <c r="I68" s="283">
        <v>5000</v>
      </c>
      <c r="J68" s="317"/>
      <c r="K68" s="194"/>
      <c r="L68" s="194"/>
      <c r="M68" s="138"/>
      <c r="N68" s="138"/>
      <c r="O68" s="138"/>
      <c r="P68" s="282"/>
      <c r="Q68" s="139"/>
      <c r="R68" s="1">
        <f t="shared" si="26"/>
        <v>0</v>
      </c>
    </row>
    <row r="69" spans="2:18" s="133" customFormat="1" x14ac:dyDescent="0.2">
      <c r="B69" s="161">
        <v>43371</v>
      </c>
      <c r="C69" s="138">
        <v>0.91</v>
      </c>
      <c r="D69" s="137" t="s">
        <v>43</v>
      </c>
      <c r="E69" s="138">
        <f t="shared" si="23"/>
        <v>0</v>
      </c>
      <c r="F69" s="138">
        <f t="shared" si="24"/>
        <v>0.91</v>
      </c>
      <c r="G69" s="139">
        <f t="shared" si="25"/>
        <v>124.25000000000014</v>
      </c>
      <c r="H69" s="1"/>
      <c r="I69" s="283"/>
      <c r="J69" s="317"/>
      <c r="K69" s="194">
        <v>0.91</v>
      </c>
      <c r="L69" s="194"/>
      <c r="M69" s="138"/>
      <c r="N69" s="138"/>
      <c r="O69" s="138"/>
      <c r="P69" s="282"/>
      <c r="Q69" s="139"/>
      <c r="R69" s="1">
        <f t="shared" si="26"/>
        <v>0</v>
      </c>
    </row>
    <row r="70" spans="2:18" s="133" customFormat="1" x14ac:dyDescent="0.2">
      <c r="B70" s="161">
        <v>43362</v>
      </c>
      <c r="C70" s="138">
        <v>-27500</v>
      </c>
      <c r="D70" s="137" t="s">
        <v>125</v>
      </c>
      <c r="E70" s="138">
        <f t="shared" si="23"/>
        <v>-27500</v>
      </c>
      <c r="F70" s="138">
        <f t="shared" si="24"/>
        <v>0</v>
      </c>
      <c r="G70" s="139">
        <f t="shared" si="25"/>
        <v>123.34000000000015</v>
      </c>
      <c r="H70" s="1"/>
      <c r="I70" s="283">
        <v>-27500</v>
      </c>
      <c r="J70" s="317"/>
      <c r="K70" s="194"/>
      <c r="L70" s="194"/>
      <c r="M70" s="138"/>
      <c r="N70" s="138"/>
      <c r="O70" s="138"/>
      <c r="P70" s="282"/>
      <c r="Q70" s="139"/>
      <c r="R70" s="1">
        <f t="shared" si="26"/>
        <v>0</v>
      </c>
    </row>
    <row r="71" spans="2:18" s="133" customFormat="1" x14ac:dyDescent="0.2">
      <c r="B71" s="161">
        <v>43354</v>
      </c>
      <c r="C71" s="138">
        <v>26331.94</v>
      </c>
      <c r="D71" s="137" t="s">
        <v>244</v>
      </c>
      <c r="E71" s="138">
        <f t="shared" si="23"/>
        <v>0</v>
      </c>
      <c r="F71" s="138">
        <f t="shared" si="24"/>
        <v>26331.94</v>
      </c>
      <c r="G71" s="139">
        <f t="shared" si="25"/>
        <v>27623.34</v>
      </c>
      <c r="H71" s="1"/>
      <c r="I71" s="283"/>
      <c r="J71" s="317"/>
      <c r="K71" s="194"/>
      <c r="L71" s="194"/>
      <c r="M71" s="138"/>
      <c r="N71" s="138"/>
      <c r="O71" s="138">
        <v>26331.94</v>
      </c>
      <c r="P71" s="282"/>
      <c r="Q71" s="139"/>
      <c r="R71" s="1">
        <f t="shared" si="26"/>
        <v>0</v>
      </c>
    </row>
    <row r="72" spans="2:18" s="133" customFormat="1" x14ac:dyDescent="0.2">
      <c r="B72" s="161">
        <v>43346</v>
      </c>
      <c r="C72" s="138">
        <v>-100</v>
      </c>
      <c r="D72" s="137" t="s">
        <v>126</v>
      </c>
      <c r="E72" s="138">
        <f t="shared" si="23"/>
        <v>-100</v>
      </c>
      <c r="F72" s="138">
        <f t="shared" si="24"/>
        <v>0</v>
      </c>
      <c r="G72" s="139">
        <f t="shared" si="25"/>
        <v>1291.4000000000019</v>
      </c>
      <c r="H72" s="1"/>
      <c r="I72" s="283">
        <v>-100</v>
      </c>
      <c r="J72" s="317"/>
      <c r="K72" s="194"/>
      <c r="L72" s="194"/>
      <c r="M72" s="138"/>
      <c r="N72" s="138"/>
      <c r="O72" s="138"/>
      <c r="P72" s="282"/>
      <c r="Q72" s="139"/>
      <c r="R72" s="1">
        <f t="shared" si="26"/>
        <v>0</v>
      </c>
    </row>
    <row r="73" spans="2:18" s="133" customFormat="1" x14ac:dyDescent="0.2">
      <c r="B73" s="161">
        <v>43339</v>
      </c>
      <c r="C73" s="138">
        <v>-1540</v>
      </c>
      <c r="D73" s="137" t="s">
        <v>121</v>
      </c>
      <c r="E73" s="138">
        <f t="shared" si="23"/>
        <v>-1540</v>
      </c>
      <c r="F73" s="138">
        <f t="shared" si="24"/>
        <v>0</v>
      </c>
      <c r="G73" s="139">
        <f t="shared" si="25"/>
        <v>1391.4000000000019</v>
      </c>
      <c r="H73" s="1"/>
      <c r="I73" s="283"/>
      <c r="J73" s="317"/>
      <c r="K73" s="194"/>
      <c r="L73" s="194"/>
      <c r="M73" s="138"/>
      <c r="N73" s="138"/>
      <c r="O73" s="138"/>
      <c r="P73" s="282">
        <v>-1540</v>
      </c>
      <c r="Q73" s="139"/>
      <c r="R73" s="1">
        <f t="shared" si="26"/>
        <v>0</v>
      </c>
    </row>
    <row r="74" spans="2:18" s="133" customFormat="1" ht="12" thickBot="1" x14ac:dyDescent="0.25">
      <c r="B74" s="162">
        <v>43335</v>
      </c>
      <c r="C74" s="142">
        <v>2850</v>
      </c>
      <c r="D74" s="141" t="s">
        <v>64</v>
      </c>
      <c r="E74" s="142">
        <f t="shared" si="23"/>
        <v>0</v>
      </c>
      <c r="F74" s="142">
        <f t="shared" si="24"/>
        <v>2850</v>
      </c>
      <c r="G74" s="147">
        <f>G75+E74+F74</f>
        <v>2931.4000000000019</v>
      </c>
      <c r="H74" s="211"/>
      <c r="I74" s="309">
        <v>2850</v>
      </c>
      <c r="J74" s="318"/>
      <c r="K74" s="191"/>
      <c r="L74" s="191"/>
      <c r="M74" s="142"/>
      <c r="N74" s="142"/>
      <c r="O74" s="142"/>
      <c r="P74" s="443"/>
      <c r="Q74" s="147"/>
      <c r="R74" s="1">
        <f t="shared" si="26"/>
        <v>0</v>
      </c>
    </row>
    <row r="75" spans="2:18" s="164" customFormat="1" ht="15.75" x14ac:dyDescent="0.25">
      <c r="B75" s="330"/>
      <c r="C75" s="331"/>
      <c r="D75" s="332" t="s">
        <v>82</v>
      </c>
      <c r="E75" s="331"/>
      <c r="F75" s="331"/>
      <c r="G75" s="331">
        <v>81.400000000002038</v>
      </c>
      <c r="H75" s="241"/>
      <c r="I75" s="55"/>
      <c r="J75" s="55"/>
      <c r="K75" s="55"/>
      <c r="L75" s="55"/>
      <c r="M75" s="55"/>
      <c r="N75" s="55"/>
      <c r="O75" s="55"/>
      <c r="P75" s="55"/>
      <c r="Q75" s="55"/>
      <c r="R75" s="171"/>
    </row>
    <row r="76" spans="2:18" s="133" customFormat="1" x14ac:dyDescent="0.2">
      <c r="B76" s="158"/>
      <c r="C76" s="3"/>
      <c r="D76" s="2"/>
      <c r="E76" s="3"/>
      <c r="F76" s="3"/>
      <c r="G76" s="3"/>
      <c r="H76" s="1"/>
      <c r="I76" s="3"/>
      <c r="J76" s="3"/>
      <c r="K76" s="4"/>
      <c r="L76" s="4"/>
      <c r="M76" s="3"/>
      <c r="N76" s="3"/>
      <c r="O76" s="3"/>
      <c r="P76" s="1"/>
      <c r="Q76" s="1"/>
      <c r="R76" s="1"/>
    </row>
    <row r="77" spans="2:18" s="133" customFormat="1" ht="16.5" thickBot="1" x14ac:dyDescent="0.3">
      <c r="B77" s="212"/>
      <c r="C77" s="211"/>
      <c r="D77" s="243" t="s">
        <v>81</v>
      </c>
      <c r="E77" s="211"/>
      <c r="F77" s="211"/>
      <c r="G77" s="245">
        <v>81.400000000009314</v>
      </c>
      <c r="H77" s="211"/>
      <c r="I77" s="195"/>
      <c r="J77" s="195"/>
      <c r="K77" s="195"/>
      <c r="L77" s="195"/>
      <c r="M77" s="211"/>
      <c r="N77" s="211"/>
      <c r="O77" s="338" t="s">
        <v>54</v>
      </c>
      <c r="P77" s="1"/>
      <c r="Q77" s="1"/>
    </row>
    <row r="78" spans="2:18" s="133" customFormat="1" x14ac:dyDescent="0.2">
      <c r="B78" s="165">
        <v>43280</v>
      </c>
      <c r="C78" s="167">
        <v>0.14000000000000001</v>
      </c>
      <c r="D78" s="84" t="s">
        <v>43</v>
      </c>
      <c r="E78" s="167">
        <f t="shared" ref="E78:E117" si="27">IF(C78&lt;0,C78,0)</f>
        <v>0</v>
      </c>
      <c r="F78" s="167">
        <f t="shared" ref="F78:F117" si="28">IF(C78&lt;0,0,C78)</f>
        <v>0.14000000000000001</v>
      </c>
      <c r="G78" s="273">
        <f t="shared" ref="G78:G117" si="29">G79+E78+F78</f>
        <v>81.400000000009314</v>
      </c>
      <c r="H78" s="1"/>
      <c r="I78" s="242">
        <v>0.14000000000000001</v>
      </c>
      <c r="J78" s="257"/>
      <c r="K78" s="257"/>
      <c r="L78" s="64"/>
      <c r="M78" s="64"/>
      <c r="N78" s="132"/>
      <c r="O78" s="1">
        <f t="shared" ref="O78:O111" si="30">SUM(I78:N78)-C78</f>
        <v>0</v>
      </c>
      <c r="P78" s="1"/>
      <c r="Q78" s="1"/>
    </row>
    <row r="79" spans="2:18" s="133" customFormat="1" x14ac:dyDescent="0.2">
      <c r="B79" s="161">
        <v>43277</v>
      </c>
      <c r="C79" s="138">
        <v>-35230</v>
      </c>
      <c r="D79" s="137" t="s">
        <v>63</v>
      </c>
      <c r="E79" s="138">
        <f t="shared" si="27"/>
        <v>-35230</v>
      </c>
      <c r="F79" s="138">
        <f t="shared" si="28"/>
        <v>0</v>
      </c>
      <c r="G79" s="139">
        <f t="shared" si="29"/>
        <v>81.260000000009313</v>
      </c>
      <c r="H79" s="1"/>
      <c r="I79" s="193"/>
      <c r="J79" s="258"/>
      <c r="K79" s="258"/>
      <c r="L79" s="138">
        <v>-35230</v>
      </c>
      <c r="M79" s="138"/>
      <c r="N79" s="139"/>
      <c r="O79" s="1">
        <f t="shared" si="30"/>
        <v>0</v>
      </c>
      <c r="P79" s="1"/>
      <c r="Q79" s="1"/>
    </row>
    <row r="80" spans="2:18" s="133" customFormat="1" x14ac:dyDescent="0.2">
      <c r="B80" s="161">
        <v>43276</v>
      </c>
      <c r="C80" s="138">
        <v>35230</v>
      </c>
      <c r="D80" s="137" t="s">
        <v>64</v>
      </c>
      <c r="E80" s="138">
        <f t="shared" si="27"/>
        <v>0</v>
      </c>
      <c r="F80" s="138">
        <f t="shared" si="28"/>
        <v>35230</v>
      </c>
      <c r="G80" s="139">
        <f t="shared" si="29"/>
        <v>35311.260000000009</v>
      </c>
      <c r="H80" s="1"/>
      <c r="I80" s="193"/>
      <c r="J80" s="258"/>
      <c r="K80" s="258"/>
      <c r="L80" s="138"/>
      <c r="M80" s="138">
        <v>35230</v>
      </c>
      <c r="N80" s="139"/>
      <c r="O80" s="1">
        <f t="shared" si="30"/>
        <v>0</v>
      </c>
      <c r="P80" s="1"/>
      <c r="Q80" s="1"/>
    </row>
    <row r="81" spans="2:17" s="133" customFormat="1" x14ac:dyDescent="0.2">
      <c r="B81" s="161">
        <v>43252</v>
      </c>
      <c r="C81" s="138">
        <v>-2.5</v>
      </c>
      <c r="D81" s="137" t="s">
        <v>62</v>
      </c>
      <c r="E81" s="138">
        <f t="shared" si="27"/>
        <v>-2.5</v>
      </c>
      <c r="F81" s="138">
        <f t="shared" si="28"/>
        <v>0</v>
      </c>
      <c r="G81" s="139">
        <f t="shared" si="29"/>
        <v>81.260000000006983</v>
      </c>
      <c r="H81" s="1"/>
      <c r="I81" s="193">
        <v>-2.5</v>
      </c>
      <c r="J81" s="258"/>
      <c r="K81" s="258"/>
      <c r="L81" s="138"/>
      <c r="M81" s="138"/>
      <c r="N81" s="139"/>
      <c r="O81" s="1">
        <f t="shared" si="30"/>
        <v>0</v>
      </c>
      <c r="P81" s="1"/>
      <c r="Q81" s="1"/>
    </row>
    <row r="82" spans="2:17" s="133" customFormat="1" x14ac:dyDescent="0.2">
      <c r="B82" s="161">
        <v>43223</v>
      </c>
      <c r="C82" s="138">
        <v>-2.5</v>
      </c>
      <c r="D82" s="137" t="s">
        <v>62</v>
      </c>
      <c r="E82" s="138">
        <f t="shared" si="27"/>
        <v>-2.5</v>
      </c>
      <c r="F82" s="138">
        <f t="shared" si="28"/>
        <v>0</v>
      </c>
      <c r="G82" s="139">
        <f t="shared" si="29"/>
        <v>83.760000000006983</v>
      </c>
      <c r="H82" s="1"/>
      <c r="I82" s="193">
        <v>-2.5</v>
      </c>
      <c r="J82" s="258"/>
      <c r="K82" s="258"/>
      <c r="L82" s="138"/>
      <c r="M82" s="138"/>
      <c r="N82" s="139"/>
      <c r="O82" s="1">
        <f t="shared" si="30"/>
        <v>0</v>
      </c>
      <c r="P82" s="1"/>
      <c r="Q82" s="1"/>
    </row>
    <row r="83" spans="2:17" s="133" customFormat="1" x14ac:dyDescent="0.2">
      <c r="B83" s="161">
        <v>43223</v>
      </c>
      <c r="C83" s="138">
        <v>0.19</v>
      </c>
      <c r="D83" s="137" t="s">
        <v>43</v>
      </c>
      <c r="E83" s="138">
        <f t="shared" si="27"/>
        <v>0</v>
      </c>
      <c r="F83" s="138">
        <f t="shared" si="28"/>
        <v>0.19</v>
      </c>
      <c r="G83" s="139">
        <f t="shared" si="29"/>
        <v>86.260000000006983</v>
      </c>
      <c r="H83" s="1"/>
      <c r="I83" s="193">
        <v>0.19</v>
      </c>
      <c r="J83" s="258"/>
      <c r="K83" s="258"/>
      <c r="L83" s="138"/>
      <c r="M83" s="138"/>
      <c r="N83" s="139"/>
      <c r="O83" s="1">
        <f t="shared" si="30"/>
        <v>0</v>
      </c>
      <c r="P83" s="1"/>
      <c r="Q83" s="1"/>
    </row>
    <row r="84" spans="2:17" s="133" customFormat="1" x14ac:dyDescent="0.2">
      <c r="B84" s="161">
        <v>43195</v>
      </c>
      <c r="C84" s="138">
        <v>-35000</v>
      </c>
      <c r="D84" s="137" t="s">
        <v>65</v>
      </c>
      <c r="E84" s="138">
        <f t="shared" si="27"/>
        <v>-35000</v>
      </c>
      <c r="F84" s="138">
        <f t="shared" si="28"/>
        <v>0</v>
      </c>
      <c r="G84" s="139">
        <f t="shared" si="29"/>
        <v>86.070000000006985</v>
      </c>
      <c r="H84" s="1"/>
      <c r="I84" s="193"/>
      <c r="J84" s="258"/>
      <c r="K84" s="258"/>
      <c r="L84" s="138"/>
      <c r="M84" s="138">
        <v>-35000</v>
      </c>
      <c r="N84" s="139"/>
      <c r="O84" s="1">
        <f t="shared" si="30"/>
        <v>0</v>
      </c>
      <c r="P84" s="1"/>
      <c r="Q84" s="1"/>
    </row>
    <row r="85" spans="2:17" s="133" customFormat="1" x14ac:dyDescent="0.2">
      <c r="B85" s="161">
        <v>43193</v>
      </c>
      <c r="C85" s="138">
        <v>-5000</v>
      </c>
      <c r="D85" s="137" t="s">
        <v>66</v>
      </c>
      <c r="E85" s="138">
        <f t="shared" si="27"/>
        <v>-5000</v>
      </c>
      <c r="F85" s="138">
        <f t="shared" si="28"/>
        <v>0</v>
      </c>
      <c r="G85" s="139">
        <f t="shared" si="29"/>
        <v>35086.070000000007</v>
      </c>
      <c r="H85" s="1"/>
      <c r="I85" s="193"/>
      <c r="J85" s="258"/>
      <c r="K85" s="138">
        <v>-5000</v>
      </c>
      <c r="L85" s="1"/>
      <c r="M85" s="138"/>
      <c r="N85" s="139"/>
      <c r="O85" s="1">
        <f t="shared" si="30"/>
        <v>0</v>
      </c>
      <c r="P85" s="1"/>
      <c r="Q85" s="1"/>
    </row>
    <row r="86" spans="2:17" s="133" customFormat="1" x14ac:dyDescent="0.2">
      <c r="B86" s="161">
        <v>43193</v>
      </c>
      <c r="C86" s="138">
        <v>-2.5</v>
      </c>
      <c r="D86" s="137" t="s">
        <v>62</v>
      </c>
      <c r="E86" s="138">
        <f t="shared" si="27"/>
        <v>-2.5</v>
      </c>
      <c r="F86" s="138">
        <f t="shared" si="28"/>
        <v>0</v>
      </c>
      <c r="G86" s="139">
        <f t="shared" si="29"/>
        <v>40086.070000000007</v>
      </c>
      <c r="H86" s="1"/>
      <c r="I86" s="193">
        <v>-2.5</v>
      </c>
      <c r="J86" s="258"/>
      <c r="K86" s="258"/>
      <c r="L86" s="138"/>
      <c r="M86" s="138"/>
      <c r="N86" s="139"/>
      <c r="O86" s="1">
        <f t="shared" si="30"/>
        <v>0</v>
      </c>
      <c r="P86" s="1"/>
      <c r="Q86" s="1"/>
    </row>
    <row r="87" spans="2:17" s="133" customFormat="1" x14ac:dyDescent="0.2">
      <c r="B87" s="161">
        <v>43193</v>
      </c>
      <c r="C87" s="138">
        <v>1.98</v>
      </c>
      <c r="D87" s="137" t="s">
        <v>43</v>
      </c>
      <c r="E87" s="138">
        <f t="shared" si="27"/>
        <v>0</v>
      </c>
      <c r="F87" s="138">
        <f t="shared" si="28"/>
        <v>1.98</v>
      </c>
      <c r="G87" s="139">
        <f t="shared" si="29"/>
        <v>40088.570000000007</v>
      </c>
      <c r="H87" s="1"/>
      <c r="I87" s="193">
        <v>1.98</v>
      </c>
      <c r="J87" s="258"/>
      <c r="K87" s="258"/>
      <c r="L87" s="138"/>
      <c r="M87" s="138"/>
      <c r="N87" s="139"/>
      <c r="O87" s="1">
        <f t="shared" si="30"/>
        <v>0</v>
      </c>
      <c r="P87" s="1"/>
      <c r="Q87" s="1"/>
    </row>
    <row r="88" spans="2:17" s="133" customFormat="1" x14ac:dyDescent="0.2">
      <c r="B88" s="161">
        <v>43175</v>
      </c>
      <c r="C88" s="138">
        <v>40000</v>
      </c>
      <c r="D88" s="137" t="s">
        <v>64</v>
      </c>
      <c r="E88" s="138">
        <f t="shared" si="27"/>
        <v>0</v>
      </c>
      <c r="F88" s="138">
        <f t="shared" si="28"/>
        <v>40000</v>
      </c>
      <c r="G88" s="139">
        <f t="shared" si="29"/>
        <v>40086.590000000004</v>
      </c>
      <c r="H88" s="1"/>
      <c r="I88" s="193"/>
      <c r="J88" s="258"/>
      <c r="K88" s="258"/>
      <c r="L88" s="138"/>
      <c r="M88" s="138">
        <v>40000</v>
      </c>
      <c r="N88" s="139"/>
      <c r="O88" s="1">
        <f t="shared" si="30"/>
        <v>0</v>
      </c>
      <c r="P88" s="1"/>
      <c r="Q88" s="1"/>
    </row>
    <row r="89" spans="2:17" s="133" customFormat="1" x14ac:dyDescent="0.2">
      <c r="B89" s="161">
        <v>43161</v>
      </c>
      <c r="C89" s="138">
        <v>-2.5</v>
      </c>
      <c r="D89" s="137" t="s">
        <v>62</v>
      </c>
      <c r="E89" s="138">
        <f t="shared" si="27"/>
        <v>-2.5</v>
      </c>
      <c r="F89" s="138">
        <f t="shared" si="28"/>
        <v>0</v>
      </c>
      <c r="G89" s="139">
        <f t="shared" si="29"/>
        <v>86.590000000000728</v>
      </c>
      <c r="H89" s="1"/>
      <c r="I89" s="193">
        <v>-2.5</v>
      </c>
      <c r="J89" s="258"/>
      <c r="K89" s="258"/>
      <c r="L89" s="138"/>
      <c r="M89" s="138"/>
      <c r="N89" s="139"/>
      <c r="O89" s="1">
        <f t="shared" si="30"/>
        <v>0</v>
      </c>
      <c r="P89" s="1"/>
      <c r="Q89" s="1"/>
    </row>
    <row r="90" spans="2:17" s="133" customFormat="1" x14ac:dyDescent="0.2">
      <c r="B90" s="161">
        <v>43133</v>
      </c>
      <c r="C90" s="138">
        <v>-2.5</v>
      </c>
      <c r="D90" s="137" t="s">
        <v>62</v>
      </c>
      <c r="E90" s="138">
        <f t="shared" si="27"/>
        <v>-2.5</v>
      </c>
      <c r="F90" s="138">
        <f t="shared" si="28"/>
        <v>0</v>
      </c>
      <c r="G90" s="139">
        <f t="shared" si="29"/>
        <v>89.090000000000728</v>
      </c>
      <c r="H90" s="1"/>
      <c r="I90" s="193">
        <v>-2.5</v>
      </c>
      <c r="J90" s="258"/>
      <c r="K90" s="258"/>
      <c r="L90" s="138"/>
      <c r="M90" s="138"/>
      <c r="N90" s="139"/>
      <c r="O90" s="1">
        <f t="shared" si="30"/>
        <v>0</v>
      </c>
      <c r="P90" s="1"/>
      <c r="Q90" s="1"/>
    </row>
    <row r="91" spans="2:17" s="133" customFormat="1" x14ac:dyDescent="0.2">
      <c r="B91" s="161">
        <v>43133</v>
      </c>
      <c r="C91" s="138">
        <v>0.14000000000000001</v>
      </c>
      <c r="D91" s="137" t="s">
        <v>43</v>
      </c>
      <c r="E91" s="138">
        <f t="shared" si="27"/>
        <v>0</v>
      </c>
      <c r="F91" s="138">
        <f t="shared" si="28"/>
        <v>0.14000000000000001</v>
      </c>
      <c r="G91" s="139">
        <f t="shared" si="29"/>
        <v>91.590000000000728</v>
      </c>
      <c r="H91" s="1"/>
      <c r="I91" s="193">
        <v>0.14000000000000001</v>
      </c>
      <c r="J91" s="258"/>
      <c r="K91" s="258"/>
      <c r="L91" s="138"/>
      <c r="M91" s="138"/>
      <c r="N91" s="139"/>
      <c r="O91" s="1">
        <f t="shared" si="30"/>
        <v>0</v>
      </c>
      <c r="P91" s="1"/>
      <c r="Q91" s="1"/>
    </row>
    <row r="92" spans="2:17" s="133" customFormat="1" x14ac:dyDescent="0.2">
      <c r="B92" s="161">
        <v>43130</v>
      </c>
      <c r="C92" s="138">
        <v>-10000</v>
      </c>
      <c r="D92" s="137" t="s">
        <v>67</v>
      </c>
      <c r="E92" s="138">
        <f t="shared" si="27"/>
        <v>-10000</v>
      </c>
      <c r="F92" s="138">
        <f t="shared" si="28"/>
        <v>0</v>
      </c>
      <c r="G92" s="139">
        <f t="shared" si="29"/>
        <v>91.450000000000728</v>
      </c>
      <c r="H92" s="1"/>
      <c r="I92" s="193"/>
      <c r="J92" s="258"/>
      <c r="K92" s="258"/>
      <c r="L92" s="138">
        <v>-10000</v>
      </c>
      <c r="M92" s="138"/>
      <c r="N92" s="139"/>
      <c r="O92" s="1">
        <f t="shared" si="30"/>
        <v>0</v>
      </c>
      <c r="P92" s="1"/>
      <c r="Q92" s="1"/>
    </row>
    <row r="93" spans="2:17" s="133" customFormat="1" x14ac:dyDescent="0.2">
      <c r="B93" s="161">
        <v>43129</v>
      </c>
      <c r="C93" s="138">
        <v>10000</v>
      </c>
      <c r="D93" s="137" t="s">
        <v>64</v>
      </c>
      <c r="E93" s="138">
        <f t="shared" si="27"/>
        <v>0</v>
      </c>
      <c r="F93" s="138">
        <f t="shared" si="28"/>
        <v>10000</v>
      </c>
      <c r="G93" s="139">
        <f t="shared" si="29"/>
        <v>10091.450000000001</v>
      </c>
      <c r="H93" s="1"/>
      <c r="I93" s="193"/>
      <c r="J93" s="258"/>
      <c r="K93" s="258"/>
      <c r="L93" s="138"/>
      <c r="M93" s="138">
        <v>10000</v>
      </c>
      <c r="N93" s="139"/>
      <c r="O93" s="1">
        <f t="shared" si="30"/>
        <v>0</v>
      </c>
      <c r="P93" s="1"/>
      <c r="Q93" s="1"/>
    </row>
    <row r="94" spans="2:17" s="133" customFormat="1" x14ac:dyDescent="0.2">
      <c r="B94" s="161">
        <v>43111</v>
      </c>
      <c r="C94" s="138">
        <v>-3000</v>
      </c>
      <c r="D94" s="137" t="s">
        <v>68</v>
      </c>
      <c r="E94" s="138">
        <f t="shared" si="27"/>
        <v>-3000</v>
      </c>
      <c r="F94" s="138">
        <f t="shared" si="28"/>
        <v>0</v>
      </c>
      <c r="G94" s="139">
        <f t="shared" si="29"/>
        <v>91.450000000001637</v>
      </c>
      <c r="H94" s="1"/>
      <c r="I94" s="193"/>
      <c r="J94" s="258"/>
      <c r="K94" s="258"/>
      <c r="L94" s="138">
        <v>-3000</v>
      </c>
      <c r="M94" s="138"/>
      <c r="N94" s="139"/>
      <c r="O94" s="1">
        <f t="shared" si="30"/>
        <v>0</v>
      </c>
      <c r="P94" s="1"/>
      <c r="Q94" s="1"/>
    </row>
    <row r="95" spans="2:17" s="133" customFormat="1" x14ac:dyDescent="0.2">
      <c r="B95" s="161">
        <v>43111</v>
      </c>
      <c r="C95" s="138">
        <v>-2000</v>
      </c>
      <c r="D95" s="137" t="s">
        <v>69</v>
      </c>
      <c r="E95" s="138">
        <f t="shared" si="27"/>
        <v>-2000</v>
      </c>
      <c r="F95" s="138">
        <f t="shared" si="28"/>
        <v>0</v>
      </c>
      <c r="G95" s="139">
        <f t="shared" si="29"/>
        <v>3091.4500000000016</v>
      </c>
      <c r="H95" s="1"/>
      <c r="I95" s="193"/>
      <c r="J95" s="258"/>
      <c r="K95" s="138">
        <v>-2000</v>
      </c>
      <c r="L95" s="138"/>
      <c r="M95" s="138"/>
      <c r="N95" s="139"/>
      <c r="O95" s="1">
        <f t="shared" si="30"/>
        <v>0</v>
      </c>
      <c r="P95" s="1"/>
      <c r="Q95" s="1"/>
    </row>
    <row r="96" spans="2:17" s="133" customFormat="1" x14ac:dyDescent="0.2">
      <c r="B96" s="161">
        <v>43103</v>
      </c>
      <c r="C96" s="138">
        <v>-2.5</v>
      </c>
      <c r="D96" s="137" t="s">
        <v>62</v>
      </c>
      <c r="E96" s="138">
        <f t="shared" si="27"/>
        <v>-2.5</v>
      </c>
      <c r="F96" s="138">
        <f t="shared" si="28"/>
        <v>0</v>
      </c>
      <c r="G96" s="139">
        <f t="shared" si="29"/>
        <v>5091.4500000000016</v>
      </c>
      <c r="H96" s="1"/>
      <c r="I96" s="193">
        <v>-2.5</v>
      </c>
      <c r="J96" s="258"/>
      <c r="K96" s="258"/>
      <c r="L96" s="138"/>
      <c r="M96" s="138"/>
      <c r="N96" s="139"/>
      <c r="O96" s="1">
        <f t="shared" si="30"/>
        <v>0</v>
      </c>
      <c r="P96" s="1"/>
      <c r="Q96" s="1"/>
    </row>
    <row r="97" spans="2:17" s="133" customFormat="1" x14ac:dyDescent="0.2">
      <c r="B97" s="161">
        <v>43103</v>
      </c>
      <c r="C97" s="138">
        <v>5000</v>
      </c>
      <c r="D97" s="137" t="s">
        <v>64</v>
      </c>
      <c r="E97" s="138">
        <f t="shared" si="27"/>
        <v>0</v>
      </c>
      <c r="F97" s="138">
        <f t="shared" si="28"/>
        <v>5000</v>
      </c>
      <c r="G97" s="139">
        <f t="shared" si="29"/>
        <v>5093.9500000000016</v>
      </c>
      <c r="H97" s="1"/>
      <c r="I97" s="193"/>
      <c r="J97" s="258"/>
      <c r="K97" s="258"/>
      <c r="L97" s="138"/>
      <c r="M97" s="138">
        <v>5000</v>
      </c>
      <c r="N97" s="139"/>
      <c r="O97" s="1">
        <f t="shared" si="30"/>
        <v>0</v>
      </c>
      <c r="P97" s="1"/>
      <c r="Q97" s="1"/>
    </row>
    <row r="98" spans="2:17" s="133" customFormat="1" x14ac:dyDescent="0.2">
      <c r="B98" s="161">
        <v>43070</v>
      </c>
      <c r="C98" s="138">
        <v>-2.5</v>
      </c>
      <c r="D98" s="137" t="s">
        <v>62</v>
      </c>
      <c r="E98" s="138">
        <f t="shared" si="27"/>
        <v>-2.5</v>
      </c>
      <c r="F98" s="138">
        <f t="shared" si="28"/>
        <v>0</v>
      </c>
      <c r="G98" s="139">
        <f t="shared" si="29"/>
        <v>93.950000000001424</v>
      </c>
      <c r="H98" s="1"/>
      <c r="I98" s="193">
        <v>-2.5</v>
      </c>
      <c r="J98" s="258"/>
      <c r="K98" s="258"/>
      <c r="L98" s="138"/>
      <c r="M98" s="138"/>
      <c r="N98" s="139"/>
      <c r="O98" s="1">
        <f t="shared" si="30"/>
        <v>0</v>
      </c>
      <c r="P98" s="1"/>
      <c r="Q98" s="1"/>
    </row>
    <row r="99" spans="2:17" s="133" customFormat="1" x14ac:dyDescent="0.2">
      <c r="B99" s="161">
        <v>43070</v>
      </c>
      <c r="C99" s="138">
        <v>0.01</v>
      </c>
      <c r="D99" s="137" t="s">
        <v>43</v>
      </c>
      <c r="E99" s="138">
        <f t="shared" si="27"/>
        <v>0</v>
      </c>
      <c r="F99" s="138">
        <f t="shared" si="28"/>
        <v>0.01</v>
      </c>
      <c r="G99" s="139">
        <f t="shared" si="29"/>
        <v>96.450000000001424</v>
      </c>
      <c r="H99" s="1"/>
      <c r="I99" s="193">
        <v>0.01</v>
      </c>
      <c r="J99" s="258"/>
      <c r="K99" s="258"/>
      <c r="L99" s="138"/>
      <c r="M99" s="138"/>
      <c r="N99" s="139"/>
      <c r="O99" s="1">
        <f t="shared" si="30"/>
        <v>0</v>
      </c>
      <c r="P99" s="1"/>
      <c r="Q99" s="1"/>
    </row>
    <row r="100" spans="2:17" s="133" customFormat="1" x14ac:dyDescent="0.2">
      <c r="B100" s="161">
        <v>43055</v>
      </c>
      <c r="C100" s="138">
        <v>-3300</v>
      </c>
      <c r="D100" s="137" t="s">
        <v>70</v>
      </c>
      <c r="E100" s="138">
        <f t="shared" si="27"/>
        <v>-3300</v>
      </c>
      <c r="F100" s="138">
        <f t="shared" si="28"/>
        <v>0</v>
      </c>
      <c r="G100" s="139">
        <f t="shared" si="29"/>
        <v>96.440000000001419</v>
      </c>
      <c r="H100" s="1"/>
      <c r="I100" s="193"/>
      <c r="J100" s="258"/>
      <c r="K100" s="258"/>
      <c r="L100" s="138">
        <v>-3300</v>
      </c>
      <c r="M100" s="138"/>
      <c r="N100" s="139"/>
      <c r="O100" s="1">
        <f t="shared" si="30"/>
        <v>0</v>
      </c>
      <c r="P100" s="1"/>
      <c r="Q100" s="1"/>
    </row>
    <row r="101" spans="2:17" s="133" customFormat="1" x14ac:dyDescent="0.2">
      <c r="B101" s="161">
        <v>43054</v>
      </c>
      <c r="C101" s="138">
        <v>3000</v>
      </c>
      <c r="D101" s="137" t="s">
        <v>64</v>
      </c>
      <c r="E101" s="138">
        <f t="shared" si="27"/>
        <v>0</v>
      </c>
      <c r="F101" s="138">
        <f t="shared" si="28"/>
        <v>3000</v>
      </c>
      <c r="G101" s="139">
        <f t="shared" si="29"/>
        <v>3396.4400000000014</v>
      </c>
      <c r="H101" s="1"/>
      <c r="I101" s="193"/>
      <c r="J101" s="258"/>
      <c r="K101" s="258"/>
      <c r="L101" s="138"/>
      <c r="M101" s="138">
        <v>3000</v>
      </c>
      <c r="N101" s="139"/>
      <c r="O101" s="1">
        <f t="shared" si="30"/>
        <v>0</v>
      </c>
      <c r="P101" s="1"/>
      <c r="Q101" s="1"/>
    </row>
    <row r="102" spans="2:17" s="133" customFormat="1" x14ac:dyDescent="0.2">
      <c r="B102" s="161">
        <v>43042</v>
      </c>
      <c r="C102" s="138">
        <v>-2.5</v>
      </c>
      <c r="D102" s="137" t="s">
        <v>62</v>
      </c>
      <c r="E102" s="138">
        <f t="shared" si="27"/>
        <v>-2.5</v>
      </c>
      <c r="F102" s="138">
        <f t="shared" si="28"/>
        <v>0</v>
      </c>
      <c r="G102" s="139">
        <f t="shared" si="29"/>
        <v>396.44000000000148</v>
      </c>
      <c r="H102" s="1"/>
      <c r="I102" s="193">
        <v>-2.5</v>
      </c>
      <c r="J102" s="258"/>
      <c r="K102" s="258"/>
      <c r="L102" s="138"/>
      <c r="M102" s="138"/>
      <c r="N102" s="139"/>
      <c r="O102" s="1">
        <f t="shared" si="30"/>
        <v>0</v>
      </c>
      <c r="P102" s="1"/>
      <c r="Q102" s="1"/>
    </row>
    <row r="103" spans="2:17" s="133" customFormat="1" x14ac:dyDescent="0.2">
      <c r="B103" s="161">
        <v>43011</v>
      </c>
      <c r="C103" s="138">
        <v>-2.5</v>
      </c>
      <c r="D103" s="137" t="s">
        <v>62</v>
      </c>
      <c r="E103" s="138">
        <f t="shared" si="27"/>
        <v>-2.5</v>
      </c>
      <c r="F103" s="138">
        <f t="shared" si="28"/>
        <v>0</v>
      </c>
      <c r="G103" s="139">
        <f t="shared" si="29"/>
        <v>398.94000000000148</v>
      </c>
      <c r="H103" s="1"/>
      <c r="I103" s="193">
        <v>-2.5</v>
      </c>
      <c r="J103" s="258"/>
      <c r="K103" s="258"/>
      <c r="L103" s="138"/>
      <c r="M103" s="138"/>
      <c r="N103" s="139"/>
      <c r="O103" s="1">
        <f t="shared" si="30"/>
        <v>0</v>
      </c>
      <c r="P103" s="1"/>
      <c r="Q103" s="1"/>
    </row>
    <row r="104" spans="2:17" s="133" customFormat="1" x14ac:dyDescent="0.2">
      <c r="B104" s="161">
        <v>42979</v>
      </c>
      <c r="C104" s="138">
        <v>-2.5</v>
      </c>
      <c r="D104" s="137" t="s">
        <v>62</v>
      </c>
      <c r="E104" s="138">
        <f t="shared" si="27"/>
        <v>-2.5</v>
      </c>
      <c r="F104" s="138">
        <f t="shared" si="28"/>
        <v>0</v>
      </c>
      <c r="G104" s="139">
        <f t="shared" si="29"/>
        <v>401.44000000000148</v>
      </c>
      <c r="H104" s="1"/>
      <c r="I104" s="193">
        <v>-2.5</v>
      </c>
      <c r="J104" s="258"/>
      <c r="K104" s="258"/>
      <c r="L104" s="138"/>
      <c r="M104" s="138"/>
      <c r="N104" s="139"/>
      <c r="O104" s="1">
        <f t="shared" si="30"/>
        <v>0</v>
      </c>
      <c r="P104" s="1"/>
      <c r="Q104" s="1"/>
    </row>
    <row r="105" spans="2:17" s="133" customFormat="1" x14ac:dyDescent="0.2">
      <c r="B105" s="161">
        <v>42979</v>
      </c>
      <c r="C105" s="138">
        <v>0.54</v>
      </c>
      <c r="D105" s="137" t="s">
        <v>43</v>
      </c>
      <c r="E105" s="138">
        <f t="shared" si="27"/>
        <v>0</v>
      </c>
      <c r="F105" s="138">
        <f t="shared" si="28"/>
        <v>0.54</v>
      </c>
      <c r="G105" s="139">
        <f t="shared" si="29"/>
        <v>403.94000000000148</v>
      </c>
      <c r="H105" s="1"/>
      <c r="I105" s="193">
        <v>0.54</v>
      </c>
      <c r="J105" s="258"/>
      <c r="K105" s="258"/>
      <c r="L105" s="138"/>
      <c r="M105" s="138"/>
      <c r="N105" s="139"/>
      <c r="O105" s="1">
        <f t="shared" si="30"/>
        <v>0</v>
      </c>
      <c r="P105" s="1"/>
      <c r="Q105" s="1"/>
    </row>
    <row r="106" spans="2:17" s="133" customFormat="1" x14ac:dyDescent="0.2">
      <c r="B106" s="161">
        <v>42971</v>
      </c>
      <c r="C106" s="138">
        <v>-18000</v>
      </c>
      <c r="D106" s="137" t="s">
        <v>71</v>
      </c>
      <c r="E106" s="138">
        <f t="shared" si="27"/>
        <v>-18000</v>
      </c>
      <c r="F106" s="138">
        <f t="shared" si="28"/>
        <v>0</v>
      </c>
      <c r="G106" s="139">
        <f t="shared" si="29"/>
        <v>403.40000000000146</v>
      </c>
      <c r="H106" s="1"/>
      <c r="I106" s="193"/>
      <c r="J106" s="258"/>
      <c r="K106" s="258"/>
      <c r="L106" s="138"/>
      <c r="M106" s="138">
        <v>-18000</v>
      </c>
      <c r="N106" s="139"/>
      <c r="O106" s="1">
        <f t="shared" si="30"/>
        <v>0</v>
      </c>
      <c r="P106" s="1"/>
      <c r="Q106" s="1"/>
    </row>
    <row r="107" spans="2:17" s="133" customFormat="1" x14ac:dyDescent="0.2">
      <c r="B107" s="161">
        <v>42971</v>
      </c>
      <c r="C107" s="138">
        <v>-2000</v>
      </c>
      <c r="D107" s="137" t="s">
        <v>72</v>
      </c>
      <c r="E107" s="138">
        <f t="shared" si="27"/>
        <v>-2000</v>
      </c>
      <c r="F107" s="138">
        <f t="shared" si="28"/>
        <v>0</v>
      </c>
      <c r="G107" s="139">
        <f t="shared" si="29"/>
        <v>18403.400000000001</v>
      </c>
      <c r="H107" s="1"/>
      <c r="I107" s="193"/>
      <c r="J107" s="258"/>
      <c r="K107" s="258"/>
      <c r="L107" s="138">
        <v>-2000</v>
      </c>
      <c r="M107" s="138"/>
      <c r="N107" s="139"/>
      <c r="O107" s="1">
        <f t="shared" si="30"/>
        <v>0</v>
      </c>
      <c r="P107" s="1"/>
      <c r="Q107" s="1"/>
    </row>
    <row r="108" spans="2:17" s="133" customFormat="1" x14ac:dyDescent="0.2">
      <c r="B108" s="161">
        <v>42964</v>
      </c>
      <c r="C108" s="138">
        <v>-7000</v>
      </c>
      <c r="D108" s="137" t="s">
        <v>73</v>
      </c>
      <c r="E108" s="138">
        <f t="shared" si="27"/>
        <v>-7000</v>
      </c>
      <c r="F108" s="138">
        <f t="shared" si="28"/>
        <v>0</v>
      </c>
      <c r="G108" s="139">
        <f t="shared" si="29"/>
        <v>20403.400000000001</v>
      </c>
      <c r="H108" s="1"/>
      <c r="I108" s="193"/>
      <c r="J108" s="258"/>
      <c r="K108" s="138">
        <v>-7000</v>
      </c>
      <c r="L108" s="1"/>
      <c r="M108" s="138"/>
      <c r="N108" s="139"/>
      <c r="O108" s="1">
        <f t="shared" si="30"/>
        <v>0</v>
      </c>
      <c r="P108" s="1"/>
      <c r="Q108" s="1"/>
    </row>
    <row r="109" spans="2:17" s="133" customFormat="1" x14ac:dyDescent="0.2">
      <c r="B109" s="161">
        <v>42962</v>
      </c>
      <c r="C109" s="138">
        <v>27172.27</v>
      </c>
      <c r="D109" s="137" t="s">
        <v>74</v>
      </c>
      <c r="E109" s="138">
        <f t="shared" si="27"/>
        <v>0</v>
      </c>
      <c r="F109" s="138">
        <f t="shared" si="28"/>
        <v>27172.27</v>
      </c>
      <c r="G109" s="139">
        <f t="shared" si="29"/>
        <v>27403.4</v>
      </c>
      <c r="H109" s="1"/>
      <c r="I109" s="193"/>
      <c r="J109" s="258"/>
      <c r="K109" s="258"/>
      <c r="L109" s="138"/>
      <c r="M109" s="138"/>
      <c r="N109" s="139">
        <v>27172.27</v>
      </c>
      <c r="O109" s="1">
        <f t="shared" si="30"/>
        <v>0</v>
      </c>
      <c r="P109" s="1"/>
      <c r="Q109" s="1"/>
    </row>
    <row r="110" spans="2:17" s="133" customFormat="1" x14ac:dyDescent="0.2">
      <c r="B110" s="161">
        <v>42950</v>
      </c>
      <c r="C110" s="138">
        <v>-2.5</v>
      </c>
      <c r="D110" s="137" t="s">
        <v>62</v>
      </c>
      <c r="E110" s="138">
        <f t="shared" si="27"/>
        <v>-2.5</v>
      </c>
      <c r="F110" s="138">
        <f t="shared" si="28"/>
        <v>0</v>
      </c>
      <c r="G110" s="139">
        <f t="shared" si="29"/>
        <v>231.13000000000011</v>
      </c>
      <c r="H110" s="1"/>
      <c r="I110" s="193">
        <v>-2.5</v>
      </c>
      <c r="J110" s="258"/>
      <c r="K110" s="258"/>
      <c r="L110" s="138"/>
      <c r="M110" s="138"/>
      <c r="N110" s="139"/>
      <c r="O110" s="1">
        <f t="shared" si="30"/>
        <v>0</v>
      </c>
      <c r="P110" s="1"/>
      <c r="Q110" s="1"/>
    </row>
    <row r="111" spans="2:17" s="133" customFormat="1" ht="12" thickBot="1" x14ac:dyDescent="0.25">
      <c r="B111" s="168">
        <v>42919</v>
      </c>
      <c r="C111" s="169">
        <v>-2.5</v>
      </c>
      <c r="D111" s="170" t="s">
        <v>62</v>
      </c>
      <c r="E111" s="169">
        <f t="shared" si="27"/>
        <v>-2.5</v>
      </c>
      <c r="F111" s="169">
        <f t="shared" si="28"/>
        <v>0</v>
      </c>
      <c r="G111" s="272">
        <f>G112+E111+F111</f>
        <v>233.63000000000011</v>
      </c>
      <c r="H111" s="1"/>
      <c r="I111" s="270">
        <v>-2.5</v>
      </c>
      <c r="J111" s="271"/>
      <c r="K111" s="271"/>
      <c r="L111" s="169"/>
      <c r="M111" s="169"/>
      <c r="N111" s="272"/>
      <c r="O111" s="1">
        <f t="shared" si="30"/>
        <v>0</v>
      </c>
      <c r="P111" s="1"/>
      <c r="Q111" s="1"/>
    </row>
    <row r="112" spans="2:17" s="133" customFormat="1" x14ac:dyDescent="0.2">
      <c r="B112" s="209"/>
      <c r="C112" s="208"/>
      <c r="D112" s="210"/>
      <c r="E112" s="208"/>
      <c r="F112" s="208"/>
      <c r="G112" s="208">
        <v>236.13000000000011</v>
      </c>
      <c r="H112" s="208"/>
      <c r="I112" s="274"/>
      <c r="J112" s="316"/>
      <c r="K112" s="274"/>
      <c r="L112" s="208"/>
      <c r="M112" s="208"/>
      <c r="N112" s="208"/>
      <c r="O112" s="208"/>
      <c r="P112" s="1"/>
      <c r="Q112" s="1"/>
    </row>
    <row r="113" spans="2:17" s="133" customFormat="1" x14ac:dyDescent="0.2">
      <c r="B113" s="158"/>
      <c r="C113" s="3"/>
      <c r="D113" s="2"/>
      <c r="E113" s="3"/>
      <c r="F113" s="3"/>
      <c r="G113" s="3"/>
      <c r="H113" s="3"/>
      <c r="I113" s="4"/>
      <c r="J113" s="4"/>
      <c r="K113" s="4"/>
      <c r="L113" s="3"/>
      <c r="M113" s="3"/>
      <c r="N113" s="3"/>
      <c r="O113" s="3"/>
      <c r="P113" s="1"/>
      <c r="Q113" s="1"/>
    </row>
    <row r="114" spans="2:17" s="133" customFormat="1" ht="12" thickBot="1" x14ac:dyDescent="0.25">
      <c r="B114" s="212"/>
      <c r="C114" s="211"/>
      <c r="D114" s="213"/>
      <c r="E114" s="211"/>
      <c r="F114" s="211"/>
      <c r="G114" s="211">
        <v>236.13000000000011</v>
      </c>
      <c r="H114" s="211"/>
      <c r="I114" s="195"/>
      <c r="J114" s="195"/>
      <c r="K114" s="195"/>
      <c r="L114" s="211"/>
      <c r="M114" s="211"/>
      <c r="N114" s="211"/>
      <c r="O114" s="211"/>
      <c r="P114" s="1"/>
      <c r="Q114" s="1"/>
    </row>
    <row r="115" spans="2:17" s="133" customFormat="1" x14ac:dyDescent="0.2">
      <c r="B115" s="165">
        <v>42914</v>
      </c>
      <c r="C115" s="167">
        <v>-4000</v>
      </c>
      <c r="D115" s="84" t="s">
        <v>75</v>
      </c>
      <c r="E115" s="167">
        <f t="shared" si="27"/>
        <v>-4000</v>
      </c>
      <c r="F115" s="167">
        <f t="shared" si="28"/>
        <v>0</v>
      </c>
      <c r="G115" s="273">
        <f t="shared" si="29"/>
        <v>236.13000000000011</v>
      </c>
      <c r="H115" s="1"/>
      <c r="I115" s="192"/>
      <c r="J115" s="275"/>
      <c r="K115" s="167">
        <v>-4000</v>
      </c>
      <c r="L115" s="167"/>
      <c r="M115" s="167"/>
      <c r="N115" s="273"/>
      <c r="O115" s="1">
        <f>SUM(I115:N115)-C115</f>
        <v>0</v>
      </c>
      <c r="P115" s="1"/>
      <c r="Q115" s="1"/>
    </row>
    <row r="116" spans="2:17" s="133" customFormat="1" x14ac:dyDescent="0.2">
      <c r="B116" s="161">
        <v>42914</v>
      </c>
      <c r="C116" s="138">
        <v>-2000</v>
      </c>
      <c r="D116" s="137" t="s">
        <v>76</v>
      </c>
      <c r="E116" s="138">
        <f t="shared" si="27"/>
        <v>-2000</v>
      </c>
      <c r="F116" s="138">
        <f t="shared" si="28"/>
        <v>0</v>
      </c>
      <c r="G116" s="139">
        <f t="shared" si="29"/>
        <v>4236.13</v>
      </c>
      <c r="H116" s="1"/>
      <c r="I116" s="193"/>
      <c r="J116" s="258"/>
      <c r="K116" s="258"/>
      <c r="L116" s="138"/>
      <c r="M116" s="138"/>
      <c r="N116" s="139"/>
      <c r="O116" s="1">
        <f>SUM(I116:N116)-C116</f>
        <v>2000</v>
      </c>
      <c r="P116" s="1"/>
      <c r="Q116" s="1"/>
    </row>
    <row r="117" spans="2:17" s="133" customFormat="1" ht="12" thickBot="1" x14ac:dyDescent="0.25">
      <c r="B117" s="161">
        <v>42914</v>
      </c>
      <c r="C117" s="138">
        <v>6000</v>
      </c>
      <c r="D117" s="137" t="s">
        <v>64</v>
      </c>
      <c r="E117" s="138">
        <f t="shared" si="27"/>
        <v>0</v>
      </c>
      <c r="F117" s="138">
        <f t="shared" si="28"/>
        <v>6000</v>
      </c>
      <c r="G117" s="139">
        <f t="shared" si="29"/>
        <v>6236.13</v>
      </c>
      <c r="H117" s="1"/>
      <c r="I117" s="190"/>
      <c r="J117" s="259"/>
      <c r="K117" s="259"/>
      <c r="L117" s="142"/>
      <c r="M117" s="142">
        <v>6000</v>
      </c>
      <c r="N117" s="147"/>
      <c r="O117" s="1">
        <f>SUM(I117:N117)-C117</f>
        <v>0</v>
      </c>
      <c r="P117" s="1"/>
      <c r="Q117" s="1"/>
    </row>
    <row r="118" spans="2:17" s="164" customFormat="1" ht="15.75" x14ac:dyDescent="0.25">
      <c r="B118" s="240"/>
      <c r="C118" s="241"/>
      <c r="D118" s="239"/>
      <c r="E118" s="241"/>
      <c r="F118" s="241"/>
      <c r="G118" s="241">
        <v>236.13</v>
      </c>
      <c r="H118" s="171"/>
      <c r="I118" s="172"/>
      <c r="J118" s="172"/>
      <c r="K118" s="172"/>
      <c r="L118" s="171"/>
      <c r="M118" s="171"/>
      <c r="N118" s="171"/>
      <c r="O118" s="171"/>
      <c r="P118" s="171"/>
      <c r="Q118" s="171"/>
    </row>
  </sheetData>
  <sheetProtection sheet="1" objects="1" scenarios="1"/>
  <sortState ref="A9:T18">
    <sortCondition descending="1" ref="B9:B18"/>
  </sortState>
  <mergeCells count="1"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6"/>
  <sheetViews>
    <sheetView topLeftCell="A5" workbookViewId="0">
      <selection activeCell="K20" sqref="K20"/>
    </sheetView>
  </sheetViews>
  <sheetFormatPr defaultRowHeight="11.25" x14ac:dyDescent="0.2"/>
  <cols>
    <col min="2" max="2" width="12.33203125" customWidth="1"/>
    <col min="3" max="3" width="11.33203125" customWidth="1"/>
    <col min="4" max="4" width="71.33203125" customWidth="1"/>
    <col min="5" max="5" width="12.83203125" customWidth="1"/>
    <col min="6" max="6" width="12.1640625" customWidth="1"/>
    <col min="7" max="7" width="16.6640625" customWidth="1"/>
    <col min="8" max="8" width="3.5" customWidth="1"/>
    <col min="9" max="10" width="11.83203125" customWidth="1"/>
    <col min="11" max="12" width="12" customWidth="1"/>
    <col min="13" max="14" width="12" style="133" customWidth="1"/>
    <col min="15" max="15" width="13.33203125" customWidth="1"/>
    <col min="17" max="17" width="12.6640625" customWidth="1"/>
  </cols>
  <sheetData>
    <row r="2" spans="2:16" ht="12" thickBot="1" x14ac:dyDescent="0.25"/>
    <row r="3" spans="2:16" s="133" customFormat="1" ht="19.5" customHeight="1" thickBot="1" x14ac:dyDescent="0.35">
      <c r="B3" s="1069" t="s">
        <v>616</v>
      </c>
      <c r="C3" s="1070"/>
      <c r="E3" s="1"/>
      <c r="F3" s="1"/>
      <c r="G3" s="1"/>
      <c r="H3" s="1"/>
      <c r="I3" s="26"/>
      <c r="J3" s="26"/>
      <c r="K3" s="1"/>
      <c r="L3" s="1"/>
      <c r="M3" s="1"/>
      <c r="N3" s="1"/>
    </row>
    <row r="4" spans="2:16" s="510" customFormat="1" ht="21" customHeight="1" thickBot="1" x14ac:dyDescent="0.35">
      <c r="C4" s="476"/>
      <c r="D4" s="991" t="s">
        <v>136</v>
      </c>
      <c r="E4" s="476"/>
      <c r="F4" s="476"/>
      <c r="G4" s="983"/>
      <c r="H4" s="508"/>
      <c r="I4" s="509"/>
      <c r="J4" s="509"/>
      <c r="K4" s="508"/>
      <c r="L4" s="508"/>
      <c r="M4" s="508"/>
      <c r="N4" s="508"/>
    </row>
    <row r="5" spans="2:16" s="248" customFormat="1" ht="22.5" customHeight="1" thickBot="1" x14ac:dyDescent="0.25">
      <c r="B5" s="246"/>
      <c r="C5" s="247"/>
      <c r="E5" s="247"/>
      <c r="F5" s="247"/>
      <c r="G5" s="247"/>
      <c r="H5" s="247"/>
      <c r="I5" s="249"/>
      <c r="J5" s="247"/>
      <c r="K5" s="269"/>
      <c r="L5" s="95"/>
      <c r="M5" s="95"/>
      <c r="N5" s="95"/>
    </row>
    <row r="6" spans="2:16" s="256" customFormat="1" ht="34.5" customHeight="1" thickBot="1" x14ac:dyDescent="0.25">
      <c r="B6" s="250" t="s">
        <v>13</v>
      </c>
      <c r="C6" s="279" t="s">
        <v>615</v>
      </c>
      <c r="D6" s="252" t="s">
        <v>57</v>
      </c>
      <c r="E6" s="251" t="s">
        <v>78</v>
      </c>
      <c r="F6" s="251" t="s">
        <v>79</v>
      </c>
      <c r="G6" s="328" t="s">
        <v>80</v>
      </c>
      <c r="H6" s="327"/>
      <c r="I6" s="325" t="s">
        <v>87</v>
      </c>
      <c r="J6" s="253" t="s">
        <v>77</v>
      </c>
      <c r="K6" s="253" t="s">
        <v>15</v>
      </c>
      <c r="L6" s="279" t="s">
        <v>247</v>
      </c>
      <c r="M6" s="254" t="s">
        <v>233</v>
      </c>
      <c r="N6" s="1071" t="s">
        <v>86</v>
      </c>
      <c r="O6" s="1072"/>
      <c r="P6" s="326" t="s">
        <v>86</v>
      </c>
    </row>
    <row r="7" spans="2:16" s="133" customFormat="1" ht="13.5" thickTop="1" thickBot="1" x14ac:dyDescent="0.25">
      <c r="B7" s="986"/>
      <c r="C7" s="987">
        <f>SUM(C13:C53)</f>
        <v>-17833.93</v>
      </c>
      <c r="D7" s="988"/>
      <c r="E7" s="987">
        <f t="shared" ref="E7:F7" si="0">SUM(E13:E53)</f>
        <v>-202774.26999999996</v>
      </c>
      <c r="F7" s="987">
        <f t="shared" si="0"/>
        <v>184940.33999999997</v>
      </c>
      <c r="G7" s="996">
        <f>SUM(E7:F7)</f>
        <v>-17833.929999999993</v>
      </c>
      <c r="H7" s="324"/>
      <c r="I7" s="1008">
        <f t="shared" ref="I7:M7" si="1">SUM(I13:I53)</f>
        <v>-39000</v>
      </c>
      <c r="J7" s="990">
        <f t="shared" si="1"/>
        <v>3.3899999999999997</v>
      </c>
      <c r="K7" s="990">
        <f t="shared" si="1"/>
        <v>32100.53</v>
      </c>
      <c r="L7" s="987">
        <f t="shared" si="1"/>
        <v>-163774.26999999999</v>
      </c>
      <c r="M7" s="987">
        <f t="shared" si="1"/>
        <v>152836.41999999998</v>
      </c>
      <c r="N7" s="987">
        <f>SUM(I7:M7)</f>
        <v>-17833.929999999993</v>
      </c>
      <c r="O7" s="987">
        <f>N7+G54</f>
        <v>2411.5800000000236</v>
      </c>
      <c r="P7" s="327" t="s">
        <v>630</v>
      </c>
    </row>
    <row r="8" spans="2:16" s="133" customFormat="1" x14ac:dyDescent="0.2">
      <c r="B8" s="165"/>
      <c r="C8" s="167"/>
      <c r="D8" s="455"/>
      <c r="E8" s="167"/>
      <c r="F8" s="167"/>
      <c r="G8" s="281"/>
      <c r="H8" s="324"/>
      <c r="I8" s="1009"/>
      <c r="J8" s="462"/>
      <c r="K8" s="462"/>
      <c r="L8" s="167"/>
      <c r="M8" s="462"/>
      <c r="N8" s="524" t="s">
        <v>629</v>
      </c>
      <c r="O8" s="524" t="s">
        <v>80</v>
      </c>
      <c r="P8" s="1005"/>
    </row>
    <row r="9" spans="2:16" s="133" customFormat="1" ht="12" thickBot="1" x14ac:dyDescent="0.25">
      <c r="B9" s="161"/>
      <c r="C9" s="142"/>
      <c r="D9" s="60"/>
      <c r="E9" s="138"/>
      <c r="F9" s="138"/>
      <c r="G9" s="282"/>
      <c r="H9" s="324"/>
      <c r="I9" s="317"/>
      <c r="J9" s="194"/>
      <c r="K9" s="194"/>
      <c r="L9" s="167"/>
      <c r="M9" s="194"/>
      <c r="N9" s="191"/>
      <c r="O9" s="753"/>
      <c r="P9" s="1005"/>
    </row>
    <row r="10" spans="2:16" s="181" customFormat="1" ht="12.75" x14ac:dyDescent="0.2">
      <c r="B10" s="492"/>
      <c r="D10" s="503" t="s">
        <v>604</v>
      </c>
      <c r="E10" s="493"/>
      <c r="F10" s="493"/>
      <c r="G10" s="493">
        <v>2411.5800000000072</v>
      </c>
      <c r="H10" s="1010"/>
      <c r="I10" s="493"/>
      <c r="J10" s="494"/>
      <c r="K10" s="494"/>
      <c r="L10" s="493"/>
      <c r="M10" s="493"/>
      <c r="N10" s="1013"/>
      <c r="O10" s="481"/>
      <c r="P10" s="135"/>
    </row>
    <row r="11" spans="2:16" s="181" customFormat="1" ht="12.75" x14ac:dyDescent="0.2">
      <c r="B11" s="496"/>
      <c r="C11" s="497"/>
      <c r="D11" s="504"/>
      <c r="E11" s="497"/>
      <c r="F11" s="497"/>
      <c r="G11" s="497"/>
      <c r="H11" s="1010"/>
      <c r="I11" s="497"/>
      <c r="J11" s="499"/>
      <c r="K11" s="499"/>
      <c r="L11" s="497"/>
      <c r="M11" s="497"/>
      <c r="N11" s="851"/>
      <c r="O11" s="495"/>
    </row>
    <row r="12" spans="2:16" s="181" customFormat="1" ht="13.5" thickBot="1" x14ac:dyDescent="0.25">
      <c r="B12" s="500"/>
      <c r="C12" s="501"/>
      <c r="D12" s="505" t="s">
        <v>614</v>
      </c>
      <c r="E12" s="501"/>
      <c r="F12" s="501"/>
      <c r="G12" s="501">
        <v>2411.5800000000072</v>
      </c>
      <c r="H12" s="1010"/>
      <c r="I12" s="501"/>
      <c r="J12" s="502"/>
      <c r="K12" s="502"/>
      <c r="L12" s="501"/>
      <c r="M12" s="501"/>
      <c r="N12" s="851"/>
      <c r="O12" s="495"/>
    </row>
    <row r="13" spans="2:16" s="133" customFormat="1" x14ac:dyDescent="0.2">
      <c r="B13" s="161">
        <v>44377</v>
      </c>
      <c r="C13" s="138">
        <v>0.09</v>
      </c>
      <c r="D13" s="60" t="s">
        <v>43</v>
      </c>
      <c r="E13" s="138">
        <f t="shared" ref="E13:E53" si="2">IF(C13&lt;0,C13,0)</f>
        <v>0</v>
      </c>
      <c r="F13" s="138">
        <f t="shared" ref="F13:F53" si="3">IF(C13&lt;0,0,C13)</f>
        <v>0.09</v>
      </c>
      <c r="G13" s="139">
        <f t="shared" ref="G13:G53" si="4">G14+E13+F13</f>
        <v>2411.5800000000072</v>
      </c>
      <c r="H13" s="1"/>
      <c r="I13" s="283"/>
      <c r="J13" s="194">
        <v>0.09</v>
      </c>
      <c r="K13" s="194"/>
      <c r="L13" s="167"/>
      <c r="M13" s="167"/>
      <c r="N13" s="3"/>
      <c r="P13" s="1">
        <f t="shared" ref="P13:P53" si="5">SUM(I13:M13)-C13</f>
        <v>0</v>
      </c>
    </row>
    <row r="14" spans="2:16" s="133" customFormat="1" x14ac:dyDescent="0.2">
      <c r="B14" s="161">
        <v>44372</v>
      </c>
      <c r="C14" s="138">
        <v>2324.4899999999998</v>
      </c>
      <c r="D14" s="60" t="s">
        <v>610</v>
      </c>
      <c r="E14" s="138">
        <f t="shared" si="2"/>
        <v>0</v>
      </c>
      <c r="F14" s="138">
        <f t="shared" si="3"/>
        <v>2324.4899999999998</v>
      </c>
      <c r="G14" s="139">
        <f t="shared" si="4"/>
        <v>2411.4900000000071</v>
      </c>
      <c r="H14" s="1"/>
      <c r="I14" s="283"/>
      <c r="J14" s="194"/>
      <c r="K14" s="549">
        <v>2324.4899999999998</v>
      </c>
      <c r="L14" s="167"/>
      <c r="M14" s="167"/>
      <c r="N14" s="3"/>
      <c r="P14" s="1">
        <f t="shared" si="5"/>
        <v>0</v>
      </c>
    </row>
    <row r="15" spans="2:16" s="133" customFormat="1" x14ac:dyDescent="0.2">
      <c r="B15" s="161">
        <v>44362</v>
      </c>
      <c r="C15" s="138">
        <v>53218.97</v>
      </c>
      <c r="D15" s="60" t="s">
        <v>612</v>
      </c>
      <c r="E15" s="138">
        <f t="shared" si="2"/>
        <v>0</v>
      </c>
      <c r="F15" s="138">
        <f t="shared" si="3"/>
        <v>53218.97</v>
      </c>
      <c r="G15" s="139">
        <f t="shared" si="4"/>
        <v>87.000000000007276</v>
      </c>
      <c r="H15" s="1"/>
      <c r="I15" s="283"/>
      <c r="J15" s="194"/>
      <c r="K15" s="194"/>
      <c r="L15" s="167"/>
      <c r="M15" s="167">
        <v>53218.97</v>
      </c>
      <c r="N15" s="3"/>
      <c r="P15" s="1">
        <f t="shared" si="5"/>
        <v>0</v>
      </c>
    </row>
    <row r="16" spans="2:16" s="133" customFormat="1" x14ac:dyDescent="0.2">
      <c r="B16" s="161">
        <v>44362</v>
      </c>
      <c r="C16" s="138">
        <v>-53280.959999999999</v>
      </c>
      <c r="D16" s="60" t="s">
        <v>611</v>
      </c>
      <c r="E16" s="138">
        <f t="shared" si="2"/>
        <v>-53280.959999999999</v>
      </c>
      <c r="F16" s="138">
        <f t="shared" si="3"/>
        <v>0</v>
      </c>
      <c r="G16" s="139">
        <f t="shared" si="4"/>
        <v>-53131.969999999994</v>
      </c>
      <c r="H16" s="1"/>
      <c r="I16" s="283"/>
      <c r="J16" s="194"/>
      <c r="K16" s="194"/>
      <c r="L16" s="167">
        <v>-53280.959999999999</v>
      </c>
      <c r="M16" s="167"/>
      <c r="N16" s="3"/>
      <c r="P16" s="1">
        <f t="shared" si="5"/>
        <v>0</v>
      </c>
    </row>
    <row r="17" spans="2:16" s="133" customFormat="1" x14ac:dyDescent="0.2">
      <c r="B17" s="161">
        <v>44355</v>
      </c>
      <c r="C17" s="138">
        <v>-39000</v>
      </c>
      <c r="D17" s="60" t="s">
        <v>613</v>
      </c>
      <c r="E17" s="138">
        <f t="shared" si="2"/>
        <v>-39000</v>
      </c>
      <c r="F17" s="138">
        <f t="shared" si="3"/>
        <v>0</v>
      </c>
      <c r="G17" s="139">
        <f t="shared" si="4"/>
        <v>148.99000000000524</v>
      </c>
      <c r="H17" s="1"/>
      <c r="I17" s="283">
        <v>-39000</v>
      </c>
      <c r="J17" s="194"/>
      <c r="K17" s="194"/>
      <c r="L17" s="167"/>
      <c r="M17" s="167"/>
      <c r="N17" s="3"/>
      <c r="P17" s="1">
        <f t="shared" si="5"/>
        <v>0</v>
      </c>
    </row>
    <row r="18" spans="2:16" s="133" customFormat="1" x14ac:dyDescent="0.2">
      <c r="B18" s="161">
        <v>44347</v>
      </c>
      <c r="C18" s="138">
        <v>0.33</v>
      </c>
      <c r="D18" s="60" t="s">
        <v>43</v>
      </c>
      <c r="E18" s="138">
        <f t="shared" si="2"/>
        <v>0</v>
      </c>
      <c r="F18" s="138">
        <f t="shared" si="3"/>
        <v>0.33</v>
      </c>
      <c r="G18" s="139">
        <f t="shared" si="4"/>
        <v>39148.990000000005</v>
      </c>
      <c r="H18" s="1"/>
      <c r="I18" s="283"/>
      <c r="J18" s="194">
        <v>0.33</v>
      </c>
      <c r="K18" s="194"/>
      <c r="L18" s="167"/>
      <c r="M18" s="167"/>
      <c r="N18" s="3"/>
      <c r="P18" s="1">
        <f t="shared" si="5"/>
        <v>0</v>
      </c>
    </row>
    <row r="19" spans="2:16" s="133" customFormat="1" x14ac:dyDescent="0.2">
      <c r="B19" s="161">
        <v>44316</v>
      </c>
      <c r="C19" s="138">
        <v>0.3</v>
      </c>
      <c r="D19" s="60" t="s">
        <v>43</v>
      </c>
      <c r="E19" s="138">
        <f t="shared" si="2"/>
        <v>0</v>
      </c>
      <c r="F19" s="138">
        <f t="shared" si="3"/>
        <v>0.3</v>
      </c>
      <c r="G19" s="139">
        <f t="shared" si="4"/>
        <v>39148.660000000003</v>
      </c>
      <c r="H19" s="1"/>
      <c r="I19" s="283"/>
      <c r="J19" s="194">
        <v>0.3</v>
      </c>
      <c r="K19" s="194"/>
      <c r="L19" s="167"/>
      <c r="M19" s="167"/>
      <c r="N19" s="3"/>
      <c r="P19" s="1">
        <f t="shared" si="5"/>
        <v>0</v>
      </c>
    </row>
    <row r="20" spans="2:16" s="133" customFormat="1" x14ac:dyDescent="0.2">
      <c r="B20" s="161">
        <v>44306</v>
      </c>
      <c r="C20" s="138">
        <v>3110.4</v>
      </c>
      <c r="D20" s="60" t="s">
        <v>148</v>
      </c>
      <c r="E20" s="138">
        <f t="shared" si="2"/>
        <v>0</v>
      </c>
      <c r="F20" s="138">
        <f t="shared" si="3"/>
        <v>3110.4</v>
      </c>
      <c r="G20" s="139">
        <f t="shared" si="4"/>
        <v>39148.36</v>
      </c>
      <c r="H20" s="1"/>
      <c r="I20" s="283"/>
      <c r="J20" s="194"/>
      <c r="K20" s="692">
        <v>3110.4</v>
      </c>
      <c r="L20" s="167"/>
      <c r="M20" s="167"/>
      <c r="N20" s="3"/>
      <c r="P20" s="1">
        <f t="shared" si="5"/>
        <v>0</v>
      </c>
    </row>
    <row r="21" spans="2:16" s="133" customFormat="1" x14ac:dyDescent="0.2">
      <c r="B21" s="161">
        <v>44286</v>
      </c>
      <c r="C21" s="138">
        <v>485</v>
      </c>
      <c r="D21" s="60" t="s">
        <v>409</v>
      </c>
      <c r="E21" s="138">
        <f t="shared" si="2"/>
        <v>0</v>
      </c>
      <c r="F21" s="138">
        <f t="shared" si="3"/>
        <v>485</v>
      </c>
      <c r="G21" s="139">
        <f t="shared" si="4"/>
        <v>36037.96</v>
      </c>
      <c r="H21" s="1"/>
      <c r="I21" s="283"/>
      <c r="J21" s="194"/>
      <c r="K21" s="549">
        <v>485</v>
      </c>
      <c r="L21" s="167"/>
      <c r="M21" s="167"/>
      <c r="N21" s="3"/>
      <c r="P21" s="1">
        <f t="shared" si="5"/>
        <v>0</v>
      </c>
    </row>
    <row r="22" spans="2:16" s="133" customFormat="1" x14ac:dyDescent="0.2">
      <c r="B22" s="161">
        <v>44286</v>
      </c>
      <c r="C22" s="138">
        <v>0.26</v>
      </c>
      <c r="D22" s="60" t="s">
        <v>43</v>
      </c>
      <c r="E22" s="138">
        <f t="shared" si="2"/>
        <v>0</v>
      </c>
      <c r="F22" s="138">
        <f t="shared" si="3"/>
        <v>0.26</v>
      </c>
      <c r="G22" s="139">
        <f t="shared" si="4"/>
        <v>35552.959999999999</v>
      </c>
      <c r="H22" s="1"/>
      <c r="I22" s="283"/>
      <c r="J22" s="194">
        <v>0.26</v>
      </c>
      <c r="K22" s="194"/>
      <c r="L22" s="167"/>
      <c r="M22" s="167"/>
      <c r="N22" s="3"/>
      <c r="P22" s="1">
        <f t="shared" si="5"/>
        <v>0</v>
      </c>
    </row>
    <row r="23" spans="2:16" s="133" customFormat="1" x14ac:dyDescent="0.2">
      <c r="B23" s="161">
        <v>44285</v>
      </c>
      <c r="C23" s="138">
        <v>3750</v>
      </c>
      <c r="D23" s="60" t="s">
        <v>410</v>
      </c>
      <c r="E23" s="138">
        <f t="shared" si="2"/>
        <v>0</v>
      </c>
      <c r="F23" s="138">
        <f t="shared" si="3"/>
        <v>3750</v>
      </c>
      <c r="G23" s="139">
        <f t="shared" si="4"/>
        <v>35552.699999999997</v>
      </c>
      <c r="H23" s="1"/>
      <c r="I23" s="283"/>
      <c r="J23" s="194"/>
      <c r="K23" s="549">
        <v>3750</v>
      </c>
      <c r="L23" s="167"/>
      <c r="M23" s="167"/>
      <c r="N23" s="3"/>
      <c r="P23" s="1">
        <f t="shared" si="5"/>
        <v>0</v>
      </c>
    </row>
    <row r="24" spans="2:16" s="133" customFormat="1" x14ac:dyDescent="0.2">
      <c r="B24" s="161">
        <v>44281</v>
      </c>
      <c r="C24" s="138">
        <v>3200</v>
      </c>
      <c r="D24" s="60" t="s">
        <v>411</v>
      </c>
      <c r="E24" s="138">
        <f t="shared" si="2"/>
        <v>0</v>
      </c>
      <c r="F24" s="138">
        <f t="shared" si="3"/>
        <v>3200</v>
      </c>
      <c r="G24" s="139">
        <f t="shared" si="4"/>
        <v>31802.7</v>
      </c>
      <c r="H24" s="1"/>
      <c r="I24" s="283"/>
      <c r="J24" s="194"/>
      <c r="K24" s="549">
        <v>3200</v>
      </c>
      <c r="L24" s="167"/>
      <c r="M24" s="167"/>
      <c r="N24" s="3"/>
      <c r="P24" s="1">
        <f t="shared" si="5"/>
        <v>0</v>
      </c>
    </row>
    <row r="25" spans="2:16" s="133" customFormat="1" x14ac:dyDescent="0.2">
      <c r="B25" s="161">
        <v>44279</v>
      </c>
      <c r="C25" s="138">
        <v>458.89</v>
      </c>
      <c r="D25" s="60" t="s">
        <v>412</v>
      </c>
      <c r="E25" s="138">
        <f t="shared" si="2"/>
        <v>0</v>
      </c>
      <c r="F25" s="138">
        <f t="shared" si="3"/>
        <v>458.89</v>
      </c>
      <c r="G25" s="139">
        <f t="shared" si="4"/>
        <v>28602.7</v>
      </c>
      <c r="H25" s="1"/>
      <c r="I25" s="283"/>
      <c r="J25" s="194"/>
      <c r="K25" s="549">
        <v>458.89</v>
      </c>
      <c r="L25" s="167"/>
      <c r="M25" s="167"/>
      <c r="N25" s="3"/>
      <c r="P25" s="1">
        <f t="shared" si="5"/>
        <v>0</v>
      </c>
    </row>
    <row r="26" spans="2:16" s="133" customFormat="1" x14ac:dyDescent="0.2">
      <c r="B26" s="161">
        <v>44253</v>
      </c>
      <c r="C26" s="138">
        <v>0.25</v>
      </c>
      <c r="D26" s="60" t="s">
        <v>43</v>
      </c>
      <c r="E26" s="138">
        <f t="shared" si="2"/>
        <v>0</v>
      </c>
      <c r="F26" s="138">
        <f t="shared" si="3"/>
        <v>0.25</v>
      </c>
      <c r="G26" s="139">
        <f t="shared" si="4"/>
        <v>28143.81</v>
      </c>
      <c r="H26" s="1"/>
      <c r="I26" s="283"/>
      <c r="J26" s="194">
        <v>0.25</v>
      </c>
      <c r="K26" s="194"/>
      <c r="L26" s="167"/>
      <c r="M26" s="167"/>
      <c r="N26" s="3"/>
      <c r="P26" s="1">
        <f t="shared" si="5"/>
        <v>0</v>
      </c>
    </row>
    <row r="27" spans="2:16" s="133" customFormat="1" x14ac:dyDescent="0.2">
      <c r="B27" s="161">
        <v>44230</v>
      </c>
      <c r="C27" s="138">
        <v>-23382.37</v>
      </c>
      <c r="D27" s="60" t="s">
        <v>413</v>
      </c>
      <c r="E27" s="138">
        <f t="shared" si="2"/>
        <v>-23382.37</v>
      </c>
      <c r="F27" s="138">
        <f t="shared" si="3"/>
        <v>0</v>
      </c>
      <c r="G27" s="139">
        <f t="shared" si="4"/>
        <v>28143.56</v>
      </c>
      <c r="H27" s="1"/>
      <c r="I27" s="283"/>
      <c r="J27" s="194"/>
      <c r="K27" s="194"/>
      <c r="L27" s="167">
        <v>-23382.37</v>
      </c>
      <c r="M27" s="167"/>
      <c r="N27" s="3"/>
      <c r="P27" s="1">
        <f t="shared" si="5"/>
        <v>0</v>
      </c>
    </row>
    <row r="28" spans="2:16" s="133" customFormat="1" x14ac:dyDescent="0.2">
      <c r="B28" s="161">
        <v>44225</v>
      </c>
      <c r="C28" s="138">
        <v>0.43</v>
      </c>
      <c r="D28" s="60" t="s">
        <v>43</v>
      </c>
      <c r="E28" s="138">
        <f t="shared" si="2"/>
        <v>0</v>
      </c>
      <c r="F28" s="138">
        <f t="shared" si="3"/>
        <v>0.43</v>
      </c>
      <c r="G28" s="139">
        <f t="shared" si="4"/>
        <v>51525.93</v>
      </c>
      <c r="H28" s="1"/>
      <c r="I28" s="283"/>
      <c r="J28" s="194">
        <v>0.43</v>
      </c>
      <c r="K28" s="194"/>
      <c r="L28" s="167"/>
      <c r="M28" s="167"/>
      <c r="N28" s="3"/>
      <c r="P28" s="1">
        <f t="shared" si="5"/>
        <v>0</v>
      </c>
    </row>
    <row r="29" spans="2:16" s="133" customFormat="1" x14ac:dyDescent="0.2">
      <c r="B29" s="161">
        <v>44218</v>
      </c>
      <c r="C29" s="138">
        <v>-24529.37</v>
      </c>
      <c r="D29" s="60" t="s">
        <v>414</v>
      </c>
      <c r="E29" s="138">
        <f t="shared" si="2"/>
        <v>-24529.37</v>
      </c>
      <c r="F29" s="138">
        <f t="shared" si="3"/>
        <v>0</v>
      </c>
      <c r="G29" s="139">
        <f t="shared" si="4"/>
        <v>51525.5</v>
      </c>
      <c r="H29" s="1"/>
      <c r="I29" s="283"/>
      <c r="J29" s="194"/>
      <c r="K29" s="194"/>
      <c r="L29" s="167">
        <v>-24529.37</v>
      </c>
      <c r="M29" s="167"/>
      <c r="N29" s="3"/>
      <c r="P29" s="1">
        <f t="shared" si="5"/>
        <v>0</v>
      </c>
    </row>
    <row r="30" spans="2:16" s="133" customFormat="1" x14ac:dyDescent="0.2">
      <c r="B30" s="161">
        <v>44217</v>
      </c>
      <c r="C30" s="138">
        <v>22036.53</v>
      </c>
      <c r="D30" s="60" t="s">
        <v>415</v>
      </c>
      <c r="E30" s="138">
        <f t="shared" si="2"/>
        <v>0</v>
      </c>
      <c r="F30" s="138">
        <f t="shared" si="3"/>
        <v>22036.53</v>
      </c>
      <c r="G30" s="139">
        <f t="shared" si="4"/>
        <v>76054.87</v>
      </c>
      <c r="H30" s="1"/>
      <c r="I30" s="283"/>
      <c r="J30" s="194"/>
      <c r="K30" s="194"/>
      <c r="L30" s="167"/>
      <c r="M30" s="167">
        <v>22036.53</v>
      </c>
      <c r="N30" s="3"/>
      <c r="P30" s="1">
        <f t="shared" si="5"/>
        <v>0</v>
      </c>
    </row>
    <row r="31" spans="2:16" s="133" customFormat="1" x14ac:dyDescent="0.2">
      <c r="B31" s="161">
        <v>44196</v>
      </c>
      <c r="C31" s="138">
        <v>0.45</v>
      </c>
      <c r="D31" s="60" t="s">
        <v>43</v>
      </c>
      <c r="E31" s="138">
        <f t="shared" si="2"/>
        <v>0</v>
      </c>
      <c r="F31" s="138">
        <f t="shared" si="3"/>
        <v>0.45</v>
      </c>
      <c r="G31" s="139">
        <f t="shared" si="4"/>
        <v>54018.340000000004</v>
      </c>
      <c r="H31" s="1"/>
      <c r="I31" s="283"/>
      <c r="J31" s="194">
        <v>0.45</v>
      </c>
      <c r="K31" s="194"/>
      <c r="L31" s="167"/>
      <c r="M31" s="167"/>
      <c r="N31" s="3"/>
      <c r="P31" s="1">
        <f t="shared" si="5"/>
        <v>0</v>
      </c>
    </row>
    <row r="32" spans="2:16" s="133" customFormat="1" x14ac:dyDescent="0.2">
      <c r="B32" s="161">
        <v>44187</v>
      </c>
      <c r="C32" s="138">
        <v>675</v>
      </c>
      <c r="D32" s="60" t="s">
        <v>416</v>
      </c>
      <c r="E32" s="138">
        <f t="shared" si="2"/>
        <v>0</v>
      </c>
      <c r="F32" s="138">
        <f t="shared" si="3"/>
        <v>675</v>
      </c>
      <c r="G32" s="139">
        <f t="shared" si="4"/>
        <v>54017.890000000007</v>
      </c>
      <c r="H32" s="1"/>
      <c r="I32" s="283"/>
      <c r="J32" s="194"/>
      <c r="K32" s="549">
        <v>675</v>
      </c>
      <c r="L32" s="167"/>
      <c r="M32" s="167"/>
      <c r="N32" s="3"/>
      <c r="P32" s="1">
        <f t="shared" si="5"/>
        <v>0</v>
      </c>
    </row>
    <row r="33" spans="2:16" s="133" customFormat="1" x14ac:dyDescent="0.2">
      <c r="B33" s="161">
        <v>44181</v>
      </c>
      <c r="C33" s="138">
        <v>1050</v>
      </c>
      <c r="D33" s="60" t="s">
        <v>417</v>
      </c>
      <c r="E33" s="138">
        <f t="shared" si="2"/>
        <v>0</v>
      </c>
      <c r="F33" s="138">
        <f t="shared" si="3"/>
        <v>1050</v>
      </c>
      <c r="G33" s="139">
        <f t="shared" si="4"/>
        <v>53342.890000000007</v>
      </c>
      <c r="H33" s="1"/>
      <c r="I33" s="283"/>
      <c r="J33" s="194"/>
      <c r="K33" s="549">
        <v>1050</v>
      </c>
      <c r="L33" s="167"/>
      <c r="M33" s="167"/>
      <c r="N33" s="3"/>
      <c r="P33" s="1">
        <f t="shared" si="5"/>
        <v>0</v>
      </c>
    </row>
    <row r="34" spans="2:16" s="133" customFormat="1" x14ac:dyDescent="0.2">
      <c r="B34" s="161">
        <v>44175</v>
      </c>
      <c r="C34" s="138">
        <v>2400</v>
      </c>
      <c r="D34" s="60" t="s">
        <v>418</v>
      </c>
      <c r="E34" s="138">
        <f t="shared" si="2"/>
        <v>0</v>
      </c>
      <c r="F34" s="138">
        <f t="shared" si="3"/>
        <v>2400</v>
      </c>
      <c r="G34" s="139">
        <f t="shared" si="4"/>
        <v>52292.890000000007</v>
      </c>
      <c r="H34" s="1"/>
      <c r="I34" s="283"/>
      <c r="J34" s="194"/>
      <c r="K34" s="549">
        <v>2400</v>
      </c>
      <c r="L34" s="167"/>
      <c r="M34" s="167"/>
      <c r="N34" s="3"/>
      <c r="P34" s="1">
        <f t="shared" si="5"/>
        <v>0</v>
      </c>
    </row>
    <row r="35" spans="2:16" s="133" customFormat="1" x14ac:dyDescent="0.2">
      <c r="B35" s="161">
        <v>44165</v>
      </c>
      <c r="C35" s="138">
        <v>0.42</v>
      </c>
      <c r="D35" s="60" t="s">
        <v>43</v>
      </c>
      <c r="E35" s="138">
        <f t="shared" si="2"/>
        <v>0</v>
      </c>
      <c r="F35" s="138">
        <f t="shared" si="3"/>
        <v>0.42</v>
      </c>
      <c r="G35" s="139">
        <f t="shared" si="4"/>
        <v>49892.890000000007</v>
      </c>
      <c r="H35" s="1"/>
      <c r="I35" s="283"/>
      <c r="J35" s="194">
        <v>0.42</v>
      </c>
      <c r="K35" s="194"/>
      <c r="L35" s="167"/>
      <c r="M35" s="167"/>
      <c r="N35" s="3"/>
      <c r="P35" s="1">
        <f t="shared" si="5"/>
        <v>0</v>
      </c>
    </row>
    <row r="36" spans="2:16" s="133" customFormat="1" x14ac:dyDescent="0.2">
      <c r="B36" s="161">
        <v>44134</v>
      </c>
      <c r="C36" s="138">
        <v>0.18</v>
      </c>
      <c r="D36" s="60" t="s">
        <v>43</v>
      </c>
      <c r="E36" s="138">
        <f t="shared" si="2"/>
        <v>0</v>
      </c>
      <c r="F36" s="138">
        <f t="shared" si="3"/>
        <v>0.18</v>
      </c>
      <c r="G36" s="139">
        <f t="shared" si="4"/>
        <v>49892.470000000008</v>
      </c>
      <c r="H36" s="1"/>
      <c r="I36" s="283"/>
      <c r="J36" s="194">
        <v>0.18</v>
      </c>
      <c r="K36" s="194"/>
      <c r="L36" s="167"/>
      <c r="M36" s="167"/>
      <c r="N36" s="3"/>
      <c r="P36" s="1">
        <f t="shared" si="5"/>
        <v>0</v>
      </c>
    </row>
    <row r="37" spans="2:16" s="133" customFormat="1" x14ac:dyDescent="0.2">
      <c r="B37" s="161">
        <v>44124</v>
      </c>
      <c r="C37" s="138">
        <v>3179.34</v>
      </c>
      <c r="D37" s="60" t="s">
        <v>148</v>
      </c>
      <c r="E37" s="138">
        <f t="shared" si="2"/>
        <v>0</v>
      </c>
      <c r="F37" s="138">
        <f t="shared" si="3"/>
        <v>3179.34</v>
      </c>
      <c r="G37" s="139">
        <f t="shared" si="4"/>
        <v>49892.290000000008</v>
      </c>
      <c r="H37" s="1"/>
      <c r="I37" s="283"/>
      <c r="J37" s="194"/>
      <c r="K37" s="549">
        <v>3179.34</v>
      </c>
      <c r="L37" s="167"/>
      <c r="M37" s="167"/>
      <c r="N37" s="3"/>
      <c r="P37" s="1">
        <f t="shared" si="5"/>
        <v>0</v>
      </c>
    </row>
    <row r="38" spans="2:16" s="133" customFormat="1" x14ac:dyDescent="0.2">
      <c r="B38" s="161">
        <v>44124</v>
      </c>
      <c r="C38" s="138">
        <v>39444.14</v>
      </c>
      <c r="D38" s="60" t="s">
        <v>419</v>
      </c>
      <c r="E38" s="138">
        <f t="shared" si="2"/>
        <v>0</v>
      </c>
      <c r="F38" s="138">
        <f t="shared" si="3"/>
        <v>39444.14</v>
      </c>
      <c r="G38" s="139">
        <f t="shared" si="4"/>
        <v>46712.950000000012</v>
      </c>
      <c r="H38" s="1"/>
      <c r="I38" s="283"/>
      <c r="J38" s="194"/>
      <c r="K38" s="194"/>
      <c r="L38" s="167"/>
      <c r="M38" s="167">
        <v>39444.14</v>
      </c>
      <c r="N38" s="3"/>
      <c r="P38" s="1">
        <f t="shared" si="5"/>
        <v>0</v>
      </c>
    </row>
    <row r="39" spans="2:16" s="133" customFormat="1" x14ac:dyDescent="0.2">
      <c r="B39" s="161">
        <v>44110</v>
      </c>
      <c r="C39" s="138">
        <v>480</v>
      </c>
      <c r="D39" s="60" t="s">
        <v>420</v>
      </c>
      <c r="E39" s="138">
        <f t="shared" si="2"/>
        <v>0</v>
      </c>
      <c r="F39" s="138">
        <f t="shared" si="3"/>
        <v>480</v>
      </c>
      <c r="G39" s="139">
        <f t="shared" si="4"/>
        <v>7268.8100000000131</v>
      </c>
      <c r="H39" s="1"/>
      <c r="I39" s="283"/>
      <c r="J39" s="194"/>
      <c r="K39" s="549">
        <v>480</v>
      </c>
      <c r="L39" s="167"/>
      <c r="M39" s="167"/>
      <c r="N39" s="3"/>
      <c r="P39" s="1">
        <f t="shared" si="5"/>
        <v>0</v>
      </c>
    </row>
    <row r="40" spans="2:16" s="133" customFormat="1" x14ac:dyDescent="0.2">
      <c r="B40" s="161">
        <v>44104</v>
      </c>
      <c r="C40" s="138">
        <v>2450</v>
      </c>
      <c r="D40" s="60" t="s">
        <v>421</v>
      </c>
      <c r="E40" s="138">
        <f t="shared" si="2"/>
        <v>0</v>
      </c>
      <c r="F40" s="138">
        <f t="shared" si="3"/>
        <v>2450</v>
      </c>
      <c r="G40" s="139">
        <f t="shared" si="4"/>
        <v>6788.8100000000131</v>
      </c>
      <c r="H40" s="1"/>
      <c r="I40" s="283"/>
      <c r="J40" s="194"/>
      <c r="K40" s="549">
        <v>2450</v>
      </c>
      <c r="L40" s="167"/>
      <c r="M40" s="167"/>
      <c r="N40" s="3"/>
      <c r="P40" s="1">
        <f t="shared" si="5"/>
        <v>0</v>
      </c>
    </row>
    <row r="41" spans="2:16" s="133" customFormat="1" x14ac:dyDescent="0.2">
      <c r="B41" s="161">
        <v>44104</v>
      </c>
      <c r="C41" s="138">
        <v>750</v>
      </c>
      <c r="D41" s="60" t="s">
        <v>422</v>
      </c>
      <c r="E41" s="138">
        <f t="shared" si="2"/>
        <v>0</v>
      </c>
      <c r="F41" s="138">
        <f t="shared" si="3"/>
        <v>750</v>
      </c>
      <c r="G41" s="139">
        <f t="shared" si="4"/>
        <v>4338.8100000000131</v>
      </c>
      <c r="H41" s="1"/>
      <c r="I41" s="283"/>
      <c r="J41" s="194"/>
      <c r="K41" s="549">
        <v>750</v>
      </c>
      <c r="L41" s="167"/>
      <c r="M41" s="167"/>
      <c r="N41" s="3"/>
      <c r="P41" s="1">
        <f t="shared" si="5"/>
        <v>0</v>
      </c>
    </row>
    <row r="42" spans="2:16" s="133" customFormat="1" x14ac:dyDescent="0.2">
      <c r="B42" s="161">
        <v>44104</v>
      </c>
      <c r="C42" s="138">
        <v>0.21</v>
      </c>
      <c r="D42" s="60" t="s">
        <v>43</v>
      </c>
      <c r="E42" s="138">
        <f t="shared" si="2"/>
        <v>0</v>
      </c>
      <c r="F42" s="138">
        <f t="shared" si="3"/>
        <v>0.21</v>
      </c>
      <c r="G42" s="139">
        <f t="shared" si="4"/>
        <v>3588.8100000000131</v>
      </c>
      <c r="H42" s="1"/>
      <c r="I42" s="283"/>
      <c r="J42" s="194">
        <v>0.21</v>
      </c>
      <c r="K42" s="549"/>
      <c r="L42" s="167"/>
      <c r="M42" s="167"/>
      <c r="N42" s="3"/>
      <c r="P42" s="1">
        <f t="shared" si="5"/>
        <v>0</v>
      </c>
    </row>
    <row r="43" spans="2:16" s="133" customFormat="1" x14ac:dyDescent="0.2">
      <c r="B43" s="161">
        <v>44099</v>
      </c>
      <c r="C43" s="138">
        <v>200</v>
      </c>
      <c r="D43" s="60" t="s">
        <v>423</v>
      </c>
      <c r="E43" s="138">
        <f t="shared" si="2"/>
        <v>0</v>
      </c>
      <c r="F43" s="138">
        <f t="shared" si="3"/>
        <v>200</v>
      </c>
      <c r="G43" s="139">
        <f t="shared" si="4"/>
        <v>3588.6000000000131</v>
      </c>
      <c r="H43" s="1"/>
      <c r="I43" s="283"/>
      <c r="J43" s="194"/>
      <c r="K43" s="549">
        <v>200</v>
      </c>
      <c r="L43" s="167"/>
      <c r="M43" s="167"/>
      <c r="N43" s="3"/>
      <c r="P43" s="1">
        <f t="shared" si="5"/>
        <v>0</v>
      </c>
    </row>
    <row r="44" spans="2:16" s="133" customFormat="1" x14ac:dyDescent="0.2">
      <c r="B44" s="161">
        <v>44098</v>
      </c>
      <c r="C44" s="138">
        <v>-31686.65</v>
      </c>
      <c r="D44" s="60" t="s">
        <v>424</v>
      </c>
      <c r="E44" s="138">
        <f t="shared" si="2"/>
        <v>-31686.65</v>
      </c>
      <c r="F44" s="138">
        <f t="shared" si="3"/>
        <v>0</v>
      </c>
      <c r="G44" s="139">
        <f t="shared" si="4"/>
        <v>3388.6000000000131</v>
      </c>
      <c r="H44" s="1"/>
      <c r="I44" s="283"/>
      <c r="J44" s="194"/>
      <c r="K44" s="194"/>
      <c r="L44" s="167">
        <v>-31686.65</v>
      </c>
      <c r="M44" s="167"/>
      <c r="N44" s="3"/>
      <c r="P44" s="1">
        <f t="shared" si="5"/>
        <v>0</v>
      </c>
    </row>
    <row r="45" spans="2:16" s="133" customFormat="1" x14ac:dyDescent="0.2">
      <c r="B45" s="161">
        <v>44098</v>
      </c>
      <c r="C45" s="138">
        <v>3200</v>
      </c>
      <c r="D45" s="60" t="s">
        <v>425</v>
      </c>
      <c r="E45" s="138">
        <f t="shared" si="2"/>
        <v>0</v>
      </c>
      <c r="F45" s="138">
        <f t="shared" si="3"/>
        <v>3200</v>
      </c>
      <c r="G45" s="139">
        <f t="shared" si="4"/>
        <v>35075.250000000015</v>
      </c>
      <c r="H45" s="1"/>
      <c r="I45" s="283"/>
      <c r="J45" s="194"/>
      <c r="K45" s="549">
        <v>3200</v>
      </c>
      <c r="L45" s="167"/>
      <c r="M45" s="167"/>
      <c r="N45" s="3"/>
      <c r="P45" s="1">
        <f t="shared" si="5"/>
        <v>0</v>
      </c>
    </row>
    <row r="46" spans="2:16" s="133" customFormat="1" x14ac:dyDescent="0.2">
      <c r="B46" s="161">
        <v>44092</v>
      </c>
      <c r="C46" s="138">
        <v>1087.4100000000001</v>
      </c>
      <c r="D46" s="60" t="s">
        <v>426</v>
      </c>
      <c r="E46" s="138">
        <f t="shared" si="2"/>
        <v>0</v>
      </c>
      <c r="F46" s="138">
        <f t="shared" si="3"/>
        <v>1087.4100000000001</v>
      </c>
      <c r="G46" s="139">
        <f t="shared" si="4"/>
        <v>31875.250000000015</v>
      </c>
      <c r="H46" s="1"/>
      <c r="I46" s="283"/>
      <c r="J46" s="194"/>
      <c r="K46" s="549">
        <v>1087.4100000000001</v>
      </c>
      <c r="L46" s="167"/>
      <c r="M46" s="167"/>
      <c r="N46" s="3"/>
      <c r="P46" s="1">
        <f t="shared" si="5"/>
        <v>0</v>
      </c>
    </row>
    <row r="47" spans="2:16" s="133" customFormat="1" x14ac:dyDescent="0.2">
      <c r="B47" s="161">
        <v>44074</v>
      </c>
      <c r="C47" s="138">
        <v>0.26</v>
      </c>
      <c r="D47" s="60" t="s">
        <v>43</v>
      </c>
      <c r="E47" s="138">
        <f t="shared" si="2"/>
        <v>0</v>
      </c>
      <c r="F47" s="138">
        <f t="shared" si="3"/>
        <v>0.26</v>
      </c>
      <c r="G47" s="139">
        <f t="shared" si="4"/>
        <v>30787.840000000015</v>
      </c>
      <c r="H47" s="1"/>
      <c r="I47" s="283"/>
      <c r="J47" s="194">
        <v>0.26</v>
      </c>
      <c r="K47" s="194"/>
      <c r="L47" s="167"/>
      <c r="M47" s="167"/>
      <c r="N47" s="3"/>
      <c r="P47" s="1">
        <f t="shared" si="5"/>
        <v>0</v>
      </c>
    </row>
    <row r="48" spans="2:16" s="133" customFormat="1" x14ac:dyDescent="0.2">
      <c r="B48" s="161">
        <v>44043</v>
      </c>
      <c r="C48" s="138">
        <v>0.21</v>
      </c>
      <c r="D48" s="60" t="s">
        <v>43</v>
      </c>
      <c r="E48" s="138">
        <f t="shared" si="2"/>
        <v>0</v>
      </c>
      <c r="F48" s="138">
        <f t="shared" si="3"/>
        <v>0.21</v>
      </c>
      <c r="G48" s="139">
        <f t="shared" si="4"/>
        <v>30787.580000000016</v>
      </c>
      <c r="H48" s="1"/>
      <c r="I48" s="283"/>
      <c r="J48" s="194">
        <v>0.21</v>
      </c>
      <c r="K48" s="194"/>
      <c r="L48" s="167"/>
      <c r="M48" s="167"/>
      <c r="N48" s="3"/>
      <c r="P48" s="1">
        <f t="shared" si="5"/>
        <v>0</v>
      </c>
    </row>
    <row r="49" spans="2:16" s="133" customFormat="1" x14ac:dyDescent="0.2">
      <c r="B49" s="161">
        <v>44033</v>
      </c>
      <c r="C49" s="138">
        <v>38136.78</v>
      </c>
      <c r="D49" s="60" t="s">
        <v>429</v>
      </c>
      <c r="E49" s="138">
        <f t="shared" si="2"/>
        <v>0</v>
      </c>
      <c r="F49" s="138">
        <f t="shared" si="3"/>
        <v>38136.78</v>
      </c>
      <c r="G49" s="139">
        <f t="shared" si="4"/>
        <v>30787.370000000017</v>
      </c>
      <c r="H49" s="1"/>
      <c r="I49" s="283"/>
      <c r="J49" s="194"/>
      <c r="K49" s="194"/>
      <c r="L49" s="167"/>
      <c r="M49" s="167">
        <v>38136.78</v>
      </c>
      <c r="N49" s="3"/>
      <c r="P49" s="1">
        <f t="shared" si="5"/>
        <v>0</v>
      </c>
    </row>
    <row r="50" spans="2:16" s="133" customFormat="1" x14ac:dyDescent="0.2">
      <c r="B50" s="161">
        <v>44033</v>
      </c>
      <c r="C50" s="138">
        <v>-19442.55</v>
      </c>
      <c r="D50" s="60" t="s">
        <v>427</v>
      </c>
      <c r="E50" s="138">
        <f t="shared" si="2"/>
        <v>-19442.55</v>
      </c>
      <c r="F50" s="138">
        <f t="shared" si="3"/>
        <v>0</v>
      </c>
      <c r="G50" s="139">
        <f t="shared" si="4"/>
        <v>-7349.4099999999835</v>
      </c>
      <c r="H50" s="1"/>
      <c r="I50" s="283"/>
      <c r="J50" s="194"/>
      <c r="K50" s="194"/>
      <c r="L50" s="167">
        <v>-19442.55</v>
      </c>
      <c r="M50" s="167"/>
      <c r="N50" s="3"/>
      <c r="P50" s="1">
        <f t="shared" si="5"/>
        <v>0</v>
      </c>
    </row>
    <row r="51" spans="2:16" s="133" customFormat="1" x14ac:dyDescent="0.2">
      <c r="B51" s="161">
        <v>44033</v>
      </c>
      <c r="C51" s="138">
        <v>-11452.37</v>
      </c>
      <c r="D51" s="60" t="s">
        <v>428</v>
      </c>
      <c r="E51" s="138">
        <f t="shared" si="2"/>
        <v>-11452.37</v>
      </c>
      <c r="F51" s="138">
        <f t="shared" si="3"/>
        <v>0</v>
      </c>
      <c r="G51" s="139">
        <f t="shared" si="4"/>
        <v>12093.140000000016</v>
      </c>
      <c r="H51" s="1"/>
      <c r="I51" s="283"/>
      <c r="J51" s="194"/>
      <c r="K51" s="194"/>
      <c r="L51" s="167">
        <v>-11452.37</v>
      </c>
      <c r="M51" s="167"/>
      <c r="N51" s="3"/>
      <c r="P51" s="1">
        <f t="shared" si="5"/>
        <v>0</v>
      </c>
    </row>
    <row r="52" spans="2:16" s="133" customFormat="1" x14ac:dyDescent="0.2">
      <c r="B52" s="161">
        <v>44015</v>
      </c>
      <c r="C52" s="138">
        <v>2400</v>
      </c>
      <c r="D52" s="60" t="s">
        <v>430</v>
      </c>
      <c r="E52" s="138">
        <f t="shared" si="2"/>
        <v>0</v>
      </c>
      <c r="F52" s="138">
        <f t="shared" si="3"/>
        <v>2400</v>
      </c>
      <c r="G52" s="139">
        <f t="shared" si="4"/>
        <v>23545.510000000017</v>
      </c>
      <c r="H52" s="1"/>
      <c r="I52" s="283"/>
      <c r="J52" s="194"/>
      <c r="K52" s="549">
        <v>2400</v>
      </c>
      <c r="L52" s="167"/>
      <c r="M52" s="167"/>
      <c r="N52" s="3"/>
      <c r="P52" s="1">
        <f t="shared" si="5"/>
        <v>0</v>
      </c>
    </row>
    <row r="53" spans="2:16" s="133" customFormat="1" ht="12" thickBot="1" x14ac:dyDescent="0.25">
      <c r="B53" s="161">
        <v>44015</v>
      </c>
      <c r="C53" s="142">
        <v>900</v>
      </c>
      <c r="D53" s="60" t="s">
        <v>431</v>
      </c>
      <c r="E53" s="138">
        <f t="shared" si="2"/>
        <v>0</v>
      </c>
      <c r="F53" s="138">
        <f t="shared" si="3"/>
        <v>900</v>
      </c>
      <c r="G53" s="139">
        <f t="shared" si="4"/>
        <v>21145.510000000017</v>
      </c>
      <c r="H53" s="1"/>
      <c r="I53" s="283"/>
      <c r="J53" s="194"/>
      <c r="K53" s="549">
        <v>900</v>
      </c>
      <c r="L53" s="167"/>
      <c r="M53" s="167"/>
      <c r="N53" s="3"/>
      <c r="P53" s="1">
        <f t="shared" si="5"/>
        <v>0</v>
      </c>
    </row>
    <row r="54" spans="2:16" s="181" customFormat="1" ht="12.75" x14ac:dyDescent="0.2">
      <c r="B54" s="492"/>
      <c r="D54" s="503" t="s">
        <v>433</v>
      </c>
      <c r="E54" s="493"/>
      <c r="F54" s="493"/>
      <c r="G54" s="493">
        <v>20245.510000000017</v>
      </c>
      <c r="H54" s="493"/>
      <c r="I54" s="493"/>
      <c r="J54" s="494"/>
      <c r="K54" s="494"/>
      <c r="L54" s="493"/>
      <c r="M54" s="493"/>
      <c r="N54" s="851"/>
      <c r="O54" s="495"/>
    </row>
    <row r="55" spans="2:16" s="181" customFormat="1" ht="12.75" x14ac:dyDescent="0.2">
      <c r="B55" s="496"/>
      <c r="C55" s="497"/>
      <c r="D55" s="504"/>
      <c r="E55" s="497"/>
      <c r="F55" s="497"/>
      <c r="G55" s="497"/>
      <c r="H55" s="497"/>
      <c r="I55" s="497"/>
      <c r="J55" s="499"/>
      <c r="K55" s="499"/>
      <c r="L55" s="497"/>
      <c r="M55" s="497"/>
      <c r="N55" s="851"/>
      <c r="O55" s="495"/>
    </row>
    <row r="56" spans="2:16" s="181" customFormat="1" ht="13.5" thickBot="1" x14ac:dyDescent="0.25">
      <c r="B56" s="500"/>
      <c r="C56" s="501"/>
      <c r="D56" s="505" t="s">
        <v>432</v>
      </c>
      <c r="E56" s="501"/>
      <c r="F56" s="501"/>
      <c r="G56" s="501">
        <f t="shared" ref="G56:G57" si="6">G57+E56+F56</f>
        <v>20245.510000000017</v>
      </c>
      <c r="H56" s="501"/>
      <c r="I56" s="501"/>
      <c r="J56" s="502"/>
      <c r="K56" s="502"/>
      <c r="L56" s="501"/>
      <c r="M56" s="501"/>
      <c r="N56" s="851"/>
      <c r="O56" s="495"/>
    </row>
    <row r="57" spans="2:16" s="133" customFormat="1" x14ac:dyDescent="0.2">
      <c r="B57" s="161">
        <v>44012</v>
      </c>
      <c r="C57" s="138">
        <v>0.18</v>
      </c>
      <c r="D57" s="60" t="s">
        <v>43</v>
      </c>
      <c r="E57" s="138">
        <f t="shared" ref="E57" si="7">IF(C57&lt;0,C57,0)</f>
        <v>0</v>
      </c>
      <c r="F57" s="138">
        <f t="shared" ref="F57" si="8">IF(C57&lt;0,0,C57)</f>
        <v>0.18</v>
      </c>
      <c r="G57" s="139">
        <f t="shared" si="6"/>
        <v>20245.510000000017</v>
      </c>
      <c r="H57" s="1"/>
      <c r="I57" s="283"/>
      <c r="J57" s="194"/>
      <c r="K57" s="194"/>
      <c r="L57" s="167"/>
      <c r="M57" s="167"/>
      <c r="N57" s="3"/>
      <c r="O57" s="1"/>
    </row>
    <row r="58" spans="2:16" s="133" customFormat="1" x14ac:dyDescent="0.2">
      <c r="B58" s="161">
        <v>43980</v>
      </c>
      <c r="C58" s="138">
        <v>0.18</v>
      </c>
      <c r="D58" s="60" t="s">
        <v>43</v>
      </c>
      <c r="E58" s="138">
        <f t="shared" ref="E58:E89" si="9">IF(C58&lt;0,C58,0)</f>
        <v>0</v>
      </c>
      <c r="F58" s="138">
        <f t="shared" ref="F58:F89" si="10">IF(C58&lt;0,0,C58)</f>
        <v>0.18</v>
      </c>
      <c r="G58" s="139">
        <f t="shared" ref="G58:G89" si="11">G59+E58+F58</f>
        <v>20245.330000000016</v>
      </c>
      <c r="H58" s="1"/>
      <c r="I58" s="283"/>
      <c r="J58" s="194">
        <v>0.18</v>
      </c>
      <c r="K58" s="194"/>
      <c r="L58" s="167"/>
      <c r="M58" s="167"/>
      <c r="N58" s="3"/>
      <c r="O58" s="1">
        <f t="shared" ref="O58:O89" si="12">SUM(I58:M58)-C58</f>
        <v>0</v>
      </c>
    </row>
    <row r="59" spans="2:16" s="133" customFormat="1" x14ac:dyDescent="0.2">
      <c r="B59" s="161">
        <v>43978</v>
      </c>
      <c r="C59" s="138">
        <v>12080</v>
      </c>
      <c r="D59" s="60" t="s">
        <v>345</v>
      </c>
      <c r="E59" s="138">
        <f t="shared" si="9"/>
        <v>0</v>
      </c>
      <c r="F59" s="138">
        <f t="shared" si="10"/>
        <v>12080</v>
      </c>
      <c r="G59" s="139">
        <f t="shared" si="11"/>
        <v>20245.150000000016</v>
      </c>
      <c r="H59" s="1"/>
      <c r="I59" s="283"/>
      <c r="J59" s="194"/>
      <c r="K59" s="194"/>
      <c r="L59" s="167">
        <v>12080</v>
      </c>
      <c r="M59" s="167"/>
      <c r="N59" s="3"/>
      <c r="O59" s="1">
        <f t="shared" si="12"/>
        <v>0</v>
      </c>
    </row>
    <row r="60" spans="2:16" s="133" customFormat="1" x14ac:dyDescent="0.2">
      <c r="B60" s="161">
        <v>43965</v>
      </c>
      <c r="C60" s="138">
        <v>-20000</v>
      </c>
      <c r="D60" s="60" t="s">
        <v>346</v>
      </c>
      <c r="E60" s="138">
        <f t="shared" si="9"/>
        <v>-20000</v>
      </c>
      <c r="F60" s="138">
        <f t="shared" si="10"/>
        <v>0</v>
      </c>
      <c r="G60" s="139">
        <f t="shared" si="11"/>
        <v>8165.150000000016</v>
      </c>
      <c r="H60" s="1"/>
      <c r="I60" s="283">
        <v>-20000</v>
      </c>
      <c r="J60" s="194"/>
      <c r="K60" s="194"/>
      <c r="L60" s="167"/>
      <c r="M60" s="167"/>
      <c r="N60" s="3"/>
      <c r="O60" s="1">
        <f t="shared" si="12"/>
        <v>0</v>
      </c>
    </row>
    <row r="61" spans="2:16" s="133" customFormat="1" x14ac:dyDescent="0.2">
      <c r="B61" s="161">
        <v>43956</v>
      </c>
      <c r="C61" s="138">
        <v>-30000</v>
      </c>
      <c r="D61" s="60" t="s">
        <v>347</v>
      </c>
      <c r="E61" s="138">
        <f t="shared" si="9"/>
        <v>-30000</v>
      </c>
      <c r="F61" s="138">
        <f t="shared" si="10"/>
        <v>0</v>
      </c>
      <c r="G61" s="139">
        <f t="shared" si="11"/>
        <v>28165.150000000016</v>
      </c>
      <c r="H61" s="1"/>
      <c r="I61" s="283">
        <v>-30000</v>
      </c>
      <c r="J61" s="194"/>
      <c r="K61" s="194"/>
      <c r="L61" s="167"/>
      <c r="M61" s="167"/>
      <c r="N61" s="3"/>
      <c r="O61" s="1">
        <f t="shared" si="12"/>
        <v>0</v>
      </c>
    </row>
    <row r="62" spans="2:16" s="133" customFormat="1" x14ac:dyDescent="0.2">
      <c r="B62" s="161">
        <v>43952</v>
      </c>
      <c r="C62" s="138">
        <v>31962.38</v>
      </c>
      <c r="D62" s="60" t="s">
        <v>357</v>
      </c>
      <c r="E62" s="138">
        <f t="shared" si="9"/>
        <v>0</v>
      </c>
      <c r="F62" s="138">
        <f t="shared" si="10"/>
        <v>31962.38</v>
      </c>
      <c r="G62" s="139">
        <f t="shared" si="11"/>
        <v>58165.150000000016</v>
      </c>
      <c r="H62" s="1"/>
      <c r="I62" s="283"/>
      <c r="J62" s="194"/>
      <c r="K62" s="194"/>
      <c r="L62" s="167"/>
      <c r="M62" s="167">
        <v>31962.38</v>
      </c>
      <c r="N62" s="3"/>
      <c r="O62" s="1">
        <f t="shared" si="12"/>
        <v>0</v>
      </c>
    </row>
    <row r="63" spans="2:16" s="133" customFormat="1" x14ac:dyDescent="0.2">
      <c r="B63" s="161">
        <v>43951</v>
      </c>
      <c r="C63" s="138">
        <v>0.19</v>
      </c>
      <c r="D63" s="60" t="s">
        <v>43</v>
      </c>
      <c r="E63" s="138">
        <f t="shared" si="9"/>
        <v>0</v>
      </c>
      <c r="F63" s="138">
        <f t="shared" si="10"/>
        <v>0.19</v>
      </c>
      <c r="G63" s="139">
        <f t="shared" si="11"/>
        <v>26202.770000000015</v>
      </c>
      <c r="H63" s="1"/>
      <c r="I63" s="283"/>
      <c r="J63" s="194">
        <v>0.19</v>
      </c>
      <c r="K63" s="194"/>
      <c r="L63" s="167"/>
      <c r="M63" s="167"/>
      <c r="N63" s="3"/>
      <c r="O63" s="1">
        <f t="shared" si="12"/>
        <v>0</v>
      </c>
    </row>
    <row r="64" spans="2:16" s="133" customFormat="1" x14ac:dyDescent="0.2">
      <c r="B64" s="161">
        <v>43948</v>
      </c>
      <c r="C64" s="138">
        <v>-30000</v>
      </c>
      <c r="D64" s="60" t="s">
        <v>348</v>
      </c>
      <c r="E64" s="138">
        <f t="shared" si="9"/>
        <v>-30000</v>
      </c>
      <c r="F64" s="138">
        <f t="shared" si="10"/>
        <v>0</v>
      </c>
      <c r="G64" s="139">
        <f t="shared" si="11"/>
        <v>26202.580000000016</v>
      </c>
      <c r="H64" s="1"/>
      <c r="I64" s="283">
        <v>-30000</v>
      </c>
      <c r="J64" s="194"/>
      <c r="K64" s="194"/>
      <c r="L64" s="167"/>
      <c r="M64" s="167"/>
      <c r="N64" s="3"/>
      <c r="O64" s="1">
        <f t="shared" si="12"/>
        <v>0</v>
      </c>
    </row>
    <row r="65" spans="2:15" s="133" customFormat="1" x14ac:dyDescent="0.2">
      <c r="B65" s="161">
        <v>43948</v>
      </c>
      <c r="C65" s="138">
        <v>30451.040000000001</v>
      </c>
      <c r="D65" s="60" t="s">
        <v>349</v>
      </c>
      <c r="E65" s="138">
        <f t="shared" si="9"/>
        <v>0</v>
      </c>
      <c r="F65" s="138">
        <f t="shared" si="10"/>
        <v>30451.040000000001</v>
      </c>
      <c r="G65" s="139">
        <f t="shared" si="11"/>
        <v>56202.580000000016</v>
      </c>
      <c r="H65" s="1"/>
      <c r="I65" s="283"/>
      <c r="J65" s="194"/>
      <c r="K65" s="194"/>
      <c r="L65" s="167"/>
      <c r="M65" s="167">
        <v>30451.040000000001</v>
      </c>
      <c r="N65" s="3"/>
      <c r="O65" s="1">
        <f t="shared" si="12"/>
        <v>0</v>
      </c>
    </row>
    <row r="66" spans="2:15" s="133" customFormat="1" x14ac:dyDescent="0.2">
      <c r="B66" s="161">
        <v>43941</v>
      </c>
      <c r="C66" s="138">
        <v>3064.05</v>
      </c>
      <c r="D66" s="60" t="s">
        <v>148</v>
      </c>
      <c r="E66" s="138">
        <f t="shared" si="9"/>
        <v>0</v>
      </c>
      <c r="F66" s="138">
        <f t="shared" si="10"/>
        <v>3064.05</v>
      </c>
      <c r="G66" s="139">
        <f t="shared" si="11"/>
        <v>25751.540000000012</v>
      </c>
      <c r="H66" s="1"/>
      <c r="I66" s="283"/>
      <c r="J66" s="194"/>
      <c r="K66" s="549">
        <v>3064.05</v>
      </c>
      <c r="L66" s="167"/>
      <c r="M66" s="167"/>
      <c r="N66" s="3"/>
      <c r="O66" s="1">
        <f t="shared" si="12"/>
        <v>0</v>
      </c>
    </row>
    <row r="67" spans="2:15" s="133" customFormat="1" x14ac:dyDescent="0.2">
      <c r="B67" s="161">
        <v>43930</v>
      </c>
      <c r="C67" s="138">
        <v>1350</v>
      </c>
      <c r="D67" s="60" t="s">
        <v>350</v>
      </c>
      <c r="E67" s="138">
        <f t="shared" si="9"/>
        <v>0</v>
      </c>
      <c r="F67" s="138">
        <f t="shared" si="10"/>
        <v>1350</v>
      </c>
      <c r="G67" s="139">
        <f t="shared" si="11"/>
        <v>22687.490000000013</v>
      </c>
      <c r="H67" s="1"/>
      <c r="I67" s="283"/>
      <c r="J67" s="194"/>
      <c r="K67" s="549">
        <v>1350</v>
      </c>
      <c r="L67" s="167"/>
      <c r="M67" s="167"/>
      <c r="N67" s="3"/>
      <c r="O67" s="1">
        <f t="shared" si="12"/>
        <v>0</v>
      </c>
    </row>
    <row r="68" spans="2:15" s="133" customFormat="1" x14ac:dyDescent="0.2">
      <c r="B68" s="161">
        <v>43921</v>
      </c>
      <c r="C68" s="138">
        <v>0.83</v>
      </c>
      <c r="D68" s="60" t="s">
        <v>43</v>
      </c>
      <c r="E68" s="138">
        <f t="shared" si="9"/>
        <v>0</v>
      </c>
      <c r="F68" s="138">
        <f t="shared" si="10"/>
        <v>0.83</v>
      </c>
      <c r="G68" s="139">
        <f t="shared" si="11"/>
        <v>21337.490000000013</v>
      </c>
      <c r="H68" s="1"/>
      <c r="I68" s="283"/>
      <c r="J68" s="194">
        <v>0.83</v>
      </c>
      <c r="K68" s="549"/>
      <c r="L68" s="167"/>
      <c r="M68" s="167"/>
      <c r="N68" s="3"/>
      <c r="O68" s="1">
        <f t="shared" si="12"/>
        <v>0</v>
      </c>
    </row>
    <row r="69" spans="2:15" s="133" customFormat="1" x14ac:dyDescent="0.2">
      <c r="B69" s="161">
        <v>43921</v>
      </c>
      <c r="C69" s="138">
        <v>5000</v>
      </c>
      <c r="D69" s="60" t="s">
        <v>351</v>
      </c>
      <c r="E69" s="138">
        <f t="shared" si="9"/>
        <v>0</v>
      </c>
      <c r="F69" s="138">
        <f t="shared" si="10"/>
        <v>5000</v>
      </c>
      <c r="G69" s="139">
        <f t="shared" si="11"/>
        <v>21336.660000000011</v>
      </c>
      <c r="H69" s="1"/>
      <c r="I69" s="283"/>
      <c r="J69" s="194"/>
      <c r="K69" s="549">
        <v>5000</v>
      </c>
      <c r="L69" s="167"/>
      <c r="M69" s="167"/>
      <c r="N69" s="3"/>
      <c r="O69" s="1">
        <f t="shared" si="12"/>
        <v>0</v>
      </c>
    </row>
    <row r="70" spans="2:15" s="133" customFormat="1" x14ac:dyDescent="0.2">
      <c r="B70" s="161">
        <v>43917</v>
      </c>
      <c r="C70" s="138">
        <v>-19023.32</v>
      </c>
      <c r="D70" s="60" t="s">
        <v>352</v>
      </c>
      <c r="E70" s="138">
        <f t="shared" si="9"/>
        <v>-19023.32</v>
      </c>
      <c r="F70" s="138">
        <f t="shared" si="10"/>
        <v>0</v>
      </c>
      <c r="G70" s="139">
        <f t="shared" si="11"/>
        <v>16336.660000000011</v>
      </c>
      <c r="H70" s="1"/>
      <c r="I70" s="283"/>
      <c r="J70" s="194"/>
      <c r="K70" s="194"/>
      <c r="L70" s="167">
        <v>-19023.32</v>
      </c>
      <c r="M70" s="167"/>
      <c r="N70" s="3"/>
      <c r="O70" s="1">
        <f t="shared" si="12"/>
        <v>0</v>
      </c>
    </row>
    <row r="71" spans="2:15" s="133" customFormat="1" x14ac:dyDescent="0.2">
      <c r="B71" s="161">
        <v>43917</v>
      </c>
      <c r="C71" s="138">
        <v>3200</v>
      </c>
      <c r="D71" s="60" t="s">
        <v>353</v>
      </c>
      <c r="E71" s="138">
        <f t="shared" si="9"/>
        <v>0</v>
      </c>
      <c r="F71" s="138">
        <f t="shared" si="10"/>
        <v>3200</v>
      </c>
      <c r="G71" s="139">
        <f t="shared" si="11"/>
        <v>35359.98000000001</v>
      </c>
      <c r="H71" s="1"/>
      <c r="I71" s="283"/>
      <c r="J71" s="194"/>
      <c r="K71" s="549">
        <v>3200</v>
      </c>
      <c r="L71" s="167"/>
      <c r="M71" s="167"/>
      <c r="N71" s="3"/>
      <c r="O71" s="1">
        <f t="shared" si="12"/>
        <v>0</v>
      </c>
    </row>
    <row r="72" spans="2:15" s="133" customFormat="1" x14ac:dyDescent="0.2">
      <c r="B72" s="161">
        <v>43917</v>
      </c>
      <c r="C72" s="138">
        <v>625</v>
      </c>
      <c r="D72" s="60" t="s">
        <v>158</v>
      </c>
      <c r="E72" s="138">
        <f t="shared" si="9"/>
        <v>0</v>
      </c>
      <c r="F72" s="138">
        <f t="shared" si="10"/>
        <v>625</v>
      </c>
      <c r="G72" s="139">
        <f t="shared" si="11"/>
        <v>32159.980000000007</v>
      </c>
      <c r="H72" s="1"/>
      <c r="I72" s="283"/>
      <c r="J72" s="194"/>
      <c r="K72" s="549">
        <v>625</v>
      </c>
      <c r="L72" s="167"/>
      <c r="M72" s="167"/>
      <c r="N72" s="3"/>
      <c r="O72" s="1">
        <f t="shared" si="12"/>
        <v>0</v>
      </c>
    </row>
    <row r="73" spans="2:15" s="133" customFormat="1" x14ac:dyDescent="0.2">
      <c r="B73" s="161">
        <v>43915</v>
      </c>
      <c r="C73" s="138">
        <v>31462.93</v>
      </c>
      <c r="D73" s="60" t="s">
        <v>354</v>
      </c>
      <c r="E73" s="138">
        <f t="shared" si="9"/>
        <v>0</v>
      </c>
      <c r="F73" s="138">
        <f t="shared" si="10"/>
        <v>31462.93</v>
      </c>
      <c r="G73" s="139">
        <f t="shared" si="11"/>
        <v>31534.980000000007</v>
      </c>
      <c r="H73" s="1"/>
      <c r="I73" s="283"/>
      <c r="J73" s="194"/>
      <c r="K73" s="549"/>
      <c r="L73" s="167"/>
      <c r="M73" s="167">
        <v>31462.93</v>
      </c>
      <c r="N73" s="3"/>
      <c r="O73" s="1">
        <f t="shared" si="12"/>
        <v>0</v>
      </c>
    </row>
    <row r="74" spans="2:15" s="133" customFormat="1" x14ac:dyDescent="0.2">
      <c r="B74" s="161">
        <v>43914</v>
      </c>
      <c r="C74" s="138">
        <v>-18532.37</v>
      </c>
      <c r="D74" s="60" t="s">
        <v>355</v>
      </c>
      <c r="E74" s="138">
        <f t="shared" si="9"/>
        <v>-18532.37</v>
      </c>
      <c r="F74" s="138">
        <f t="shared" si="10"/>
        <v>0</v>
      </c>
      <c r="G74" s="139">
        <f t="shared" si="11"/>
        <v>72.050000000006548</v>
      </c>
      <c r="H74" s="1"/>
      <c r="I74" s="283"/>
      <c r="J74" s="194"/>
      <c r="K74" s="549"/>
      <c r="L74" s="167">
        <v>-18532.37</v>
      </c>
      <c r="M74" s="167"/>
      <c r="N74" s="3"/>
      <c r="O74" s="1">
        <f t="shared" si="12"/>
        <v>0</v>
      </c>
    </row>
    <row r="75" spans="2:15" s="133" customFormat="1" x14ac:dyDescent="0.2">
      <c r="B75" s="161">
        <v>43910</v>
      </c>
      <c r="C75" s="138">
        <v>2493.9499999999998</v>
      </c>
      <c r="D75" s="60" t="s">
        <v>356</v>
      </c>
      <c r="E75" s="138">
        <f t="shared" si="9"/>
        <v>0</v>
      </c>
      <c r="F75" s="138">
        <f t="shared" si="10"/>
        <v>2493.9499999999998</v>
      </c>
      <c r="G75" s="139">
        <f t="shared" si="11"/>
        <v>18604.420000000006</v>
      </c>
      <c r="H75" s="1"/>
      <c r="I75" s="283"/>
      <c r="J75" s="194"/>
      <c r="K75" s="549">
        <v>2493.9499999999998</v>
      </c>
      <c r="L75" s="167"/>
      <c r="M75" s="167"/>
      <c r="N75" s="3"/>
      <c r="O75" s="1">
        <f t="shared" si="12"/>
        <v>0</v>
      </c>
    </row>
    <row r="76" spans="2:15" s="133" customFormat="1" x14ac:dyDescent="0.2">
      <c r="B76" s="161">
        <v>43889</v>
      </c>
      <c r="C76" s="138">
        <v>1.23</v>
      </c>
      <c r="D76" s="60" t="s">
        <v>43</v>
      </c>
      <c r="E76" s="138">
        <f t="shared" si="9"/>
        <v>0</v>
      </c>
      <c r="F76" s="138">
        <f t="shared" si="10"/>
        <v>1.23</v>
      </c>
      <c r="G76" s="139">
        <f t="shared" si="11"/>
        <v>16110.470000000007</v>
      </c>
      <c r="H76" s="1"/>
      <c r="I76" s="283"/>
      <c r="J76" s="194">
        <v>1.23</v>
      </c>
      <c r="K76" s="194"/>
      <c r="L76" s="167"/>
      <c r="M76" s="167"/>
      <c r="N76" s="3"/>
      <c r="O76" s="1">
        <f t="shared" si="12"/>
        <v>0</v>
      </c>
    </row>
    <row r="77" spans="2:15" s="133" customFormat="1" x14ac:dyDescent="0.2">
      <c r="B77" s="161">
        <v>43861</v>
      </c>
      <c r="C77" s="138">
        <v>1.37</v>
      </c>
      <c r="D77" s="60" t="s">
        <v>43</v>
      </c>
      <c r="E77" s="138">
        <f t="shared" si="9"/>
        <v>0</v>
      </c>
      <c r="F77" s="138">
        <f t="shared" si="10"/>
        <v>1.37</v>
      </c>
      <c r="G77" s="139">
        <f t="shared" si="11"/>
        <v>16109.240000000007</v>
      </c>
      <c r="H77" s="1"/>
      <c r="I77" s="283"/>
      <c r="J77" s="194">
        <v>1.37</v>
      </c>
      <c r="K77" s="549"/>
      <c r="L77" s="167"/>
      <c r="M77" s="167"/>
      <c r="N77" s="3"/>
      <c r="O77" s="1">
        <f t="shared" si="12"/>
        <v>0</v>
      </c>
    </row>
    <row r="78" spans="2:15" s="133" customFormat="1" x14ac:dyDescent="0.2">
      <c r="B78" s="161">
        <v>43830</v>
      </c>
      <c r="C78" s="138">
        <v>0.7</v>
      </c>
      <c r="D78" s="60" t="s">
        <v>301</v>
      </c>
      <c r="E78" s="138">
        <f t="shared" si="9"/>
        <v>0</v>
      </c>
      <c r="F78" s="138">
        <f t="shared" si="10"/>
        <v>0.7</v>
      </c>
      <c r="G78" s="139">
        <f t="shared" si="11"/>
        <v>16107.870000000006</v>
      </c>
      <c r="H78" s="1"/>
      <c r="I78" s="283"/>
      <c r="J78" s="194">
        <v>0.7</v>
      </c>
      <c r="K78" s="176"/>
      <c r="L78" s="167"/>
      <c r="M78" s="167"/>
      <c r="N78" s="3"/>
      <c r="O78" s="1">
        <f t="shared" si="12"/>
        <v>0</v>
      </c>
    </row>
    <row r="79" spans="2:15" s="133" customFormat="1" x14ac:dyDescent="0.2">
      <c r="B79" s="161">
        <v>43819</v>
      </c>
      <c r="C79" s="138">
        <v>4000</v>
      </c>
      <c r="D79" s="60" t="s">
        <v>302</v>
      </c>
      <c r="E79" s="138">
        <f t="shared" si="9"/>
        <v>0</v>
      </c>
      <c r="F79" s="138">
        <f t="shared" si="10"/>
        <v>4000</v>
      </c>
      <c r="G79" s="139">
        <f t="shared" si="11"/>
        <v>16107.170000000006</v>
      </c>
      <c r="H79" s="1"/>
      <c r="I79" s="283"/>
      <c r="J79" s="194"/>
      <c r="K79" s="176">
        <v>4000</v>
      </c>
      <c r="L79" s="167"/>
      <c r="M79" s="167"/>
      <c r="N79" s="3"/>
      <c r="O79" s="1">
        <f t="shared" si="12"/>
        <v>0</v>
      </c>
    </row>
    <row r="80" spans="2:15" s="133" customFormat="1" x14ac:dyDescent="0.2">
      <c r="B80" s="161">
        <v>43817</v>
      </c>
      <c r="C80" s="138">
        <v>2400</v>
      </c>
      <c r="D80" s="60" t="s">
        <v>303</v>
      </c>
      <c r="E80" s="138">
        <f t="shared" si="9"/>
        <v>0</v>
      </c>
      <c r="F80" s="138">
        <f t="shared" si="10"/>
        <v>2400</v>
      </c>
      <c r="G80" s="139">
        <f t="shared" si="11"/>
        <v>12107.170000000006</v>
      </c>
      <c r="H80" s="1"/>
      <c r="I80" s="283"/>
      <c r="J80" s="194"/>
      <c r="K80" s="176">
        <v>2400</v>
      </c>
      <c r="L80" s="167"/>
      <c r="M80" s="167"/>
      <c r="N80" s="3"/>
      <c r="O80" s="1">
        <f t="shared" si="12"/>
        <v>0</v>
      </c>
    </row>
    <row r="81" spans="2:15" s="133" customFormat="1" x14ac:dyDescent="0.2">
      <c r="B81" s="161">
        <v>43817</v>
      </c>
      <c r="C81" s="138">
        <v>1250</v>
      </c>
      <c r="D81" s="60" t="s">
        <v>304</v>
      </c>
      <c r="E81" s="138">
        <f t="shared" si="9"/>
        <v>0</v>
      </c>
      <c r="F81" s="138">
        <f t="shared" si="10"/>
        <v>1250</v>
      </c>
      <c r="G81" s="139">
        <f t="shared" si="11"/>
        <v>9707.1700000000055</v>
      </c>
      <c r="H81" s="1"/>
      <c r="I81" s="283"/>
      <c r="J81" s="194"/>
      <c r="K81" s="176">
        <v>1250</v>
      </c>
      <c r="L81" s="167"/>
      <c r="M81" s="167"/>
      <c r="N81" s="3"/>
      <c r="O81" s="1">
        <f t="shared" si="12"/>
        <v>0</v>
      </c>
    </row>
    <row r="82" spans="2:15" s="133" customFormat="1" x14ac:dyDescent="0.2">
      <c r="B82" s="161">
        <v>43811</v>
      </c>
      <c r="C82" s="138">
        <v>8300</v>
      </c>
      <c r="D82" s="60" t="s">
        <v>305</v>
      </c>
      <c r="E82" s="138">
        <f t="shared" si="9"/>
        <v>0</v>
      </c>
      <c r="F82" s="138">
        <f t="shared" si="10"/>
        <v>8300</v>
      </c>
      <c r="G82" s="139">
        <f t="shared" si="11"/>
        <v>8457.1700000000055</v>
      </c>
      <c r="H82" s="1"/>
      <c r="I82" s="283"/>
      <c r="J82" s="194"/>
      <c r="K82" s="176">
        <v>8300</v>
      </c>
      <c r="L82" s="167"/>
      <c r="M82" s="167"/>
      <c r="N82" s="3"/>
      <c r="O82" s="1">
        <f t="shared" si="12"/>
        <v>0</v>
      </c>
    </row>
    <row r="83" spans="2:15" s="133" customFormat="1" x14ac:dyDescent="0.2">
      <c r="B83" s="161">
        <v>43798</v>
      </c>
      <c r="C83" s="138">
        <v>1.57</v>
      </c>
      <c r="D83" s="60" t="s">
        <v>301</v>
      </c>
      <c r="E83" s="138">
        <f t="shared" si="9"/>
        <v>0</v>
      </c>
      <c r="F83" s="138">
        <f t="shared" si="10"/>
        <v>1.57</v>
      </c>
      <c r="G83" s="139">
        <f t="shared" si="11"/>
        <v>157.17000000000581</v>
      </c>
      <c r="H83" s="1"/>
      <c r="I83" s="283"/>
      <c r="J83" s="194">
        <v>1.57</v>
      </c>
      <c r="K83" s="176"/>
      <c r="L83" s="167"/>
      <c r="M83" s="167"/>
      <c r="N83" s="3"/>
      <c r="O83" s="1">
        <f t="shared" si="12"/>
        <v>0</v>
      </c>
    </row>
    <row r="84" spans="2:15" s="133" customFormat="1" x14ac:dyDescent="0.2">
      <c r="B84" s="161">
        <v>43789</v>
      </c>
      <c r="C84" s="138">
        <v>-30000</v>
      </c>
      <c r="D84" s="60" t="s">
        <v>306</v>
      </c>
      <c r="E84" s="138">
        <f t="shared" si="9"/>
        <v>-30000</v>
      </c>
      <c r="F84" s="138">
        <f t="shared" si="10"/>
        <v>0</v>
      </c>
      <c r="G84" s="139">
        <f t="shared" si="11"/>
        <v>155.60000000000582</v>
      </c>
      <c r="H84" s="1"/>
      <c r="I84" s="283">
        <v>-30000</v>
      </c>
      <c r="J84" s="194"/>
      <c r="K84" s="176"/>
      <c r="L84" s="167"/>
      <c r="M84" s="167"/>
      <c r="N84" s="3"/>
      <c r="O84" s="1">
        <f t="shared" si="12"/>
        <v>0</v>
      </c>
    </row>
    <row r="85" spans="2:15" s="133" customFormat="1" x14ac:dyDescent="0.2">
      <c r="B85" s="161">
        <v>43789</v>
      </c>
      <c r="C85" s="138">
        <v>1562.83</v>
      </c>
      <c r="D85" s="60" t="s">
        <v>320</v>
      </c>
      <c r="E85" s="138">
        <f t="shared" si="9"/>
        <v>0</v>
      </c>
      <c r="F85" s="138">
        <f t="shared" si="10"/>
        <v>1562.83</v>
      </c>
      <c r="G85" s="139">
        <f t="shared" si="11"/>
        <v>30155.600000000006</v>
      </c>
      <c r="H85" s="1"/>
      <c r="I85" s="283"/>
      <c r="J85" s="194"/>
      <c r="K85" s="28"/>
      <c r="L85" s="167"/>
      <c r="M85" s="194">
        <v>1562.83</v>
      </c>
      <c r="N85" s="4"/>
      <c r="O85" s="1">
        <f t="shared" si="12"/>
        <v>0</v>
      </c>
    </row>
    <row r="86" spans="2:15" s="133" customFormat="1" x14ac:dyDescent="0.2">
      <c r="B86" s="161">
        <v>43769</v>
      </c>
      <c r="C86" s="138">
        <v>2.2400000000000002</v>
      </c>
      <c r="D86" s="60" t="s">
        <v>301</v>
      </c>
      <c r="E86" s="138">
        <f t="shared" si="9"/>
        <v>0</v>
      </c>
      <c r="F86" s="138">
        <f t="shared" si="10"/>
        <v>2.2400000000000002</v>
      </c>
      <c r="G86" s="139">
        <f t="shared" si="11"/>
        <v>28592.770000000008</v>
      </c>
      <c r="H86" s="1"/>
      <c r="I86" s="283"/>
      <c r="J86" s="194">
        <v>2.2400000000000002</v>
      </c>
      <c r="K86" s="176"/>
      <c r="L86" s="167"/>
      <c r="M86" s="167"/>
      <c r="N86" s="3"/>
      <c r="O86" s="1">
        <f t="shared" si="12"/>
        <v>0</v>
      </c>
    </row>
    <row r="87" spans="2:15" s="133" customFormat="1" x14ac:dyDescent="0.2">
      <c r="B87" s="161">
        <v>43759</v>
      </c>
      <c r="C87" s="138">
        <v>2981.03</v>
      </c>
      <c r="D87" s="60" t="s">
        <v>307</v>
      </c>
      <c r="E87" s="138">
        <f t="shared" si="9"/>
        <v>0</v>
      </c>
      <c r="F87" s="138">
        <f t="shared" si="10"/>
        <v>2981.03</v>
      </c>
      <c r="G87" s="139">
        <f t="shared" si="11"/>
        <v>28590.530000000006</v>
      </c>
      <c r="H87" s="1"/>
      <c r="I87" s="283"/>
      <c r="J87" s="194"/>
      <c r="K87" s="549">
        <v>2981.03</v>
      </c>
      <c r="L87" s="167"/>
      <c r="M87" s="167"/>
      <c r="N87" s="3"/>
      <c r="O87" s="1">
        <f t="shared" si="12"/>
        <v>0</v>
      </c>
    </row>
    <row r="88" spans="2:15" s="133" customFormat="1" x14ac:dyDescent="0.2">
      <c r="B88" s="161">
        <v>43742</v>
      </c>
      <c r="C88" s="138">
        <v>1250</v>
      </c>
      <c r="D88" s="60" t="s">
        <v>308</v>
      </c>
      <c r="E88" s="138">
        <f t="shared" si="9"/>
        <v>0</v>
      </c>
      <c r="F88" s="138">
        <f t="shared" si="10"/>
        <v>1250</v>
      </c>
      <c r="G88" s="139">
        <f t="shared" si="11"/>
        <v>25609.500000000007</v>
      </c>
      <c r="H88" s="1"/>
      <c r="I88" s="283"/>
      <c r="J88" s="194"/>
      <c r="K88" s="549">
        <v>1250</v>
      </c>
      <c r="L88" s="167"/>
      <c r="M88" s="167"/>
      <c r="N88" s="3"/>
      <c r="O88" s="1">
        <f t="shared" si="12"/>
        <v>0</v>
      </c>
    </row>
    <row r="89" spans="2:15" s="133" customFormat="1" x14ac:dyDescent="0.2">
      <c r="B89" s="161">
        <v>43739</v>
      </c>
      <c r="C89" s="138">
        <v>1080</v>
      </c>
      <c r="D89" s="60" t="s">
        <v>309</v>
      </c>
      <c r="E89" s="138">
        <f t="shared" si="9"/>
        <v>0</v>
      </c>
      <c r="F89" s="138">
        <f t="shared" si="10"/>
        <v>1080</v>
      </c>
      <c r="G89" s="139">
        <f t="shared" si="11"/>
        <v>24359.500000000007</v>
      </c>
      <c r="H89" s="1"/>
      <c r="I89" s="283"/>
      <c r="J89" s="194"/>
      <c r="K89" s="549">
        <v>1080</v>
      </c>
      <c r="L89" s="167"/>
      <c r="M89" s="167"/>
      <c r="N89" s="3"/>
      <c r="O89" s="1">
        <f t="shared" si="12"/>
        <v>0</v>
      </c>
    </row>
    <row r="90" spans="2:15" s="133" customFormat="1" x14ac:dyDescent="0.2">
      <c r="B90" s="161">
        <v>43738</v>
      </c>
      <c r="C90" s="138">
        <v>1.29</v>
      </c>
      <c r="D90" s="60" t="s">
        <v>301</v>
      </c>
      <c r="E90" s="138">
        <f t="shared" ref="E90:E106" si="13">IF(C90&lt;0,C90,0)</f>
        <v>0</v>
      </c>
      <c r="F90" s="138">
        <f t="shared" ref="F90:F106" si="14">IF(C90&lt;0,0,C90)</f>
        <v>1.29</v>
      </c>
      <c r="G90" s="139">
        <f t="shared" ref="G90:G106" si="15">G91+E90+F90</f>
        <v>23279.500000000007</v>
      </c>
      <c r="H90" s="1"/>
      <c r="I90" s="283"/>
      <c r="J90" s="194">
        <v>1.29</v>
      </c>
      <c r="K90" s="176"/>
      <c r="L90" s="167"/>
      <c r="M90" s="167"/>
      <c r="N90" s="3"/>
      <c r="O90" s="1">
        <f t="shared" ref="O90:O106" si="16">SUM(I90:M90)-C90</f>
        <v>0</v>
      </c>
    </row>
    <row r="91" spans="2:15" s="133" customFormat="1" x14ac:dyDescent="0.2">
      <c r="B91" s="161">
        <v>43738</v>
      </c>
      <c r="C91" s="138">
        <v>915</v>
      </c>
      <c r="D91" s="60" t="s">
        <v>310</v>
      </c>
      <c r="E91" s="138">
        <f t="shared" si="13"/>
        <v>0</v>
      </c>
      <c r="F91" s="138">
        <f t="shared" si="14"/>
        <v>915</v>
      </c>
      <c r="G91" s="139">
        <f t="shared" si="15"/>
        <v>23278.210000000006</v>
      </c>
      <c r="H91" s="1"/>
      <c r="I91" s="283"/>
      <c r="J91" s="194"/>
      <c r="K91" s="549">
        <v>915</v>
      </c>
      <c r="L91" s="167"/>
      <c r="M91" s="167"/>
      <c r="N91" s="3"/>
      <c r="O91" s="1">
        <f t="shared" si="16"/>
        <v>0</v>
      </c>
    </row>
    <row r="92" spans="2:15" s="133" customFormat="1" x14ac:dyDescent="0.2">
      <c r="B92" s="161">
        <v>43734</v>
      </c>
      <c r="C92" s="138">
        <v>5082</v>
      </c>
      <c r="D92" s="60" t="s">
        <v>311</v>
      </c>
      <c r="E92" s="138">
        <f t="shared" si="13"/>
        <v>0</v>
      </c>
      <c r="F92" s="138">
        <f t="shared" si="14"/>
        <v>5082</v>
      </c>
      <c r="G92" s="139">
        <f t="shared" si="15"/>
        <v>22363.210000000006</v>
      </c>
      <c r="H92" s="1"/>
      <c r="I92" s="283"/>
      <c r="J92" s="194"/>
      <c r="K92" s="549">
        <v>5082</v>
      </c>
      <c r="L92" s="167"/>
      <c r="M92" s="167"/>
      <c r="N92" s="3"/>
      <c r="O92" s="1">
        <f t="shared" si="16"/>
        <v>0</v>
      </c>
    </row>
    <row r="93" spans="2:15" s="133" customFormat="1" x14ac:dyDescent="0.2">
      <c r="B93" s="161">
        <v>43734</v>
      </c>
      <c r="C93" s="138">
        <v>3200</v>
      </c>
      <c r="D93" s="60" t="s">
        <v>312</v>
      </c>
      <c r="E93" s="138">
        <f t="shared" si="13"/>
        <v>0</v>
      </c>
      <c r="F93" s="138">
        <f t="shared" si="14"/>
        <v>3200</v>
      </c>
      <c r="G93" s="139">
        <f t="shared" si="15"/>
        <v>17281.210000000006</v>
      </c>
      <c r="H93" s="1"/>
      <c r="I93" s="283"/>
      <c r="J93" s="194"/>
      <c r="K93" s="549">
        <v>3200</v>
      </c>
      <c r="L93" s="167"/>
      <c r="M93" s="167"/>
      <c r="N93" s="3"/>
      <c r="O93" s="1">
        <f t="shared" si="16"/>
        <v>0</v>
      </c>
    </row>
    <row r="94" spans="2:15" s="133" customFormat="1" x14ac:dyDescent="0.2">
      <c r="B94" s="161">
        <v>43733</v>
      </c>
      <c r="C94" s="138">
        <v>-118973.14</v>
      </c>
      <c r="D94" s="60" t="s">
        <v>315</v>
      </c>
      <c r="E94" s="138">
        <f t="shared" si="13"/>
        <v>-118973.14</v>
      </c>
      <c r="F94" s="138">
        <f t="shared" si="14"/>
        <v>0</v>
      </c>
      <c r="G94" s="139">
        <f t="shared" si="15"/>
        <v>14081.210000000006</v>
      </c>
      <c r="H94" s="1"/>
      <c r="I94" s="283"/>
      <c r="J94" s="194"/>
      <c r="K94" s="549"/>
      <c r="L94" s="167">
        <v>-118973.14</v>
      </c>
      <c r="M94" s="167"/>
      <c r="N94" s="3"/>
      <c r="O94" s="1">
        <f t="shared" si="16"/>
        <v>0</v>
      </c>
    </row>
    <row r="95" spans="2:15" s="133" customFormat="1" x14ac:dyDescent="0.2">
      <c r="B95" s="161">
        <v>43733</v>
      </c>
      <c r="C95" s="138">
        <v>78199.460000000006</v>
      </c>
      <c r="D95" s="60" t="s">
        <v>319</v>
      </c>
      <c r="E95" s="138">
        <f t="shared" si="13"/>
        <v>0</v>
      </c>
      <c r="F95" s="138">
        <f t="shared" si="14"/>
        <v>78199.460000000006</v>
      </c>
      <c r="G95" s="139">
        <f t="shared" si="15"/>
        <v>133054.35</v>
      </c>
      <c r="H95" s="1"/>
      <c r="I95" s="283"/>
      <c r="J95" s="194"/>
      <c r="K95" s="549"/>
      <c r="L95" s="167"/>
      <c r="M95" s="167">
        <v>78199.460000000006</v>
      </c>
      <c r="N95" s="3"/>
      <c r="O95" s="1">
        <f t="shared" si="16"/>
        <v>0</v>
      </c>
    </row>
    <row r="96" spans="2:15" s="133" customFormat="1" x14ac:dyDescent="0.2">
      <c r="B96" s="161">
        <v>43733</v>
      </c>
      <c r="C96" s="138">
        <v>39394.199999999997</v>
      </c>
      <c r="D96" s="60" t="s">
        <v>318</v>
      </c>
      <c r="E96" s="138">
        <f t="shared" si="13"/>
        <v>0</v>
      </c>
      <c r="F96" s="138">
        <f t="shared" si="14"/>
        <v>39394.199999999997</v>
      </c>
      <c r="G96" s="139">
        <f t="shared" si="15"/>
        <v>54854.89</v>
      </c>
      <c r="H96" s="1"/>
      <c r="I96" s="283"/>
      <c r="J96" s="194"/>
      <c r="K96" s="549"/>
      <c r="L96" s="167"/>
      <c r="M96" s="167">
        <v>39394.199999999997</v>
      </c>
      <c r="N96" s="3"/>
      <c r="O96" s="1">
        <f t="shared" si="16"/>
        <v>0</v>
      </c>
    </row>
    <row r="97" spans="2:16" s="133" customFormat="1" x14ac:dyDescent="0.2">
      <c r="B97" s="161">
        <v>43728</v>
      </c>
      <c r="C97" s="138">
        <v>1597.16</v>
      </c>
      <c r="D97" s="60" t="s">
        <v>313</v>
      </c>
      <c r="E97" s="138">
        <f t="shared" si="13"/>
        <v>0</v>
      </c>
      <c r="F97" s="138">
        <f t="shared" si="14"/>
        <v>1597.16</v>
      </c>
      <c r="G97" s="139">
        <f t="shared" si="15"/>
        <v>15460.690000000004</v>
      </c>
      <c r="H97" s="1"/>
      <c r="I97" s="283"/>
      <c r="J97" s="194"/>
      <c r="K97" s="549">
        <v>1597.16</v>
      </c>
      <c r="L97" s="167"/>
      <c r="M97" s="167"/>
      <c r="N97" s="3"/>
      <c r="O97" s="1">
        <f t="shared" si="16"/>
        <v>0</v>
      </c>
    </row>
    <row r="98" spans="2:16" s="133" customFormat="1" x14ac:dyDescent="0.2">
      <c r="B98" s="161">
        <v>43707</v>
      </c>
      <c r="C98" s="138">
        <v>1.24</v>
      </c>
      <c r="D98" s="60" t="s">
        <v>301</v>
      </c>
      <c r="E98" s="138">
        <f t="shared" si="13"/>
        <v>0</v>
      </c>
      <c r="F98" s="138">
        <f t="shared" si="14"/>
        <v>1.24</v>
      </c>
      <c r="G98" s="139">
        <f t="shared" si="15"/>
        <v>13863.530000000004</v>
      </c>
      <c r="H98" s="1"/>
      <c r="I98" s="283"/>
      <c r="J98" s="194">
        <v>1.24</v>
      </c>
      <c r="K98" s="176"/>
      <c r="L98" s="167"/>
      <c r="M98" s="167"/>
      <c r="N98" s="3"/>
      <c r="O98" s="1">
        <f t="shared" si="16"/>
        <v>0</v>
      </c>
    </row>
    <row r="99" spans="2:16" s="133" customFormat="1" x14ac:dyDescent="0.2">
      <c r="B99" s="161">
        <v>43696</v>
      </c>
      <c r="C99" s="138">
        <v>-22382.37</v>
      </c>
      <c r="D99" s="60" t="s">
        <v>316</v>
      </c>
      <c r="E99" s="138">
        <f t="shared" si="13"/>
        <v>-22382.37</v>
      </c>
      <c r="F99" s="138">
        <f t="shared" si="14"/>
        <v>0</v>
      </c>
      <c r="G99" s="139">
        <f t="shared" si="15"/>
        <v>13862.290000000005</v>
      </c>
      <c r="H99" s="1"/>
      <c r="I99" s="283"/>
      <c r="J99" s="194"/>
      <c r="K99" s="176"/>
      <c r="L99" s="167">
        <v>-22382.37</v>
      </c>
      <c r="M99" s="167"/>
      <c r="N99" s="3"/>
      <c r="O99" s="1">
        <f t="shared" si="16"/>
        <v>0</v>
      </c>
    </row>
    <row r="100" spans="2:16" s="133" customFormat="1" x14ac:dyDescent="0.2">
      <c r="B100" s="161">
        <v>43691</v>
      </c>
      <c r="C100" s="138">
        <v>27900</v>
      </c>
      <c r="D100" s="60" t="s">
        <v>314</v>
      </c>
      <c r="E100" s="138">
        <f t="shared" si="13"/>
        <v>0</v>
      </c>
      <c r="F100" s="138">
        <f t="shared" si="14"/>
        <v>27900</v>
      </c>
      <c r="G100" s="139">
        <f t="shared" si="15"/>
        <v>36244.660000000003</v>
      </c>
      <c r="H100" s="1"/>
      <c r="I100" s="283">
        <v>27900</v>
      </c>
      <c r="J100" s="194"/>
      <c r="K100" s="176"/>
      <c r="L100" s="167"/>
      <c r="M100" s="167"/>
      <c r="N100" s="3"/>
      <c r="O100" s="1">
        <f t="shared" si="16"/>
        <v>0</v>
      </c>
    </row>
    <row r="101" spans="2:16" s="133" customFormat="1" x14ac:dyDescent="0.2">
      <c r="B101" s="161">
        <v>43677</v>
      </c>
      <c r="C101" s="138">
        <v>0.66</v>
      </c>
      <c r="D101" s="60" t="s">
        <v>301</v>
      </c>
      <c r="E101" s="138">
        <f t="shared" si="13"/>
        <v>0</v>
      </c>
      <c r="F101" s="138">
        <f t="shared" si="14"/>
        <v>0.66</v>
      </c>
      <c r="G101" s="139">
        <f t="shared" si="15"/>
        <v>8344.66</v>
      </c>
      <c r="H101" s="1"/>
      <c r="I101" s="283"/>
      <c r="J101" s="194">
        <v>0.66</v>
      </c>
      <c r="K101" s="176"/>
      <c r="L101" s="167"/>
      <c r="M101" s="167"/>
      <c r="N101" s="3"/>
      <c r="O101" s="1">
        <f t="shared" si="16"/>
        <v>0</v>
      </c>
    </row>
    <row r="102" spans="2:16" s="133" customFormat="1" x14ac:dyDescent="0.2">
      <c r="B102" s="161">
        <v>43649</v>
      </c>
      <c r="C102" s="138">
        <v>-70000</v>
      </c>
      <c r="D102" s="60" t="s">
        <v>278</v>
      </c>
      <c r="E102" s="138">
        <f t="shared" si="13"/>
        <v>-70000</v>
      </c>
      <c r="F102" s="138">
        <f t="shared" si="14"/>
        <v>0</v>
      </c>
      <c r="G102" s="139">
        <f t="shared" si="15"/>
        <v>8344</v>
      </c>
      <c r="H102" s="1"/>
      <c r="I102" s="283">
        <v>-70000</v>
      </c>
      <c r="J102" s="194"/>
      <c r="K102" s="176"/>
      <c r="L102" s="167"/>
      <c r="M102" s="167"/>
      <c r="N102" s="3"/>
      <c r="O102" s="1">
        <f t="shared" si="16"/>
        <v>0</v>
      </c>
    </row>
    <row r="103" spans="2:16" s="133" customFormat="1" x14ac:dyDescent="0.2">
      <c r="B103" s="161">
        <v>43649</v>
      </c>
      <c r="C103" s="138">
        <v>66724.100000000006</v>
      </c>
      <c r="D103" s="60" t="s">
        <v>317</v>
      </c>
      <c r="E103" s="138">
        <f t="shared" si="13"/>
        <v>0</v>
      </c>
      <c r="F103" s="138">
        <f t="shared" si="14"/>
        <v>66724.100000000006</v>
      </c>
      <c r="G103" s="139">
        <f t="shared" si="15"/>
        <v>78344</v>
      </c>
      <c r="H103" s="1"/>
      <c r="I103" s="283"/>
      <c r="J103" s="194"/>
      <c r="K103" s="176"/>
      <c r="L103" s="167"/>
      <c r="M103" s="167">
        <v>66724.100000000006</v>
      </c>
      <c r="N103" s="3"/>
      <c r="O103" s="1">
        <f t="shared" si="16"/>
        <v>0</v>
      </c>
    </row>
    <row r="104" spans="2:16" s="133" customFormat="1" x14ac:dyDescent="0.2">
      <c r="B104" s="161">
        <v>43649</v>
      </c>
      <c r="C104" s="138">
        <v>4980</v>
      </c>
      <c r="D104" s="60" t="s">
        <v>279</v>
      </c>
      <c r="E104" s="138">
        <f t="shared" si="13"/>
        <v>0</v>
      </c>
      <c r="F104" s="138">
        <f t="shared" si="14"/>
        <v>4980</v>
      </c>
      <c r="G104" s="139">
        <f t="shared" si="15"/>
        <v>11619.9</v>
      </c>
      <c r="H104" s="1"/>
      <c r="I104" s="283"/>
      <c r="J104" s="194"/>
      <c r="K104" s="549">
        <v>4980</v>
      </c>
      <c r="L104" s="138"/>
      <c r="M104" s="138"/>
      <c r="N104" s="3"/>
      <c r="O104" s="1">
        <f t="shared" si="16"/>
        <v>0</v>
      </c>
    </row>
    <row r="105" spans="2:16" s="133" customFormat="1" x14ac:dyDescent="0.2">
      <c r="B105" s="161">
        <v>43649</v>
      </c>
      <c r="C105" s="138">
        <v>1800</v>
      </c>
      <c r="D105" s="60" t="s">
        <v>183</v>
      </c>
      <c r="E105" s="138">
        <f t="shared" si="13"/>
        <v>0</v>
      </c>
      <c r="F105" s="138">
        <f t="shared" si="14"/>
        <v>1800</v>
      </c>
      <c r="G105" s="139">
        <f t="shared" si="15"/>
        <v>6639.9</v>
      </c>
      <c r="H105" s="1"/>
      <c r="I105" s="283"/>
      <c r="J105" s="194"/>
      <c r="K105" s="549">
        <v>1800</v>
      </c>
      <c r="L105" s="138"/>
      <c r="M105" s="138"/>
      <c r="N105" s="3"/>
      <c r="O105" s="1">
        <f t="shared" si="16"/>
        <v>0</v>
      </c>
    </row>
    <row r="106" spans="2:16" s="133" customFormat="1" ht="12" thickBot="1" x14ac:dyDescent="0.25">
      <c r="B106" s="168">
        <v>43647</v>
      </c>
      <c r="C106" s="169">
        <v>4800</v>
      </c>
      <c r="D106" s="485" t="s">
        <v>280</v>
      </c>
      <c r="E106" s="169">
        <f t="shared" si="13"/>
        <v>0</v>
      </c>
      <c r="F106" s="169">
        <f t="shared" si="14"/>
        <v>4800</v>
      </c>
      <c r="G106" s="272">
        <f t="shared" si="15"/>
        <v>4839.8999999999996</v>
      </c>
      <c r="H106" s="1"/>
      <c r="I106" s="506"/>
      <c r="J106" s="507"/>
      <c r="K106" s="550">
        <v>4800</v>
      </c>
      <c r="L106" s="169"/>
      <c r="M106" s="169"/>
      <c r="N106" s="3"/>
      <c r="O106" s="1">
        <f t="shared" si="16"/>
        <v>0</v>
      </c>
    </row>
    <row r="107" spans="2:16" s="181" customFormat="1" ht="12.75" x14ac:dyDescent="0.2">
      <c r="B107" s="492"/>
      <c r="C107" s="493"/>
      <c r="D107" s="503" t="s">
        <v>294</v>
      </c>
      <c r="E107" s="493"/>
      <c r="F107" s="493"/>
      <c r="G107" s="493">
        <v>39.9</v>
      </c>
      <c r="H107" s="493"/>
      <c r="I107" s="493"/>
      <c r="J107" s="494"/>
      <c r="K107" s="494"/>
      <c r="L107" s="493"/>
      <c r="M107" s="493"/>
      <c r="N107" s="851"/>
      <c r="O107" s="495"/>
    </row>
    <row r="108" spans="2:16" s="181" customFormat="1" ht="12.75" x14ac:dyDescent="0.2">
      <c r="B108" s="496"/>
      <c r="C108" s="497"/>
      <c r="D108" s="504"/>
      <c r="E108" s="497"/>
      <c r="F108" s="497"/>
      <c r="G108" s="497"/>
      <c r="H108" s="497"/>
      <c r="I108" s="497"/>
      <c r="J108" s="499"/>
      <c r="K108" s="499"/>
      <c r="L108" s="497"/>
      <c r="M108" s="497"/>
      <c r="N108" s="851"/>
      <c r="O108" s="495"/>
    </row>
    <row r="109" spans="2:16" s="181" customFormat="1" ht="13.5" thickBot="1" x14ac:dyDescent="0.25">
      <c r="B109" s="500"/>
      <c r="C109" s="501"/>
      <c r="D109" s="505" t="s">
        <v>293</v>
      </c>
      <c r="E109" s="501"/>
      <c r="F109" s="501"/>
      <c r="G109" s="501">
        <v>39.9</v>
      </c>
      <c r="H109" s="501"/>
      <c r="I109" s="501"/>
      <c r="J109" s="502"/>
      <c r="K109" s="502"/>
      <c r="L109" s="501"/>
      <c r="M109" s="501"/>
      <c r="N109" s="851"/>
      <c r="O109" s="495"/>
    </row>
    <row r="110" spans="2:16" s="133" customFormat="1" x14ac:dyDescent="0.2">
      <c r="B110" s="165">
        <v>43644</v>
      </c>
      <c r="C110" s="167">
        <v>0.59</v>
      </c>
      <c r="D110" s="455" t="s">
        <v>43</v>
      </c>
      <c r="E110" s="167">
        <f t="shared" ref="E110:E141" si="17">IF(C110&lt;0,C110,0)</f>
        <v>0</v>
      </c>
      <c r="F110" s="167">
        <f t="shared" ref="F110:F141" si="18">IF(C110&lt;0,0,C110)</f>
        <v>0.59</v>
      </c>
      <c r="G110" s="139">
        <f t="shared" ref="G110:G173" si="19">G111+E110+F110</f>
        <v>39.899999999964933</v>
      </c>
      <c r="H110" s="1"/>
      <c r="I110" s="287"/>
      <c r="J110" s="174">
        <v>0.59</v>
      </c>
      <c r="K110" s="174"/>
      <c r="L110" s="67"/>
      <c r="M110" s="67"/>
      <c r="N110" s="135"/>
      <c r="O110" s="1"/>
      <c r="P110" s="134"/>
    </row>
    <row r="111" spans="2:16" s="133" customFormat="1" x14ac:dyDescent="0.2">
      <c r="B111" s="161">
        <v>43643</v>
      </c>
      <c r="C111" s="138">
        <v>-1200</v>
      </c>
      <c r="D111" s="60" t="s">
        <v>245</v>
      </c>
      <c r="E111" s="138">
        <f t="shared" si="17"/>
        <v>-1200</v>
      </c>
      <c r="F111" s="138">
        <f t="shared" si="18"/>
        <v>0</v>
      </c>
      <c r="G111" s="139">
        <f t="shared" si="19"/>
        <v>39.30999999996493</v>
      </c>
      <c r="H111" s="1"/>
      <c r="I111" s="516">
        <v>-1200</v>
      </c>
      <c r="J111" s="176"/>
      <c r="K111" s="176"/>
      <c r="L111" s="68"/>
      <c r="M111" s="68"/>
      <c r="N111" s="135"/>
      <c r="O111" s="140"/>
      <c r="P111" s="134"/>
    </row>
    <row r="112" spans="2:16" s="133" customFormat="1" x14ac:dyDescent="0.2">
      <c r="B112" s="161">
        <v>43641</v>
      </c>
      <c r="C112" s="138">
        <v>-3500</v>
      </c>
      <c r="D112" s="60" t="s">
        <v>139</v>
      </c>
      <c r="E112" s="138">
        <f t="shared" si="17"/>
        <v>-3500</v>
      </c>
      <c r="F112" s="138">
        <f t="shared" si="18"/>
        <v>0</v>
      </c>
      <c r="G112" s="139">
        <f t="shared" si="19"/>
        <v>1239.3099999999649</v>
      </c>
      <c r="H112" s="1"/>
      <c r="I112" s="516">
        <v>-3500</v>
      </c>
      <c r="J112" s="176"/>
      <c r="K112" s="176"/>
      <c r="L112" s="68"/>
      <c r="M112" s="68"/>
      <c r="N112" s="135"/>
      <c r="O112" s="148"/>
      <c r="P112" s="136"/>
    </row>
    <row r="113" spans="2:16" s="133" customFormat="1" x14ac:dyDescent="0.2">
      <c r="B113" s="161">
        <v>43641</v>
      </c>
      <c r="C113" s="138">
        <v>-5800</v>
      </c>
      <c r="D113" s="60" t="s">
        <v>138</v>
      </c>
      <c r="E113" s="138">
        <f t="shared" si="17"/>
        <v>-5800</v>
      </c>
      <c r="F113" s="138">
        <f t="shared" si="18"/>
        <v>0</v>
      </c>
      <c r="G113" s="139">
        <f t="shared" si="19"/>
        <v>4739.3099999999649</v>
      </c>
      <c r="H113" s="1"/>
      <c r="I113" s="516">
        <v>-5800</v>
      </c>
      <c r="J113" s="176"/>
      <c r="K113" s="176"/>
      <c r="L113" s="68"/>
      <c r="M113" s="68"/>
      <c r="N113" s="135"/>
      <c r="O113" s="140"/>
      <c r="P113" s="134"/>
    </row>
    <row r="114" spans="2:16" s="133" customFormat="1" x14ac:dyDescent="0.2">
      <c r="B114" s="161">
        <v>43640</v>
      </c>
      <c r="C114" s="138">
        <v>4700</v>
      </c>
      <c r="D114" s="60" t="s">
        <v>140</v>
      </c>
      <c r="E114" s="138">
        <f t="shared" si="17"/>
        <v>0</v>
      </c>
      <c r="F114" s="138">
        <f t="shared" si="18"/>
        <v>4700</v>
      </c>
      <c r="G114" s="139">
        <f t="shared" si="19"/>
        <v>10539.309999999965</v>
      </c>
      <c r="H114" s="1"/>
      <c r="I114" s="516"/>
      <c r="J114" s="176"/>
      <c r="K114" s="176">
        <v>4700</v>
      </c>
      <c r="L114" s="68"/>
      <c r="M114" s="68"/>
      <c r="N114" s="135"/>
      <c r="O114" s="140"/>
      <c r="P114" s="134"/>
    </row>
    <row r="115" spans="2:16" s="133" customFormat="1" x14ac:dyDescent="0.2">
      <c r="B115" s="161">
        <v>43623</v>
      </c>
      <c r="C115" s="138">
        <v>5604.63</v>
      </c>
      <c r="D115" s="60" t="s">
        <v>141</v>
      </c>
      <c r="E115" s="138">
        <f t="shared" si="17"/>
        <v>0</v>
      </c>
      <c r="F115" s="138">
        <f t="shared" si="18"/>
        <v>5604.63</v>
      </c>
      <c r="G115" s="139">
        <f t="shared" si="19"/>
        <v>5839.309999999964</v>
      </c>
      <c r="H115" s="1"/>
      <c r="I115" s="516"/>
      <c r="J115" s="176"/>
      <c r="K115" s="176"/>
      <c r="L115" s="68"/>
      <c r="M115" s="530">
        <v>5604.63</v>
      </c>
      <c r="N115" s="43"/>
      <c r="O115" s="140"/>
      <c r="P115" s="134"/>
    </row>
    <row r="116" spans="2:16" s="133" customFormat="1" x14ac:dyDescent="0.2">
      <c r="B116" s="161">
        <v>43619</v>
      </c>
      <c r="C116" s="138">
        <v>-33000</v>
      </c>
      <c r="D116" s="60" t="s">
        <v>142</v>
      </c>
      <c r="E116" s="138">
        <f t="shared" si="17"/>
        <v>-33000</v>
      </c>
      <c r="F116" s="138">
        <f t="shared" si="18"/>
        <v>0</v>
      </c>
      <c r="G116" s="139">
        <f t="shared" si="19"/>
        <v>234.67999999996391</v>
      </c>
      <c r="H116" s="1"/>
      <c r="I116" s="516">
        <v>-33000</v>
      </c>
      <c r="J116" s="176"/>
      <c r="K116" s="176"/>
      <c r="L116" s="68"/>
      <c r="M116" s="68"/>
      <c r="N116" s="135"/>
      <c r="O116" s="140"/>
      <c r="P116" s="134"/>
    </row>
    <row r="117" spans="2:16" s="133" customFormat="1" x14ac:dyDescent="0.2">
      <c r="B117" s="161">
        <v>43616</v>
      </c>
      <c r="C117" s="138">
        <v>59.43</v>
      </c>
      <c r="D117" s="60" t="s">
        <v>43</v>
      </c>
      <c r="E117" s="138">
        <f t="shared" si="17"/>
        <v>0</v>
      </c>
      <c r="F117" s="138">
        <f t="shared" si="18"/>
        <v>59.43</v>
      </c>
      <c r="G117" s="139">
        <f t="shared" si="19"/>
        <v>33234.679999999964</v>
      </c>
      <c r="H117" s="1"/>
      <c r="I117" s="516"/>
      <c r="J117" s="176">
        <v>59.43</v>
      </c>
      <c r="K117" s="176"/>
      <c r="L117" s="68"/>
      <c r="M117" s="68"/>
      <c r="N117" s="135"/>
      <c r="O117" s="148"/>
      <c r="P117" s="136"/>
    </row>
    <row r="118" spans="2:16" s="133" customFormat="1" x14ac:dyDescent="0.2">
      <c r="B118" s="161">
        <v>43600</v>
      </c>
      <c r="C118" s="138">
        <v>-36692.74</v>
      </c>
      <c r="D118" s="60" t="s">
        <v>143</v>
      </c>
      <c r="E118" s="138">
        <f t="shared" si="17"/>
        <v>-36692.74</v>
      </c>
      <c r="F118" s="138">
        <f t="shared" si="18"/>
        <v>0</v>
      </c>
      <c r="G118" s="139">
        <f t="shared" si="19"/>
        <v>33175.249999999964</v>
      </c>
      <c r="H118" s="1"/>
      <c r="I118" s="517"/>
      <c r="J118" s="176"/>
      <c r="K118" s="176"/>
      <c r="L118" s="530">
        <v>-36692.74</v>
      </c>
      <c r="M118" s="68"/>
      <c r="N118" s="135"/>
      <c r="O118" s="148"/>
      <c r="P118" s="136"/>
    </row>
    <row r="119" spans="2:16" s="133" customFormat="1" x14ac:dyDescent="0.2">
      <c r="B119" s="161">
        <v>43595</v>
      </c>
      <c r="C119" s="138">
        <v>-27438.400000000001</v>
      </c>
      <c r="D119" s="60" t="s">
        <v>145</v>
      </c>
      <c r="E119" s="138">
        <f t="shared" si="17"/>
        <v>-27438.400000000001</v>
      </c>
      <c r="F119" s="138">
        <f t="shared" si="18"/>
        <v>0</v>
      </c>
      <c r="G119" s="139">
        <f t="shared" si="19"/>
        <v>69867.989999999962</v>
      </c>
      <c r="H119" s="1"/>
      <c r="I119" s="517"/>
      <c r="J119" s="176"/>
      <c r="K119" s="176"/>
      <c r="L119" s="530">
        <v>-27438.400000000001</v>
      </c>
      <c r="M119" s="68"/>
      <c r="N119" s="135"/>
      <c r="O119" s="148"/>
      <c r="P119" s="136"/>
    </row>
    <row r="120" spans="2:16" s="133" customFormat="1" x14ac:dyDescent="0.2">
      <c r="B120" s="161">
        <v>43595</v>
      </c>
      <c r="C120" s="138">
        <v>-25805.78</v>
      </c>
      <c r="D120" s="60" t="s">
        <v>146</v>
      </c>
      <c r="E120" s="138">
        <f t="shared" si="17"/>
        <v>-25805.78</v>
      </c>
      <c r="F120" s="138">
        <f t="shared" si="18"/>
        <v>0</v>
      </c>
      <c r="G120" s="139">
        <f t="shared" si="19"/>
        <v>97306.38999999997</v>
      </c>
      <c r="H120" s="1"/>
      <c r="I120" s="517"/>
      <c r="J120" s="176"/>
      <c r="K120" s="176"/>
      <c r="L120" s="530">
        <v>-25805.78</v>
      </c>
      <c r="M120" s="68"/>
      <c r="N120" s="135"/>
      <c r="O120" s="148"/>
      <c r="P120" s="136"/>
    </row>
    <row r="121" spans="2:16" s="133" customFormat="1" x14ac:dyDescent="0.2">
      <c r="B121" s="161">
        <v>43595</v>
      </c>
      <c r="C121" s="138">
        <v>-67527.740000000005</v>
      </c>
      <c r="D121" s="60" t="s">
        <v>144</v>
      </c>
      <c r="E121" s="138">
        <f t="shared" si="17"/>
        <v>-67527.740000000005</v>
      </c>
      <c r="F121" s="138">
        <f t="shared" si="18"/>
        <v>0</v>
      </c>
      <c r="G121" s="139">
        <f t="shared" si="19"/>
        <v>123112.16999999997</v>
      </c>
      <c r="H121" s="1"/>
      <c r="I121" s="517"/>
      <c r="J121" s="176"/>
      <c r="K121" s="176"/>
      <c r="L121" s="530">
        <v>-67527.740000000005</v>
      </c>
      <c r="M121" s="68"/>
      <c r="N121" s="135"/>
      <c r="O121" s="140"/>
      <c r="P121" s="134"/>
    </row>
    <row r="122" spans="2:16" s="133" customFormat="1" x14ac:dyDescent="0.2">
      <c r="B122" s="161">
        <v>43592</v>
      </c>
      <c r="C122" s="138">
        <v>-25000</v>
      </c>
      <c r="D122" s="60" t="s">
        <v>147</v>
      </c>
      <c r="E122" s="138">
        <f t="shared" si="17"/>
        <v>-25000</v>
      </c>
      <c r="F122" s="138">
        <f t="shared" si="18"/>
        <v>0</v>
      </c>
      <c r="G122" s="139">
        <f t="shared" si="19"/>
        <v>190639.90999999997</v>
      </c>
      <c r="H122" s="1"/>
      <c r="I122" s="516">
        <v>-25000</v>
      </c>
      <c r="J122" s="176"/>
      <c r="K122" s="176"/>
      <c r="L122" s="60"/>
      <c r="M122" s="68"/>
      <c r="N122" s="135"/>
      <c r="O122" s="148"/>
      <c r="P122" s="136"/>
    </row>
    <row r="123" spans="2:16" s="133" customFormat="1" x14ac:dyDescent="0.2">
      <c r="B123" s="161">
        <v>43585</v>
      </c>
      <c r="C123" s="138">
        <v>115.06</v>
      </c>
      <c r="D123" s="60" t="s">
        <v>43</v>
      </c>
      <c r="E123" s="138">
        <f t="shared" si="17"/>
        <v>0</v>
      </c>
      <c r="F123" s="138">
        <f t="shared" si="18"/>
        <v>115.06</v>
      </c>
      <c r="G123" s="139">
        <f t="shared" si="19"/>
        <v>215639.90999999997</v>
      </c>
      <c r="H123" s="1"/>
      <c r="I123" s="516"/>
      <c r="J123" s="176">
        <v>115.06</v>
      </c>
      <c r="K123" s="176"/>
      <c r="L123" s="68"/>
      <c r="M123" s="68"/>
      <c r="N123" s="135"/>
      <c r="O123" s="148"/>
      <c r="P123" s="136"/>
    </row>
    <row r="124" spans="2:16" s="133" customFormat="1" x14ac:dyDescent="0.2">
      <c r="B124" s="161">
        <v>43578</v>
      </c>
      <c r="C124" s="138">
        <v>3166.41</v>
      </c>
      <c r="D124" s="60" t="s">
        <v>148</v>
      </c>
      <c r="E124" s="138">
        <f t="shared" si="17"/>
        <v>0</v>
      </c>
      <c r="F124" s="138">
        <f t="shared" si="18"/>
        <v>3166.41</v>
      </c>
      <c r="G124" s="139">
        <f t="shared" si="19"/>
        <v>215524.84999999998</v>
      </c>
      <c r="H124" s="1"/>
      <c r="I124" s="516"/>
      <c r="J124" s="176"/>
      <c r="K124" s="176">
        <v>3166.41</v>
      </c>
      <c r="L124" s="68"/>
      <c r="M124" s="68"/>
      <c r="N124" s="135"/>
      <c r="O124" s="148"/>
      <c r="P124" s="136"/>
    </row>
    <row r="125" spans="2:16" s="133" customFormat="1" x14ac:dyDescent="0.2">
      <c r="B125" s="161">
        <v>43573</v>
      </c>
      <c r="C125" s="138">
        <v>1680</v>
      </c>
      <c r="D125" s="60" t="s">
        <v>149</v>
      </c>
      <c r="E125" s="138">
        <f t="shared" si="17"/>
        <v>0</v>
      </c>
      <c r="F125" s="138">
        <f t="shared" si="18"/>
        <v>1680</v>
      </c>
      <c r="G125" s="139">
        <f t="shared" si="19"/>
        <v>212358.43999999997</v>
      </c>
      <c r="H125" s="1"/>
      <c r="I125" s="516"/>
      <c r="J125" s="176"/>
      <c r="K125" s="176">
        <v>1680</v>
      </c>
      <c r="L125" s="68"/>
      <c r="M125" s="68"/>
      <c r="N125" s="135"/>
      <c r="O125" s="148"/>
      <c r="P125" s="136"/>
    </row>
    <row r="126" spans="2:16" s="133" customFormat="1" x14ac:dyDescent="0.2">
      <c r="B126" s="161">
        <v>43570</v>
      </c>
      <c r="C126" s="138">
        <v>-12712.37</v>
      </c>
      <c r="D126" s="60" t="s">
        <v>150</v>
      </c>
      <c r="E126" s="138">
        <f t="shared" si="17"/>
        <v>-12712.37</v>
      </c>
      <c r="F126" s="138">
        <f t="shared" si="18"/>
        <v>0</v>
      </c>
      <c r="G126" s="139">
        <f t="shared" si="19"/>
        <v>210678.43999999997</v>
      </c>
      <c r="H126" s="1"/>
      <c r="I126" s="517"/>
      <c r="J126" s="176"/>
      <c r="K126" s="176"/>
      <c r="L126" s="530">
        <v>-12712.37</v>
      </c>
      <c r="M126" s="68"/>
      <c r="N126" s="135"/>
      <c r="O126" s="140"/>
      <c r="P126" s="134"/>
    </row>
    <row r="127" spans="2:16" s="133" customFormat="1" x14ac:dyDescent="0.2">
      <c r="B127" s="161">
        <v>43567</v>
      </c>
      <c r="C127" s="138">
        <v>-24729.59</v>
      </c>
      <c r="D127" s="60" t="s">
        <v>151</v>
      </c>
      <c r="E127" s="138">
        <f t="shared" si="17"/>
        <v>-24729.59</v>
      </c>
      <c r="F127" s="138">
        <f t="shared" si="18"/>
        <v>0</v>
      </c>
      <c r="G127" s="139">
        <f t="shared" si="19"/>
        <v>223390.80999999997</v>
      </c>
      <c r="H127" s="1"/>
      <c r="I127" s="517"/>
      <c r="J127" s="176"/>
      <c r="K127" s="176"/>
      <c r="L127" s="530">
        <v>-24729.59</v>
      </c>
      <c r="M127" s="68"/>
      <c r="N127" s="135"/>
      <c r="O127" s="148"/>
      <c r="P127" s="136"/>
    </row>
    <row r="128" spans="2:16" s="133" customFormat="1" x14ac:dyDescent="0.2">
      <c r="B128" s="161">
        <v>43567</v>
      </c>
      <c r="C128" s="138">
        <v>19241.189999999999</v>
      </c>
      <c r="D128" s="60" t="s">
        <v>153</v>
      </c>
      <c r="E128" s="138">
        <f t="shared" si="17"/>
        <v>0</v>
      </c>
      <c r="F128" s="138">
        <f t="shared" si="18"/>
        <v>19241.189999999999</v>
      </c>
      <c r="G128" s="139">
        <f t="shared" si="19"/>
        <v>248120.39999999997</v>
      </c>
      <c r="H128" s="1"/>
      <c r="I128" s="517"/>
      <c r="J128" s="176"/>
      <c r="K128" s="176"/>
      <c r="L128" s="68"/>
      <c r="M128" s="530">
        <v>19241.189999999999</v>
      </c>
      <c r="N128" s="43"/>
      <c r="O128" s="148"/>
      <c r="P128" s="136"/>
    </row>
    <row r="129" spans="2:16" s="133" customFormat="1" x14ac:dyDescent="0.2">
      <c r="B129" s="161">
        <v>43567</v>
      </c>
      <c r="C129" s="138">
        <v>30364.14</v>
      </c>
      <c r="D129" s="60" t="s">
        <v>152</v>
      </c>
      <c r="E129" s="138">
        <f t="shared" si="17"/>
        <v>0</v>
      </c>
      <c r="F129" s="138">
        <f t="shared" si="18"/>
        <v>30364.14</v>
      </c>
      <c r="G129" s="139">
        <f t="shared" si="19"/>
        <v>228879.20999999996</v>
      </c>
      <c r="H129" s="1"/>
      <c r="I129" s="517"/>
      <c r="J129" s="176"/>
      <c r="K129" s="176"/>
      <c r="L129" s="68"/>
      <c r="M129" s="530">
        <v>30364.14</v>
      </c>
      <c r="N129" s="43"/>
    </row>
    <row r="130" spans="2:16" s="133" customFormat="1" x14ac:dyDescent="0.2">
      <c r="B130" s="161">
        <v>43566</v>
      </c>
      <c r="C130" s="138">
        <v>-24559.4</v>
      </c>
      <c r="D130" s="60" t="s">
        <v>154</v>
      </c>
      <c r="E130" s="138">
        <f t="shared" si="17"/>
        <v>-24559.4</v>
      </c>
      <c r="F130" s="138">
        <f t="shared" si="18"/>
        <v>0</v>
      </c>
      <c r="G130" s="139">
        <f t="shared" si="19"/>
        <v>198515.06999999998</v>
      </c>
      <c r="H130" s="1"/>
      <c r="I130" s="517"/>
      <c r="J130" s="176"/>
      <c r="K130" s="176"/>
      <c r="L130" s="530">
        <v>-24559.4</v>
      </c>
      <c r="M130" s="68"/>
      <c r="N130" s="135"/>
    </row>
    <row r="131" spans="2:16" s="133" customFormat="1" x14ac:dyDescent="0.2">
      <c r="B131" s="161">
        <v>43566</v>
      </c>
      <c r="C131" s="138">
        <v>85390.24</v>
      </c>
      <c r="D131" s="60" t="s">
        <v>155</v>
      </c>
      <c r="E131" s="138">
        <f t="shared" si="17"/>
        <v>0</v>
      </c>
      <c r="F131" s="138">
        <f t="shared" si="18"/>
        <v>85390.24</v>
      </c>
      <c r="G131" s="139">
        <f t="shared" si="19"/>
        <v>223074.46999999997</v>
      </c>
      <c r="H131" s="1"/>
      <c r="I131" s="516"/>
      <c r="J131" s="176"/>
      <c r="K131" s="176"/>
      <c r="L131" s="68"/>
      <c r="M131" s="530">
        <v>85390.24</v>
      </c>
      <c r="N131" s="43"/>
    </row>
    <row r="132" spans="2:16" s="133" customFormat="1" x14ac:dyDescent="0.2">
      <c r="B132" s="333">
        <v>43566</v>
      </c>
      <c r="C132" s="334">
        <v>38525.15</v>
      </c>
      <c r="D132" s="335" t="s">
        <v>246</v>
      </c>
      <c r="E132" s="334">
        <f t="shared" si="17"/>
        <v>0</v>
      </c>
      <c r="F132" s="334">
        <f t="shared" si="18"/>
        <v>38525.15</v>
      </c>
      <c r="G132" s="139">
        <f t="shared" si="19"/>
        <v>137684.22999999998</v>
      </c>
      <c r="H132" s="336"/>
      <c r="I132" s="518"/>
      <c r="J132" s="519"/>
      <c r="K132" s="519"/>
      <c r="L132" s="520"/>
      <c r="M132" s="334">
        <v>38525.15</v>
      </c>
      <c r="N132" s="1011"/>
      <c r="O132" s="531" t="s">
        <v>298</v>
      </c>
      <c r="P132" s="532">
        <v>38000</v>
      </c>
    </row>
    <row r="133" spans="2:16" s="133" customFormat="1" x14ac:dyDescent="0.2">
      <c r="B133" s="161">
        <v>43560</v>
      </c>
      <c r="C133" s="138">
        <v>450</v>
      </c>
      <c r="D133" s="60" t="s">
        <v>156</v>
      </c>
      <c r="E133" s="138">
        <f t="shared" si="17"/>
        <v>0</v>
      </c>
      <c r="F133" s="138">
        <f t="shared" si="18"/>
        <v>450</v>
      </c>
      <c r="G133" s="139">
        <f t="shared" si="19"/>
        <v>99159.079999999973</v>
      </c>
      <c r="H133" s="1"/>
      <c r="I133" s="516"/>
      <c r="J133" s="176"/>
      <c r="K133" s="176">
        <v>450</v>
      </c>
      <c r="L133" s="68"/>
      <c r="M133" s="68"/>
      <c r="N133" s="135"/>
    </row>
    <row r="134" spans="2:16" s="133" customFormat="1" x14ac:dyDescent="0.2">
      <c r="B134" s="161">
        <v>43553</v>
      </c>
      <c r="C134" s="138">
        <v>1.4</v>
      </c>
      <c r="D134" s="60" t="s">
        <v>43</v>
      </c>
      <c r="E134" s="138">
        <f t="shared" si="17"/>
        <v>0</v>
      </c>
      <c r="F134" s="138">
        <f t="shared" si="18"/>
        <v>1.4</v>
      </c>
      <c r="G134" s="139">
        <f t="shared" si="19"/>
        <v>98709.079999999973</v>
      </c>
      <c r="H134" s="1"/>
      <c r="I134" s="516"/>
      <c r="J134" s="176">
        <v>1.4</v>
      </c>
      <c r="K134" s="176"/>
      <c r="L134" s="68"/>
      <c r="M134" s="68"/>
      <c r="N134" s="135"/>
    </row>
    <row r="135" spans="2:16" s="133" customFormat="1" x14ac:dyDescent="0.2">
      <c r="B135" s="161">
        <v>43553</v>
      </c>
      <c r="C135" s="138">
        <v>3200</v>
      </c>
      <c r="D135" s="60" t="s">
        <v>157</v>
      </c>
      <c r="E135" s="138">
        <f t="shared" si="17"/>
        <v>0</v>
      </c>
      <c r="F135" s="138">
        <f t="shared" si="18"/>
        <v>3200</v>
      </c>
      <c r="G135" s="139">
        <f t="shared" si="19"/>
        <v>98707.679999999978</v>
      </c>
      <c r="H135" s="1"/>
      <c r="I135" s="516"/>
      <c r="J135" s="176"/>
      <c r="K135" s="176">
        <v>3200</v>
      </c>
      <c r="L135" s="68"/>
      <c r="M135" s="68"/>
      <c r="N135" s="135"/>
    </row>
    <row r="136" spans="2:16" s="133" customFormat="1" x14ac:dyDescent="0.2">
      <c r="B136" s="161">
        <v>43553</v>
      </c>
      <c r="C136" s="138">
        <v>600</v>
      </c>
      <c r="D136" s="60" t="s">
        <v>158</v>
      </c>
      <c r="E136" s="138">
        <f t="shared" si="17"/>
        <v>0</v>
      </c>
      <c r="F136" s="138">
        <f t="shared" si="18"/>
        <v>600</v>
      </c>
      <c r="G136" s="139">
        <f t="shared" si="19"/>
        <v>95507.679999999978</v>
      </c>
      <c r="H136" s="1"/>
      <c r="I136" s="516"/>
      <c r="J136" s="176"/>
      <c r="K136" s="176">
        <v>600</v>
      </c>
      <c r="L136" s="68"/>
      <c r="M136" s="68"/>
      <c r="N136" s="135"/>
    </row>
    <row r="137" spans="2:16" s="133" customFormat="1" x14ac:dyDescent="0.2">
      <c r="B137" s="161">
        <v>43552</v>
      </c>
      <c r="C137" s="138">
        <v>5000</v>
      </c>
      <c r="D137" s="60" t="s">
        <v>159</v>
      </c>
      <c r="E137" s="138">
        <f t="shared" si="17"/>
        <v>0</v>
      </c>
      <c r="F137" s="138">
        <f t="shared" si="18"/>
        <v>5000</v>
      </c>
      <c r="G137" s="139">
        <f t="shared" si="19"/>
        <v>94907.679999999978</v>
      </c>
      <c r="H137" s="1"/>
      <c r="I137" s="516"/>
      <c r="J137" s="176"/>
      <c r="K137" s="176">
        <v>5000</v>
      </c>
      <c r="L137" s="68"/>
      <c r="M137" s="68"/>
      <c r="N137" s="135"/>
    </row>
    <row r="138" spans="2:16" s="133" customFormat="1" x14ac:dyDescent="0.2">
      <c r="B138" s="161">
        <v>43550</v>
      </c>
      <c r="C138" s="138">
        <v>37546.230000000003</v>
      </c>
      <c r="D138" s="60" t="s">
        <v>160</v>
      </c>
      <c r="E138" s="138">
        <f t="shared" si="17"/>
        <v>0</v>
      </c>
      <c r="F138" s="138">
        <f t="shared" si="18"/>
        <v>37546.230000000003</v>
      </c>
      <c r="G138" s="139">
        <f t="shared" si="19"/>
        <v>89907.679999999978</v>
      </c>
      <c r="H138" s="1"/>
      <c r="I138" s="516"/>
      <c r="J138" s="176"/>
      <c r="K138" s="176"/>
      <c r="L138" s="68"/>
      <c r="M138" s="530">
        <v>37546.230000000003</v>
      </c>
      <c r="N138" s="43"/>
    </row>
    <row r="139" spans="2:16" s="133" customFormat="1" x14ac:dyDescent="0.2">
      <c r="B139" s="161">
        <v>43550</v>
      </c>
      <c r="C139" s="138">
        <v>12347.64</v>
      </c>
      <c r="D139" s="60" t="s">
        <v>161</v>
      </c>
      <c r="E139" s="138">
        <f t="shared" si="17"/>
        <v>0</v>
      </c>
      <c r="F139" s="138">
        <f t="shared" si="18"/>
        <v>12347.64</v>
      </c>
      <c r="G139" s="139">
        <f t="shared" si="19"/>
        <v>52361.449999999975</v>
      </c>
      <c r="H139" s="1"/>
      <c r="I139" s="516"/>
      <c r="J139" s="176"/>
      <c r="K139" s="176"/>
      <c r="L139" s="68"/>
      <c r="M139" s="530">
        <v>12347.64</v>
      </c>
      <c r="N139" s="43"/>
    </row>
    <row r="140" spans="2:16" s="133" customFormat="1" x14ac:dyDescent="0.2">
      <c r="B140" s="333">
        <v>43545</v>
      </c>
      <c r="C140" s="334">
        <v>32000</v>
      </c>
      <c r="D140" s="335" t="s">
        <v>162</v>
      </c>
      <c r="E140" s="334">
        <f t="shared" si="17"/>
        <v>0</v>
      </c>
      <c r="F140" s="334">
        <f t="shared" si="18"/>
        <v>32000</v>
      </c>
      <c r="G140" s="139">
        <f t="shared" si="19"/>
        <v>40013.809999999976</v>
      </c>
      <c r="H140" s="336"/>
      <c r="I140" s="518"/>
      <c r="J140" s="519"/>
      <c r="K140" s="519"/>
      <c r="L140" s="520"/>
      <c r="M140" s="520"/>
      <c r="N140" s="1012"/>
    </row>
    <row r="141" spans="2:16" s="133" customFormat="1" x14ac:dyDescent="0.2">
      <c r="B141" s="161">
        <v>43544</v>
      </c>
      <c r="C141" s="138">
        <v>1167.2</v>
      </c>
      <c r="D141" s="60" t="s">
        <v>164</v>
      </c>
      <c r="E141" s="138">
        <f t="shared" si="17"/>
        <v>0</v>
      </c>
      <c r="F141" s="138">
        <f t="shared" si="18"/>
        <v>1167.2</v>
      </c>
      <c r="G141" s="139">
        <f t="shared" si="19"/>
        <v>8013.8099999999731</v>
      </c>
      <c r="H141" s="1"/>
      <c r="I141" s="516"/>
      <c r="J141" s="176"/>
      <c r="K141" s="176">
        <v>1167.2</v>
      </c>
      <c r="L141" s="68"/>
      <c r="M141" s="68"/>
      <c r="N141" s="135"/>
    </row>
    <row r="142" spans="2:16" s="133" customFormat="1" x14ac:dyDescent="0.2">
      <c r="B142" s="161">
        <v>43544</v>
      </c>
      <c r="C142" s="138">
        <v>3811.78</v>
      </c>
      <c r="D142" s="60" t="s">
        <v>163</v>
      </c>
      <c r="E142" s="138">
        <f t="shared" ref="E142:E173" si="20">IF(C142&lt;0,C142,0)</f>
        <v>0</v>
      </c>
      <c r="F142" s="138">
        <f t="shared" ref="F142:F173" si="21">IF(C142&lt;0,0,C142)</f>
        <v>3811.78</v>
      </c>
      <c r="G142" s="139">
        <f t="shared" si="19"/>
        <v>6846.6099999999733</v>
      </c>
      <c r="H142" s="1"/>
      <c r="I142" s="516"/>
      <c r="J142" s="176"/>
      <c r="K142" s="176">
        <v>3811.78</v>
      </c>
      <c r="L142" s="68"/>
      <c r="M142" s="68"/>
      <c r="N142" s="135"/>
    </row>
    <row r="143" spans="2:16" s="133" customFormat="1" x14ac:dyDescent="0.2">
      <c r="B143" s="161">
        <v>43544</v>
      </c>
      <c r="C143" s="138">
        <v>2339.3000000000002</v>
      </c>
      <c r="D143" s="60" t="s">
        <v>297</v>
      </c>
      <c r="E143" s="138">
        <f t="shared" si="20"/>
        <v>0</v>
      </c>
      <c r="F143" s="138">
        <f t="shared" si="21"/>
        <v>2339.3000000000002</v>
      </c>
      <c r="G143" s="139">
        <f t="shared" si="19"/>
        <v>3034.8299999999736</v>
      </c>
      <c r="H143" s="1"/>
      <c r="I143" s="516"/>
      <c r="J143" s="176"/>
      <c r="K143" s="176"/>
      <c r="L143" s="68">
        <v>2339.3000000000002</v>
      </c>
      <c r="M143" s="68"/>
      <c r="N143" s="135"/>
    </row>
    <row r="144" spans="2:16" s="133" customFormat="1" x14ac:dyDescent="0.2">
      <c r="B144" s="161">
        <v>43539</v>
      </c>
      <c r="C144" s="138">
        <v>689</v>
      </c>
      <c r="D144" s="60" t="s">
        <v>165</v>
      </c>
      <c r="E144" s="138">
        <f t="shared" si="20"/>
        <v>0</v>
      </c>
      <c r="F144" s="138">
        <f t="shared" si="21"/>
        <v>689</v>
      </c>
      <c r="G144" s="139">
        <f t="shared" si="19"/>
        <v>695.52999999997337</v>
      </c>
      <c r="H144" s="1"/>
      <c r="I144" s="516"/>
      <c r="J144" s="176"/>
      <c r="K144" s="176">
        <v>689</v>
      </c>
      <c r="L144" s="68"/>
      <c r="M144" s="68"/>
      <c r="N144" s="135"/>
    </row>
    <row r="145" spans="2:16" s="133" customFormat="1" x14ac:dyDescent="0.2">
      <c r="B145" s="161">
        <v>43528</v>
      </c>
      <c r="C145" s="138">
        <v>-14800</v>
      </c>
      <c r="D145" s="60" t="s">
        <v>166</v>
      </c>
      <c r="E145" s="138">
        <f t="shared" si="20"/>
        <v>-14800</v>
      </c>
      <c r="F145" s="138">
        <f t="shared" si="21"/>
        <v>0</v>
      </c>
      <c r="G145" s="139">
        <f t="shared" si="19"/>
        <v>6.52999999997337</v>
      </c>
      <c r="H145" s="1"/>
      <c r="I145" s="516">
        <v>-14800</v>
      </c>
      <c r="J145" s="176"/>
      <c r="K145" s="176"/>
      <c r="L145" s="68"/>
      <c r="M145" s="68"/>
      <c r="N145" s="135"/>
    </row>
    <row r="146" spans="2:16" s="133" customFormat="1" x14ac:dyDescent="0.2">
      <c r="B146" s="161">
        <v>43528</v>
      </c>
      <c r="C146" s="138">
        <v>9427.6299999999992</v>
      </c>
      <c r="D146" s="60" t="s">
        <v>167</v>
      </c>
      <c r="E146" s="138">
        <f t="shared" si="20"/>
        <v>0</v>
      </c>
      <c r="F146" s="138">
        <f t="shared" si="21"/>
        <v>9427.6299999999992</v>
      </c>
      <c r="G146" s="139">
        <f t="shared" si="19"/>
        <v>14806.529999999973</v>
      </c>
      <c r="H146" s="1"/>
      <c r="I146" s="516"/>
      <c r="J146" s="176"/>
      <c r="K146" s="176"/>
      <c r="L146" s="68"/>
      <c r="M146" s="530">
        <v>9427.6299999999992</v>
      </c>
      <c r="N146" s="43"/>
    </row>
    <row r="147" spans="2:16" s="133" customFormat="1" x14ac:dyDescent="0.2">
      <c r="B147" s="161">
        <v>43524</v>
      </c>
      <c r="C147" s="138">
        <v>0.61</v>
      </c>
      <c r="D147" s="60" t="s">
        <v>43</v>
      </c>
      <c r="E147" s="138">
        <f t="shared" si="20"/>
        <v>0</v>
      </c>
      <c r="F147" s="138">
        <f t="shared" si="21"/>
        <v>0.61</v>
      </c>
      <c r="G147" s="139">
        <f t="shared" si="19"/>
        <v>5378.8999999999751</v>
      </c>
      <c r="H147" s="1"/>
      <c r="I147" s="516"/>
      <c r="J147" s="176">
        <v>0.61</v>
      </c>
      <c r="K147" s="176"/>
      <c r="L147" s="68"/>
      <c r="M147" s="68"/>
      <c r="N147" s="135"/>
      <c r="O147" s="140"/>
      <c r="P147" s="134"/>
    </row>
    <row r="148" spans="2:16" s="133" customFormat="1" x14ac:dyDescent="0.2">
      <c r="B148" s="161">
        <v>43518</v>
      </c>
      <c r="C148" s="138">
        <v>-17182.37</v>
      </c>
      <c r="D148" s="60" t="s">
        <v>168</v>
      </c>
      <c r="E148" s="138">
        <f t="shared" si="20"/>
        <v>-17182.37</v>
      </c>
      <c r="F148" s="138">
        <f t="shared" si="21"/>
        <v>0</v>
      </c>
      <c r="G148" s="139">
        <f t="shared" si="19"/>
        <v>5378.2899999999754</v>
      </c>
      <c r="H148" s="1"/>
      <c r="I148" s="517"/>
      <c r="J148" s="176"/>
      <c r="K148" s="176"/>
      <c r="L148" s="68">
        <v>-17182.37</v>
      </c>
      <c r="M148" s="68"/>
      <c r="N148" s="135"/>
      <c r="O148" s="140"/>
      <c r="P148" s="134"/>
    </row>
    <row r="149" spans="2:16" s="133" customFormat="1" x14ac:dyDescent="0.2">
      <c r="B149" s="161">
        <v>43511</v>
      </c>
      <c r="C149" s="138">
        <v>12177.63</v>
      </c>
      <c r="D149" s="60" t="s">
        <v>169</v>
      </c>
      <c r="E149" s="138">
        <f t="shared" si="20"/>
        <v>0</v>
      </c>
      <c r="F149" s="138">
        <f t="shared" si="21"/>
        <v>12177.63</v>
      </c>
      <c r="G149" s="139">
        <f t="shared" si="19"/>
        <v>22560.659999999974</v>
      </c>
      <c r="H149" s="1"/>
      <c r="I149" s="517"/>
      <c r="J149" s="176"/>
      <c r="K149" s="176"/>
      <c r="L149" s="68"/>
      <c r="M149" s="530">
        <v>12177.63</v>
      </c>
      <c r="N149" s="43"/>
      <c r="O149" s="148"/>
      <c r="P149" s="136"/>
    </row>
    <row r="150" spans="2:16" s="133" customFormat="1" x14ac:dyDescent="0.2">
      <c r="B150" s="161">
        <v>43510</v>
      </c>
      <c r="C150" s="138">
        <v>10012.629999999999</v>
      </c>
      <c r="D150" s="60" t="s">
        <v>170</v>
      </c>
      <c r="E150" s="138">
        <f t="shared" si="20"/>
        <v>0</v>
      </c>
      <c r="F150" s="138">
        <f t="shared" si="21"/>
        <v>10012.629999999999</v>
      </c>
      <c r="G150" s="139">
        <f t="shared" si="19"/>
        <v>10383.029999999977</v>
      </c>
      <c r="H150" s="1"/>
      <c r="I150" s="517"/>
      <c r="J150" s="176"/>
      <c r="K150" s="176"/>
      <c r="L150" s="68"/>
      <c r="M150" s="530">
        <v>10012.629999999999</v>
      </c>
      <c r="N150" s="43"/>
      <c r="O150" s="521"/>
      <c r="P150" s="288"/>
    </row>
    <row r="151" spans="2:16" s="133" customFormat="1" x14ac:dyDescent="0.2">
      <c r="B151" s="161">
        <v>43509</v>
      </c>
      <c r="C151" s="138">
        <v>-6301.37</v>
      </c>
      <c r="D151" s="60" t="s">
        <v>171</v>
      </c>
      <c r="E151" s="138">
        <f t="shared" si="20"/>
        <v>-6301.37</v>
      </c>
      <c r="F151" s="138">
        <f t="shared" si="21"/>
        <v>0</v>
      </c>
      <c r="G151" s="139">
        <f t="shared" si="19"/>
        <v>370.39999999997781</v>
      </c>
      <c r="H151" s="1"/>
      <c r="I151" s="517"/>
      <c r="J151" s="176"/>
      <c r="K151" s="176"/>
      <c r="L151" s="530">
        <v>-6301.37</v>
      </c>
      <c r="M151" s="68"/>
      <c r="N151" s="135"/>
      <c r="O151" s="143"/>
      <c r="P151" s="470"/>
    </row>
    <row r="152" spans="2:16" s="133" customFormat="1" x14ac:dyDescent="0.2">
      <c r="B152" s="161">
        <v>43508</v>
      </c>
      <c r="C152" s="138">
        <v>5607.63</v>
      </c>
      <c r="D152" s="60" t="s">
        <v>172</v>
      </c>
      <c r="E152" s="138">
        <f t="shared" si="20"/>
        <v>0</v>
      </c>
      <c r="F152" s="138">
        <f t="shared" si="21"/>
        <v>5607.63</v>
      </c>
      <c r="G152" s="139">
        <f t="shared" si="19"/>
        <v>6671.7699999999777</v>
      </c>
      <c r="H152" s="1"/>
      <c r="I152" s="517"/>
      <c r="J152" s="176"/>
      <c r="K152" s="176"/>
      <c r="L152" s="68"/>
      <c r="M152" s="530">
        <v>5607.63</v>
      </c>
      <c r="N152" s="43"/>
      <c r="O152" s="143"/>
      <c r="P152" s="470"/>
    </row>
    <row r="153" spans="2:16" s="133" customFormat="1" x14ac:dyDescent="0.2">
      <c r="B153" s="161">
        <v>43501</v>
      </c>
      <c r="C153" s="138">
        <v>-12602.37</v>
      </c>
      <c r="D153" s="60" t="s">
        <v>173</v>
      </c>
      <c r="E153" s="138">
        <f t="shared" si="20"/>
        <v>-12602.37</v>
      </c>
      <c r="F153" s="138">
        <f t="shared" si="21"/>
        <v>0</v>
      </c>
      <c r="G153" s="139">
        <f t="shared" si="19"/>
        <v>1064.1399999999776</v>
      </c>
      <c r="H153" s="1"/>
      <c r="I153" s="517"/>
      <c r="J153" s="176"/>
      <c r="K153" s="176"/>
      <c r="L153" s="530">
        <v>-12602.37</v>
      </c>
      <c r="M153" s="68"/>
      <c r="N153" s="135"/>
      <c r="O153" s="143"/>
      <c r="P153" s="288"/>
    </row>
    <row r="154" spans="2:16" s="133" customFormat="1" x14ac:dyDescent="0.2">
      <c r="B154" s="161">
        <v>43501</v>
      </c>
      <c r="C154" s="138">
        <v>12222.63</v>
      </c>
      <c r="D154" s="60" t="s">
        <v>174</v>
      </c>
      <c r="E154" s="138">
        <f t="shared" si="20"/>
        <v>0</v>
      </c>
      <c r="F154" s="138">
        <f t="shared" si="21"/>
        <v>12222.63</v>
      </c>
      <c r="G154" s="139">
        <f t="shared" si="19"/>
        <v>13666.509999999978</v>
      </c>
      <c r="H154" s="1"/>
      <c r="I154" s="517"/>
      <c r="J154" s="176"/>
      <c r="K154" s="176"/>
      <c r="L154" s="68"/>
      <c r="M154" s="530">
        <v>12222.63</v>
      </c>
      <c r="N154" s="43"/>
      <c r="O154" s="143"/>
      <c r="P154" s="470"/>
    </row>
    <row r="155" spans="2:16" s="133" customFormat="1" x14ac:dyDescent="0.2">
      <c r="B155" s="161">
        <v>43496</v>
      </c>
      <c r="C155" s="138">
        <v>3.2</v>
      </c>
      <c r="D155" s="60" t="s">
        <v>43</v>
      </c>
      <c r="E155" s="138">
        <f t="shared" si="20"/>
        <v>0</v>
      </c>
      <c r="F155" s="138">
        <f t="shared" si="21"/>
        <v>3.2</v>
      </c>
      <c r="G155" s="139">
        <f t="shared" si="19"/>
        <v>1443.8799999999785</v>
      </c>
      <c r="H155" s="1"/>
      <c r="I155" s="517"/>
      <c r="J155" s="176">
        <v>3.2</v>
      </c>
      <c r="K155" s="176"/>
      <c r="L155" s="68"/>
      <c r="M155" s="68"/>
      <c r="N155" s="135"/>
      <c r="O155" s="143"/>
      <c r="P155" s="470"/>
    </row>
    <row r="156" spans="2:16" s="133" customFormat="1" x14ac:dyDescent="0.2">
      <c r="B156" s="161">
        <v>43488</v>
      </c>
      <c r="C156" s="138">
        <v>-34008.92</v>
      </c>
      <c r="D156" s="60" t="s">
        <v>175</v>
      </c>
      <c r="E156" s="138">
        <f t="shared" si="20"/>
        <v>-34008.92</v>
      </c>
      <c r="F156" s="138">
        <f t="shared" si="21"/>
        <v>0</v>
      </c>
      <c r="G156" s="139">
        <f t="shared" si="19"/>
        <v>1440.6799999999785</v>
      </c>
      <c r="H156" s="1"/>
      <c r="I156" s="517"/>
      <c r="J156" s="176"/>
      <c r="K156" s="176"/>
      <c r="L156" s="68">
        <v>-34008.92</v>
      </c>
      <c r="M156" s="68"/>
      <c r="N156" s="135"/>
      <c r="O156" s="521"/>
      <c r="P156" s="288"/>
    </row>
    <row r="157" spans="2:16" s="133" customFormat="1" x14ac:dyDescent="0.2">
      <c r="B157" s="161">
        <v>43486</v>
      </c>
      <c r="C157" s="138">
        <v>-29234.54</v>
      </c>
      <c r="D157" s="60" t="s">
        <v>176</v>
      </c>
      <c r="E157" s="138">
        <f t="shared" si="20"/>
        <v>-29234.54</v>
      </c>
      <c r="F157" s="138">
        <f t="shared" si="21"/>
        <v>0</v>
      </c>
      <c r="G157" s="139">
        <f t="shared" si="19"/>
        <v>35449.599999999977</v>
      </c>
      <c r="H157" s="1"/>
      <c r="I157" s="517"/>
      <c r="J157" s="176"/>
      <c r="K157" s="176"/>
      <c r="L157" s="68">
        <v>-29234.54</v>
      </c>
      <c r="M157" s="68"/>
      <c r="N157" s="135"/>
      <c r="O157" s="143"/>
      <c r="P157" s="288"/>
    </row>
    <row r="158" spans="2:16" s="133" customFormat="1" x14ac:dyDescent="0.2">
      <c r="B158" s="161">
        <v>43486</v>
      </c>
      <c r="C158" s="138">
        <v>14084.13</v>
      </c>
      <c r="D158" s="60" t="s">
        <v>177</v>
      </c>
      <c r="E158" s="138">
        <f t="shared" si="20"/>
        <v>0</v>
      </c>
      <c r="F158" s="138">
        <f t="shared" si="21"/>
        <v>14084.13</v>
      </c>
      <c r="G158" s="139">
        <f t="shared" si="19"/>
        <v>64684.139999999978</v>
      </c>
      <c r="H158" s="1"/>
      <c r="I158" s="516"/>
      <c r="J158" s="176"/>
      <c r="K158" s="176"/>
      <c r="L158" s="68"/>
      <c r="M158" s="530">
        <v>14084.13</v>
      </c>
      <c r="N158" s="43"/>
      <c r="O158" s="143"/>
      <c r="P158" s="288"/>
    </row>
    <row r="159" spans="2:16" s="133" customFormat="1" x14ac:dyDescent="0.2">
      <c r="B159" s="161">
        <v>43483</v>
      </c>
      <c r="C159" s="138">
        <v>6412.04</v>
      </c>
      <c r="D159" s="60" t="s">
        <v>178</v>
      </c>
      <c r="E159" s="138">
        <f t="shared" si="20"/>
        <v>0</v>
      </c>
      <c r="F159" s="138">
        <f t="shared" si="21"/>
        <v>6412.04</v>
      </c>
      <c r="G159" s="139">
        <f t="shared" si="19"/>
        <v>50600.00999999998</v>
      </c>
      <c r="H159" s="1"/>
      <c r="I159" s="516"/>
      <c r="J159" s="176"/>
      <c r="K159" s="176"/>
      <c r="L159" s="68"/>
      <c r="M159" s="530">
        <v>6412.04</v>
      </c>
      <c r="N159" s="43"/>
      <c r="O159" s="140"/>
      <c r="P159" s="136"/>
    </row>
    <row r="160" spans="2:16" s="133" customFormat="1" x14ac:dyDescent="0.2">
      <c r="B160" s="161">
        <v>43480</v>
      </c>
      <c r="C160" s="138">
        <v>-9307.3700000000008</v>
      </c>
      <c r="D160" s="60" t="s">
        <v>179</v>
      </c>
      <c r="E160" s="138">
        <f t="shared" si="20"/>
        <v>-9307.3700000000008</v>
      </c>
      <c r="F160" s="138">
        <f t="shared" si="21"/>
        <v>0</v>
      </c>
      <c r="G160" s="139">
        <f t="shared" si="19"/>
        <v>44187.969999999979</v>
      </c>
      <c r="H160" s="1"/>
      <c r="I160" s="517"/>
      <c r="J160" s="176"/>
      <c r="K160" s="176"/>
      <c r="L160" s="530">
        <v>-9307.3700000000008</v>
      </c>
      <c r="M160" s="68"/>
      <c r="N160" s="135"/>
      <c r="O160" s="140"/>
      <c r="P160" s="134"/>
    </row>
    <row r="161" spans="2:16" s="133" customFormat="1" x14ac:dyDescent="0.2">
      <c r="B161" s="161">
        <v>43465</v>
      </c>
      <c r="C161" s="138">
        <v>3.92</v>
      </c>
      <c r="D161" s="60" t="s">
        <v>43</v>
      </c>
      <c r="E161" s="138">
        <f t="shared" si="20"/>
        <v>0</v>
      </c>
      <c r="F161" s="138">
        <f t="shared" si="21"/>
        <v>3.92</v>
      </c>
      <c r="G161" s="139">
        <f t="shared" si="19"/>
        <v>53495.339999999982</v>
      </c>
      <c r="H161" s="1"/>
      <c r="I161" s="517"/>
      <c r="J161" s="176">
        <v>3.92</v>
      </c>
      <c r="K161" s="176"/>
      <c r="L161" s="68"/>
      <c r="M161" s="68"/>
      <c r="N161" s="135"/>
      <c r="O161" s="140"/>
      <c r="P161" s="136"/>
    </row>
    <row r="162" spans="2:16" s="133" customFormat="1" x14ac:dyDescent="0.2">
      <c r="B162" s="161">
        <v>43454</v>
      </c>
      <c r="C162" s="138">
        <v>1155.3</v>
      </c>
      <c r="D162" s="60" t="s">
        <v>181</v>
      </c>
      <c r="E162" s="138">
        <f t="shared" si="20"/>
        <v>0</v>
      </c>
      <c r="F162" s="138">
        <f t="shared" si="21"/>
        <v>1155.3</v>
      </c>
      <c r="G162" s="139">
        <f t="shared" si="19"/>
        <v>53491.419999999984</v>
      </c>
      <c r="H162" s="1"/>
      <c r="I162" s="517"/>
      <c r="J162" s="176"/>
      <c r="K162" s="176">
        <v>1155.3</v>
      </c>
      <c r="L162" s="68"/>
      <c r="M162" s="68"/>
      <c r="N162" s="135"/>
      <c r="O162" s="136"/>
      <c r="P162" s="136"/>
    </row>
    <row r="163" spans="2:16" s="133" customFormat="1" x14ac:dyDescent="0.2">
      <c r="B163" s="161">
        <v>43454</v>
      </c>
      <c r="C163" s="138">
        <v>2820</v>
      </c>
      <c r="D163" s="60" t="s">
        <v>180</v>
      </c>
      <c r="E163" s="138">
        <f t="shared" si="20"/>
        <v>0</v>
      </c>
      <c r="F163" s="138">
        <f t="shared" si="21"/>
        <v>2820</v>
      </c>
      <c r="G163" s="139">
        <f t="shared" si="19"/>
        <v>52336.119999999981</v>
      </c>
      <c r="H163" s="1"/>
      <c r="I163" s="517"/>
      <c r="J163" s="176"/>
      <c r="K163" s="176">
        <v>2820</v>
      </c>
      <c r="L163" s="68"/>
      <c r="M163" s="68"/>
      <c r="N163" s="135"/>
      <c r="O163" s="136"/>
      <c r="P163" s="136"/>
    </row>
    <row r="164" spans="2:16" s="133" customFormat="1" x14ac:dyDescent="0.2">
      <c r="B164" s="161">
        <v>43452</v>
      </c>
      <c r="C164" s="138">
        <v>4000</v>
      </c>
      <c r="D164" s="60" t="s">
        <v>182</v>
      </c>
      <c r="E164" s="138">
        <f t="shared" si="20"/>
        <v>0</v>
      </c>
      <c r="F164" s="138">
        <f t="shared" si="21"/>
        <v>4000</v>
      </c>
      <c r="G164" s="139">
        <f t="shared" si="19"/>
        <v>49516.119999999981</v>
      </c>
      <c r="H164" s="1"/>
      <c r="I164" s="517"/>
      <c r="J164" s="176"/>
      <c r="K164" s="176">
        <v>4000</v>
      </c>
      <c r="L164" s="68"/>
      <c r="M164" s="68"/>
      <c r="N164" s="135"/>
      <c r="O164" s="136"/>
      <c r="P164" s="134"/>
    </row>
    <row r="165" spans="2:16" s="133" customFormat="1" x14ac:dyDescent="0.2">
      <c r="B165" s="161">
        <v>43452</v>
      </c>
      <c r="C165" s="138">
        <v>1075</v>
      </c>
      <c r="D165" s="60" t="s">
        <v>183</v>
      </c>
      <c r="E165" s="138">
        <f t="shared" si="20"/>
        <v>0</v>
      </c>
      <c r="F165" s="138">
        <f t="shared" si="21"/>
        <v>1075</v>
      </c>
      <c r="G165" s="139">
        <f t="shared" si="19"/>
        <v>45516.119999999981</v>
      </c>
      <c r="H165" s="1"/>
      <c r="I165" s="517"/>
      <c r="J165" s="176"/>
      <c r="K165" s="176">
        <v>1075</v>
      </c>
      <c r="L165" s="68"/>
      <c r="M165" s="68"/>
      <c r="N165" s="135"/>
      <c r="O165" s="136"/>
      <c r="P165" s="134"/>
    </row>
    <row r="166" spans="2:16" s="133" customFormat="1" x14ac:dyDescent="0.2">
      <c r="B166" s="161">
        <v>43448</v>
      </c>
      <c r="C166" s="138">
        <v>3960</v>
      </c>
      <c r="D166" s="60" t="s">
        <v>184</v>
      </c>
      <c r="E166" s="138">
        <f t="shared" si="20"/>
        <v>0</v>
      </c>
      <c r="F166" s="138">
        <f t="shared" si="21"/>
        <v>3960</v>
      </c>
      <c r="G166" s="139">
        <f t="shared" si="19"/>
        <v>44441.119999999981</v>
      </c>
      <c r="H166" s="1"/>
      <c r="I166" s="517"/>
      <c r="J166" s="176"/>
      <c r="K166" s="176">
        <v>3960</v>
      </c>
      <c r="L166" s="68"/>
      <c r="M166" s="68"/>
      <c r="N166" s="135"/>
      <c r="O166" s="136"/>
      <c r="P166" s="134"/>
    </row>
    <row r="167" spans="2:16" s="133" customFormat="1" x14ac:dyDescent="0.2">
      <c r="B167" s="161">
        <v>43434</v>
      </c>
      <c r="C167" s="138">
        <v>2.2799999999999998</v>
      </c>
      <c r="D167" s="60" t="s">
        <v>43</v>
      </c>
      <c r="E167" s="138">
        <f t="shared" si="20"/>
        <v>0</v>
      </c>
      <c r="F167" s="138">
        <f t="shared" si="21"/>
        <v>2.2799999999999998</v>
      </c>
      <c r="G167" s="139">
        <f t="shared" si="19"/>
        <v>40481.119999999981</v>
      </c>
      <c r="H167" s="1"/>
      <c r="I167" s="517"/>
      <c r="J167" s="176">
        <v>2.2799999999999998</v>
      </c>
      <c r="K167" s="176"/>
      <c r="L167" s="68"/>
      <c r="M167" s="68"/>
      <c r="N167" s="135"/>
      <c r="O167" s="134"/>
      <c r="P167" s="136"/>
    </row>
    <row r="168" spans="2:16" s="133" customFormat="1" x14ac:dyDescent="0.2">
      <c r="B168" s="161">
        <v>43431</v>
      </c>
      <c r="C168" s="138">
        <v>-9717.3700000000008</v>
      </c>
      <c r="D168" s="60" t="s">
        <v>185</v>
      </c>
      <c r="E168" s="138">
        <f t="shared" si="20"/>
        <v>-9717.3700000000008</v>
      </c>
      <c r="F168" s="138">
        <f t="shared" si="21"/>
        <v>0</v>
      </c>
      <c r="G168" s="139">
        <f t="shared" si="19"/>
        <v>40478.839999999982</v>
      </c>
      <c r="H168" s="1"/>
      <c r="I168" s="517"/>
      <c r="J168" s="176"/>
      <c r="K168" s="176"/>
      <c r="L168" s="68">
        <v>-9717.3700000000008</v>
      </c>
      <c r="M168" s="68"/>
      <c r="N168" s="135"/>
      <c r="O168" s="136"/>
      <c r="P168" s="134"/>
    </row>
    <row r="169" spans="2:16" s="133" customFormat="1" x14ac:dyDescent="0.2">
      <c r="B169" s="161">
        <v>43424</v>
      </c>
      <c r="C169" s="138">
        <v>-21425.96</v>
      </c>
      <c r="D169" s="60" t="s">
        <v>186</v>
      </c>
      <c r="E169" s="138">
        <f t="shared" si="20"/>
        <v>-21425.96</v>
      </c>
      <c r="F169" s="138">
        <f t="shared" si="21"/>
        <v>0</v>
      </c>
      <c r="G169" s="139">
        <f t="shared" si="19"/>
        <v>50196.209999999985</v>
      </c>
      <c r="H169" s="1"/>
      <c r="I169" s="517"/>
      <c r="J169" s="176"/>
      <c r="K169" s="176"/>
      <c r="L169" s="530">
        <v>-21425.96</v>
      </c>
      <c r="M169" s="68"/>
      <c r="N169" s="135"/>
      <c r="O169" s="136"/>
      <c r="P169" s="136"/>
    </row>
    <row r="170" spans="2:16" s="133" customFormat="1" x14ac:dyDescent="0.2">
      <c r="B170" s="161">
        <v>43423</v>
      </c>
      <c r="C170" s="138">
        <v>-5000</v>
      </c>
      <c r="D170" s="60" t="s">
        <v>187</v>
      </c>
      <c r="E170" s="138">
        <f t="shared" si="20"/>
        <v>-5000</v>
      </c>
      <c r="F170" s="138">
        <f t="shared" si="21"/>
        <v>0</v>
      </c>
      <c r="G170" s="139">
        <f t="shared" si="19"/>
        <v>71622.169999999984</v>
      </c>
      <c r="H170" s="1"/>
      <c r="I170" s="516">
        <v>-5000</v>
      </c>
      <c r="J170" s="176"/>
      <c r="K170" s="176"/>
      <c r="L170" s="68"/>
      <c r="M170" s="68"/>
      <c r="N170" s="135"/>
      <c r="O170" s="136"/>
      <c r="P170" s="134"/>
    </row>
    <row r="171" spans="2:16" s="133" customFormat="1" x14ac:dyDescent="0.2">
      <c r="B171" s="161">
        <v>43423</v>
      </c>
      <c r="C171" s="138">
        <v>21.95</v>
      </c>
      <c r="D171" s="60" t="s">
        <v>188</v>
      </c>
      <c r="E171" s="138">
        <f t="shared" si="20"/>
        <v>0</v>
      </c>
      <c r="F171" s="138">
        <f t="shared" si="21"/>
        <v>21.95</v>
      </c>
      <c r="G171" s="139">
        <f t="shared" si="19"/>
        <v>76622.169999999984</v>
      </c>
      <c r="H171" s="1"/>
      <c r="I171" s="516"/>
      <c r="J171" s="176">
        <v>21.95</v>
      </c>
      <c r="K171" s="176"/>
      <c r="L171" s="68"/>
      <c r="M171" s="68"/>
      <c r="N171" s="135"/>
      <c r="O171" s="140"/>
      <c r="P171" s="136"/>
    </row>
    <row r="172" spans="2:16" s="133" customFormat="1" x14ac:dyDescent="0.2">
      <c r="B172" s="161">
        <v>43420</v>
      </c>
      <c r="C172" s="138">
        <v>-5000</v>
      </c>
      <c r="D172" s="60" t="s">
        <v>189</v>
      </c>
      <c r="E172" s="138">
        <f t="shared" si="20"/>
        <v>-5000</v>
      </c>
      <c r="F172" s="138">
        <f t="shared" si="21"/>
        <v>0</v>
      </c>
      <c r="G172" s="139">
        <f t="shared" si="19"/>
        <v>76600.219999999987</v>
      </c>
      <c r="H172" s="1"/>
      <c r="I172" s="516">
        <v>-5000</v>
      </c>
      <c r="J172" s="176"/>
      <c r="K172" s="176"/>
      <c r="L172" s="68"/>
      <c r="M172" s="68"/>
      <c r="N172" s="135"/>
      <c r="O172" s="1"/>
    </row>
    <row r="173" spans="2:16" s="133" customFormat="1" x14ac:dyDescent="0.2">
      <c r="B173" s="161">
        <v>43420</v>
      </c>
      <c r="C173" s="138">
        <v>52780.26</v>
      </c>
      <c r="D173" s="60" t="s">
        <v>190</v>
      </c>
      <c r="E173" s="138">
        <f t="shared" si="20"/>
        <v>0</v>
      </c>
      <c r="F173" s="138">
        <f t="shared" si="21"/>
        <v>52780.26</v>
      </c>
      <c r="G173" s="139">
        <f t="shared" si="19"/>
        <v>81600.219999999987</v>
      </c>
      <c r="H173" s="1"/>
      <c r="I173" s="516"/>
      <c r="J173" s="176"/>
      <c r="K173" s="176"/>
      <c r="L173" s="68"/>
      <c r="M173" s="530">
        <v>52780.26</v>
      </c>
      <c r="N173" s="43"/>
      <c r="O173" s="1"/>
    </row>
    <row r="174" spans="2:16" s="133" customFormat="1" x14ac:dyDescent="0.2">
      <c r="B174" s="161">
        <v>43420</v>
      </c>
      <c r="C174" s="138">
        <v>25169.86</v>
      </c>
      <c r="D174" s="60" t="s">
        <v>191</v>
      </c>
      <c r="E174" s="138">
        <f t="shared" ref="E174:E205" si="22">IF(C174&lt;0,C174,0)</f>
        <v>0</v>
      </c>
      <c r="F174" s="138">
        <f t="shared" ref="F174:F205" si="23">IF(C174&lt;0,0,C174)</f>
        <v>25169.86</v>
      </c>
      <c r="G174" s="139">
        <f t="shared" ref="G174:G225" si="24">G175+E174+F174</f>
        <v>28819.959999999981</v>
      </c>
      <c r="H174" s="1"/>
      <c r="I174" s="516"/>
      <c r="J174" s="176"/>
      <c r="K174" s="176"/>
      <c r="L174" s="68"/>
      <c r="M174" s="530">
        <v>25169.86</v>
      </c>
      <c r="N174" s="43"/>
      <c r="O174" s="1"/>
    </row>
    <row r="175" spans="2:16" s="133" customFormat="1" x14ac:dyDescent="0.2">
      <c r="B175" s="161">
        <v>43419</v>
      </c>
      <c r="C175" s="138">
        <v>43.9</v>
      </c>
      <c r="D175" s="60" t="s">
        <v>192</v>
      </c>
      <c r="E175" s="138">
        <f t="shared" si="22"/>
        <v>0</v>
      </c>
      <c r="F175" s="138">
        <f t="shared" si="23"/>
        <v>43.9</v>
      </c>
      <c r="G175" s="139">
        <f t="shared" si="24"/>
        <v>3650.0999999999794</v>
      </c>
      <c r="H175" s="1"/>
      <c r="I175" s="516"/>
      <c r="J175" s="176">
        <v>43.9</v>
      </c>
      <c r="K175" s="176"/>
      <c r="L175" s="68"/>
      <c r="M175" s="68"/>
      <c r="N175" s="135"/>
      <c r="O175" s="1"/>
    </row>
    <row r="176" spans="2:16" s="133" customFormat="1" x14ac:dyDescent="0.2">
      <c r="B176" s="161">
        <v>43404</v>
      </c>
      <c r="C176" s="138">
        <v>2.23</v>
      </c>
      <c r="D176" s="60" t="s">
        <v>43</v>
      </c>
      <c r="E176" s="138">
        <f t="shared" si="22"/>
        <v>0</v>
      </c>
      <c r="F176" s="138">
        <f t="shared" si="23"/>
        <v>2.23</v>
      </c>
      <c r="G176" s="139">
        <f t="shared" si="24"/>
        <v>3606.1999999999794</v>
      </c>
      <c r="H176" s="1"/>
      <c r="I176" s="516"/>
      <c r="J176" s="176">
        <v>2.23</v>
      </c>
      <c r="K176" s="176"/>
      <c r="L176" s="68"/>
      <c r="M176" s="68"/>
      <c r="N176" s="135"/>
      <c r="O176" s="1"/>
    </row>
    <row r="177" spans="2:15" s="133" customFormat="1" x14ac:dyDescent="0.2">
      <c r="B177" s="161">
        <v>43395</v>
      </c>
      <c r="C177" s="138">
        <v>-27231.200000000001</v>
      </c>
      <c r="D177" s="60" t="s">
        <v>194</v>
      </c>
      <c r="E177" s="138">
        <f t="shared" si="22"/>
        <v>-27231.200000000001</v>
      </c>
      <c r="F177" s="138">
        <f t="shared" si="23"/>
        <v>0</v>
      </c>
      <c r="G177" s="139">
        <f t="shared" si="24"/>
        <v>3603.9699999999793</v>
      </c>
      <c r="H177" s="1"/>
      <c r="I177" s="517"/>
      <c r="J177" s="176"/>
      <c r="K177" s="176"/>
      <c r="L177" s="68">
        <v>-27231.200000000001</v>
      </c>
      <c r="M177" s="68"/>
      <c r="N177" s="135"/>
      <c r="O177" s="148"/>
    </row>
    <row r="178" spans="2:15" s="133" customFormat="1" x14ac:dyDescent="0.2">
      <c r="B178" s="161">
        <v>43395</v>
      </c>
      <c r="C178" s="138">
        <v>-31236.74</v>
      </c>
      <c r="D178" s="60" t="s">
        <v>193</v>
      </c>
      <c r="E178" s="138">
        <f t="shared" si="22"/>
        <v>-31236.74</v>
      </c>
      <c r="F178" s="138">
        <f t="shared" si="23"/>
        <v>0</v>
      </c>
      <c r="G178" s="139">
        <f t="shared" si="24"/>
        <v>30835.16999999998</v>
      </c>
      <c r="H178" s="1"/>
      <c r="I178" s="517"/>
      <c r="J178" s="176"/>
      <c r="K178" s="176"/>
      <c r="L178" s="68">
        <v>-31236.74</v>
      </c>
      <c r="M178" s="68"/>
      <c r="N178" s="135"/>
      <c r="O178" s="148"/>
    </row>
    <row r="179" spans="2:15" s="133" customFormat="1" x14ac:dyDescent="0.2">
      <c r="B179" s="161">
        <v>43395</v>
      </c>
      <c r="C179" s="138">
        <v>10857.63</v>
      </c>
      <c r="D179" s="60" t="s">
        <v>196</v>
      </c>
      <c r="E179" s="138">
        <f t="shared" si="22"/>
        <v>0</v>
      </c>
      <c r="F179" s="138">
        <f t="shared" si="23"/>
        <v>10857.63</v>
      </c>
      <c r="G179" s="139">
        <f t="shared" si="24"/>
        <v>62071.909999999982</v>
      </c>
      <c r="H179" s="1"/>
      <c r="I179" s="517"/>
      <c r="J179" s="176"/>
      <c r="K179" s="176"/>
      <c r="L179" s="68"/>
      <c r="M179" s="530">
        <v>10857.63</v>
      </c>
      <c r="N179" s="43"/>
      <c r="O179" s="148"/>
    </row>
    <row r="180" spans="2:15" s="133" customFormat="1" x14ac:dyDescent="0.2">
      <c r="B180" s="161">
        <v>43395</v>
      </c>
      <c r="C180" s="138">
        <v>33111.11</v>
      </c>
      <c r="D180" s="60" t="s">
        <v>195</v>
      </c>
      <c r="E180" s="138">
        <f t="shared" si="22"/>
        <v>0</v>
      </c>
      <c r="F180" s="138">
        <f t="shared" si="23"/>
        <v>33111.11</v>
      </c>
      <c r="G180" s="139">
        <f t="shared" si="24"/>
        <v>51214.279999999984</v>
      </c>
      <c r="H180" s="1"/>
      <c r="I180" s="517"/>
      <c r="J180" s="176"/>
      <c r="K180" s="176"/>
      <c r="L180" s="68"/>
      <c r="M180" s="530">
        <v>33111.11</v>
      </c>
      <c r="N180" s="43"/>
      <c r="O180" s="148"/>
    </row>
    <row r="181" spans="2:15" s="133" customFormat="1" x14ac:dyDescent="0.2">
      <c r="B181" s="161">
        <v>43395</v>
      </c>
      <c r="C181" s="138">
        <v>3071.63</v>
      </c>
      <c r="D181" s="60" t="s">
        <v>197</v>
      </c>
      <c r="E181" s="138">
        <f t="shared" si="22"/>
        <v>0</v>
      </c>
      <c r="F181" s="138">
        <f t="shared" si="23"/>
        <v>3071.63</v>
      </c>
      <c r="G181" s="139">
        <f t="shared" si="24"/>
        <v>18103.169999999987</v>
      </c>
      <c r="H181" s="1"/>
      <c r="I181" s="517"/>
      <c r="J181" s="176"/>
      <c r="K181" s="176"/>
      <c r="L181" s="68"/>
      <c r="M181" s="530">
        <v>3071.63</v>
      </c>
      <c r="N181" s="43"/>
      <c r="O181" s="148"/>
    </row>
    <row r="182" spans="2:15" s="133" customFormat="1" x14ac:dyDescent="0.2">
      <c r="B182" s="161">
        <v>43395</v>
      </c>
      <c r="C182" s="138">
        <v>3233.23</v>
      </c>
      <c r="D182" s="60" t="s">
        <v>148</v>
      </c>
      <c r="E182" s="138">
        <f t="shared" si="22"/>
        <v>0</v>
      </c>
      <c r="F182" s="138">
        <f t="shared" si="23"/>
        <v>3233.23</v>
      </c>
      <c r="G182" s="139">
        <f t="shared" si="24"/>
        <v>15031.539999999986</v>
      </c>
      <c r="H182" s="1"/>
      <c r="I182" s="517"/>
      <c r="J182" s="176"/>
      <c r="K182" s="176">
        <v>3233.23</v>
      </c>
      <c r="L182" s="68"/>
      <c r="M182" s="68"/>
      <c r="N182" s="135"/>
      <c r="O182" s="148"/>
    </row>
    <row r="183" spans="2:15" s="133" customFormat="1" x14ac:dyDescent="0.2">
      <c r="B183" s="161">
        <v>43392</v>
      </c>
      <c r="C183" s="138">
        <v>105.75</v>
      </c>
      <c r="D183" s="60" t="s">
        <v>198</v>
      </c>
      <c r="E183" s="138">
        <f t="shared" si="22"/>
        <v>0</v>
      </c>
      <c r="F183" s="138">
        <f t="shared" si="23"/>
        <v>105.75</v>
      </c>
      <c r="G183" s="139">
        <f t="shared" si="24"/>
        <v>11798.309999999987</v>
      </c>
      <c r="H183" s="1"/>
      <c r="I183" s="517"/>
      <c r="J183" s="176">
        <v>105.75</v>
      </c>
      <c r="K183" s="176"/>
      <c r="L183" s="68"/>
      <c r="M183" s="68"/>
      <c r="N183" s="135"/>
      <c r="O183" s="148"/>
    </row>
    <row r="184" spans="2:15" s="133" customFormat="1" x14ac:dyDescent="0.2">
      <c r="B184" s="161">
        <v>43391</v>
      </c>
      <c r="C184" s="138">
        <v>500</v>
      </c>
      <c r="D184" s="60" t="s">
        <v>199</v>
      </c>
      <c r="E184" s="138">
        <f t="shared" si="22"/>
        <v>0</v>
      </c>
      <c r="F184" s="138">
        <f t="shared" si="23"/>
        <v>500</v>
      </c>
      <c r="G184" s="139">
        <f t="shared" si="24"/>
        <v>11692.559999999987</v>
      </c>
      <c r="H184" s="1"/>
      <c r="I184" s="517"/>
      <c r="J184" s="176"/>
      <c r="K184" s="176"/>
      <c r="L184" s="68"/>
      <c r="M184" s="68"/>
      <c r="N184" s="135"/>
      <c r="O184" s="148"/>
    </row>
    <row r="185" spans="2:15" s="133" customFormat="1" x14ac:dyDescent="0.2">
      <c r="B185" s="161">
        <v>43391</v>
      </c>
      <c r="C185" s="138">
        <v>500</v>
      </c>
      <c r="D185" s="60" t="s">
        <v>200</v>
      </c>
      <c r="E185" s="138">
        <f t="shared" si="22"/>
        <v>0</v>
      </c>
      <c r="F185" s="138">
        <f t="shared" si="23"/>
        <v>500</v>
      </c>
      <c r="G185" s="139">
        <f t="shared" si="24"/>
        <v>11192.559999999987</v>
      </c>
      <c r="H185" s="1"/>
      <c r="I185" s="517"/>
      <c r="J185" s="176"/>
      <c r="K185" s="176"/>
      <c r="L185" s="68"/>
      <c r="M185" s="68"/>
      <c r="N185" s="135"/>
      <c r="O185" s="148"/>
    </row>
    <row r="186" spans="2:15" s="133" customFormat="1" x14ac:dyDescent="0.2">
      <c r="B186" s="161">
        <v>43388</v>
      </c>
      <c r="C186" s="138">
        <v>-27257.37</v>
      </c>
      <c r="D186" s="60" t="s">
        <v>201</v>
      </c>
      <c r="E186" s="138">
        <f t="shared" si="22"/>
        <v>-27257.37</v>
      </c>
      <c r="F186" s="138">
        <f t="shared" si="23"/>
        <v>0</v>
      </c>
      <c r="G186" s="139">
        <f t="shared" si="24"/>
        <v>10692.559999999987</v>
      </c>
      <c r="H186" s="1"/>
      <c r="I186" s="517"/>
      <c r="J186" s="176"/>
      <c r="K186" s="176"/>
      <c r="L186" s="68">
        <v>-27257.37</v>
      </c>
      <c r="M186" s="68"/>
      <c r="N186" s="135"/>
      <c r="O186" s="1"/>
    </row>
    <row r="187" spans="2:15" s="133" customFormat="1" x14ac:dyDescent="0.2">
      <c r="B187" s="161">
        <v>43385</v>
      </c>
      <c r="C187" s="138">
        <v>240</v>
      </c>
      <c r="D187" s="60" t="s">
        <v>203</v>
      </c>
      <c r="E187" s="138">
        <f t="shared" si="22"/>
        <v>0</v>
      </c>
      <c r="F187" s="138">
        <f t="shared" si="23"/>
        <v>240</v>
      </c>
      <c r="G187" s="139">
        <f t="shared" si="24"/>
        <v>37949.929999999986</v>
      </c>
      <c r="H187" s="1"/>
      <c r="I187" s="517"/>
      <c r="J187" s="176"/>
      <c r="K187" s="176">
        <v>240</v>
      </c>
      <c r="L187" s="68"/>
      <c r="M187" s="68"/>
      <c r="N187" s="135"/>
      <c r="O187" s="1"/>
    </row>
    <row r="188" spans="2:15" s="133" customFormat="1" x14ac:dyDescent="0.2">
      <c r="B188" s="161">
        <v>43385</v>
      </c>
      <c r="C188" s="138">
        <v>-5427.37</v>
      </c>
      <c r="D188" s="60" t="s">
        <v>202</v>
      </c>
      <c r="E188" s="138">
        <f t="shared" si="22"/>
        <v>-5427.37</v>
      </c>
      <c r="F188" s="138">
        <f t="shared" si="23"/>
        <v>0</v>
      </c>
      <c r="G188" s="139">
        <f t="shared" si="24"/>
        <v>37709.929999999986</v>
      </c>
      <c r="H188" s="1"/>
      <c r="I188" s="517"/>
      <c r="J188" s="176"/>
      <c r="K188" s="176"/>
      <c r="L188" s="68">
        <v>-5427.37</v>
      </c>
      <c r="M188" s="68"/>
      <c r="N188" s="135"/>
      <c r="O188" s="1"/>
    </row>
    <row r="189" spans="2:15" s="133" customFormat="1" x14ac:dyDescent="0.2">
      <c r="B189" s="161">
        <v>43385</v>
      </c>
      <c r="C189" s="138">
        <v>21.95</v>
      </c>
      <c r="D189" s="60" t="s">
        <v>204</v>
      </c>
      <c r="E189" s="138">
        <f t="shared" si="22"/>
        <v>0</v>
      </c>
      <c r="F189" s="138">
        <f t="shared" si="23"/>
        <v>21.95</v>
      </c>
      <c r="G189" s="139">
        <f t="shared" si="24"/>
        <v>43137.299999999988</v>
      </c>
      <c r="H189" s="1"/>
      <c r="I189" s="516"/>
      <c r="J189" s="176">
        <v>21.95</v>
      </c>
      <c r="K189" s="176"/>
      <c r="L189" s="68"/>
      <c r="M189" s="68"/>
      <c r="N189" s="135"/>
      <c r="O189" s="1"/>
    </row>
    <row r="190" spans="2:15" s="133" customFormat="1" x14ac:dyDescent="0.2">
      <c r="B190" s="161">
        <v>43384</v>
      </c>
      <c r="C190" s="138">
        <v>21.95</v>
      </c>
      <c r="D190" s="60" t="s">
        <v>205</v>
      </c>
      <c r="E190" s="138">
        <f t="shared" si="22"/>
        <v>0</v>
      </c>
      <c r="F190" s="138">
        <f t="shared" si="23"/>
        <v>21.95</v>
      </c>
      <c r="G190" s="139">
        <f t="shared" si="24"/>
        <v>43115.349999999991</v>
      </c>
      <c r="H190" s="1"/>
      <c r="I190" s="516"/>
      <c r="J190" s="176">
        <v>21.95</v>
      </c>
      <c r="K190" s="176"/>
      <c r="L190" s="68"/>
      <c r="M190" s="68"/>
      <c r="N190" s="135"/>
      <c r="O190" s="1"/>
    </row>
    <row r="191" spans="2:15" s="133" customFormat="1" x14ac:dyDescent="0.2">
      <c r="B191" s="161">
        <v>43381</v>
      </c>
      <c r="C191" s="138">
        <v>611.75</v>
      </c>
      <c r="D191" s="60" t="s">
        <v>206</v>
      </c>
      <c r="E191" s="138">
        <f t="shared" si="22"/>
        <v>0</v>
      </c>
      <c r="F191" s="138">
        <f t="shared" si="23"/>
        <v>611.75</v>
      </c>
      <c r="G191" s="139">
        <f t="shared" si="24"/>
        <v>43093.399999999994</v>
      </c>
      <c r="H191" s="1"/>
      <c r="I191" s="516"/>
      <c r="J191" s="176"/>
      <c r="K191" s="176">
        <v>611.75</v>
      </c>
      <c r="L191" s="68"/>
      <c r="M191" s="68"/>
      <c r="N191" s="135"/>
      <c r="O191" s="1"/>
    </row>
    <row r="192" spans="2:15" s="133" customFormat="1" x14ac:dyDescent="0.2">
      <c r="B192" s="161">
        <v>43378</v>
      </c>
      <c r="C192" s="138">
        <v>64</v>
      </c>
      <c r="D192" s="60" t="s">
        <v>208</v>
      </c>
      <c r="E192" s="138">
        <f t="shared" si="22"/>
        <v>0</v>
      </c>
      <c r="F192" s="138">
        <f t="shared" si="23"/>
        <v>64</v>
      </c>
      <c r="G192" s="139">
        <f t="shared" si="24"/>
        <v>42481.649999999994</v>
      </c>
      <c r="H192" s="1"/>
      <c r="I192" s="516"/>
      <c r="J192" s="176"/>
      <c r="K192" s="176">
        <v>64</v>
      </c>
      <c r="L192" s="68"/>
      <c r="M192" s="68"/>
      <c r="N192" s="135"/>
      <c r="O192" s="1"/>
    </row>
    <row r="193" spans="2:15" s="133" customFormat="1" x14ac:dyDescent="0.2">
      <c r="B193" s="161">
        <v>43378</v>
      </c>
      <c r="C193" s="138">
        <v>1320</v>
      </c>
      <c r="D193" s="60" t="s">
        <v>207</v>
      </c>
      <c r="E193" s="138">
        <f t="shared" si="22"/>
        <v>0</v>
      </c>
      <c r="F193" s="138">
        <f t="shared" si="23"/>
        <v>1320</v>
      </c>
      <c r="G193" s="139">
        <f t="shared" si="24"/>
        <v>42417.649999999994</v>
      </c>
      <c r="H193" s="1"/>
      <c r="I193" s="516"/>
      <c r="J193" s="176"/>
      <c r="K193" s="176">
        <v>1320</v>
      </c>
      <c r="L193" s="68"/>
      <c r="M193" s="68"/>
      <c r="N193" s="135"/>
      <c r="O193" s="1"/>
    </row>
    <row r="194" spans="2:15" s="133" customFormat="1" x14ac:dyDescent="0.2">
      <c r="B194" s="161">
        <v>43371</v>
      </c>
      <c r="C194" s="138">
        <v>0.8</v>
      </c>
      <c r="D194" s="60" t="s">
        <v>43</v>
      </c>
      <c r="E194" s="138">
        <f t="shared" si="22"/>
        <v>0</v>
      </c>
      <c r="F194" s="138">
        <f t="shared" si="23"/>
        <v>0.8</v>
      </c>
      <c r="G194" s="139">
        <f t="shared" si="24"/>
        <v>41097.649999999994</v>
      </c>
      <c r="H194" s="1"/>
      <c r="I194" s="516"/>
      <c r="J194" s="176">
        <v>0.8</v>
      </c>
      <c r="K194" s="176"/>
      <c r="L194" s="68"/>
      <c r="M194" s="68"/>
      <c r="N194" s="135"/>
      <c r="O194" s="1"/>
    </row>
    <row r="195" spans="2:15" s="133" customFormat="1" x14ac:dyDescent="0.2">
      <c r="B195" s="161">
        <v>43371</v>
      </c>
      <c r="C195" s="138">
        <v>1000</v>
      </c>
      <c r="D195" s="60" t="s">
        <v>210</v>
      </c>
      <c r="E195" s="138">
        <f t="shared" si="22"/>
        <v>0</v>
      </c>
      <c r="F195" s="138">
        <f t="shared" si="23"/>
        <v>1000</v>
      </c>
      <c r="G195" s="139">
        <f t="shared" si="24"/>
        <v>41096.849999999991</v>
      </c>
      <c r="H195" s="1"/>
      <c r="I195" s="516"/>
      <c r="J195" s="176"/>
      <c r="K195" s="176">
        <v>1000</v>
      </c>
      <c r="L195" s="68"/>
      <c r="M195" s="68"/>
      <c r="N195" s="135"/>
      <c r="O195" s="1"/>
    </row>
    <row r="196" spans="2:15" s="133" customFormat="1" x14ac:dyDescent="0.2">
      <c r="B196" s="161">
        <v>43371</v>
      </c>
      <c r="C196" s="138">
        <v>5775</v>
      </c>
      <c r="D196" s="60" t="s">
        <v>209</v>
      </c>
      <c r="E196" s="138">
        <f t="shared" si="22"/>
        <v>0</v>
      </c>
      <c r="F196" s="138">
        <f t="shared" si="23"/>
        <v>5775</v>
      </c>
      <c r="G196" s="139">
        <f t="shared" si="24"/>
        <v>40096.849999999991</v>
      </c>
      <c r="H196" s="1"/>
      <c r="I196" s="516"/>
      <c r="J196" s="176"/>
      <c r="K196" s="176">
        <v>5775</v>
      </c>
      <c r="L196" s="68"/>
      <c r="M196" s="68"/>
      <c r="N196" s="135"/>
      <c r="O196" s="1"/>
    </row>
    <row r="197" spans="2:15" s="133" customFormat="1" x14ac:dyDescent="0.2">
      <c r="B197" s="161">
        <v>43370</v>
      </c>
      <c r="C197" s="138">
        <v>2200</v>
      </c>
      <c r="D197" s="60" t="s">
        <v>211</v>
      </c>
      <c r="E197" s="138">
        <f t="shared" si="22"/>
        <v>0</v>
      </c>
      <c r="F197" s="138">
        <f t="shared" si="23"/>
        <v>2200</v>
      </c>
      <c r="G197" s="139">
        <f t="shared" si="24"/>
        <v>34321.849999999991</v>
      </c>
      <c r="H197" s="1"/>
      <c r="I197" s="516"/>
      <c r="J197" s="176"/>
      <c r="K197" s="176">
        <v>2200</v>
      </c>
      <c r="L197" s="68"/>
      <c r="M197" s="68"/>
      <c r="N197" s="135"/>
      <c r="O197" s="1"/>
    </row>
    <row r="198" spans="2:15" s="133" customFormat="1" x14ac:dyDescent="0.2">
      <c r="B198" s="161">
        <v>43370</v>
      </c>
      <c r="C198" s="138">
        <v>240</v>
      </c>
      <c r="D198" s="60" t="s">
        <v>212</v>
      </c>
      <c r="E198" s="138">
        <f t="shared" si="22"/>
        <v>0</v>
      </c>
      <c r="F198" s="138">
        <f t="shared" si="23"/>
        <v>240</v>
      </c>
      <c r="G198" s="139">
        <f t="shared" si="24"/>
        <v>32121.849999999991</v>
      </c>
      <c r="H198" s="1"/>
      <c r="I198" s="516"/>
      <c r="J198" s="176"/>
      <c r="K198" s="176">
        <v>240</v>
      </c>
      <c r="L198" s="68"/>
      <c r="M198" s="68"/>
      <c r="N198" s="135"/>
      <c r="O198" s="1"/>
    </row>
    <row r="199" spans="2:15" s="133" customFormat="1" x14ac:dyDescent="0.2">
      <c r="B199" s="161">
        <v>43368</v>
      </c>
      <c r="C199" s="138">
        <v>885.45</v>
      </c>
      <c r="D199" s="60" t="s">
        <v>213</v>
      </c>
      <c r="E199" s="138">
        <f t="shared" si="22"/>
        <v>0</v>
      </c>
      <c r="F199" s="138">
        <f t="shared" si="23"/>
        <v>885.45</v>
      </c>
      <c r="G199" s="139">
        <f t="shared" si="24"/>
        <v>31881.849999999991</v>
      </c>
      <c r="H199" s="1"/>
      <c r="I199" s="516"/>
      <c r="J199" s="176"/>
      <c r="K199" s="176">
        <v>885.45</v>
      </c>
      <c r="L199" s="68"/>
      <c r="M199" s="68"/>
      <c r="N199" s="135"/>
      <c r="O199" s="1"/>
    </row>
    <row r="200" spans="2:15" s="133" customFormat="1" x14ac:dyDescent="0.2">
      <c r="B200" s="161">
        <v>43363</v>
      </c>
      <c r="C200" s="138">
        <v>1198.5</v>
      </c>
      <c r="D200" s="60" t="s">
        <v>215</v>
      </c>
      <c r="E200" s="138">
        <f t="shared" si="22"/>
        <v>0</v>
      </c>
      <c r="F200" s="138">
        <f t="shared" si="23"/>
        <v>1198.5</v>
      </c>
      <c r="G200" s="139">
        <f t="shared" si="24"/>
        <v>30996.399999999991</v>
      </c>
      <c r="H200" s="1"/>
      <c r="I200" s="516"/>
      <c r="J200" s="176"/>
      <c r="K200" s="176">
        <v>1198.5</v>
      </c>
      <c r="L200" s="68"/>
      <c r="M200" s="68"/>
      <c r="N200" s="135"/>
      <c r="O200" s="1"/>
    </row>
    <row r="201" spans="2:15" s="133" customFormat="1" x14ac:dyDescent="0.2">
      <c r="B201" s="161">
        <v>43363</v>
      </c>
      <c r="C201" s="138">
        <v>1456.04</v>
      </c>
      <c r="D201" s="60" t="s">
        <v>214</v>
      </c>
      <c r="E201" s="138">
        <f t="shared" si="22"/>
        <v>0</v>
      </c>
      <c r="F201" s="138">
        <f t="shared" si="23"/>
        <v>1456.04</v>
      </c>
      <c r="G201" s="139">
        <f t="shared" si="24"/>
        <v>29797.899999999991</v>
      </c>
      <c r="H201" s="1"/>
      <c r="I201" s="516"/>
      <c r="J201" s="176"/>
      <c r="K201" s="176">
        <v>1456.04</v>
      </c>
      <c r="L201" s="68"/>
      <c r="M201" s="68"/>
      <c r="N201" s="135"/>
      <c r="O201" s="1"/>
    </row>
    <row r="202" spans="2:15" s="133" customFormat="1" x14ac:dyDescent="0.2">
      <c r="B202" s="161">
        <v>43362</v>
      </c>
      <c r="C202" s="138">
        <v>27500</v>
      </c>
      <c r="D202" s="60" t="s">
        <v>216</v>
      </c>
      <c r="E202" s="138">
        <f t="shared" si="22"/>
        <v>0</v>
      </c>
      <c r="F202" s="138">
        <f t="shared" si="23"/>
        <v>27500</v>
      </c>
      <c r="G202" s="139">
        <f t="shared" si="24"/>
        <v>28341.85999999999</v>
      </c>
      <c r="H202" s="1"/>
      <c r="I202" s="516">
        <v>27500</v>
      </c>
      <c r="J202" s="176"/>
      <c r="K202" s="176"/>
      <c r="L202" s="68"/>
      <c r="M202" s="68"/>
      <c r="N202" s="135"/>
      <c r="O202" s="1"/>
    </row>
    <row r="203" spans="2:15" s="133" customFormat="1" x14ac:dyDescent="0.2">
      <c r="B203" s="161">
        <v>43357</v>
      </c>
      <c r="C203" s="138">
        <v>360</v>
      </c>
      <c r="D203" s="60" t="s">
        <v>217</v>
      </c>
      <c r="E203" s="138">
        <f t="shared" si="22"/>
        <v>0</v>
      </c>
      <c r="F203" s="138">
        <f t="shared" si="23"/>
        <v>360</v>
      </c>
      <c r="G203" s="139">
        <f t="shared" si="24"/>
        <v>841.85999999999103</v>
      </c>
      <c r="H203" s="1"/>
      <c r="I203" s="516"/>
      <c r="J203" s="176"/>
      <c r="K203" s="176">
        <v>360</v>
      </c>
      <c r="L203" s="68"/>
      <c r="M203" s="68"/>
      <c r="N203" s="135"/>
      <c r="O203" s="1"/>
    </row>
    <row r="204" spans="2:15" s="133" customFormat="1" x14ac:dyDescent="0.2">
      <c r="B204" s="161">
        <v>43346</v>
      </c>
      <c r="C204" s="138">
        <v>100</v>
      </c>
      <c r="D204" s="60" t="s">
        <v>218</v>
      </c>
      <c r="E204" s="138">
        <f t="shared" si="22"/>
        <v>0</v>
      </c>
      <c r="F204" s="138">
        <f t="shared" si="23"/>
        <v>100</v>
      </c>
      <c r="G204" s="139">
        <f t="shared" si="24"/>
        <v>481.85999999999098</v>
      </c>
      <c r="H204" s="1"/>
      <c r="I204" s="516">
        <v>100</v>
      </c>
      <c r="J204" s="176"/>
      <c r="K204" s="176"/>
      <c r="L204" s="68"/>
      <c r="M204" s="68"/>
      <c r="N204" s="135"/>
      <c r="O204" s="1"/>
    </row>
    <row r="205" spans="2:15" s="133" customFormat="1" x14ac:dyDescent="0.2">
      <c r="B205" s="161">
        <v>43343</v>
      </c>
      <c r="C205" s="138">
        <v>0.94</v>
      </c>
      <c r="D205" s="60" t="s">
        <v>43</v>
      </c>
      <c r="E205" s="138">
        <f t="shared" si="22"/>
        <v>0</v>
      </c>
      <c r="F205" s="138">
        <f t="shared" si="23"/>
        <v>0.94</v>
      </c>
      <c r="G205" s="139">
        <f t="shared" si="24"/>
        <v>381.85999999999098</v>
      </c>
      <c r="H205" s="1"/>
      <c r="I205" s="516"/>
      <c r="J205" s="176">
        <v>0.94</v>
      </c>
      <c r="K205" s="176"/>
      <c r="L205" s="68"/>
      <c r="M205" s="68"/>
      <c r="N205" s="135"/>
      <c r="O205" s="1"/>
    </row>
    <row r="206" spans="2:15" s="133" customFormat="1" x14ac:dyDescent="0.2">
      <c r="B206" s="161">
        <v>43339</v>
      </c>
      <c r="C206" s="138">
        <v>300.39999999999998</v>
      </c>
      <c r="D206" s="60" t="s">
        <v>219</v>
      </c>
      <c r="E206" s="138">
        <f t="shared" ref="E206:E226" si="25">IF(C206&lt;0,C206,0)</f>
        <v>0</v>
      </c>
      <c r="F206" s="138">
        <f t="shared" ref="F206:F226" si="26">IF(C206&lt;0,0,C206)</f>
        <v>300.39999999999998</v>
      </c>
      <c r="G206" s="139">
        <f t="shared" si="24"/>
        <v>380.91999999999098</v>
      </c>
      <c r="H206" s="1"/>
      <c r="I206" s="516"/>
      <c r="J206" s="176"/>
      <c r="K206" s="176">
        <v>300.39999999999998</v>
      </c>
      <c r="L206" s="68"/>
      <c r="M206" s="68"/>
      <c r="N206" s="135"/>
      <c r="O206" s="1"/>
    </row>
    <row r="207" spans="2:15" s="133" customFormat="1" x14ac:dyDescent="0.2">
      <c r="B207" s="161">
        <v>43339</v>
      </c>
      <c r="C207" s="138">
        <v>59.6</v>
      </c>
      <c r="D207" s="60" t="s">
        <v>219</v>
      </c>
      <c r="E207" s="138">
        <f t="shared" si="25"/>
        <v>0</v>
      </c>
      <c r="F207" s="138">
        <f t="shared" si="26"/>
        <v>59.6</v>
      </c>
      <c r="G207" s="139">
        <f t="shared" si="24"/>
        <v>80.519999999990972</v>
      </c>
      <c r="H207" s="1"/>
      <c r="I207" s="516"/>
      <c r="J207" s="176"/>
      <c r="K207" s="176">
        <v>59.6</v>
      </c>
      <c r="L207" s="68"/>
      <c r="M207" s="68"/>
      <c r="N207" s="135"/>
      <c r="O207" s="1"/>
    </row>
    <row r="208" spans="2:15" s="133" customFormat="1" x14ac:dyDescent="0.2">
      <c r="B208" s="161">
        <v>43335</v>
      </c>
      <c r="C208" s="138">
        <v>-2850</v>
      </c>
      <c r="D208" s="60" t="s">
        <v>220</v>
      </c>
      <c r="E208" s="138">
        <f t="shared" si="25"/>
        <v>-2850</v>
      </c>
      <c r="F208" s="138">
        <f t="shared" si="26"/>
        <v>0</v>
      </c>
      <c r="G208" s="139">
        <f t="shared" si="24"/>
        <v>20.919999999990978</v>
      </c>
      <c r="H208" s="1"/>
      <c r="I208" s="516">
        <v>-2850</v>
      </c>
      <c r="J208" s="176"/>
      <c r="K208" s="176"/>
      <c r="L208" s="68"/>
      <c r="M208" s="68"/>
      <c r="N208" s="135"/>
      <c r="O208" s="1"/>
    </row>
    <row r="209" spans="2:17" s="133" customFormat="1" x14ac:dyDescent="0.2">
      <c r="B209" s="161">
        <v>43319</v>
      </c>
      <c r="C209" s="138">
        <v>-36466.06</v>
      </c>
      <c r="D209" s="60" t="s">
        <v>221</v>
      </c>
      <c r="E209" s="138">
        <f t="shared" si="25"/>
        <v>-36466.06</v>
      </c>
      <c r="F209" s="138">
        <f t="shared" si="26"/>
        <v>0</v>
      </c>
      <c r="G209" s="139">
        <f t="shared" si="24"/>
        <v>2870.919999999991</v>
      </c>
      <c r="H209" s="1"/>
      <c r="I209" s="516"/>
      <c r="J209" s="176"/>
      <c r="K209" s="176"/>
      <c r="L209" s="530">
        <v>-36466.06</v>
      </c>
      <c r="M209" s="68"/>
      <c r="N209" s="135"/>
      <c r="O209" s="1"/>
    </row>
    <row r="210" spans="2:17" s="133" customFormat="1" x14ac:dyDescent="0.2">
      <c r="B210" s="161">
        <v>43315</v>
      </c>
      <c r="C210" s="138">
        <v>-6827.15</v>
      </c>
      <c r="D210" s="60" t="s">
        <v>222</v>
      </c>
      <c r="E210" s="138">
        <f t="shared" si="25"/>
        <v>-6827.15</v>
      </c>
      <c r="F210" s="138">
        <f t="shared" si="26"/>
        <v>0</v>
      </c>
      <c r="G210" s="139">
        <f t="shared" si="24"/>
        <v>39336.979999999989</v>
      </c>
      <c r="H210" s="1"/>
      <c r="I210" s="516"/>
      <c r="J210" s="176"/>
      <c r="K210" s="176"/>
      <c r="L210" s="530">
        <v>-6827.15</v>
      </c>
      <c r="M210" s="68"/>
      <c r="N210" s="135"/>
      <c r="O210" s="1"/>
    </row>
    <row r="211" spans="2:17" s="133" customFormat="1" x14ac:dyDescent="0.2">
      <c r="B211" s="161">
        <v>43312</v>
      </c>
      <c r="C211" s="138">
        <v>81.45</v>
      </c>
      <c r="D211" s="60" t="s">
        <v>43</v>
      </c>
      <c r="E211" s="138">
        <f t="shared" si="25"/>
        <v>0</v>
      </c>
      <c r="F211" s="138">
        <f t="shared" si="26"/>
        <v>81.45</v>
      </c>
      <c r="G211" s="139">
        <f t="shared" si="24"/>
        <v>46164.12999999999</v>
      </c>
      <c r="H211" s="1"/>
      <c r="I211" s="516"/>
      <c r="J211" s="176">
        <v>81.45</v>
      </c>
      <c r="K211" s="176"/>
      <c r="L211" s="68"/>
      <c r="M211" s="68"/>
      <c r="N211" s="135"/>
      <c r="O211" s="1"/>
    </row>
    <row r="212" spans="2:17" s="133" customFormat="1" x14ac:dyDescent="0.2">
      <c r="B212" s="161">
        <v>43300</v>
      </c>
      <c r="C212" s="138">
        <v>-74383.929999999993</v>
      </c>
      <c r="D212" s="60" t="s">
        <v>223</v>
      </c>
      <c r="E212" s="138">
        <f t="shared" si="25"/>
        <v>-74383.929999999993</v>
      </c>
      <c r="F212" s="138">
        <f t="shared" si="26"/>
        <v>0</v>
      </c>
      <c r="G212" s="139">
        <f t="shared" si="24"/>
        <v>46082.679999999993</v>
      </c>
      <c r="H212" s="1"/>
      <c r="I212" s="516"/>
      <c r="J212" s="176"/>
      <c r="K212" s="176"/>
      <c r="L212" s="530">
        <v>-74383.929999999993</v>
      </c>
      <c r="M212" s="68"/>
      <c r="N212" s="135"/>
      <c r="O212" s="1"/>
    </row>
    <row r="213" spans="2:17" s="133" customFormat="1" x14ac:dyDescent="0.2">
      <c r="B213" s="161">
        <v>43297</v>
      </c>
      <c r="C213" s="138">
        <v>-29434.54</v>
      </c>
      <c r="D213" s="60" t="s">
        <v>224</v>
      </c>
      <c r="E213" s="138">
        <f t="shared" si="25"/>
        <v>-29434.54</v>
      </c>
      <c r="F213" s="138">
        <f t="shared" si="26"/>
        <v>0</v>
      </c>
      <c r="G213" s="139">
        <f t="shared" si="24"/>
        <v>120466.60999999999</v>
      </c>
      <c r="H213" s="1"/>
      <c r="I213" s="516"/>
      <c r="J213" s="176"/>
      <c r="K213" s="176"/>
      <c r="L213" s="68">
        <v>-29434.54</v>
      </c>
      <c r="M213" s="68"/>
      <c r="N213" s="135"/>
      <c r="O213" s="1"/>
    </row>
    <row r="214" spans="2:17" s="133" customFormat="1" x14ac:dyDescent="0.2">
      <c r="B214" s="161">
        <v>43290</v>
      </c>
      <c r="C214" s="138">
        <v>610.4</v>
      </c>
      <c r="D214" s="60" t="s">
        <v>225</v>
      </c>
      <c r="E214" s="138">
        <f t="shared" si="25"/>
        <v>0</v>
      </c>
      <c r="F214" s="138">
        <f t="shared" si="26"/>
        <v>610.4</v>
      </c>
      <c r="G214" s="139">
        <f t="shared" si="24"/>
        <v>149901.15</v>
      </c>
      <c r="H214" s="1"/>
      <c r="I214" s="516"/>
      <c r="J214" s="176"/>
      <c r="K214" s="176">
        <v>610.4</v>
      </c>
      <c r="L214" s="68"/>
      <c r="M214" s="68"/>
      <c r="N214" s="135"/>
      <c r="O214" s="1"/>
    </row>
    <row r="215" spans="2:17" s="133" customFormat="1" x14ac:dyDescent="0.2">
      <c r="B215" s="161">
        <v>43286</v>
      </c>
      <c r="C215" s="138">
        <v>5940</v>
      </c>
      <c r="D215" s="60" t="s">
        <v>227</v>
      </c>
      <c r="E215" s="138">
        <f t="shared" si="25"/>
        <v>0</v>
      </c>
      <c r="F215" s="138">
        <f t="shared" si="26"/>
        <v>5940</v>
      </c>
      <c r="G215" s="139">
        <f t="shared" si="24"/>
        <v>149290.75</v>
      </c>
      <c r="H215" s="1"/>
      <c r="I215" s="516"/>
      <c r="J215" s="176"/>
      <c r="K215" s="176">
        <v>5940</v>
      </c>
      <c r="L215" s="68"/>
      <c r="M215" s="68"/>
      <c r="N215" s="135"/>
      <c r="O215" s="1"/>
    </row>
    <row r="216" spans="2:17" s="133" customFormat="1" x14ac:dyDescent="0.2">
      <c r="B216" s="161">
        <v>43286</v>
      </c>
      <c r="C216" s="138">
        <v>-14732.15</v>
      </c>
      <c r="D216" s="60" t="s">
        <v>226</v>
      </c>
      <c r="E216" s="138">
        <f t="shared" si="25"/>
        <v>-14732.15</v>
      </c>
      <c r="F216" s="138">
        <f t="shared" si="26"/>
        <v>0</v>
      </c>
      <c r="G216" s="139">
        <f t="shared" si="24"/>
        <v>143350.75</v>
      </c>
      <c r="H216" s="1"/>
      <c r="I216" s="516"/>
      <c r="J216" s="176"/>
      <c r="K216" s="176"/>
      <c r="L216" s="530">
        <v>-14732.15</v>
      </c>
      <c r="M216" s="68"/>
      <c r="N216" s="135"/>
      <c r="O216" s="1"/>
    </row>
    <row r="217" spans="2:17" s="133" customFormat="1" x14ac:dyDescent="0.2">
      <c r="B217" s="161">
        <v>43285</v>
      </c>
      <c r="C217" s="138">
        <v>2820</v>
      </c>
      <c r="D217" s="60" t="s">
        <v>228</v>
      </c>
      <c r="E217" s="138">
        <f t="shared" si="25"/>
        <v>0</v>
      </c>
      <c r="F217" s="138">
        <f t="shared" si="26"/>
        <v>2820</v>
      </c>
      <c r="G217" s="139">
        <f t="shared" si="24"/>
        <v>158082.9</v>
      </c>
      <c r="H217" s="1"/>
      <c r="I217" s="516"/>
      <c r="J217" s="176"/>
      <c r="K217" s="176">
        <v>2820</v>
      </c>
      <c r="L217" s="68"/>
      <c r="M217" s="68"/>
      <c r="N217" s="135"/>
      <c r="O217" s="1"/>
    </row>
    <row r="218" spans="2:17" s="133" customFormat="1" x14ac:dyDescent="0.2">
      <c r="B218" s="161">
        <v>43284</v>
      </c>
      <c r="C218" s="138">
        <v>3200</v>
      </c>
      <c r="D218" s="60" t="s">
        <v>229</v>
      </c>
      <c r="E218" s="138">
        <f t="shared" si="25"/>
        <v>0</v>
      </c>
      <c r="F218" s="138">
        <f t="shared" si="26"/>
        <v>3200</v>
      </c>
      <c r="G218" s="139">
        <f t="shared" si="24"/>
        <v>155262.9</v>
      </c>
      <c r="H218" s="1"/>
      <c r="I218" s="516"/>
      <c r="J218" s="176"/>
      <c r="K218" s="176">
        <v>3200</v>
      </c>
      <c r="L218" s="68"/>
      <c r="M218" s="68"/>
      <c r="N218" s="135"/>
      <c r="O218" s="1"/>
    </row>
    <row r="219" spans="2:17" s="133" customFormat="1" ht="12" thickBot="1" x14ac:dyDescent="0.25">
      <c r="B219" s="168">
        <v>43283</v>
      </c>
      <c r="C219" s="169">
        <v>4000</v>
      </c>
      <c r="D219" s="485" t="s">
        <v>230</v>
      </c>
      <c r="E219" s="169">
        <f t="shared" si="25"/>
        <v>0</v>
      </c>
      <c r="F219" s="169">
        <f t="shared" si="26"/>
        <v>4000</v>
      </c>
      <c r="G219" s="272">
        <f>G220+E219+F219</f>
        <v>152062.9</v>
      </c>
      <c r="H219" s="1"/>
      <c r="I219" s="65"/>
      <c r="J219" s="178"/>
      <c r="K219" s="178">
        <v>4000</v>
      </c>
      <c r="L219" s="66"/>
      <c r="M219" s="66"/>
      <c r="N219" s="135"/>
      <c r="O219" s="1"/>
    </row>
    <row r="220" spans="2:17" s="181" customFormat="1" ht="12.75" x14ac:dyDescent="0.2">
      <c r="B220" s="492"/>
      <c r="C220" s="493"/>
      <c r="D220" s="503" t="s">
        <v>296</v>
      </c>
      <c r="E220" s="493"/>
      <c r="F220" s="493"/>
      <c r="G220" s="493">
        <v>148062.9</v>
      </c>
      <c r="H220" s="493"/>
      <c r="I220" s="493"/>
      <c r="J220" s="494"/>
      <c r="K220" s="494"/>
      <c r="L220" s="493"/>
      <c r="M220" s="493"/>
      <c r="N220" s="851"/>
      <c r="O220" s="495"/>
    </row>
    <row r="221" spans="2:17" s="181" customFormat="1" ht="12.75" x14ac:dyDescent="0.2">
      <c r="B221" s="496"/>
      <c r="C221" s="497"/>
      <c r="D221" s="504"/>
      <c r="E221" s="497"/>
      <c r="F221" s="497"/>
      <c r="G221" s="497"/>
      <c r="H221" s="497"/>
      <c r="I221" s="497"/>
      <c r="J221" s="499"/>
      <c r="K221" s="499"/>
      <c r="L221" s="497"/>
      <c r="M221" s="497"/>
      <c r="N221" s="851"/>
      <c r="O221" s="495"/>
    </row>
    <row r="222" spans="2:17" s="181" customFormat="1" ht="13.5" thickBot="1" x14ac:dyDescent="0.25">
      <c r="B222" s="500"/>
      <c r="C222" s="501"/>
      <c r="D222" s="505" t="s">
        <v>295</v>
      </c>
      <c r="E222" s="501"/>
      <c r="F222" s="501"/>
      <c r="G222" s="501">
        <v>148062.90000000002</v>
      </c>
      <c r="H222" s="501"/>
      <c r="I222" s="501"/>
      <c r="J222" s="502"/>
      <c r="K222" s="502"/>
      <c r="L222" s="501"/>
      <c r="M222" s="501"/>
      <c r="N222" s="851"/>
      <c r="O222" s="495"/>
    </row>
    <row r="223" spans="2:17" s="470" customFormat="1" x14ac:dyDescent="0.2">
      <c r="B223" s="512">
        <v>43280</v>
      </c>
      <c r="C223" s="436">
        <v>52.92</v>
      </c>
      <c r="D223" s="289" t="s">
        <v>43</v>
      </c>
      <c r="E223" s="436">
        <f t="shared" si="25"/>
        <v>0</v>
      </c>
      <c r="F223" s="436">
        <f t="shared" si="26"/>
        <v>52.92</v>
      </c>
      <c r="G223" s="431">
        <f t="shared" si="24"/>
        <v>148062.90000000002</v>
      </c>
      <c r="H223" s="363"/>
      <c r="I223" s="513"/>
      <c r="J223" s="514">
        <v>52.92</v>
      </c>
      <c r="K223" s="514"/>
      <c r="L223" s="436"/>
      <c r="M223" s="436"/>
      <c r="N223" s="370"/>
      <c r="O223" s="363"/>
      <c r="P223" s="85"/>
      <c r="Q223" s="85"/>
    </row>
    <row r="224" spans="2:17" s="133" customFormat="1" x14ac:dyDescent="0.2">
      <c r="B224" s="161">
        <v>43280</v>
      </c>
      <c r="C224" s="138">
        <v>14777.85</v>
      </c>
      <c r="D224" s="60" t="s">
        <v>231</v>
      </c>
      <c r="E224" s="138">
        <f t="shared" si="25"/>
        <v>0</v>
      </c>
      <c r="F224" s="138">
        <f t="shared" si="26"/>
        <v>14777.85</v>
      </c>
      <c r="G224" s="139">
        <f t="shared" si="24"/>
        <v>148009.98000000001</v>
      </c>
      <c r="H224" s="1"/>
      <c r="I224" s="283"/>
      <c r="J224" s="194"/>
      <c r="K224" s="194"/>
      <c r="L224" s="138"/>
      <c r="M224" s="138">
        <v>14777.85</v>
      </c>
      <c r="N224" s="3"/>
      <c r="O224" s="1"/>
    </row>
    <row r="225" spans="2:15" s="133" customFormat="1" x14ac:dyDescent="0.2">
      <c r="B225" s="161">
        <v>43276</v>
      </c>
      <c r="C225" s="138">
        <v>-35230</v>
      </c>
      <c r="D225" s="60" t="s">
        <v>220</v>
      </c>
      <c r="E225" s="138">
        <f t="shared" si="25"/>
        <v>-35230</v>
      </c>
      <c r="F225" s="138">
        <f t="shared" si="26"/>
        <v>0</v>
      </c>
      <c r="G225" s="139">
        <f t="shared" si="24"/>
        <v>133232.13</v>
      </c>
      <c r="H225" s="1"/>
      <c r="I225" s="283">
        <v>-35230</v>
      </c>
      <c r="J225" s="194"/>
      <c r="K225" s="194"/>
      <c r="L225" s="138"/>
      <c r="M225" s="138"/>
      <c r="N225" s="3"/>
      <c r="O225" s="1"/>
    </row>
    <row r="226" spans="2:15" s="133" customFormat="1" x14ac:dyDescent="0.2">
      <c r="B226" s="161">
        <v>43276</v>
      </c>
      <c r="C226" s="138">
        <v>-14922.15</v>
      </c>
      <c r="D226" s="60" t="s">
        <v>232</v>
      </c>
      <c r="E226" s="138">
        <f t="shared" si="25"/>
        <v>-14922.15</v>
      </c>
      <c r="F226" s="138">
        <f t="shared" si="26"/>
        <v>0</v>
      </c>
      <c r="G226" s="139">
        <v>168462.13</v>
      </c>
      <c r="H226" s="1"/>
      <c r="I226" s="283"/>
      <c r="J226" s="194"/>
      <c r="K226" s="194"/>
      <c r="L226" s="138">
        <v>-14922.15</v>
      </c>
      <c r="M226" s="138"/>
      <c r="N226" s="3"/>
      <c r="O226" s="1"/>
    </row>
  </sheetData>
  <sheetProtection sheet="1" objects="1" scenarios="1"/>
  <sortState ref="B14:P54">
    <sortCondition descending="1" ref="B14:B54"/>
  </sortState>
  <mergeCells count="2">
    <mergeCell ref="B3:C3"/>
    <mergeCell ref="N6:O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opLeftCell="E1" workbookViewId="0">
      <selection activeCell="U20" sqref="U20"/>
    </sheetView>
  </sheetViews>
  <sheetFormatPr defaultRowHeight="11.25" x14ac:dyDescent="0.2"/>
  <cols>
    <col min="1" max="1" width="2.5" style="133" customWidth="1"/>
    <col min="2" max="2" width="12.83203125" customWidth="1"/>
    <col min="3" max="3" width="10.6640625" customWidth="1"/>
    <col min="4" max="4" width="74.6640625" customWidth="1"/>
    <col min="5" max="6" width="11.1640625" style="1" customWidth="1"/>
    <col min="7" max="7" width="12.1640625" style="1" customWidth="1"/>
    <col min="8" max="8" width="4" style="136" customWidth="1"/>
    <col min="9" max="9" width="12.83203125" style="133" customWidth="1"/>
    <col min="10" max="12" width="10.83203125" style="133" customWidth="1"/>
    <col min="13" max="13" width="10.83203125" customWidth="1"/>
    <col min="14" max="16" width="10.83203125" style="133" customWidth="1"/>
    <col min="17" max="18" width="10.83203125" customWidth="1"/>
    <col min="19" max="19" width="10.83203125" style="133" customWidth="1"/>
    <col min="20" max="21" width="10.83203125" customWidth="1"/>
    <col min="22" max="22" width="12.83203125" style="1" customWidth="1"/>
  </cols>
  <sheetData>
    <row r="1" spans="2:22" ht="12" thickBot="1" x14ac:dyDescent="0.25"/>
    <row r="2" spans="2:22" s="133" customFormat="1" ht="19.5" customHeight="1" thickBot="1" x14ac:dyDescent="0.35">
      <c r="B2" s="1073" t="s">
        <v>616</v>
      </c>
      <c r="C2" s="1074"/>
      <c r="D2" s="268" t="s">
        <v>93</v>
      </c>
      <c r="E2" s="1"/>
      <c r="F2" s="1"/>
      <c r="G2" s="1"/>
      <c r="H2" s="136"/>
      <c r="I2" s="26">
        <f>22841.99-G131</f>
        <v>0</v>
      </c>
      <c r="J2" s="26"/>
      <c r="K2" s="1"/>
      <c r="L2" s="1"/>
      <c r="M2" s="26"/>
      <c r="N2" s="1"/>
      <c r="O2" s="1"/>
      <c r="P2" s="1"/>
      <c r="Q2" s="1"/>
      <c r="R2" s="1"/>
      <c r="S2" s="1"/>
      <c r="T2" s="1"/>
      <c r="V2" s="1"/>
    </row>
    <row r="3" spans="2:22" s="248" customFormat="1" ht="22.5" customHeight="1" thickBot="1" x14ac:dyDescent="0.25">
      <c r="B3" s="246"/>
      <c r="C3" s="247"/>
      <c r="E3" s="247"/>
      <c r="F3" s="247"/>
      <c r="G3" s="247"/>
      <c r="H3" s="136"/>
      <c r="I3" s="278"/>
      <c r="J3" s="278"/>
      <c r="K3" s="95"/>
      <c r="L3" s="95"/>
      <c r="M3" s="278"/>
      <c r="N3" s="95"/>
      <c r="O3" s="95"/>
      <c r="P3" s="95"/>
      <c r="Q3" s="247"/>
      <c r="R3" s="95"/>
      <c r="S3" s="315"/>
      <c r="T3" s="247"/>
      <c r="V3" s="247"/>
    </row>
    <row r="4" spans="2:22" s="256" customFormat="1" ht="30.75" customHeight="1" thickBot="1" x14ac:dyDescent="0.25">
      <c r="B4" s="250" t="s">
        <v>13</v>
      </c>
      <c r="C4" s="251" t="s">
        <v>44</v>
      </c>
      <c r="D4" s="252" t="s">
        <v>57</v>
      </c>
      <c r="E4" s="251" t="s">
        <v>78</v>
      </c>
      <c r="F4" s="251" t="s">
        <v>79</v>
      </c>
      <c r="G4" s="328" t="s">
        <v>80</v>
      </c>
      <c r="H4" s="994"/>
      <c r="I4" s="325" t="s">
        <v>133</v>
      </c>
      <c r="J4" s="253" t="s">
        <v>321</v>
      </c>
      <c r="K4" s="279" t="s">
        <v>527</v>
      </c>
      <c r="L4" s="279" t="s">
        <v>526</v>
      </c>
      <c r="M4" s="253" t="s">
        <v>132</v>
      </c>
      <c r="N4" s="279" t="s">
        <v>362</v>
      </c>
      <c r="O4" s="279" t="s">
        <v>299</v>
      </c>
      <c r="P4" s="279" t="s">
        <v>363</v>
      </c>
      <c r="Q4" s="254" t="s">
        <v>91</v>
      </c>
      <c r="R4" s="279" t="s">
        <v>90</v>
      </c>
      <c r="S4" s="253" t="s">
        <v>84</v>
      </c>
      <c r="T4" s="1071" t="s">
        <v>86</v>
      </c>
      <c r="U4" s="1072"/>
      <c r="V4" s="326" t="s">
        <v>86</v>
      </c>
    </row>
    <row r="5" spans="2:22" s="260" customFormat="1" ht="18" customHeight="1" thickTop="1" thickBot="1" x14ac:dyDescent="0.25">
      <c r="B5" s="261"/>
      <c r="C5" s="262" t="s">
        <v>88</v>
      </c>
      <c r="D5" s="261"/>
      <c r="E5" s="307"/>
      <c r="F5" s="307"/>
      <c r="G5" s="307"/>
      <c r="H5" s="994"/>
      <c r="I5" s="992" t="s">
        <v>134</v>
      </c>
      <c r="J5" s="262" t="s">
        <v>135</v>
      </c>
      <c r="K5" s="280"/>
      <c r="L5" s="280"/>
      <c r="M5" s="262" t="s">
        <v>92</v>
      </c>
      <c r="N5" s="280"/>
      <c r="O5" s="280"/>
      <c r="P5" s="280" t="s">
        <v>364</v>
      </c>
      <c r="Q5" s="263"/>
      <c r="R5" s="280"/>
      <c r="T5" s="1007" t="s">
        <v>629</v>
      </c>
      <c r="U5" s="1004" t="s">
        <v>80</v>
      </c>
      <c r="V5" s="327" t="s">
        <v>630</v>
      </c>
    </row>
    <row r="6" spans="2:22" s="1" customFormat="1" ht="12.75" thickTop="1" thickBot="1" x14ac:dyDescent="0.25">
      <c r="B6" s="996"/>
      <c r="C6" s="990">
        <f>SUM(C12:C127)</f>
        <v>21568.370000000006</v>
      </c>
      <c r="D6" s="989"/>
      <c r="E6" s="990">
        <f t="shared" ref="E6:F6" si="0">SUM(E12:E127)</f>
        <v>-90836.14999999998</v>
      </c>
      <c r="F6" s="990">
        <f t="shared" si="0"/>
        <v>112404.51999999996</v>
      </c>
      <c r="G6" s="997">
        <f>SUM(E6:F6)</f>
        <v>21568.369999999981</v>
      </c>
      <c r="H6" s="994"/>
      <c r="I6" s="1002">
        <f t="shared" ref="I6:S6" si="1">SUM(I12:I127)</f>
        <v>30999</v>
      </c>
      <c r="J6" s="990">
        <f t="shared" si="1"/>
        <v>0</v>
      </c>
      <c r="K6" s="990">
        <f t="shared" si="1"/>
        <v>9886</v>
      </c>
      <c r="L6" s="990">
        <f t="shared" si="1"/>
        <v>3052.6800000000003</v>
      </c>
      <c r="M6" s="990">
        <f t="shared" si="1"/>
        <v>60000</v>
      </c>
      <c r="N6" s="990">
        <f t="shared" si="1"/>
        <v>0</v>
      </c>
      <c r="O6" s="990">
        <f t="shared" si="1"/>
        <v>0.03</v>
      </c>
      <c r="P6" s="990">
        <f t="shared" si="1"/>
        <v>-440</v>
      </c>
      <c r="Q6" s="990">
        <f t="shared" si="1"/>
        <v>0</v>
      </c>
      <c r="R6" s="990">
        <f t="shared" si="1"/>
        <v>4370.75</v>
      </c>
      <c r="S6" s="990">
        <f t="shared" si="1"/>
        <v>-86300.089999999982</v>
      </c>
      <c r="T6" s="1003">
        <f>SUM(I6:S6)</f>
        <v>21568.37000000001</v>
      </c>
      <c r="U6" s="211">
        <f>T6+G128</f>
        <v>44410.36000000003</v>
      </c>
      <c r="V6" s="1005"/>
    </row>
    <row r="7" spans="2:22" s="136" customFormat="1" x14ac:dyDescent="0.2">
      <c r="B7" s="995"/>
      <c r="C7" s="459"/>
      <c r="D7" s="455"/>
      <c r="E7" s="459"/>
      <c r="F7" s="459"/>
      <c r="G7" s="460"/>
      <c r="I7" s="998"/>
      <c r="J7" s="999"/>
      <c r="K7" s="1000"/>
      <c r="L7" s="1000"/>
      <c r="M7" s="455"/>
      <c r="N7" s="1000"/>
      <c r="O7" s="1000"/>
      <c r="P7" s="1000"/>
      <c r="Q7" s="460"/>
      <c r="R7" s="1000"/>
      <c r="S7" s="459"/>
      <c r="T7" s="1001"/>
      <c r="U7" s="481"/>
      <c r="V7" s="1006"/>
    </row>
    <row r="8" spans="2:22" s="136" customFormat="1" ht="12" thickBot="1" x14ac:dyDescent="0.25">
      <c r="B8" s="152"/>
      <c r="C8" s="68"/>
      <c r="D8" s="60"/>
      <c r="E8" s="68"/>
      <c r="F8" s="68"/>
      <c r="G8" s="33"/>
      <c r="I8" s="322"/>
      <c r="J8" s="323"/>
      <c r="K8" s="217"/>
      <c r="L8" s="217"/>
      <c r="M8" s="60"/>
      <c r="N8" s="217"/>
      <c r="O8" s="217"/>
      <c r="P8" s="217"/>
      <c r="Q8" s="33"/>
      <c r="R8" s="217"/>
      <c r="S8" s="68"/>
      <c r="T8" s="768"/>
      <c r="U8" s="769"/>
      <c r="V8" s="1006"/>
    </row>
    <row r="9" spans="2:22" s="181" customFormat="1" ht="12.75" x14ac:dyDescent="0.2">
      <c r="B9" s="492"/>
      <c r="C9" s="493"/>
      <c r="D9" s="503" t="s">
        <v>604</v>
      </c>
      <c r="E9" s="493"/>
      <c r="F9" s="493"/>
      <c r="G9" s="493">
        <v>22841.990000000016</v>
      </c>
      <c r="H9" s="136"/>
      <c r="I9" s="494"/>
      <c r="J9" s="494"/>
      <c r="K9" s="493"/>
      <c r="L9" s="493"/>
      <c r="M9" s="494"/>
      <c r="N9" s="493"/>
      <c r="O9" s="493"/>
      <c r="P9" s="493"/>
      <c r="Q9" s="493"/>
      <c r="R9" s="493"/>
      <c r="S9" s="493"/>
      <c r="T9" s="497"/>
      <c r="U9" s="498"/>
      <c r="V9" s="985"/>
    </row>
    <row r="10" spans="2:22" s="181" customFormat="1" ht="12.75" x14ac:dyDescent="0.2">
      <c r="B10" s="496"/>
      <c r="C10" s="497"/>
      <c r="D10" s="504"/>
      <c r="E10" s="497"/>
      <c r="F10" s="497"/>
      <c r="G10" s="497"/>
      <c r="H10" s="136"/>
      <c r="I10" s="499"/>
      <c r="J10" s="499"/>
      <c r="K10" s="497"/>
      <c r="L10" s="497"/>
      <c r="M10" s="499"/>
      <c r="N10" s="497"/>
      <c r="O10" s="497"/>
      <c r="P10" s="497"/>
      <c r="Q10" s="497"/>
      <c r="R10" s="497"/>
      <c r="S10" s="497"/>
      <c r="T10" s="497"/>
      <c r="U10" s="498"/>
      <c r="V10" s="497"/>
    </row>
    <row r="11" spans="2:22" s="181" customFormat="1" ht="13.5" thickBot="1" x14ac:dyDescent="0.25">
      <c r="B11" s="500"/>
      <c r="C11" s="501"/>
      <c r="D11" s="505" t="s">
        <v>614</v>
      </c>
      <c r="E11" s="501"/>
      <c r="F11" s="501"/>
      <c r="G11" s="501">
        <v>22841.990000000016</v>
      </c>
      <c r="H11" s="136"/>
      <c r="I11" s="502"/>
      <c r="J11" s="502"/>
      <c r="K11" s="501"/>
      <c r="L11" s="501"/>
      <c r="M11" s="502"/>
      <c r="N11" s="501"/>
      <c r="O11" s="501"/>
      <c r="P11" s="501"/>
      <c r="Q11" s="501"/>
      <c r="R11" s="501"/>
      <c r="S11" s="501"/>
      <c r="T11" s="497"/>
      <c r="U11" s="498"/>
      <c r="V11" s="501"/>
    </row>
    <row r="12" spans="2:22" s="136" customFormat="1" x14ac:dyDescent="0.2">
      <c r="B12" s="152">
        <v>44372</v>
      </c>
      <c r="C12" s="68">
        <v>-3000</v>
      </c>
      <c r="D12" s="60" t="s">
        <v>617</v>
      </c>
      <c r="E12" s="68">
        <f t="shared" ref="E12:E25" si="2">IF(C12&lt;0,C12,0)</f>
        <v>-3000</v>
      </c>
      <c r="F12" s="68">
        <f t="shared" ref="F12:F25" si="3">IF(C12&lt;0,0,C12)</f>
        <v>0</v>
      </c>
      <c r="G12" s="33">
        <f t="shared" ref="G12:G25" si="4">G13+E12+F12</f>
        <v>44410.360000000015</v>
      </c>
      <c r="I12" s="322">
        <v>-3000</v>
      </c>
      <c r="J12" s="323"/>
      <c r="K12" s="217"/>
      <c r="L12" s="217"/>
      <c r="M12" s="60"/>
      <c r="N12" s="217"/>
      <c r="O12" s="217"/>
      <c r="P12" s="217"/>
      <c r="Q12" s="33"/>
      <c r="R12" s="217"/>
      <c r="S12" s="68"/>
      <c r="T12" s="768"/>
      <c r="U12" s="769"/>
      <c r="V12" s="516">
        <f t="shared" ref="V12:V25" si="5">SUM(I12:S12)-C12</f>
        <v>0</v>
      </c>
    </row>
    <row r="13" spans="2:22" s="136" customFormat="1" x14ac:dyDescent="0.2">
      <c r="B13" s="152">
        <v>44372</v>
      </c>
      <c r="C13" s="68">
        <v>-1000</v>
      </c>
      <c r="D13" s="60" t="s">
        <v>618</v>
      </c>
      <c r="E13" s="68">
        <f t="shared" si="2"/>
        <v>-1000</v>
      </c>
      <c r="F13" s="68">
        <f t="shared" si="3"/>
        <v>0</v>
      </c>
      <c r="G13" s="33">
        <f t="shared" si="4"/>
        <v>47410.360000000015</v>
      </c>
      <c r="I13" s="322">
        <v>-1000</v>
      </c>
      <c r="J13" s="323"/>
      <c r="K13" s="217"/>
      <c r="L13" s="217"/>
      <c r="M13" s="60"/>
      <c r="N13" s="217"/>
      <c r="O13" s="217"/>
      <c r="P13" s="217"/>
      <c r="Q13" s="33"/>
      <c r="R13" s="217"/>
      <c r="S13" s="68"/>
      <c r="T13" s="768"/>
      <c r="U13" s="769"/>
      <c r="V13" s="516">
        <f t="shared" si="5"/>
        <v>0</v>
      </c>
    </row>
    <row r="14" spans="2:22" s="136" customFormat="1" x14ac:dyDescent="0.2">
      <c r="B14" s="152">
        <v>44371</v>
      </c>
      <c r="C14" s="68">
        <v>69.650000000000006</v>
      </c>
      <c r="D14" s="60" t="s">
        <v>619</v>
      </c>
      <c r="E14" s="68">
        <f t="shared" si="2"/>
        <v>0</v>
      </c>
      <c r="F14" s="68">
        <f t="shared" si="3"/>
        <v>69.650000000000006</v>
      </c>
      <c r="G14" s="33">
        <f t="shared" si="4"/>
        <v>48410.360000000015</v>
      </c>
      <c r="I14" s="322"/>
      <c r="J14" s="323"/>
      <c r="K14" s="217"/>
      <c r="L14" s="217">
        <v>69.650000000000006</v>
      </c>
      <c r="M14" s="60"/>
      <c r="N14" s="217"/>
      <c r="O14" s="217"/>
      <c r="P14" s="217"/>
      <c r="Q14" s="33"/>
      <c r="R14" s="217"/>
      <c r="S14" s="68"/>
      <c r="T14" s="768"/>
      <c r="U14" s="769"/>
      <c r="V14" s="516">
        <f t="shared" si="5"/>
        <v>0</v>
      </c>
    </row>
    <row r="15" spans="2:22" s="136" customFormat="1" x14ac:dyDescent="0.2">
      <c r="B15" s="152">
        <v>44371</v>
      </c>
      <c r="C15" s="68">
        <v>69.650000000000006</v>
      </c>
      <c r="D15" s="60" t="s">
        <v>620</v>
      </c>
      <c r="E15" s="68">
        <f t="shared" si="2"/>
        <v>0</v>
      </c>
      <c r="F15" s="68">
        <f t="shared" si="3"/>
        <v>69.650000000000006</v>
      </c>
      <c r="G15" s="33">
        <f t="shared" si="4"/>
        <v>48340.710000000014</v>
      </c>
      <c r="I15" s="322"/>
      <c r="J15" s="323"/>
      <c r="K15" s="217"/>
      <c r="L15" s="217">
        <v>69.650000000000006</v>
      </c>
      <c r="M15" s="60"/>
      <c r="N15" s="217"/>
      <c r="O15" s="217"/>
      <c r="P15" s="217"/>
      <c r="Q15" s="33"/>
      <c r="R15" s="217"/>
      <c r="S15" s="68"/>
      <c r="T15" s="768"/>
      <c r="U15" s="769"/>
      <c r="V15" s="516">
        <f t="shared" si="5"/>
        <v>0</v>
      </c>
    </row>
    <row r="16" spans="2:22" s="136" customFormat="1" x14ac:dyDescent="0.2">
      <c r="B16" s="152">
        <v>44363</v>
      </c>
      <c r="C16" s="68">
        <v>0.03</v>
      </c>
      <c r="D16" s="60" t="s">
        <v>43</v>
      </c>
      <c r="E16" s="68">
        <f t="shared" si="2"/>
        <v>0</v>
      </c>
      <c r="F16" s="68">
        <f t="shared" si="3"/>
        <v>0.03</v>
      </c>
      <c r="G16" s="33">
        <f t="shared" si="4"/>
        <v>48271.060000000012</v>
      </c>
      <c r="I16" s="322"/>
      <c r="J16" s="323"/>
      <c r="K16" s="217"/>
      <c r="L16" s="217"/>
      <c r="M16" s="60"/>
      <c r="N16" s="217"/>
      <c r="O16" s="217">
        <v>0.03</v>
      </c>
      <c r="P16" s="217"/>
      <c r="Q16" s="33"/>
      <c r="R16" s="217"/>
      <c r="S16" s="68"/>
      <c r="T16" s="768"/>
      <c r="U16" s="769"/>
      <c r="V16" s="516">
        <f t="shared" si="5"/>
        <v>0</v>
      </c>
    </row>
    <row r="17" spans="2:22" s="136" customFormat="1" x14ac:dyDescent="0.2">
      <c r="B17" s="152">
        <v>44362</v>
      </c>
      <c r="C17" s="68">
        <v>-1000</v>
      </c>
      <c r="D17" s="60" t="s">
        <v>621</v>
      </c>
      <c r="E17" s="68">
        <f t="shared" si="2"/>
        <v>-1000</v>
      </c>
      <c r="F17" s="68">
        <f t="shared" si="3"/>
        <v>0</v>
      </c>
      <c r="G17" s="33">
        <f t="shared" si="4"/>
        <v>48271.030000000013</v>
      </c>
      <c r="I17" s="322"/>
      <c r="J17" s="323"/>
      <c r="K17" s="217"/>
      <c r="L17" s="217"/>
      <c r="M17" s="60"/>
      <c r="N17" s="217"/>
      <c r="O17" s="217"/>
      <c r="P17" s="217"/>
      <c r="Q17" s="33"/>
      <c r="R17" s="217"/>
      <c r="S17" s="68">
        <v>-1000</v>
      </c>
      <c r="T17" s="768"/>
      <c r="U17" s="769"/>
      <c r="V17" s="516">
        <f t="shared" si="5"/>
        <v>0</v>
      </c>
    </row>
    <row r="18" spans="2:22" s="136" customFormat="1" x14ac:dyDescent="0.2">
      <c r="B18" s="152">
        <v>44358</v>
      </c>
      <c r="C18" s="68">
        <v>-5000</v>
      </c>
      <c r="D18" s="60" t="s">
        <v>622</v>
      </c>
      <c r="E18" s="68">
        <f t="shared" si="2"/>
        <v>-5000</v>
      </c>
      <c r="F18" s="68">
        <f t="shared" si="3"/>
        <v>0</v>
      </c>
      <c r="G18" s="33">
        <f t="shared" si="4"/>
        <v>49271.030000000013</v>
      </c>
      <c r="I18" s="322"/>
      <c r="J18" s="323"/>
      <c r="K18" s="217"/>
      <c r="L18" s="217"/>
      <c r="M18" s="60"/>
      <c r="N18" s="217"/>
      <c r="O18" s="217"/>
      <c r="P18" s="217"/>
      <c r="Q18" s="33"/>
      <c r="R18" s="217"/>
      <c r="S18" s="68">
        <v>-5000</v>
      </c>
      <c r="T18" s="768"/>
      <c r="U18" s="769"/>
      <c r="V18" s="516">
        <f t="shared" si="5"/>
        <v>0</v>
      </c>
    </row>
    <row r="19" spans="2:22" s="136" customFormat="1" x14ac:dyDescent="0.2">
      <c r="B19" s="152">
        <v>44356</v>
      </c>
      <c r="C19" s="68">
        <v>40000</v>
      </c>
      <c r="D19" s="60" t="s">
        <v>623</v>
      </c>
      <c r="E19" s="68">
        <f t="shared" si="2"/>
        <v>0</v>
      </c>
      <c r="F19" s="68">
        <f t="shared" si="3"/>
        <v>40000</v>
      </c>
      <c r="G19" s="33">
        <f t="shared" si="4"/>
        <v>54271.030000000013</v>
      </c>
      <c r="I19" s="322"/>
      <c r="J19" s="323"/>
      <c r="K19" s="217"/>
      <c r="L19" s="217"/>
      <c r="M19" s="60">
        <v>40000</v>
      </c>
      <c r="N19" s="217"/>
      <c r="O19" s="217"/>
      <c r="P19" s="217"/>
      <c r="Q19" s="33"/>
      <c r="R19" s="217"/>
      <c r="S19" s="68"/>
      <c r="T19" s="768"/>
      <c r="U19" s="769"/>
      <c r="V19" s="516">
        <f t="shared" si="5"/>
        <v>0</v>
      </c>
    </row>
    <row r="20" spans="2:22" s="136" customFormat="1" x14ac:dyDescent="0.2">
      <c r="B20" s="152">
        <v>44355</v>
      </c>
      <c r="C20" s="68">
        <v>125.45</v>
      </c>
      <c r="D20" s="60" t="s">
        <v>625</v>
      </c>
      <c r="E20" s="68">
        <f t="shared" si="2"/>
        <v>0</v>
      </c>
      <c r="F20" s="68">
        <f t="shared" si="3"/>
        <v>125.45</v>
      </c>
      <c r="G20" s="33">
        <f t="shared" si="4"/>
        <v>14271.030000000017</v>
      </c>
      <c r="I20" s="322"/>
      <c r="J20" s="323"/>
      <c r="K20" s="217"/>
      <c r="L20" s="217"/>
      <c r="M20" s="60"/>
      <c r="N20" s="217"/>
      <c r="O20" s="217"/>
      <c r="P20" s="217"/>
      <c r="Q20" s="33"/>
      <c r="R20" s="217">
        <v>125.45</v>
      </c>
      <c r="S20" s="68"/>
      <c r="T20" s="768"/>
      <c r="U20" s="769"/>
      <c r="V20" s="516">
        <f t="shared" si="5"/>
        <v>0</v>
      </c>
    </row>
    <row r="21" spans="2:22" s="136" customFormat="1" x14ac:dyDescent="0.2">
      <c r="B21" s="152">
        <v>44355</v>
      </c>
      <c r="C21" s="68">
        <v>-1500</v>
      </c>
      <c r="D21" s="60" t="s">
        <v>624</v>
      </c>
      <c r="E21" s="68">
        <f t="shared" si="2"/>
        <v>-1500</v>
      </c>
      <c r="F21" s="68">
        <f t="shared" si="3"/>
        <v>0</v>
      </c>
      <c r="G21" s="33">
        <f t="shared" si="4"/>
        <v>14145.580000000016</v>
      </c>
      <c r="I21" s="322"/>
      <c r="J21" s="323"/>
      <c r="K21" s="217"/>
      <c r="L21" s="217"/>
      <c r="M21" s="60"/>
      <c r="N21" s="217"/>
      <c r="O21" s="217"/>
      <c r="P21" s="217"/>
      <c r="Q21" s="33"/>
      <c r="R21" s="217"/>
      <c r="S21" s="68">
        <v>-1500</v>
      </c>
      <c r="T21" s="768"/>
      <c r="U21" s="769"/>
      <c r="V21" s="516">
        <f t="shared" si="5"/>
        <v>0</v>
      </c>
    </row>
    <row r="22" spans="2:22" s="136" customFormat="1" x14ac:dyDescent="0.2">
      <c r="B22" s="152">
        <v>44347</v>
      </c>
      <c r="C22" s="68">
        <v>-376</v>
      </c>
      <c r="D22" s="60" t="s">
        <v>83</v>
      </c>
      <c r="E22" s="68">
        <f t="shared" si="2"/>
        <v>-376</v>
      </c>
      <c r="F22" s="68">
        <f t="shared" si="3"/>
        <v>0</v>
      </c>
      <c r="G22" s="33">
        <f t="shared" si="4"/>
        <v>15645.580000000016</v>
      </c>
      <c r="I22" s="322"/>
      <c r="J22" s="323"/>
      <c r="K22" s="217"/>
      <c r="L22" s="217"/>
      <c r="M22" s="60"/>
      <c r="N22" s="217"/>
      <c r="O22" s="217"/>
      <c r="P22" s="217"/>
      <c r="Q22" s="33"/>
      <c r="R22" s="217"/>
      <c r="S22" s="68">
        <v>-376</v>
      </c>
      <c r="T22" s="768"/>
      <c r="U22" s="769"/>
      <c r="V22" s="516">
        <f t="shared" si="5"/>
        <v>0</v>
      </c>
    </row>
    <row r="23" spans="2:22" s="136" customFormat="1" x14ac:dyDescent="0.2">
      <c r="B23" s="152">
        <v>44347</v>
      </c>
      <c r="C23" s="68">
        <v>-2500</v>
      </c>
      <c r="D23" s="60" t="s">
        <v>626</v>
      </c>
      <c r="E23" s="68">
        <f t="shared" si="2"/>
        <v>-2500</v>
      </c>
      <c r="F23" s="68">
        <f t="shared" si="3"/>
        <v>0</v>
      </c>
      <c r="G23" s="33">
        <f t="shared" si="4"/>
        <v>16021.580000000016</v>
      </c>
      <c r="I23" s="322"/>
      <c r="J23" s="323"/>
      <c r="K23" s="217"/>
      <c r="L23" s="217"/>
      <c r="M23" s="60"/>
      <c r="N23" s="217"/>
      <c r="O23" s="217"/>
      <c r="P23" s="217"/>
      <c r="Q23" s="33"/>
      <c r="R23" s="217"/>
      <c r="S23" s="68">
        <v>-2500</v>
      </c>
      <c r="T23" s="768"/>
      <c r="U23" s="769"/>
      <c r="V23" s="516">
        <f t="shared" si="5"/>
        <v>0</v>
      </c>
    </row>
    <row r="24" spans="2:22" s="136" customFormat="1" x14ac:dyDescent="0.2">
      <c r="B24" s="152">
        <v>44344</v>
      </c>
      <c r="C24" s="68">
        <v>183.55</v>
      </c>
      <c r="D24" s="60" t="s">
        <v>627</v>
      </c>
      <c r="E24" s="68">
        <f t="shared" si="2"/>
        <v>0</v>
      </c>
      <c r="F24" s="68">
        <f t="shared" si="3"/>
        <v>183.55</v>
      </c>
      <c r="G24" s="33">
        <f t="shared" si="4"/>
        <v>18521.580000000016</v>
      </c>
      <c r="I24" s="322"/>
      <c r="J24" s="323"/>
      <c r="K24" s="217"/>
      <c r="L24" s="217"/>
      <c r="M24" s="60"/>
      <c r="N24" s="217"/>
      <c r="O24" s="217"/>
      <c r="P24" s="217"/>
      <c r="Q24" s="33"/>
      <c r="R24" s="217">
        <v>183.55</v>
      </c>
      <c r="S24" s="68"/>
      <c r="T24" s="768"/>
      <c r="U24" s="769"/>
      <c r="V24" s="516">
        <f t="shared" si="5"/>
        <v>0</v>
      </c>
    </row>
    <row r="25" spans="2:22" s="136" customFormat="1" x14ac:dyDescent="0.2">
      <c r="B25" s="152">
        <v>44343</v>
      </c>
      <c r="C25" s="68">
        <v>125.45</v>
      </c>
      <c r="D25" s="60" t="s">
        <v>628</v>
      </c>
      <c r="E25" s="68">
        <f t="shared" si="2"/>
        <v>0</v>
      </c>
      <c r="F25" s="68">
        <f t="shared" si="3"/>
        <v>125.45</v>
      </c>
      <c r="G25" s="33">
        <f t="shared" si="4"/>
        <v>18338.030000000017</v>
      </c>
      <c r="I25" s="322"/>
      <c r="J25" s="323"/>
      <c r="K25" s="217"/>
      <c r="L25" s="217"/>
      <c r="M25" s="60"/>
      <c r="N25" s="217"/>
      <c r="O25" s="217"/>
      <c r="P25" s="217"/>
      <c r="Q25" s="33"/>
      <c r="R25" s="217">
        <v>125.45</v>
      </c>
      <c r="S25" s="68"/>
      <c r="T25" s="768"/>
      <c r="U25" s="769"/>
      <c r="V25" s="516">
        <f t="shared" si="5"/>
        <v>0</v>
      </c>
    </row>
    <row r="26" spans="2:22" s="136" customFormat="1" x14ac:dyDescent="0.2">
      <c r="B26" s="152">
        <v>44335</v>
      </c>
      <c r="C26" s="68">
        <v>-467.3</v>
      </c>
      <c r="D26" s="60" t="s">
        <v>434</v>
      </c>
      <c r="E26" s="68">
        <f t="shared" ref="E26:E57" si="6">IF(C26&lt;0,C26,0)</f>
        <v>-467.3</v>
      </c>
      <c r="F26" s="68">
        <f t="shared" ref="F26:F57" si="7">IF(C26&lt;0,0,C26)</f>
        <v>0</v>
      </c>
      <c r="G26" s="33">
        <f t="shared" ref="G26:G57" si="8">G27+E26+F26</f>
        <v>18212.580000000016</v>
      </c>
      <c r="I26" s="322"/>
      <c r="J26" s="323"/>
      <c r="K26" s="217"/>
      <c r="L26" s="217"/>
      <c r="M26" s="60"/>
      <c r="N26" s="217"/>
      <c r="O26" s="217"/>
      <c r="P26" s="217"/>
      <c r="Q26" s="33"/>
      <c r="R26" s="217"/>
      <c r="S26" s="68">
        <v>-467.3</v>
      </c>
      <c r="T26" s="768"/>
      <c r="U26" s="769"/>
      <c r="V26" s="516">
        <f t="shared" ref="V26:V57" si="9">SUM(I26:S26)-C26</f>
        <v>0</v>
      </c>
    </row>
    <row r="27" spans="2:22" s="136" customFormat="1" x14ac:dyDescent="0.2">
      <c r="B27" s="152">
        <v>44333</v>
      </c>
      <c r="C27" s="68">
        <v>-4000</v>
      </c>
      <c r="D27" s="60" t="s">
        <v>435</v>
      </c>
      <c r="E27" s="68">
        <f t="shared" si="6"/>
        <v>-4000</v>
      </c>
      <c r="F27" s="68">
        <f t="shared" si="7"/>
        <v>0</v>
      </c>
      <c r="G27" s="33">
        <f t="shared" si="8"/>
        <v>18679.880000000016</v>
      </c>
      <c r="I27" s="322"/>
      <c r="J27" s="323"/>
      <c r="K27" s="217"/>
      <c r="L27" s="217"/>
      <c r="M27" s="60"/>
      <c r="N27" s="217"/>
      <c r="O27" s="217"/>
      <c r="P27" s="217"/>
      <c r="Q27" s="33"/>
      <c r="R27" s="217"/>
      <c r="S27" s="68">
        <v>-4000</v>
      </c>
      <c r="T27" s="768"/>
      <c r="U27" s="769"/>
      <c r="V27" s="516">
        <f t="shared" si="9"/>
        <v>0</v>
      </c>
    </row>
    <row r="28" spans="2:22" s="136" customFormat="1" x14ac:dyDescent="0.2">
      <c r="B28" s="152">
        <v>44333</v>
      </c>
      <c r="C28" s="68">
        <v>-2373.5</v>
      </c>
      <c r="D28" s="60" t="s">
        <v>436</v>
      </c>
      <c r="E28" s="68">
        <f t="shared" si="6"/>
        <v>-2373.5</v>
      </c>
      <c r="F28" s="68">
        <f t="shared" si="7"/>
        <v>0</v>
      </c>
      <c r="G28" s="33">
        <f t="shared" si="8"/>
        <v>22679.880000000016</v>
      </c>
      <c r="I28" s="322"/>
      <c r="J28" s="323"/>
      <c r="K28" s="217"/>
      <c r="L28" s="217"/>
      <c r="M28" s="60"/>
      <c r="N28" s="217"/>
      <c r="O28" s="217"/>
      <c r="P28" s="217"/>
      <c r="Q28" s="33"/>
      <c r="R28" s="217"/>
      <c r="S28" s="68">
        <v>-2373.5</v>
      </c>
      <c r="T28" s="768"/>
      <c r="U28" s="769"/>
      <c r="V28" s="516">
        <f t="shared" si="9"/>
        <v>0</v>
      </c>
    </row>
    <row r="29" spans="2:22" s="136" customFormat="1" x14ac:dyDescent="0.2">
      <c r="B29" s="152">
        <v>44327</v>
      </c>
      <c r="C29" s="68">
        <v>407</v>
      </c>
      <c r="D29" s="60" t="s">
        <v>437</v>
      </c>
      <c r="E29" s="68">
        <f t="shared" si="6"/>
        <v>0</v>
      </c>
      <c r="F29" s="68">
        <f t="shared" si="7"/>
        <v>407</v>
      </c>
      <c r="G29" s="33">
        <f t="shared" si="8"/>
        <v>25053.380000000016</v>
      </c>
      <c r="I29" s="322"/>
      <c r="J29" s="323"/>
      <c r="K29" s="217"/>
      <c r="L29" s="217"/>
      <c r="M29" s="60"/>
      <c r="N29" s="217"/>
      <c r="O29" s="217"/>
      <c r="P29" s="217"/>
      <c r="Q29" s="33"/>
      <c r="R29" s="217">
        <v>407</v>
      </c>
      <c r="S29" s="68"/>
      <c r="T29" s="768"/>
      <c r="U29" s="769"/>
      <c r="V29" s="516">
        <f t="shared" si="9"/>
        <v>0</v>
      </c>
    </row>
    <row r="30" spans="2:22" s="136" customFormat="1" x14ac:dyDescent="0.2">
      <c r="B30" s="152">
        <v>44321</v>
      </c>
      <c r="C30" s="68">
        <v>-151.88999999999999</v>
      </c>
      <c r="D30" s="60" t="s">
        <v>438</v>
      </c>
      <c r="E30" s="68">
        <f t="shared" si="6"/>
        <v>-151.88999999999999</v>
      </c>
      <c r="F30" s="68">
        <f t="shared" si="7"/>
        <v>0</v>
      </c>
      <c r="G30" s="33">
        <f t="shared" si="8"/>
        <v>24646.380000000016</v>
      </c>
      <c r="I30" s="322"/>
      <c r="J30" s="323"/>
      <c r="K30" s="217"/>
      <c r="L30" s="217"/>
      <c r="M30" s="60"/>
      <c r="N30" s="217"/>
      <c r="O30" s="217"/>
      <c r="P30" s="217"/>
      <c r="Q30" s="33"/>
      <c r="R30" s="217"/>
      <c r="S30" s="68">
        <v>-151.88999999999999</v>
      </c>
      <c r="T30" s="768"/>
      <c r="U30" s="769"/>
      <c r="V30" s="516">
        <f t="shared" si="9"/>
        <v>0</v>
      </c>
    </row>
    <row r="31" spans="2:22" s="136" customFormat="1" x14ac:dyDescent="0.2">
      <c r="B31" s="152">
        <v>44315</v>
      </c>
      <c r="C31" s="68">
        <v>9999</v>
      </c>
      <c r="D31" s="60" t="s">
        <v>439</v>
      </c>
      <c r="E31" s="68">
        <f t="shared" si="6"/>
        <v>0</v>
      </c>
      <c r="F31" s="68">
        <f t="shared" si="7"/>
        <v>9999</v>
      </c>
      <c r="G31" s="33">
        <f t="shared" si="8"/>
        <v>24798.270000000015</v>
      </c>
      <c r="I31" s="322">
        <v>9999</v>
      </c>
      <c r="J31" s="323"/>
      <c r="K31" s="217"/>
      <c r="L31" s="217"/>
      <c r="M31" s="60"/>
      <c r="N31" s="217"/>
      <c r="O31" s="217"/>
      <c r="P31" s="217"/>
      <c r="Q31" s="33"/>
      <c r="R31" s="217"/>
      <c r="S31" s="68"/>
      <c r="T31" s="768"/>
      <c r="U31" s="769"/>
      <c r="V31" s="516">
        <f t="shared" si="9"/>
        <v>0</v>
      </c>
    </row>
    <row r="32" spans="2:22" s="136" customFormat="1" x14ac:dyDescent="0.2">
      <c r="B32" s="152">
        <v>44314</v>
      </c>
      <c r="C32" s="68">
        <v>-60</v>
      </c>
      <c r="D32" s="60" t="s">
        <v>441</v>
      </c>
      <c r="E32" s="68">
        <f t="shared" si="6"/>
        <v>-60</v>
      </c>
      <c r="F32" s="68">
        <f t="shared" si="7"/>
        <v>0</v>
      </c>
      <c r="G32" s="33">
        <f t="shared" si="8"/>
        <v>14799.270000000015</v>
      </c>
      <c r="I32" s="322"/>
      <c r="J32" s="323"/>
      <c r="K32" s="217"/>
      <c r="L32" s="217"/>
      <c r="M32" s="60"/>
      <c r="N32" s="217"/>
      <c r="O32" s="217"/>
      <c r="P32" s="217"/>
      <c r="Q32" s="33"/>
      <c r="R32" s="217"/>
      <c r="S32" s="68">
        <v>-60</v>
      </c>
      <c r="T32" s="768"/>
      <c r="U32" s="769"/>
      <c r="V32" s="516">
        <f t="shared" si="9"/>
        <v>0</v>
      </c>
    </row>
    <row r="33" spans="2:22" s="136" customFormat="1" x14ac:dyDescent="0.2">
      <c r="B33" s="152">
        <v>44314</v>
      </c>
      <c r="C33" s="68">
        <v>-1600</v>
      </c>
      <c r="D33" s="60" t="s">
        <v>440</v>
      </c>
      <c r="E33" s="68">
        <f t="shared" si="6"/>
        <v>-1600</v>
      </c>
      <c r="F33" s="68">
        <f t="shared" si="7"/>
        <v>0</v>
      </c>
      <c r="G33" s="33">
        <f t="shared" si="8"/>
        <v>14859.270000000015</v>
      </c>
      <c r="I33" s="322"/>
      <c r="J33" s="323"/>
      <c r="K33" s="217"/>
      <c r="L33" s="217"/>
      <c r="M33" s="60"/>
      <c r="N33" s="217"/>
      <c r="O33" s="217"/>
      <c r="P33" s="217"/>
      <c r="Q33" s="33"/>
      <c r="R33" s="217"/>
      <c r="S33" s="68">
        <v>-1600</v>
      </c>
      <c r="T33" s="768"/>
      <c r="U33" s="769"/>
      <c r="V33" s="516">
        <f t="shared" si="9"/>
        <v>0</v>
      </c>
    </row>
    <row r="34" spans="2:22" s="136" customFormat="1" x14ac:dyDescent="0.2">
      <c r="B34" s="152">
        <v>44313</v>
      </c>
      <c r="C34" s="68">
        <v>46.69</v>
      </c>
      <c r="D34" s="60" t="s">
        <v>442</v>
      </c>
      <c r="E34" s="68">
        <f t="shared" si="6"/>
        <v>0</v>
      </c>
      <c r="F34" s="68">
        <f t="shared" si="7"/>
        <v>46.69</v>
      </c>
      <c r="G34" s="33">
        <f t="shared" si="8"/>
        <v>16459.270000000015</v>
      </c>
      <c r="I34" s="322"/>
      <c r="J34" s="323"/>
      <c r="K34" s="217"/>
      <c r="L34" s="217"/>
      <c r="M34" s="60"/>
      <c r="N34" s="217"/>
      <c r="O34" s="217"/>
      <c r="P34" s="217"/>
      <c r="Q34" s="33"/>
      <c r="R34" s="217"/>
      <c r="S34" s="68">
        <v>46.69</v>
      </c>
      <c r="T34" s="768"/>
      <c r="U34" s="769"/>
      <c r="V34" s="516">
        <f t="shared" si="9"/>
        <v>0</v>
      </c>
    </row>
    <row r="35" spans="2:22" s="136" customFormat="1" x14ac:dyDescent="0.2">
      <c r="B35" s="152">
        <v>44308</v>
      </c>
      <c r="C35" s="68">
        <v>-278.79000000000002</v>
      </c>
      <c r="D35" s="60" t="s">
        <v>443</v>
      </c>
      <c r="E35" s="68">
        <f t="shared" si="6"/>
        <v>-278.79000000000002</v>
      </c>
      <c r="F35" s="68">
        <f t="shared" si="7"/>
        <v>0</v>
      </c>
      <c r="G35" s="33">
        <f t="shared" si="8"/>
        <v>16412.580000000016</v>
      </c>
      <c r="I35" s="322"/>
      <c r="J35" s="323"/>
      <c r="K35" s="217"/>
      <c r="L35" s="217"/>
      <c r="M35" s="60"/>
      <c r="N35" s="217"/>
      <c r="O35" s="217"/>
      <c r="P35" s="217"/>
      <c r="Q35" s="33"/>
      <c r="R35" s="217"/>
      <c r="S35" s="68">
        <v>-278.79000000000002</v>
      </c>
      <c r="T35" s="768"/>
      <c r="U35" s="769"/>
      <c r="V35" s="516">
        <f t="shared" si="9"/>
        <v>0</v>
      </c>
    </row>
    <row r="36" spans="2:22" s="136" customFormat="1" x14ac:dyDescent="0.2">
      <c r="B36" s="152">
        <v>44305</v>
      </c>
      <c r="C36" s="68">
        <v>-2000</v>
      </c>
      <c r="D36" s="60" t="s">
        <v>131</v>
      </c>
      <c r="E36" s="68">
        <f t="shared" si="6"/>
        <v>-2000</v>
      </c>
      <c r="F36" s="68">
        <f t="shared" si="7"/>
        <v>0</v>
      </c>
      <c r="G36" s="33">
        <f t="shared" si="8"/>
        <v>16691.370000000017</v>
      </c>
      <c r="I36" s="322"/>
      <c r="J36" s="323"/>
      <c r="K36" s="217"/>
      <c r="L36" s="217"/>
      <c r="M36" s="60"/>
      <c r="N36" s="217"/>
      <c r="O36" s="217"/>
      <c r="P36" s="217"/>
      <c r="Q36" s="33"/>
      <c r="R36" s="217"/>
      <c r="S36" s="68">
        <v>-2000</v>
      </c>
      <c r="T36" s="768"/>
      <c r="U36" s="769"/>
      <c r="V36" s="516">
        <f t="shared" si="9"/>
        <v>0</v>
      </c>
    </row>
    <row r="37" spans="2:22" s="136" customFormat="1" x14ac:dyDescent="0.2">
      <c r="B37" s="152">
        <v>44301</v>
      </c>
      <c r="C37" s="68">
        <v>125.45</v>
      </c>
      <c r="D37" s="60" t="s">
        <v>445</v>
      </c>
      <c r="E37" s="68">
        <f t="shared" si="6"/>
        <v>0</v>
      </c>
      <c r="F37" s="68">
        <f t="shared" si="7"/>
        <v>125.45</v>
      </c>
      <c r="G37" s="33">
        <f t="shared" si="8"/>
        <v>18691.370000000017</v>
      </c>
      <c r="I37" s="322"/>
      <c r="J37" s="323"/>
      <c r="K37" s="217"/>
      <c r="L37" s="217"/>
      <c r="M37" s="60"/>
      <c r="N37" s="217"/>
      <c r="O37" s="217"/>
      <c r="P37" s="217"/>
      <c r="Q37" s="33"/>
      <c r="R37" s="217">
        <v>125.45</v>
      </c>
      <c r="S37" s="68"/>
      <c r="T37" s="768"/>
      <c r="U37" s="769"/>
      <c r="V37" s="516">
        <f t="shared" si="9"/>
        <v>0</v>
      </c>
    </row>
    <row r="38" spans="2:22" s="136" customFormat="1" x14ac:dyDescent="0.2">
      <c r="B38" s="152">
        <v>44301</v>
      </c>
      <c r="C38" s="68">
        <v>-2500</v>
      </c>
      <c r="D38" s="60" t="s">
        <v>444</v>
      </c>
      <c r="E38" s="68">
        <f t="shared" si="6"/>
        <v>-2500</v>
      </c>
      <c r="F38" s="68">
        <f t="shared" si="7"/>
        <v>0</v>
      </c>
      <c r="G38" s="33">
        <f t="shared" si="8"/>
        <v>18565.920000000016</v>
      </c>
      <c r="I38" s="322"/>
      <c r="J38" s="323"/>
      <c r="K38" s="217"/>
      <c r="L38" s="217"/>
      <c r="M38" s="60"/>
      <c r="N38" s="217"/>
      <c r="O38" s="217"/>
      <c r="P38" s="217"/>
      <c r="Q38" s="33"/>
      <c r="R38" s="217"/>
      <c r="S38" s="68">
        <v>-2500</v>
      </c>
      <c r="T38" s="768"/>
      <c r="U38" s="769"/>
      <c r="V38" s="516">
        <f t="shared" si="9"/>
        <v>0</v>
      </c>
    </row>
    <row r="39" spans="2:22" s="136" customFormat="1" x14ac:dyDescent="0.2">
      <c r="B39" s="152">
        <v>44300</v>
      </c>
      <c r="C39" s="68">
        <v>511.8</v>
      </c>
      <c r="D39" s="60" t="s">
        <v>446</v>
      </c>
      <c r="E39" s="68">
        <f t="shared" si="6"/>
        <v>0</v>
      </c>
      <c r="F39" s="68">
        <f t="shared" si="7"/>
        <v>511.8</v>
      </c>
      <c r="G39" s="33">
        <f t="shared" si="8"/>
        <v>21065.920000000016</v>
      </c>
      <c r="I39" s="322"/>
      <c r="J39" s="323"/>
      <c r="K39" s="217"/>
      <c r="L39" s="217"/>
      <c r="M39" s="60"/>
      <c r="N39" s="217"/>
      <c r="O39" s="217"/>
      <c r="P39" s="217"/>
      <c r="Q39" s="33"/>
      <c r="R39" s="217">
        <v>511.8</v>
      </c>
      <c r="S39" s="68"/>
      <c r="T39" s="768"/>
      <c r="U39" s="769"/>
      <c r="V39" s="516">
        <f t="shared" si="9"/>
        <v>0</v>
      </c>
    </row>
    <row r="40" spans="2:22" s="136" customFormat="1" x14ac:dyDescent="0.2">
      <c r="B40" s="152">
        <v>44293</v>
      </c>
      <c r="C40" s="68">
        <v>-50</v>
      </c>
      <c r="D40" s="60" t="s">
        <v>447</v>
      </c>
      <c r="E40" s="68">
        <f t="shared" si="6"/>
        <v>-50</v>
      </c>
      <c r="F40" s="68">
        <f t="shared" si="7"/>
        <v>0</v>
      </c>
      <c r="G40" s="33">
        <f t="shared" si="8"/>
        <v>20554.120000000017</v>
      </c>
      <c r="I40" s="322"/>
      <c r="J40" s="323"/>
      <c r="K40" s="217"/>
      <c r="L40" s="217"/>
      <c r="M40" s="60"/>
      <c r="N40" s="217"/>
      <c r="O40" s="217"/>
      <c r="P40" s="217"/>
      <c r="Q40" s="33"/>
      <c r="R40" s="217"/>
      <c r="S40" s="68">
        <v>-50</v>
      </c>
      <c r="T40" s="768"/>
      <c r="U40" s="769"/>
      <c r="V40" s="516">
        <f t="shared" si="9"/>
        <v>0</v>
      </c>
    </row>
    <row r="41" spans="2:22" s="136" customFormat="1" x14ac:dyDescent="0.2">
      <c r="B41" s="152">
        <v>44285</v>
      </c>
      <c r="C41" s="68">
        <v>25.34</v>
      </c>
      <c r="D41" s="60" t="s">
        <v>448</v>
      </c>
      <c r="E41" s="68">
        <f t="shared" si="6"/>
        <v>0</v>
      </c>
      <c r="F41" s="68">
        <f t="shared" si="7"/>
        <v>25.34</v>
      </c>
      <c r="G41" s="33">
        <f t="shared" si="8"/>
        <v>20604.120000000017</v>
      </c>
      <c r="I41" s="322"/>
      <c r="J41" s="323"/>
      <c r="K41" s="217"/>
      <c r="L41" s="217"/>
      <c r="M41" s="60"/>
      <c r="N41" s="217"/>
      <c r="O41" s="217"/>
      <c r="P41" s="217"/>
      <c r="Q41" s="33"/>
      <c r="R41" s="217"/>
      <c r="S41" s="68">
        <v>25.34</v>
      </c>
      <c r="T41" s="768"/>
      <c r="U41" s="769"/>
      <c r="V41" s="516">
        <f t="shared" si="9"/>
        <v>0</v>
      </c>
    </row>
    <row r="42" spans="2:22" s="136" customFormat="1" x14ac:dyDescent="0.2">
      <c r="B42" s="152">
        <v>44285</v>
      </c>
      <c r="C42" s="68">
        <v>22.75</v>
      </c>
      <c r="D42" s="60" t="s">
        <v>448</v>
      </c>
      <c r="E42" s="68">
        <f t="shared" si="6"/>
        <v>0</v>
      </c>
      <c r="F42" s="68">
        <f t="shared" si="7"/>
        <v>22.75</v>
      </c>
      <c r="G42" s="33">
        <f t="shared" si="8"/>
        <v>20578.780000000017</v>
      </c>
      <c r="I42" s="322"/>
      <c r="J42" s="323"/>
      <c r="K42" s="217"/>
      <c r="L42" s="217"/>
      <c r="M42" s="60"/>
      <c r="N42" s="217"/>
      <c r="O42" s="217"/>
      <c r="P42" s="217"/>
      <c r="Q42" s="33"/>
      <c r="R42" s="217"/>
      <c r="S42" s="68">
        <v>22.75</v>
      </c>
      <c r="T42" s="768"/>
      <c r="U42" s="769"/>
      <c r="V42" s="516">
        <f t="shared" si="9"/>
        <v>0</v>
      </c>
    </row>
    <row r="43" spans="2:22" s="136" customFormat="1" x14ac:dyDescent="0.2">
      <c r="B43" s="152">
        <v>44284</v>
      </c>
      <c r="C43" s="68">
        <v>-100</v>
      </c>
      <c r="D43" s="60" t="s">
        <v>450</v>
      </c>
      <c r="E43" s="68">
        <f t="shared" si="6"/>
        <v>-100</v>
      </c>
      <c r="F43" s="68">
        <f t="shared" si="7"/>
        <v>0</v>
      </c>
      <c r="G43" s="33">
        <f t="shared" si="8"/>
        <v>20556.030000000017</v>
      </c>
      <c r="I43" s="322"/>
      <c r="J43" s="323"/>
      <c r="K43" s="217"/>
      <c r="L43" s="217"/>
      <c r="M43" s="60"/>
      <c r="N43" s="217"/>
      <c r="O43" s="217"/>
      <c r="P43" s="217"/>
      <c r="Q43" s="33"/>
      <c r="R43" s="217"/>
      <c r="S43" s="68">
        <v>-100</v>
      </c>
      <c r="T43" s="768"/>
      <c r="U43" s="769"/>
      <c r="V43" s="516">
        <f t="shared" si="9"/>
        <v>0</v>
      </c>
    </row>
    <row r="44" spans="2:22" s="136" customFormat="1" x14ac:dyDescent="0.2">
      <c r="B44" s="152">
        <v>44284</v>
      </c>
      <c r="C44" s="68">
        <v>-1000</v>
      </c>
      <c r="D44" s="60" t="s">
        <v>449</v>
      </c>
      <c r="E44" s="68">
        <f t="shared" si="6"/>
        <v>-1000</v>
      </c>
      <c r="F44" s="68">
        <f t="shared" si="7"/>
        <v>0</v>
      </c>
      <c r="G44" s="33">
        <f t="shared" si="8"/>
        <v>20656.030000000017</v>
      </c>
      <c r="I44" s="322"/>
      <c r="J44" s="323"/>
      <c r="K44" s="217"/>
      <c r="L44" s="217"/>
      <c r="M44" s="60"/>
      <c r="N44" s="217"/>
      <c r="O44" s="217"/>
      <c r="P44" s="217"/>
      <c r="Q44" s="33"/>
      <c r="R44" s="217"/>
      <c r="S44" s="68">
        <v>-1000</v>
      </c>
      <c r="T44" s="768"/>
      <c r="U44" s="769"/>
      <c r="V44" s="516">
        <f t="shared" si="9"/>
        <v>0</v>
      </c>
    </row>
    <row r="45" spans="2:22" s="136" customFormat="1" x14ac:dyDescent="0.2">
      <c r="B45" s="152">
        <v>44280</v>
      </c>
      <c r="C45" s="68">
        <v>68.14</v>
      </c>
      <c r="D45" s="60" t="s">
        <v>451</v>
      </c>
      <c r="E45" s="68">
        <f t="shared" si="6"/>
        <v>0</v>
      </c>
      <c r="F45" s="68">
        <f t="shared" si="7"/>
        <v>68.14</v>
      </c>
      <c r="G45" s="33">
        <f t="shared" si="8"/>
        <v>21656.030000000017</v>
      </c>
      <c r="I45" s="322"/>
      <c r="J45" s="323"/>
      <c r="K45" s="217"/>
      <c r="L45" s="217">
        <v>68.14</v>
      </c>
      <c r="M45" s="60"/>
      <c r="N45" s="217"/>
      <c r="O45" s="217"/>
      <c r="P45" s="217"/>
      <c r="Q45" s="33"/>
      <c r="R45" s="217"/>
      <c r="S45" s="68"/>
      <c r="T45" s="768"/>
      <c r="U45" s="769"/>
      <c r="V45" s="516">
        <f t="shared" si="9"/>
        <v>0</v>
      </c>
    </row>
    <row r="46" spans="2:22" s="136" customFormat="1" x14ac:dyDescent="0.2">
      <c r="B46" s="152">
        <v>44280</v>
      </c>
      <c r="C46" s="68">
        <v>68.14</v>
      </c>
      <c r="D46" s="60" t="s">
        <v>452</v>
      </c>
      <c r="E46" s="68">
        <f t="shared" si="6"/>
        <v>0</v>
      </c>
      <c r="F46" s="68">
        <f t="shared" si="7"/>
        <v>68.14</v>
      </c>
      <c r="G46" s="33">
        <f t="shared" si="8"/>
        <v>21587.890000000018</v>
      </c>
      <c r="I46" s="322"/>
      <c r="J46" s="323"/>
      <c r="K46" s="217"/>
      <c r="L46" s="217">
        <v>68.14</v>
      </c>
      <c r="M46" s="60"/>
      <c r="N46" s="217"/>
      <c r="O46" s="217"/>
      <c r="P46" s="217"/>
      <c r="Q46" s="33"/>
      <c r="R46" s="217"/>
      <c r="S46" s="68"/>
      <c r="T46" s="768"/>
      <c r="U46" s="769"/>
      <c r="V46" s="516">
        <f t="shared" si="9"/>
        <v>0</v>
      </c>
    </row>
    <row r="47" spans="2:22" s="136" customFormat="1" x14ac:dyDescent="0.2">
      <c r="B47" s="152">
        <v>44277</v>
      </c>
      <c r="C47" s="68">
        <v>-2500</v>
      </c>
      <c r="D47" s="60" t="s">
        <v>453</v>
      </c>
      <c r="E47" s="68">
        <f t="shared" si="6"/>
        <v>-2500</v>
      </c>
      <c r="F47" s="68">
        <f t="shared" si="7"/>
        <v>0</v>
      </c>
      <c r="G47" s="33">
        <f t="shared" si="8"/>
        <v>21519.750000000018</v>
      </c>
      <c r="I47" s="322"/>
      <c r="J47" s="323"/>
      <c r="K47" s="217"/>
      <c r="L47" s="217"/>
      <c r="M47" s="60"/>
      <c r="N47" s="217"/>
      <c r="O47" s="217"/>
      <c r="P47" s="217"/>
      <c r="Q47" s="33"/>
      <c r="R47" s="217"/>
      <c r="S47" s="68">
        <v>-2500</v>
      </c>
      <c r="T47" s="768"/>
      <c r="U47" s="769"/>
      <c r="V47" s="516">
        <f t="shared" si="9"/>
        <v>0</v>
      </c>
    </row>
    <row r="48" spans="2:22" s="136" customFormat="1" x14ac:dyDescent="0.2">
      <c r="B48" s="152">
        <v>44266</v>
      </c>
      <c r="C48" s="68">
        <v>67.2</v>
      </c>
      <c r="D48" s="60" t="s">
        <v>454</v>
      </c>
      <c r="E48" s="68">
        <f t="shared" si="6"/>
        <v>0</v>
      </c>
      <c r="F48" s="68">
        <f t="shared" si="7"/>
        <v>67.2</v>
      </c>
      <c r="G48" s="33">
        <f t="shared" si="8"/>
        <v>24019.750000000018</v>
      </c>
      <c r="I48" s="322"/>
      <c r="J48" s="323"/>
      <c r="K48" s="217"/>
      <c r="L48" s="217"/>
      <c r="M48" s="60"/>
      <c r="N48" s="217"/>
      <c r="O48" s="217"/>
      <c r="P48" s="217"/>
      <c r="Q48" s="33"/>
      <c r="R48" s="217">
        <v>67.2</v>
      </c>
      <c r="S48" s="68"/>
      <c r="T48" s="768"/>
      <c r="U48" s="769"/>
      <c r="V48" s="516">
        <f t="shared" si="9"/>
        <v>0</v>
      </c>
    </row>
    <row r="49" spans="2:22" s="136" customFormat="1" x14ac:dyDescent="0.2">
      <c r="B49" s="152">
        <v>44264</v>
      </c>
      <c r="C49" s="68">
        <v>10000</v>
      </c>
      <c r="D49" s="60" t="s">
        <v>457</v>
      </c>
      <c r="E49" s="68">
        <f t="shared" si="6"/>
        <v>0</v>
      </c>
      <c r="F49" s="68">
        <f t="shared" si="7"/>
        <v>10000</v>
      </c>
      <c r="G49" s="33">
        <f t="shared" si="8"/>
        <v>23952.550000000017</v>
      </c>
      <c r="I49" s="322">
        <v>10000</v>
      </c>
      <c r="J49" s="323"/>
      <c r="K49" s="217"/>
      <c r="L49" s="217"/>
      <c r="M49" s="60"/>
      <c r="N49" s="217"/>
      <c r="O49" s="217"/>
      <c r="P49" s="217"/>
      <c r="Q49" s="33"/>
      <c r="R49" s="217"/>
      <c r="S49" s="68"/>
      <c r="T49" s="768"/>
      <c r="U49" s="769"/>
      <c r="V49" s="516">
        <f t="shared" si="9"/>
        <v>0</v>
      </c>
    </row>
    <row r="50" spans="2:22" s="136" customFormat="1" x14ac:dyDescent="0.2">
      <c r="B50" s="152">
        <v>44264</v>
      </c>
      <c r="C50" s="68">
        <v>-500</v>
      </c>
      <c r="D50" s="60" t="s">
        <v>456</v>
      </c>
      <c r="E50" s="68">
        <f t="shared" si="6"/>
        <v>-500</v>
      </c>
      <c r="F50" s="68">
        <f t="shared" si="7"/>
        <v>0</v>
      </c>
      <c r="G50" s="33">
        <f t="shared" si="8"/>
        <v>13952.550000000017</v>
      </c>
      <c r="I50" s="322"/>
      <c r="J50" s="323"/>
      <c r="K50" s="217"/>
      <c r="L50" s="217"/>
      <c r="M50" s="60"/>
      <c r="N50" s="217"/>
      <c r="O50" s="217"/>
      <c r="P50" s="217"/>
      <c r="Q50" s="33"/>
      <c r="R50" s="217"/>
      <c r="S50" s="68">
        <v>-500</v>
      </c>
      <c r="T50" s="768"/>
      <c r="U50" s="769"/>
      <c r="V50" s="516">
        <f t="shared" si="9"/>
        <v>0</v>
      </c>
    </row>
    <row r="51" spans="2:22" s="136" customFormat="1" x14ac:dyDescent="0.2">
      <c r="B51" s="152">
        <v>44264</v>
      </c>
      <c r="C51" s="68">
        <v>-2500</v>
      </c>
      <c r="D51" s="60" t="s">
        <v>455</v>
      </c>
      <c r="E51" s="68">
        <f t="shared" si="6"/>
        <v>-2500</v>
      </c>
      <c r="F51" s="68">
        <f t="shared" si="7"/>
        <v>0</v>
      </c>
      <c r="G51" s="33">
        <f t="shared" si="8"/>
        <v>14452.550000000017</v>
      </c>
      <c r="I51" s="322"/>
      <c r="J51" s="323"/>
      <c r="K51" s="217"/>
      <c r="L51" s="217"/>
      <c r="M51" s="60"/>
      <c r="N51" s="217"/>
      <c r="O51" s="217"/>
      <c r="P51" s="217"/>
      <c r="Q51" s="33"/>
      <c r="R51" s="217"/>
      <c r="S51" s="68">
        <v>-2500</v>
      </c>
      <c r="T51" s="768"/>
      <c r="U51" s="769"/>
      <c r="V51" s="516">
        <f t="shared" si="9"/>
        <v>0</v>
      </c>
    </row>
    <row r="52" spans="2:22" s="136" customFormat="1" x14ac:dyDescent="0.2">
      <c r="B52" s="152">
        <v>44259</v>
      </c>
      <c r="C52" s="68">
        <v>-2000</v>
      </c>
      <c r="D52" s="60" t="s">
        <v>131</v>
      </c>
      <c r="E52" s="68">
        <f t="shared" si="6"/>
        <v>-2000</v>
      </c>
      <c r="F52" s="68">
        <f t="shared" si="7"/>
        <v>0</v>
      </c>
      <c r="G52" s="33">
        <f t="shared" si="8"/>
        <v>16952.550000000017</v>
      </c>
      <c r="I52" s="322"/>
      <c r="J52" s="323"/>
      <c r="K52" s="217"/>
      <c r="L52" s="217"/>
      <c r="M52" s="60"/>
      <c r="N52" s="217"/>
      <c r="O52" s="217"/>
      <c r="P52" s="217"/>
      <c r="Q52" s="33"/>
      <c r="R52" s="217"/>
      <c r="S52" s="68">
        <v>-2000</v>
      </c>
      <c r="T52" s="768"/>
      <c r="U52" s="769"/>
      <c r="V52" s="516">
        <f t="shared" si="9"/>
        <v>0</v>
      </c>
    </row>
    <row r="53" spans="2:22" s="136" customFormat="1" x14ac:dyDescent="0.2">
      <c r="B53" s="152">
        <v>44258</v>
      </c>
      <c r="C53" s="68">
        <v>250</v>
      </c>
      <c r="D53" s="60" t="s">
        <v>458</v>
      </c>
      <c r="E53" s="68">
        <f t="shared" si="6"/>
        <v>0</v>
      </c>
      <c r="F53" s="68">
        <f t="shared" si="7"/>
        <v>250</v>
      </c>
      <c r="G53" s="33">
        <f t="shared" si="8"/>
        <v>18952.550000000017</v>
      </c>
      <c r="I53" s="322"/>
      <c r="J53" s="323"/>
      <c r="K53" s="217"/>
      <c r="L53" s="217">
        <v>250</v>
      </c>
      <c r="M53" s="60"/>
      <c r="N53" s="217"/>
      <c r="O53" s="217"/>
      <c r="P53" s="217"/>
      <c r="Q53" s="33"/>
      <c r="R53" s="217"/>
      <c r="S53" s="68"/>
      <c r="T53" s="768"/>
      <c r="U53" s="769"/>
      <c r="V53" s="516">
        <f t="shared" si="9"/>
        <v>0</v>
      </c>
    </row>
    <row r="54" spans="2:22" s="136" customFormat="1" x14ac:dyDescent="0.2">
      <c r="B54" s="152">
        <v>44258</v>
      </c>
      <c r="C54" s="68">
        <v>250</v>
      </c>
      <c r="D54" s="60" t="s">
        <v>459</v>
      </c>
      <c r="E54" s="68">
        <f t="shared" si="6"/>
        <v>0</v>
      </c>
      <c r="F54" s="68">
        <f t="shared" si="7"/>
        <v>250</v>
      </c>
      <c r="G54" s="33">
        <f t="shared" si="8"/>
        <v>18702.550000000017</v>
      </c>
      <c r="I54" s="322"/>
      <c r="J54" s="323"/>
      <c r="K54" s="217"/>
      <c r="L54" s="217">
        <v>250</v>
      </c>
      <c r="M54" s="60"/>
      <c r="N54" s="217"/>
      <c r="O54" s="217"/>
      <c r="P54" s="217"/>
      <c r="Q54" s="33"/>
      <c r="R54" s="217"/>
      <c r="S54" s="68"/>
      <c r="T54" s="768"/>
      <c r="U54" s="769"/>
      <c r="V54" s="516">
        <f t="shared" si="9"/>
        <v>0</v>
      </c>
    </row>
    <row r="55" spans="2:22" s="136" customFormat="1" x14ac:dyDescent="0.2">
      <c r="B55" s="152">
        <v>44256</v>
      </c>
      <c r="C55" s="68">
        <v>-2373.5</v>
      </c>
      <c r="D55" s="60" t="s">
        <v>460</v>
      </c>
      <c r="E55" s="68">
        <f t="shared" si="6"/>
        <v>-2373.5</v>
      </c>
      <c r="F55" s="68">
        <f t="shared" si="7"/>
        <v>0</v>
      </c>
      <c r="G55" s="33">
        <f t="shared" si="8"/>
        <v>18452.550000000017</v>
      </c>
      <c r="I55" s="322"/>
      <c r="J55" s="323"/>
      <c r="K55" s="217"/>
      <c r="L55" s="217"/>
      <c r="M55" s="60"/>
      <c r="N55" s="217"/>
      <c r="O55" s="217"/>
      <c r="P55" s="217"/>
      <c r="Q55" s="33"/>
      <c r="R55" s="217"/>
      <c r="S55" s="68">
        <v>-2373.5</v>
      </c>
      <c r="T55" s="768"/>
      <c r="U55" s="769"/>
      <c r="V55" s="516">
        <f t="shared" si="9"/>
        <v>0</v>
      </c>
    </row>
    <row r="56" spans="2:22" s="136" customFormat="1" x14ac:dyDescent="0.2">
      <c r="B56" s="152">
        <v>44253</v>
      </c>
      <c r="C56" s="68">
        <v>-376</v>
      </c>
      <c r="D56" s="60" t="s">
        <v>83</v>
      </c>
      <c r="E56" s="68">
        <f t="shared" si="6"/>
        <v>-376</v>
      </c>
      <c r="F56" s="68">
        <f t="shared" si="7"/>
        <v>0</v>
      </c>
      <c r="G56" s="33">
        <f t="shared" si="8"/>
        <v>20826.050000000017</v>
      </c>
      <c r="I56" s="322"/>
      <c r="J56" s="323"/>
      <c r="K56" s="217"/>
      <c r="L56" s="217"/>
      <c r="M56" s="60"/>
      <c r="N56" s="217"/>
      <c r="O56" s="217"/>
      <c r="P56" s="217"/>
      <c r="Q56" s="33"/>
      <c r="R56" s="217"/>
      <c r="S56" s="68">
        <v>-376</v>
      </c>
      <c r="T56" s="768"/>
      <c r="U56" s="769"/>
      <c r="V56" s="516">
        <f t="shared" si="9"/>
        <v>0</v>
      </c>
    </row>
    <row r="57" spans="2:22" s="136" customFormat="1" x14ac:dyDescent="0.2">
      <c r="B57" s="152">
        <v>44245</v>
      </c>
      <c r="C57" s="68">
        <v>-512.44000000000005</v>
      </c>
      <c r="D57" s="60" t="s">
        <v>461</v>
      </c>
      <c r="E57" s="68">
        <f t="shared" si="6"/>
        <v>-512.44000000000005</v>
      </c>
      <c r="F57" s="68">
        <f t="shared" si="7"/>
        <v>0</v>
      </c>
      <c r="G57" s="33">
        <f t="shared" si="8"/>
        <v>21202.050000000017</v>
      </c>
      <c r="I57" s="322"/>
      <c r="J57" s="323"/>
      <c r="K57" s="217"/>
      <c r="L57" s="217"/>
      <c r="M57" s="60"/>
      <c r="N57" s="217"/>
      <c r="O57" s="217"/>
      <c r="P57" s="217"/>
      <c r="Q57" s="33"/>
      <c r="R57" s="217"/>
      <c r="S57" s="68">
        <v>-512.44000000000005</v>
      </c>
      <c r="T57" s="768"/>
      <c r="U57" s="769"/>
      <c r="V57" s="516">
        <f t="shared" si="9"/>
        <v>0</v>
      </c>
    </row>
    <row r="58" spans="2:22" s="136" customFormat="1" x14ac:dyDescent="0.2">
      <c r="B58" s="152">
        <v>44244</v>
      </c>
      <c r="C58" s="68">
        <v>-2500</v>
      </c>
      <c r="D58" s="60" t="s">
        <v>462</v>
      </c>
      <c r="E58" s="68">
        <f t="shared" ref="E58:E89" si="10">IF(C58&lt;0,C58,0)</f>
        <v>-2500</v>
      </c>
      <c r="F58" s="68">
        <f t="shared" ref="F58:F89" si="11">IF(C58&lt;0,0,C58)</f>
        <v>0</v>
      </c>
      <c r="G58" s="33">
        <f t="shared" ref="G58:G89" si="12">G59+E58+F58</f>
        <v>21714.490000000016</v>
      </c>
      <c r="I58" s="322"/>
      <c r="J58" s="323"/>
      <c r="K58" s="217"/>
      <c r="L58" s="217"/>
      <c r="M58" s="60"/>
      <c r="N58" s="217"/>
      <c r="O58" s="217"/>
      <c r="P58" s="217"/>
      <c r="Q58" s="33"/>
      <c r="R58" s="217"/>
      <c r="S58" s="68">
        <v>-2500</v>
      </c>
      <c r="T58" s="768"/>
      <c r="U58" s="769"/>
      <c r="V58" s="516">
        <f t="shared" ref="V58:V89" si="13">SUM(I58:S58)-C58</f>
        <v>0</v>
      </c>
    </row>
    <row r="59" spans="2:22" s="136" customFormat="1" x14ac:dyDescent="0.2">
      <c r="B59" s="152">
        <v>44231</v>
      </c>
      <c r="C59" s="68">
        <v>67.2</v>
      </c>
      <c r="D59" s="60" t="s">
        <v>463</v>
      </c>
      <c r="E59" s="68">
        <f t="shared" si="10"/>
        <v>0</v>
      </c>
      <c r="F59" s="68">
        <f t="shared" si="11"/>
        <v>67.2</v>
      </c>
      <c r="G59" s="33">
        <f t="shared" si="12"/>
        <v>24214.490000000016</v>
      </c>
      <c r="I59" s="322"/>
      <c r="J59" s="323"/>
      <c r="K59" s="217"/>
      <c r="L59" s="217"/>
      <c r="M59" s="60"/>
      <c r="N59" s="217"/>
      <c r="O59" s="217"/>
      <c r="P59" s="217"/>
      <c r="Q59" s="33"/>
      <c r="R59" s="217">
        <v>67.2</v>
      </c>
      <c r="S59" s="68"/>
      <c r="T59" s="768"/>
      <c r="U59" s="769"/>
      <c r="V59" s="516">
        <f t="shared" si="13"/>
        <v>0</v>
      </c>
    </row>
    <row r="60" spans="2:22" s="136" customFormat="1" x14ac:dyDescent="0.2">
      <c r="B60" s="152">
        <v>44230</v>
      </c>
      <c r="C60" s="68">
        <v>-150.22</v>
      </c>
      <c r="D60" s="60" t="s">
        <v>464</v>
      </c>
      <c r="E60" s="68">
        <f t="shared" si="10"/>
        <v>-150.22</v>
      </c>
      <c r="F60" s="68">
        <f t="shared" si="11"/>
        <v>0</v>
      </c>
      <c r="G60" s="33">
        <f t="shared" si="12"/>
        <v>24147.290000000015</v>
      </c>
      <c r="I60" s="322"/>
      <c r="J60" s="323"/>
      <c r="K60" s="217"/>
      <c r="L60" s="217"/>
      <c r="M60" s="60"/>
      <c r="N60" s="217"/>
      <c r="O60" s="217"/>
      <c r="P60" s="217"/>
      <c r="Q60" s="33"/>
      <c r="R60" s="217"/>
      <c r="S60" s="68">
        <v>-150.22</v>
      </c>
      <c r="T60" s="768"/>
      <c r="U60" s="769"/>
      <c r="V60" s="516">
        <f t="shared" si="13"/>
        <v>0</v>
      </c>
    </row>
    <row r="61" spans="2:22" s="136" customFormat="1" x14ac:dyDescent="0.2">
      <c r="B61" s="152">
        <v>44223</v>
      </c>
      <c r="C61" s="68">
        <v>263.64999999999998</v>
      </c>
      <c r="D61" s="60" t="s">
        <v>466</v>
      </c>
      <c r="E61" s="68">
        <f t="shared" si="10"/>
        <v>0</v>
      </c>
      <c r="F61" s="68">
        <f t="shared" si="11"/>
        <v>263.64999999999998</v>
      </c>
      <c r="G61" s="33">
        <f t="shared" si="12"/>
        <v>24297.510000000017</v>
      </c>
      <c r="I61" s="322"/>
      <c r="J61" s="323"/>
      <c r="K61" s="217"/>
      <c r="L61" s="217"/>
      <c r="M61" s="60"/>
      <c r="N61" s="217"/>
      <c r="O61" s="217"/>
      <c r="P61" s="217"/>
      <c r="Q61" s="33"/>
      <c r="R61" s="217">
        <v>263.64999999999998</v>
      </c>
      <c r="S61" s="68"/>
      <c r="T61" s="768"/>
      <c r="U61" s="769"/>
      <c r="V61" s="516">
        <f t="shared" si="13"/>
        <v>0</v>
      </c>
    </row>
    <row r="62" spans="2:22" s="136" customFormat="1" x14ac:dyDescent="0.2">
      <c r="B62" s="152">
        <v>44223</v>
      </c>
      <c r="C62" s="68">
        <v>-2500</v>
      </c>
      <c r="D62" s="60" t="s">
        <v>465</v>
      </c>
      <c r="E62" s="68">
        <f t="shared" si="10"/>
        <v>-2500</v>
      </c>
      <c r="F62" s="68">
        <f t="shared" si="11"/>
        <v>0</v>
      </c>
      <c r="G62" s="33">
        <f t="shared" si="12"/>
        <v>24033.860000000015</v>
      </c>
      <c r="I62" s="322"/>
      <c r="J62" s="323"/>
      <c r="K62" s="217"/>
      <c r="L62" s="217"/>
      <c r="M62" s="60"/>
      <c r="N62" s="217"/>
      <c r="O62" s="217"/>
      <c r="P62" s="217"/>
      <c r="Q62" s="33"/>
      <c r="R62" s="217"/>
      <c r="S62" s="68">
        <v>-2500</v>
      </c>
      <c r="T62" s="768"/>
      <c r="U62" s="769"/>
      <c r="V62" s="516">
        <f t="shared" si="13"/>
        <v>0</v>
      </c>
    </row>
    <row r="63" spans="2:22" s="136" customFormat="1" x14ac:dyDescent="0.2">
      <c r="B63" s="152">
        <v>44221</v>
      </c>
      <c r="C63" s="68">
        <v>-500</v>
      </c>
      <c r="D63" s="60" t="s">
        <v>467</v>
      </c>
      <c r="E63" s="68">
        <f t="shared" si="10"/>
        <v>-500</v>
      </c>
      <c r="F63" s="68">
        <f t="shared" si="11"/>
        <v>0</v>
      </c>
      <c r="G63" s="33">
        <f t="shared" si="12"/>
        <v>26533.860000000015</v>
      </c>
      <c r="I63" s="322"/>
      <c r="J63" s="323"/>
      <c r="K63" s="217"/>
      <c r="L63" s="217"/>
      <c r="M63" s="60"/>
      <c r="N63" s="217"/>
      <c r="O63" s="217"/>
      <c r="P63" s="217"/>
      <c r="Q63" s="33"/>
      <c r="R63" s="217"/>
      <c r="S63" s="68">
        <v>-500</v>
      </c>
      <c r="T63" s="768"/>
      <c r="U63" s="769"/>
      <c r="V63" s="516">
        <f t="shared" si="13"/>
        <v>0</v>
      </c>
    </row>
    <row r="64" spans="2:22" s="136" customFormat="1" x14ac:dyDescent="0.2">
      <c r="B64" s="152">
        <v>44218</v>
      </c>
      <c r="C64" s="68">
        <v>-344.43</v>
      </c>
      <c r="D64" s="60" t="s">
        <v>468</v>
      </c>
      <c r="E64" s="68">
        <f t="shared" si="10"/>
        <v>-344.43</v>
      </c>
      <c r="F64" s="68">
        <f t="shared" si="11"/>
        <v>0</v>
      </c>
      <c r="G64" s="33">
        <f t="shared" si="12"/>
        <v>27033.860000000015</v>
      </c>
      <c r="I64" s="322"/>
      <c r="J64" s="323"/>
      <c r="K64" s="217"/>
      <c r="L64" s="217"/>
      <c r="M64" s="60"/>
      <c r="N64" s="217"/>
      <c r="O64" s="217"/>
      <c r="P64" s="217"/>
      <c r="Q64" s="33"/>
      <c r="R64" s="217"/>
      <c r="S64" s="68">
        <v>-344.43</v>
      </c>
      <c r="T64" s="768"/>
      <c r="U64" s="769"/>
      <c r="V64" s="516">
        <f t="shared" si="13"/>
        <v>0</v>
      </c>
    </row>
    <row r="65" spans="2:22" s="136" customFormat="1" x14ac:dyDescent="0.2">
      <c r="B65" s="152">
        <v>44214</v>
      </c>
      <c r="C65" s="68">
        <v>-1000</v>
      </c>
      <c r="D65" s="60" t="s">
        <v>469</v>
      </c>
      <c r="E65" s="68">
        <f t="shared" si="10"/>
        <v>-1000</v>
      </c>
      <c r="F65" s="68">
        <f t="shared" si="11"/>
        <v>0</v>
      </c>
      <c r="G65" s="33">
        <f t="shared" si="12"/>
        <v>27378.290000000015</v>
      </c>
      <c r="I65" s="322"/>
      <c r="J65" s="323"/>
      <c r="K65" s="217"/>
      <c r="L65" s="217"/>
      <c r="M65" s="60"/>
      <c r="N65" s="217"/>
      <c r="O65" s="217"/>
      <c r="P65" s="217"/>
      <c r="Q65" s="33"/>
      <c r="R65" s="217"/>
      <c r="S65" s="68">
        <v>-1000</v>
      </c>
      <c r="T65" s="768"/>
      <c r="U65" s="769"/>
      <c r="V65" s="516">
        <f t="shared" si="13"/>
        <v>0</v>
      </c>
    </row>
    <row r="66" spans="2:22" s="136" customFormat="1" x14ac:dyDescent="0.2">
      <c r="B66" s="152">
        <v>44208</v>
      </c>
      <c r="C66" s="68">
        <v>15000</v>
      </c>
      <c r="D66" s="60" t="s">
        <v>472</v>
      </c>
      <c r="E66" s="68">
        <f t="shared" si="10"/>
        <v>0</v>
      </c>
      <c r="F66" s="68">
        <f t="shared" si="11"/>
        <v>15000</v>
      </c>
      <c r="G66" s="33">
        <f t="shared" si="12"/>
        <v>28378.290000000015</v>
      </c>
      <c r="I66" s="322">
        <v>15000</v>
      </c>
      <c r="J66" s="323"/>
      <c r="K66" s="217"/>
      <c r="L66" s="217"/>
      <c r="M66" s="60"/>
      <c r="N66" s="217"/>
      <c r="O66" s="217"/>
      <c r="P66" s="217"/>
      <c r="Q66" s="33"/>
      <c r="R66" s="217"/>
      <c r="S66" s="68"/>
      <c r="T66" s="768"/>
      <c r="U66" s="769"/>
      <c r="V66" s="516">
        <f t="shared" si="13"/>
        <v>0</v>
      </c>
    </row>
    <row r="67" spans="2:22" s="136" customFormat="1" x14ac:dyDescent="0.2">
      <c r="B67" s="152">
        <v>44208</v>
      </c>
      <c r="C67" s="68">
        <v>-400</v>
      </c>
      <c r="D67" s="60" t="s">
        <v>471</v>
      </c>
      <c r="E67" s="68">
        <f t="shared" si="10"/>
        <v>-400</v>
      </c>
      <c r="F67" s="68">
        <f t="shared" si="11"/>
        <v>0</v>
      </c>
      <c r="G67" s="33">
        <f t="shared" si="12"/>
        <v>13378.290000000015</v>
      </c>
      <c r="I67" s="322"/>
      <c r="J67" s="323"/>
      <c r="K67" s="217"/>
      <c r="L67" s="217"/>
      <c r="M67" s="60"/>
      <c r="N67" s="217"/>
      <c r="O67" s="217"/>
      <c r="P67" s="217"/>
      <c r="Q67" s="33"/>
      <c r="R67" s="217"/>
      <c r="S67" s="68">
        <v>-400</v>
      </c>
      <c r="T67" s="768"/>
      <c r="U67" s="769"/>
      <c r="V67" s="516">
        <f t="shared" si="13"/>
        <v>0</v>
      </c>
    </row>
    <row r="68" spans="2:22" s="136" customFormat="1" x14ac:dyDescent="0.2">
      <c r="B68" s="152">
        <v>44208</v>
      </c>
      <c r="C68" s="68">
        <v>-1500</v>
      </c>
      <c r="D68" s="60" t="s">
        <v>470</v>
      </c>
      <c r="E68" s="68">
        <f t="shared" si="10"/>
        <v>-1500</v>
      </c>
      <c r="F68" s="68">
        <f t="shared" si="11"/>
        <v>0</v>
      </c>
      <c r="G68" s="33">
        <f t="shared" si="12"/>
        <v>13778.290000000015</v>
      </c>
      <c r="I68" s="322"/>
      <c r="J68" s="323"/>
      <c r="K68" s="217"/>
      <c r="L68" s="217"/>
      <c r="M68" s="60"/>
      <c r="N68" s="217"/>
      <c r="O68" s="217"/>
      <c r="P68" s="217"/>
      <c r="Q68" s="33"/>
      <c r="R68" s="217"/>
      <c r="S68" s="68">
        <v>-1500</v>
      </c>
      <c r="T68" s="768"/>
      <c r="U68" s="769"/>
      <c r="V68" s="516">
        <f t="shared" si="13"/>
        <v>0</v>
      </c>
    </row>
    <row r="69" spans="2:22" s="136" customFormat="1" x14ac:dyDescent="0.2">
      <c r="B69" s="152">
        <v>44208</v>
      </c>
      <c r="C69" s="68">
        <v>-2000</v>
      </c>
      <c r="D69" s="60" t="s">
        <v>131</v>
      </c>
      <c r="E69" s="68">
        <f t="shared" si="10"/>
        <v>-2000</v>
      </c>
      <c r="F69" s="68">
        <f t="shared" si="11"/>
        <v>0</v>
      </c>
      <c r="G69" s="33">
        <f t="shared" si="12"/>
        <v>15278.290000000015</v>
      </c>
      <c r="I69" s="322"/>
      <c r="J69" s="323"/>
      <c r="K69" s="217"/>
      <c r="L69" s="217"/>
      <c r="M69" s="60"/>
      <c r="N69" s="217"/>
      <c r="O69" s="217"/>
      <c r="P69" s="217"/>
      <c r="Q69" s="33"/>
      <c r="R69" s="217"/>
      <c r="S69" s="68">
        <v>-2000</v>
      </c>
      <c r="T69" s="768"/>
      <c r="U69" s="769"/>
      <c r="V69" s="516">
        <f t="shared" si="13"/>
        <v>0</v>
      </c>
    </row>
    <row r="70" spans="2:22" s="136" customFormat="1" x14ac:dyDescent="0.2">
      <c r="B70" s="152">
        <v>44194</v>
      </c>
      <c r="C70" s="68">
        <v>-1000</v>
      </c>
      <c r="D70" s="60" t="s">
        <v>473</v>
      </c>
      <c r="E70" s="68">
        <f t="shared" si="10"/>
        <v>-1000</v>
      </c>
      <c r="F70" s="68">
        <f t="shared" si="11"/>
        <v>0</v>
      </c>
      <c r="G70" s="33">
        <f t="shared" si="12"/>
        <v>17278.290000000015</v>
      </c>
      <c r="I70" s="322"/>
      <c r="J70" s="323"/>
      <c r="K70" s="217"/>
      <c r="L70" s="217"/>
      <c r="M70" s="60"/>
      <c r="N70" s="217"/>
      <c r="O70" s="217"/>
      <c r="P70" s="217"/>
      <c r="Q70" s="33"/>
      <c r="R70" s="217"/>
      <c r="S70" s="68">
        <v>-1000</v>
      </c>
      <c r="T70" s="768"/>
      <c r="U70" s="769"/>
      <c r="V70" s="516">
        <f t="shared" si="13"/>
        <v>0</v>
      </c>
    </row>
    <row r="71" spans="2:22" s="136" customFormat="1" x14ac:dyDescent="0.2">
      <c r="B71" s="152">
        <v>44188</v>
      </c>
      <c r="C71" s="68">
        <v>68.900000000000006</v>
      </c>
      <c r="D71" s="60" t="s">
        <v>474</v>
      </c>
      <c r="E71" s="68">
        <f t="shared" si="10"/>
        <v>0</v>
      </c>
      <c r="F71" s="68">
        <f t="shared" si="11"/>
        <v>68.900000000000006</v>
      </c>
      <c r="G71" s="33">
        <f t="shared" si="12"/>
        <v>18278.290000000015</v>
      </c>
      <c r="I71" s="322"/>
      <c r="J71" s="323"/>
      <c r="K71" s="217"/>
      <c r="L71" s="217">
        <v>68.900000000000006</v>
      </c>
      <c r="M71" s="60"/>
      <c r="N71" s="217"/>
      <c r="O71" s="217"/>
      <c r="P71" s="217"/>
      <c r="Q71" s="33"/>
      <c r="R71" s="217"/>
      <c r="S71" s="68"/>
      <c r="T71" s="768"/>
      <c r="U71" s="769"/>
      <c r="V71" s="516">
        <f t="shared" si="13"/>
        <v>0</v>
      </c>
    </row>
    <row r="72" spans="2:22" s="136" customFormat="1" x14ac:dyDescent="0.2">
      <c r="B72" s="152">
        <v>44188</v>
      </c>
      <c r="C72" s="68">
        <v>68.900000000000006</v>
      </c>
      <c r="D72" s="60" t="s">
        <v>475</v>
      </c>
      <c r="E72" s="68">
        <f t="shared" si="10"/>
        <v>0</v>
      </c>
      <c r="F72" s="68">
        <f t="shared" si="11"/>
        <v>68.900000000000006</v>
      </c>
      <c r="G72" s="33">
        <f t="shared" si="12"/>
        <v>18209.390000000014</v>
      </c>
      <c r="I72" s="322"/>
      <c r="J72" s="323"/>
      <c r="K72" s="217"/>
      <c r="L72" s="217">
        <v>68.900000000000006</v>
      </c>
      <c r="M72" s="60"/>
      <c r="N72" s="217"/>
      <c r="O72" s="217"/>
      <c r="P72" s="217"/>
      <c r="Q72" s="33"/>
      <c r="R72" s="217"/>
      <c r="S72" s="68"/>
      <c r="T72" s="768"/>
      <c r="U72" s="769"/>
      <c r="V72" s="516">
        <f t="shared" si="13"/>
        <v>0</v>
      </c>
    </row>
    <row r="73" spans="2:22" s="136" customFormat="1" x14ac:dyDescent="0.2">
      <c r="B73" s="152">
        <v>44187</v>
      </c>
      <c r="C73" s="68">
        <v>-1000</v>
      </c>
      <c r="D73" s="60" t="s">
        <v>476</v>
      </c>
      <c r="E73" s="68">
        <f t="shared" si="10"/>
        <v>-1000</v>
      </c>
      <c r="F73" s="68">
        <f t="shared" si="11"/>
        <v>0</v>
      </c>
      <c r="G73" s="33">
        <f t="shared" si="12"/>
        <v>18140.490000000013</v>
      </c>
      <c r="I73" s="322"/>
      <c r="J73" s="323"/>
      <c r="K73" s="217"/>
      <c r="L73" s="217"/>
      <c r="M73" s="60"/>
      <c r="N73" s="217"/>
      <c r="O73" s="217"/>
      <c r="P73" s="217"/>
      <c r="Q73" s="33"/>
      <c r="R73" s="217"/>
      <c r="S73" s="68">
        <v>-1000</v>
      </c>
      <c r="T73" s="768"/>
      <c r="U73" s="769"/>
      <c r="V73" s="516">
        <f t="shared" si="13"/>
        <v>0</v>
      </c>
    </row>
    <row r="74" spans="2:22" s="136" customFormat="1" x14ac:dyDescent="0.2">
      <c r="B74" s="152">
        <v>44179</v>
      </c>
      <c r="C74" s="68">
        <v>-150</v>
      </c>
      <c r="D74" s="60" t="s">
        <v>477</v>
      </c>
      <c r="E74" s="68">
        <f t="shared" si="10"/>
        <v>-150</v>
      </c>
      <c r="F74" s="68">
        <f t="shared" si="11"/>
        <v>0</v>
      </c>
      <c r="G74" s="33">
        <f t="shared" si="12"/>
        <v>19140.490000000013</v>
      </c>
      <c r="I74" s="322"/>
      <c r="J74" s="323"/>
      <c r="K74" s="217"/>
      <c r="L74" s="217"/>
      <c r="M74" s="60"/>
      <c r="N74" s="217"/>
      <c r="O74" s="217"/>
      <c r="P74" s="217"/>
      <c r="Q74" s="33"/>
      <c r="R74" s="217"/>
      <c r="S74" s="68">
        <v>-150</v>
      </c>
      <c r="T74" s="768"/>
      <c r="U74" s="769"/>
      <c r="V74" s="516">
        <f t="shared" si="13"/>
        <v>0</v>
      </c>
    </row>
    <row r="75" spans="2:22" s="136" customFormat="1" x14ac:dyDescent="0.2">
      <c r="B75" s="152">
        <v>44175</v>
      </c>
      <c r="C75" s="68">
        <v>-2000</v>
      </c>
      <c r="D75" s="60" t="s">
        <v>478</v>
      </c>
      <c r="E75" s="68">
        <f t="shared" si="10"/>
        <v>-2000</v>
      </c>
      <c r="F75" s="68">
        <f t="shared" si="11"/>
        <v>0</v>
      </c>
      <c r="G75" s="33">
        <f t="shared" si="12"/>
        <v>19290.490000000013</v>
      </c>
      <c r="I75" s="322"/>
      <c r="J75" s="323"/>
      <c r="K75" s="217"/>
      <c r="L75" s="217"/>
      <c r="M75" s="60"/>
      <c r="N75" s="217"/>
      <c r="O75" s="217"/>
      <c r="P75" s="217"/>
      <c r="Q75" s="33"/>
      <c r="R75" s="217"/>
      <c r="S75" s="68">
        <v>-2000</v>
      </c>
      <c r="T75" s="768"/>
      <c r="U75" s="769"/>
      <c r="V75" s="516">
        <f t="shared" si="13"/>
        <v>0</v>
      </c>
    </row>
    <row r="76" spans="2:22" s="136" customFormat="1" x14ac:dyDescent="0.2">
      <c r="B76" s="152">
        <v>44174</v>
      </c>
      <c r="C76" s="68">
        <v>250</v>
      </c>
      <c r="D76" s="60" t="s">
        <v>480</v>
      </c>
      <c r="E76" s="68">
        <f t="shared" si="10"/>
        <v>0</v>
      </c>
      <c r="F76" s="68">
        <f t="shared" si="11"/>
        <v>250</v>
      </c>
      <c r="G76" s="33">
        <f t="shared" si="12"/>
        <v>21290.490000000013</v>
      </c>
      <c r="I76" s="322"/>
      <c r="J76" s="323"/>
      <c r="K76" s="217"/>
      <c r="L76" s="217">
        <v>250</v>
      </c>
      <c r="M76" s="60"/>
      <c r="N76" s="217"/>
      <c r="O76" s="217"/>
      <c r="P76" s="217"/>
      <c r="Q76" s="33"/>
      <c r="R76" s="217"/>
      <c r="S76" s="68"/>
      <c r="T76" s="768"/>
      <c r="U76" s="769"/>
      <c r="V76" s="516">
        <f t="shared" si="13"/>
        <v>0</v>
      </c>
    </row>
    <row r="77" spans="2:22" s="136" customFormat="1" x14ac:dyDescent="0.2">
      <c r="B77" s="152">
        <v>44174</v>
      </c>
      <c r="C77" s="68">
        <v>250</v>
      </c>
      <c r="D77" s="60" t="s">
        <v>481</v>
      </c>
      <c r="E77" s="68">
        <f t="shared" si="10"/>
        <v>0</v>
      </c>
      <c r="F77" s="68">
        <f t="shared" si="11"/>
        <v>250</v>
      </c>
      <c r="G77" s="33">
        <f t="shared" si="12"/>
        <v>21040.490000000013</v>
      </c>
      <c r="I77" s="322"/>
      <c r="J77" s="323"/>
      <c r="K77" s="217"/>
      <c r="L77" s="217">
        <v>250</v>
      </c>
      <c r="M77" s="60"/>
      <c r="N77" s="217"/>
      <c r="O77" s="217"/>
      <c r="P77" s="217"/>
      <c r="Q77" s="33"/>
      <c r="R77" s="217"/>
      <c r="S77" s="68"/>
      <c r="T77" s="768"/>
      <c r="U77" s="769"/>
      <c r="V77" s="516">
        <f t="shared" si="13"/>
        <v>0</v>
      </c>
    </row>
    <row r="78" spans="2:22" s="136" customFormat="1" x14ac:dyDescent="0.2">
      <c r="B78" s="152">
        <v>44174</v>
      </c>
      <c r="C78" s="68">
        <v>-2000</v>
      </c>
      <c r="D78" s="60" t="s">
        <v>479</v>
      </c>
      <c r="E78" s="68">
        <f t="shared" si="10"/>
        <v>-2000</v>
      </c>
      <c r="F78" s="68">
        <f t="shared" si="11"/>
        <v>0</v>
      </c>
      <c r="G78" s="33">
        <f t="shared" si="12"/>
        <v>20790.490000000013</v>
      </c>
      <c r="I78" s="322"/>
      <c r="J78" s="323"/>
      <c r="K78" s="217"/>
      <c r="L78" s="217"/>
      <c r="M78" s="60"/>
      <c r="N78" s="217"/>
      <c r="O78" s="217"/>
      <c r="P78" s="217"/>
      <c r="Q78" s="33"/>
      <c r="R78" s="217"/>
      <c r="S78" s="68">
        <v>-2000</v>
      </c>
      <c r="T78" s="768"/>
      <c r="U78" s="769"/>
      <c r="V78" s="516">
        <f t="shared" si="13"/>
        <v>0</v>
      </c>
    </row>
    <row r="79" spans="2:22" s="136" customFormat="1" x14ac:dyDescent="0.2">
      <c r="B79" s="152">
        <v>44168</v>
      </c>
      <c r="C79" s="68">
        <v>125.45</v>
      </c>
      <c r="D79" s="60" t="s">
        <v>482</v>
      </c>
      <c r="E79" s="68">
        <f t="shared" si="10"/>
        <v>0</v>
      </c>
      <c r="F79" s="68">
        <f t="shared" si="11"/>
        <v>125.45</v>
      </c>
      <c r="G79" s="33">
        <f t="shared" si="12"/>
        <v>22790.490000000013</v>
      </c>
      <c r="I79" s="322"/>
      <c r="J79" s="323"/>
      <c r="K79" s="217"/>
      <c r="L79" s="217"/>
      <c r="M79" s="60"/>
      <c r="N79" s="217"/>
      <c r="O79" s="217"/>
      <c r="P79" s="217"/>
      <c r="Q79" s="33"/>
      <c r="R79" s="217">
        <v>125.45</v>
      </c>
      <c r="S79" s="68"/>
      <c r="T79" s="768"/>
      <c r="U79" s="769"/>
      <c r="V79" s="516">
        <f t="shared" si="13"/>
        <v>0</v>
      </c>
    </row>
    <row r="80" spans="2:22" s="136" customFormat="1" x14ac:dyDescent="0.2">
      <c r="B80" s="152">
        <v>44165</v>
      </c>
      <c r="C80" s="68">
        <v>-376</v>
      </c>
      <c r="D80" s="60" t="s">
        <v>83</v>
      </c>
      <c r="E80" s="68">
        <f t="shared" si="10"/>
        <v>-376</v>
      </c>
      <c r="F80" s="68">
        <f t="shared" si="11"/>
        <v>0</v>
      </c>
      <c r="G80" s="33">
        <f t="shared" si="12"/>
        <v>22665.040000000012</v>
      </c>
      <c r="I80" s="322"/>
      <c r="J80" s="323"/>
      <c r="K80" s="217"/>
      <c r="L80" s="217"/>
      <c r="M80" s="60"/>
      <c r="N80" s="217"/>
      <c r="O80" s="217"/>
      <c r="P80" s="217"/>
      <c r="Q80" s="33"/>
      <c r="R80" s="217"/>
      <c r="S80" s="68">
        <v>-376</v>
      </c>
      <c r="T80" s="768"/>
      <c r="U80" s="769"/>
      <c r="V80" s="516">
        <f t="shared" si="13"/>
        <v>0</v>
      </c>
    </row>
    <row r="81" spans="2:22" s="136" customFormat="1" x14ac:dyDescent="0.2">
      <c r="B81" s="152">
        <v>44165</v>
      </c>
      <c r="C81" s="68">
        <v>-2373.5</v>
      </c>
      <c r="D81" s="60" t="s">
        <v>483</v>
      </c>
      <c r="E81" s="68">
        <f t="shared" si="10"/>
        <v>-2373.5</v>
      </c>
      <c r="F81" s="68">
        <f t="shared" si="11"/>
        <v>0</v>
      </c>
      <c r="G81" s="33">
        <f t="shared" si="12"/>
        <v>23041.040000000012</v>
      </c>
      <c r="I81" s="322"/>
      <c r="J81" s="323"/>
      <c r="K81" s="217"/>
      <c r="L81" s="217"/>
      <c r="M81" s="60"/>
      <c r="N81" s="217"/>
      <c r="O81" s="217"/>
      <c r="P81" s="217"/>
      <c r="Q81" s="33"/>
      <c r="R81" s="217"/>
      <c r="S81" s="68">
        <v>-2373.5</v>
      </c>
      <c r="T81" s="768"/>
      <c r="U81" s="769"/>
      <c r="V81" s="516">
        <f t="shared" si="13"/>
        <v>0</v>
      </c>
    </row>
    <row r="82" spans="2:22" s="136" customFormat="1" x14ac:dyDescent="0.2">
      <c r="B82" s="152">
        <v>44161</v>
      </c>
      <c r="C82" s="68">
        <v>250.9</v>
      </c>
      <c r="D82" s="60" t="s">
        <v>484</v>
      </c>
      <c r="E82" s="68">
        <f t="shared" si="10"/>
        <v>0</v>
      </c>
      <c r="F82" s="68">
        <f t="shared" si="11"/>
        <v>250.9</v>
      </c>
      <c r="G82" s="33">
        <f t="shared" si="12"/>
        <v>25414.540000000012</v>
      </c>
      <c r="I82" s="322"/>
      <c r="J82" s="323"/>
      <c r="K82" s="217"/>
      <c r="L82" s="217"/>
      <c r="M82" s="60"/>
      <c r="N82" s="217"/>
      <c r="O82" s="217"/>
      <c r="P82" s="217"/>
      <c r="Q82" s="33"/>
      <c r="R82" s="217">
        <v>250.9</v>
      </c>
      <c r="S82" s="68"/>
      <c r="T82" s="768"/>
      <c r="U82" s="769"/>
      <c r="V82" s="516">
        <f t="shared" si="13"/>
        <v>0</v>
      </c>
    </row>
    <row r="83" spans="2:22" s="136" customFormat="1" x14ac:dyDescent="0.2">
      <c r="B83" s="152">
        <v>44160</v>
      </c>
      <c r="C83" s="68">
        <v>511.8</v>
      </c>
      <c r="D83" s="60" t="s">
        <v>487</v>
      </c>
      <c r="E83" s="68">
        <f t="shared" si="10"/>
        <v>0</v>
      </c>
      <c r="F83" s="68">
        <f t="shared" si="11"/>
        <v>511.8</v>
      </c>
      <c r="G83" s="33">
        <f t="shared" si="12"/>
        <v>25163.64000000001</v>
      </c>
      <c r="I83" s="322"/>
      <c r="J83" s="323"/>
      <c r="K83" s="217"/>
      <c r="L83" s="217"/>
      <c r="M83" s="60"/>
      <c r="N83" s="217"/>
      <c r="O83" s="217"/>
      <c r="P83" s="217"/>
      <c r="Q83" s="33"/>
      <c r="R83" s="217">
        <v>511.8</v>
      </c>
      <c r="S83" s="68"/>
      <c r="T83" s="768"/>
      <c r="U83" s="769"/>
      <c r="V83" s="516">
        <f t="shared" si="13"/>
        <v>0</v>
      </c>
    </row>
    <row r="84" spans="2:22" s="136" customFormat="1" x14ac:dyDescent="0.2">
      <c r="B84" s="152">
        <v>44160</v>
      </c>
      <c r="C84" s="68">
        <v>-100</v>
      </c>
      <c r="D84" s="60" t="s">
        <v>486</v>
      </c>
      <c r="E84" s="68">
        <f t="shared" si="10"/>
        <v>-100</v>
      </c>
      <c r="F84" s="68">
        <f t="shared" si="11"/>
        <v>0</v>
      </c>
      <c r="G84" s="33">
        <f t="shared" si="12"/>
        <v>24651.840000000011</v>
      </c>
      <c r="I84" s="322"/>
      <c r="J84" s="323"/>
      <c r="K84" s="217"/>
      <c r="L84" s="217"/>
      <c r="M84" s="60"/>
      <c r="N84" s="217"/>
      <c r="O84" s="217"/>
      <c r="P84" s="217"/>
      <c r="Q84" s="33"/>
      <c r="R84" s="217"/>
      <c r="S84" s="68">
        <v>-100</v>
      </c>
      <c r="T84" s="768"/>
      <c r="U84" s="769"/>
      <c r="V84" s="516">
        <f t="shared" si="13"/>
        <v>0</v>
      </c>
    </row>
    <row r="85" spans="2:22" s="136" customFormat="1" x14ac:dyDescent="0.2">
      <c r="B85" s="152">
        <v>44160</v>
      </c>
      <c r="C85" s="68">
        <v>-1000</v>
      </c>
      <c r="D85" s="60" t="s">
        <v>485</v>
      </c>
      <c r="E85" s="68">
        <f t="shared" si="10"/>
        <v>-1000</v>
      </c>
      <c r="F85" s="68">
        <f t="shared" si="11"/>
        <v>0</v>
      </c>
      <c r="G85" s="33">
        <f t="shared" si="12"/>
        <v>24751.840000000011</v>
      </c>
      <c r="I85" s="322"/>
      <c r="J85" s="323"/>
      <c r="K85" s="217"/>
      <c r="L85" s="217"/>
      <c r="M85" s="60"/>
      <c r="N85" s="217"/>
      <c r="O85" s="217"/>
      <c r="P85" s="217"/>
      <c r="Q85" s="33"/>
      <c r="R85" s="217"/>
      <c r="S85" s="68">
        <v>-1000</v>
      </c>
      <c r="T85" s="768"/>
      <c r="U85" s="769"/>
      <c r="V85" s="516">
        <f t="shared" si="13"/>
        <v>0</v>
      </c>
    </row>
    <row r="86" spans="2:22" s="136" customFormat="1" x14ac:dyDescent="0.2">
      <c r="B86" s="152">
        <v>44155</v>
      </c>
      <c r="C86" s="68">
        <v>-500</v>
      </c>
      <c r="D86" s="60" t="s">
        <v>488</v>
      </c>
      <c r="E86" s="68">
        <f t="shared" si="10"/>
        <v>-500</v>
      </c>
      <c r="F86" s="68">
        <f t="shared" si="11"/>
        <v>0</v>
      </c>
      <c r="G86" s="33">
        <f t="shared" si="12"/>
        <v>25751.840000000011</v>
      </c>
      <c r="I86" s="322"/>
      <c r="J86" s="323"/>
      <c r="K86" s="217"/>
      <c r="L86" s="217"/>
      <c r="M86" s="60"/>
      <c r="N86" s="217"/>
      <c r="O86" s="217"/>
      <c r="P86" s="217"/>
      <c r="Q86" s="33"/>
      <c r="R86" s="217"/>
      <c r="S86" s="68">
        <v>-500</v>
      </c>
      <c r="T86" s="768"/>
      <c r="U86" s="769"/>
      <c r="V86" s="516">
        <f t="shared" si="13"/>
        <v>0</v>
      </c>
    </row>
    <row r="87" spans="2:22" s="136" customFormat="1" x14ac:dyDescent="0.2">
      <c r="B87" s="152">
        <v>44153</v>
      </c>
      <c r="C87" s="68">
        <v>367</v>
      </c>
      <c r="D87" s="60" t="s">
        <v>358</v>
      </c>
      <c r="E87" s="68">
        <f t="shared" si="10"/>
        <v>0</v>
      </c>
      <c r="F87" s="68">
        <f t="shared" si="11"/>
        <v>367</v>
      </c>
      <c r="G87" s="33">
        <f t="shared" si="12"/>
        <v>26251.840000000011</v>
      </c>
      <c r="I87" s="322"/>
      <c r="J87" s="323"/>
      <c r="K87" s="217"/>
      <c r="L87" s="217"/>
      <c r="M87" s="60"/>
      <c r="N87" s="217"/>
      <c r="O87" s="217"/>
      <c r="P87" s="217"/>
      <c r="Q87" s="33"/>
      <c r="R87" s="217">
        <v>367</v>
      </c>
      <c r="S87" s="68"/>
      <c r="T87" s="768"/>
      <c r="U87" s="769"/>
      <c r="V87" s="516">
        <f t="shared" si="13"/>
        <v>0</v>
      </c>
    </row>
    <row r="88" spans="2:22" s="136" customFormat="1" x14ac:dyDescent="0.2">
      <c r="B88" s="152">
        <v>44151</v>
      </c>
      <c r="C88" s="68">
        <v>-1000</v>
      </c>
      <c r="D88" s="60" t="s">
        <v>489</v>
      </c>
      <c r="E88" s="68">
        <f t="shared" si="10"/>
        <v>-1000</v>
      </c>
      <c r="F88" s="68">
        <f t="shared" si="11"/>
        <v>0</v>
      </c>
      <c r="G88" s="33">
        <f t="shared" si="12"/>
        <v>25884.840000000011</v>
      </c>
      <c r="I88" s="322"/>
      <c r="J88" s="323"/>
      <c r="K88" s="217"/>
      <c r="L88" s="217"/>
      <c r="M88" s="60"/>
      <c r="N88" s="217"/>
      <c r="O88" s="217"/>
      <c r="P88" s="217"/>
      <c r="Q88" s="33"/>
      <c r="R88" s="217"/>
      <c r="S88" s="68">
        <v>-1000</v>
      </c>
      <c r="T88" s="768"/>
      <c r="U88" s="769"/>
      <c r="V88" s="516">
        <f t="shared" si="13"/>
        <v>0</v>
      </c>
    </row>
    <row r="89" spans="2:22" s="136" customFormat="1" x14ac:dyDescent="0.2">
      <c r="B89" s="152">
        <v>44148</v>
      </c>
      <c r="C89" s="68">
        <v>-616.21</v>
      </c>
      <c r="D89" s="60" t="s">
        <v>490</v>
      </c>
      <c r="E89" s="68">
        <f t="shared" si="10"/>
        <v>-616.21</v>
      </c>
      <c r="F89" s="68">
        <f t="shared" si="11"/>
        <v>0</v>
      </c>
      <c r="G89" s="33">
        <f t="shared" si="12"/>
        <v>26884.840000000011</v>
      </c>
      <c r="I89" s="322"/>
      <c r="J89" s="323"/>
      <c r="K89" s="217"/>
      <c r="L89" s="217"/>
      <c r="M89" s="60"/>
      <c r="N89" s="217"/>
      <c r="O89" s="217"/>
      <c r="P89" s="217"/>
      <c r="Q89" s="33"/>
      <c r="R89" s="217"/>
      <c r="S89" s="68">
        <v>-616.21</v>
      </c>
      <c r="T89" s="768"/>
      <c r="U89" s="769"/>
      <c r="V89" s="516">
        <f t="shared" si="13"/>
        <v>0</v>
      </c>
    </row>
    <row r="90" spans="2:22" s="136" customFormat="1" x14ac:dyDescent="0.2">
      <c r="B90" s="152">
        <v>44146</v>
      </c>
      <c r="C90" s="68">
        <v>-1500</v>
      </c>
      <c r="D90" s="60" t="s">
        <v>491</v>
      </c>
      <c r="E90" s="68">
        <f t="shared" ref="E90:E121" si="14">IF(C90&lt;0,C90,0)</f>
        <v>-1500</v>
      </c>
      <c r="F90" s="68">
        <f t="shared" ref="F90:F121" si="15">IF(C90&lt;0,0,C90)</f>
        <v>0</v>
      </c>
      <c r="G90" s="33">
        <f t="shared" ref="G90:G121" si="16">G91+E90+F90</f>
        <v>27501.05000000001</v>
      </c>
      <c r="I90" s="322"/>
      <c r="J90" s="323"/>
      <c r="K90" s="217"/>
      <c r="L90" s="217"/>
      <c r="M90" s="60"/>
      <c r="N90" s="217"/>
      <c r="O90" s="217"/>
      <c r="P90" s="217"/>
      <c r="Q90" s="33"/>
      <c r="R90" s="217"/>
      <c r="S90" s="68">
        <v>-1500</v>
      </c>
      <c r="T90" s="768"/>
      <c r="U90" s="769"/>
      <c r="V90" s="516">
        <f t="shared" ref="V90:V121" si="17">SUM(I90:S90)-C90</f>
        <v>0</v>
      </c>
    </row>
    <row r="91" spans="2:22" s="136" customFormat="1" x14ac:dyDescent="0.2">
      <c r="B91" s="152">
        <v>44140</v>
      </c>
      <c r="C91" s="68">
        <v>215.25</v>
      </c>
      <c r="D91" s="60" t="s">
        <v>492</v>
      </c>
      <c r="E91" s="68">
        <f t="shared" si="14"/>
        <v>0</v>
      </c>
      <c r="F91" s="68">
        <f t="shared" si="15"/>
        <v>215.25</v>
      </c>
      <c r="G91" s="33">
        <f t="shared" si="16"/>
        <v>29001.05000000001</v>
      </c>
      <c r="I91" s="322"/>
      <c r="J91" s="323"/>
      <c r="K91" s="217"/>
      <c r="L91" s="217"/>
      <c r="M91" s="60"/>
      <c r="N91" s="217"/>
      <c r="O91" s="217"/>
      <c r="P91" s="217"/>
      <c r="Q91" s="33"/>
      <c r="R91" s="217">
        <v>215.25</v>
      </c>
      <c r="S91" s="68"/>
      <c r="T91" s="768"/>
      <c r="U91" s="769"/>
      <c r="V91" s="516">
        <f t="shared" si="17"/>
        <v>0</v>
      </c>
    </row>
    <row r="92" spans="2:22" s="136" customFormat="1" x14ac:dyDescent="0.2">
      <c r="B92" s="152">
        <v>44138</v>
      </c>
      <c r="C92" s="68">
        <v>-153.56</v>
      </c>
      <c r="D92" s="60" t="s">
        <v>493</v>
      </c>
      <c r="E92" s="68">
        <f t="shared" si="14"/>
        <v>-153.56</v>
      </c>
      <c r="F92" s="68">
        <f t="shared" si="15"/>
        <v>0</v>
      </c>
      <c r="G92" s="33">
        <f t="shared" si="16"/>
        <v>28785.80000000001</v>
      </c>
      <c r="I92" s="322"/>
      <c r="J92" s="323"/>
      <c r="K92" s="217"/>
      <c r="L92" s="217"/>
      <c r="M92" s="60"/>
      <c r="N92" s="217"/>
      <c r="O92" s="217"/>
      <c r="P92" s="217"/>
      <c r="Q92" s="33"/>
      <c r="R92" s="217"/>
      <c r="S92" s="68">
        <v>-153.56</v>
      </c>
      <c r="T92" s="768"/>
      <c r="U92" s="769"/>
      <c r="V92" s="516">
        <f t="shared" si="17"/>
        <v>0</v>
      </c>
    </row>
    <row r="93" spans="2:22" s="136" customFormat="1" x14ac:dyDescent="0.2">
      <c r="B93" s="152">
        <v>44137</v>
      </c>
      <c r="C93" s="68">
        <v>-80</v>
      </c>
      <c r="D93" s="60" t="s">
        <v>494</v>
      </c>
      <c r="E93" s="68">
        <f t="shared" si="14"/>
        <v>-80</v>
      </c>
      <c r="F93" s="68">
        <f t="shared" si="15"/>
        <v>0</v>
      </c>
      <c r="G93" s="33">
        <f t="shared" si="16"/>
        <v>28939.360000000011</v>
      </c>
      <c r="I93" s="322"/>
      <c r="J93" s="323"/>
      <c r="K93" s="217"/>
      <c r="L93" s="217"/>
      <c r="M93" s="60"/>
      <c r="N93" s="217"/>
      <c r="O93" s="217"/>
      <c r="P93" s="217"/>
      <c r="Q93" s="33"/>
      <c r="R93" s="217"/>
      <c r="S93" s="68">
        <v>-80</v>
      </c>
      <c r="T93" s="768"/>
      <c r="U93" s="769"/>
      <c r="V93" s="516">
        <f t="shared" si="17"/>
        <v>0</v>
      </c>
    </row>
    <row r="94" spans="2:22" s="136" customFormat="1" x14ac:dyDescent="0.2">
      <c r="B94" s="152">
        <v>44134</v>
      </c>
      <c r="C94" s="68">
        <v>-872.74</v>
      </c>
      <c r="D94" s="60" t="s">
        <v>495</v>
      </c>
      <c r="E94" s="68">
        <f t="shared" si="14"/>
        <v>-872.74</v>
      </c>
      <c r="F94" s="68">
        <f t="shared" si="15"/>
        <v>0</v>
      </c>
      <c r="G94" s="33">
        <f t="shared" si="16"/>
        <v>29019.360000000011</v>
      </c>
      <c r="I94" s="322"/>
      <c r="J94" s="323"/>
      <c r="K94" s="217"/>
      <c r="L94" s="217"/>
      <c r="M94" s="60"/>
      <c r="N94" s="217"/>
      <c r="O94" s="217"/>
      <c r="P94" s="217"/>
      <c r="Q94" s="33"/>
      <c r="R94" s="217"/>
      <c r="S94" s="68">
        <v>-872.74</v>
      </c>
      <c r="T94" s="768"/>
      <c r="U94" s="769"/>
      <c r="V94" s="516">
        <f t="shared" si="17"/>
        <v>0</v>
      </c>
    </row>
    <row r="95" spans="2:22" s="136" customFormat="1" x14ac:dyDescent="0.2">
      <c r="B95" s="152">
        <v>44130</v>
      </c>
      <c r="C95" s="68">
        <v>-2000</v>
      </c>
      <c r="D95" s="60" t="s">
        <v>496</v>
      </c>
      <c r="E95" s="68">
        <f t="shared" si="14"/>
        <v>-2000</v>
      </c>
      <c r="F95" s="68">
        <f t="shared" si="15"/>
        <v>0</v>
      </c>
      <c r="G95" s="33">
        <f t="shared" si="16"/>
        <v>29892.100000000013</v>
      </c>
      <c r="I95" s="322"/>
      <c r="J95" s="323"/>
      <c r="K95" s="217"/>
      <c r="L95" s="217"/>
      <c r="M95" s="60"/>
      <c r="N95" s="217"/>
      <c r="O95" s="217"/>
      <c r="P95" s="217"/>
      <c r="Q95" s="33"/>
      <c r="R95" s="217"/>
      <c r="S95" s="68">
        <v>-2000</v>
      </c>
      <c r="T95" s="768"/>
      <c r="U95" s="769"/>
      <c r="V95" s="516">
        <f t="shared" si="17"/>
        <v>0</v>
      </c>
    </row>
    <row r="96" spans="2:22" s="136" customFormat="1" x14ac:dyDescent="0.2">
      <c r="B96" s="152">
        <v>44118</v>
      </c>
      <c r="C96" s="68">
        <v>-1500</v>
      </c>
      <c r="D96" s="60" t="s">
        <v>497</v>
      </c>
      <c r="E96" s="68">
        <f t="shared" si="14"/>
        <v>-1500</v>
      </c>
      <c r="F96" s="68">
        <f t="shared" si="15"/>
        <v>0</v>
      </c>
      <c r="G96" s="33">
        <f t="shared" si="16"/>
        <v>31892.100000000013</v>
      </c>
      <c r="I96" s="322"/>
      <c r="J96" s="323"/>
      <c r="K96" s="217"/>
      <c r="L96" s="217"/>
      <c r="M96" s="60"/>
      <c r="N96" s="217"/>
      <c r="O96" s="217"/>
      <c r="P96" s="217"/>
      <c r="Q96" s="33"/>
      <c r="R96" s="217"/>
      <c r="S96" s="68">
        <v>-1500</v>
      </c>
      <c r="T96" s="768"/>
      <c r="U96" s="769"/>
      <c r="V96" s="516">
        <f t="shared" si="17"/>
        <v>0</v>
      </c>
    </row>
    <row r="97" spans="2:22" s="136" customFormat="1" x14ac:dyDescent="0.2">
      <c r="B97" s="152">
        <v>44104</v>
      </c>
      <c r="C97" s="68">
        <v>-377.94</v>
      </c>
      <c r="D97" s="60" t="s">
        <v>83</v>
      </c>
      <c r="E97" s="68">
        <f t="shared" si="14"/>
        <v>-377.94</v>
      </c>
      <c r="F97" s="68">
        <f t="shared" si="15"/>
        <v>0</v>
      </c>
      <c r="G97" s="33">
        <f t="shared" si="16"/>
        <v>33392.100000000013</v>
      </c>
      <c r="I97" s="322"/>
      <c r="J97" s="323"/>
      <c r="K97" s="217"/>
      <c r="L97" s="217"/>
      <c r="M97" s="60"/>
      <c r="N97" s="217"/>
      <c r="O97" s="217"/>
      <c r="P97" s="217"/>
      <c r="Q97" s="33"/>
      <c r="R97" s="217"/>
      <c r="S97" s="68">
        <v>-377.94</v>
      </c>
      <c r="T97" s="768"/>
      <c r="U97" s="769"/>
      <c r="V97" s="516">
        <f t="shared" si="17"/>
        <v>0</v>
      </c>
    </row>
    <row r="98" spans="2:22" s="136" customFormat="1" x14ac:dyDescent="0.2">
      <c r="B98" s="152">
        <v>44099</v>
      </c>
      <c r="C98" s="68">
        <v>-2000</v>
      </c>
      <c r="D98" s="60" t="s">
        <v>498</v>
      </c>
      <c r="E98" s="68">
        <f t="shared" si="14"/>
        <v>-2000</v>
      </c>
      <c r="F98" s="68">
        <f t="shared" si="15"/>
        <v>0</v>
      </c>
      <c r="G98" s="33">
        <f t="shared" si="16"/>
        <v>33770.040000000015</v>
      </c>
      <c r="I98" s="322"/>
      <c r="J98" s="323"/>
      <c r="K98" s="217"/>
      <c r="L98" s="217"/>
      <c r="M98" s="60"/>
      <c r="N98" s="217"/>
      <c r="O98" s="217"/>
      <c r="P98" s="217"/>
      <c r="Q98" s="33"/>
      <c r="R98" s="217"/>
      <c r="S98" s="68">
        <v>-2000</v>
      </c>
      <c r="T98" s="768"/>
      <c r="U98" s="769"/>
      <c r="V98" s="516">
        <f t="shared" si="17"/>
        <v>0</v>
      </c>
    </row>
    <row r="99" spans="2:22" s="136" customFormat="1" x14ac:dyDescent="0.2">
      <c r="B99" s="152">
        <v>44099</v>
      </c>
      <c r="C99" s="68">
        <v>20000</v>
      </c>
      <c r="D99" s="60" t="s">
        <v>499</v>
      </c>
      <c r="E99" s="68">
        <f t="shared" si="14"/>
        <v>0</v>
      </c>
      <c r="F99" s="68">
        <f t="shared" si="15"/>
        <v>20000</v>
      </c>
      <c r="G99" s="33">
        <f t="shared" si="16"/>
        <v>35770.040000000015</v>
      </c>
      <c r="I99" s="322"/>
      <c r="J99" s="323"/>
      <c r="K99" s="217"/>
      <c r="L99" s="217"/>
      <c r="M99" s="60">
        <v>20000</v>
      </c>
      <c r="N99" s="217"/>
      <c r="O99" s="217"/>
      <c r="P99" s="217"/>
      <c r="Q99" s="33"/>
      <c r="R99" s="217"/>
      <c r="S99" s="68"/>
      <c r="T99" s="768"/>
      <c r="U99" s="769"/>
      <c r="V99" s="516">
        <f t="shared" si="17"/>
        <v>0</v>
      </c>
    </row>
    <row r="100" spans="2:22" s="136" customFormat="1" x14ac:dyDescent="0.2">
      <c r="B100" s="152">
        <v>44098</v>
      </c>
      <c r="C100" s="68">
        <v>-1500</v>
      </c>
      <c r="D100" s="60" t="s">
        <v>500</v>
      </c>
      <c r="E100" s="68">
        <f t="shared" si="14"/>
        <v>-1500</v>
      </c>
      <c r="F100" s="68">
        <f t="shared" si="15"/>
        <v>0</v>
      </c>
      <c r="G100" s="33">
        <f t="shared" si="16"/>
        <v>15770.040000000015</v>
      </c>
      <c r="I100" s="322"/>
      <c r="J100" s="323"/>
      <c r="K100" s="217"/>
      <c r="L100" s="217"/>
      <c r="M100" s="60"/>
      <c r="N100" s="217"/>
      <c r="O100" s="217"/>
      <c r="P100" s="217"/>
      <c r="Q100" s="33"/>
      <c r="R100" s="217"/>
      <c r="S100" s="68">
        <v>-1500</v>
      </c>
      <c r="T100" s="768"/>
      <c r="U100" s="769"/>
      <c r="V100" s="516">
        <f t="shared" si="17"/>
        <v>0</v>
      </c>
    </row>
    <row r="101" spans="2:22" s="136" customFormat="1" x14ac:dyDescent="0.2">
      <c r="B101" s="152">
        <v>44097</v>
      </c>
      <c r="C101" s="68">
        <v>511.8</v>
      </c>
      <c r="D101" s="60" t="s">
        <v>501</v>
      </c>
      <c r="E101" s="68">
        <f t="shared" si="14"/>
        <v>0</v>
      </c>
      <c r="F101" s="68">
        <f t="shared" si="15"/>
        <v>511.8</v>
      </c>
      <c r="G101" s="33">
        <f t="shared" si="16"/>
        <v>17270.040000000015</v>
      </c>
      <c r="I101" s="322"/>
      <c r="J101" s="323"/>
      <c r="K101" s="217"/>
      <c r="L101" s="217"/>
      <c r="M101" s="60"/>
      <c r="N101" s="217"/>
      <c r="O101" s="217"/>
      <c r="P101" s="217"/>
      <c r="Q101" s="33"/>
      <c r="R101" s="217">
        <v>511.8</v>
      </c>
      <c r="S101" s="68"/>
      <c r="T101" s="768"/>
      <c r="U101" s="769"/>
      <c r="V101" s="516">
        <f t="shared" si="17"/>
        <v>0</v>
      </c>
    </row>
    <row r="102" spans="2:22" s="136" customFormat="1" x14ac:dyDescent="0.2">
      <c r="B102" s="152">
        <v>44097</v>
      </c>
      <c r="C102" s="68">
        <v>69.650000000000006</v>
      </c>
      <c r="D102" s="60" t="s">
        <v>502</v>
      </c>
      <c r="E102" s="68">
        <f t="shared" si="14"/>
        <v>0</v>
      </c>
      <c r="F102" s="68">
        <f t="shared" si="15"/>
        <v>69.650000000000006</v>
      </c>
      <c r="G102" s="33">
        <f t="shared" si="16"/>
        <v>16758.240000000016</v>
      </c>
      <c r="I102" s="322"/>
      <c r="J102" s="323"/>
      <c r="K102" s="217"/>
      <c r="L102" s="217">
        <v>69.650000000000006</v>
      </c>
      <c r="M102" s="60"/>
      <c r="N102" s="217"/>
      <c r="O102" s="217"/>
      <c r="P102" s="217"/>
      <c r="Q102" s="33"/>
      <c r="R102" s="217"/>
      <c r="S102" s="68"/>
      <c r="T102" s="768"/>
      <c r="U102" s="769"/>
      <c r="V102" s="516">
        <f t="shared" si="17"/>
        <v>0</v>
      </c>
    </row>
    <row r="103" spans="2:22" s="136" customFormat="1" x14ac:dyDescent="0.2">
      <c r="B103" s="152">
        <v>44097</v>
      </c>
      <c r="C103" s="68">
        <v>69.650000000000006</v>
      </c>
      <c r="D103" s="60" t="s">
        <v>503</v>
      </c>
      <c r="E103" s="68">
        <f t="shared" si="14"/>
        <v>0</v>
      </c>
      <c r="F103" s="68">
        <f t="shared" si="15"/>
        <v>69.650000000000006</v>
      </c>
      <c r="G103" s="33">
        <f t="shared" si="16"/>
        <v>16688.590000000015</v>
      </c>
      <c r="I103" s="322"/>
      <c r="J103" s="323"/>
      <c r="K103" s="217"/>
      <c r="L103" s="217">
        <v>69.650000000000006</v>
      </c>
      <c r="M103" s="60"/>
      <c r="N103" s="217"/>
      <c r="O103" s="217"/>
      <c r="P103" s="217"/>
      <c r="Q103" s="33"/>
      <c r="R103" s="217"/>
      <c r="S103" s="68"/>
      <c r="T103" s="768"/>
      <c r="U103" s="769"/>
      <c r="V103" s="516">
        <f t="shared" si="17"/>
        <v>0</v>
      </c>
    </row>
    <row r="104" spans="2:22" s="136" customFormat="1" x14ac:dyDescent="0.2">
      <c r="B104" s="152">
        <v>44092</v>
      </c>
      <c r="C104" s="68">
        <v>-1000</v>
      </c>
      <c r="D104" s="60" t="s">
        <v>504</v>
      </c>
      <c r="E104" s="68">
        <f t="shared" si="14"/>
        <v>-1000</v>
      </c>
      <c r="F104" s="68">
        <f t="shared" si="15"/>
        <v>0</v>
      </c>
      <c r="G104" s="33">
        <f t="shared" si="16"/>
        <v>16618.940000000013</v>
      </c>
      <c r="I104" s="322"/>
      <c r="J104" s="323"/>
      <c r="K104" s="217"/>
      <c r="L104" s="217"/>
      <c r="M104" s="60"/>
      <c r="N104" s="217"/>
      <c r="O104" s="217"/>
      <c r="P104" s="217"/>
      <c r="Q104" s="33"/>
      <c r="R104" s="217"/>
      <c r="S104" s="68">
        <v>-1000</v>
      </c>
      <c r="T104" s="768"/>
      <c r="U104" s="769"/>
      <c r="V104" s="516">
        <f t="shared" si="17"/>
        <v>0</v>
      </c>
    </row>
    <row r="105" spans="2:22" s="136" customFormat="1" x14ac:dyDescent="0.2">
      <c r="B105" s="152">
        <v>44091</v>
      </c>
      <c r="C105" s="68">
        <v>1.28</v>
      </c>
      <c r="D105" s="60" t="s">
        <v>505</v>
      </c>
      <c r="E105" s="68">
        <f t="shared" si="14"/>
        <v>0</v>
      </c>
      <c r="F105" s="68">
        <f t="shared" si="15"/>
        <v>1.28</v>
      </c>
      <c r="G105" s="33">
        <f t="shared" si="16"/>
        <v>17618.940000000013</v>
      </c>
      <c r="I105" s="322"/>
      <c r="J105" s="323"/>
      <c r="K105" s="217"/>
      <c r="L105" s="217"/>
      <c r="M105" s="60"/>
      <c r="N105" s="217"/>
      <c r="O105" s="217"/>
      <c r="P105" s="217"/>
      <c r="Q105" s="33"/>
      <c r="R105" s="217"/>
      <c r="S105" s="68">
        <v>1.28</v>
      </c>
      <c r="T105" s="768"/>
      <c r="U105" s="769"/>
      <c r="V105" s="516">
        <f t="shared" si="17"/>
        <v>0</v>
      </c>
    </row>
    <row r="106" spans="2:22" s="136" customFormat="1" x14ac:dyDescent="0.2">
      <c r="B106" s="152">
        <v>44082</v>
      </c>
      <c r="C106" s="68">
        <v>-1500</v>
      </c>
      <c r="D106" s="60" t="s">
        <v>506</v>
      </c>
      <c r="E106" s="68">
        <f t="shared" si="14"/>
        <v>-1500</v>
      </c>
      <c r="F106" s="68">
        <f t="shared" si="15"/>
        <v>0</v>
      </c>
      <c r="G106" s="33">
        <f t="shared" si="16"/>
        <v>17617.660000000014</v>
      </c>
      <c r="I106" s="322"/>
      <c r="J106" s="323"/>
      <c r="K106" s="217"/>
      <c r="L106" s="217"/>
      <c r="M106" s="60"/>
      <c r="N106" s="217"/>
      <c r="O106" s="217"/>
      <c r="P106" s="217"/>
      <c r="Q106" s="33"/>
      <c r="R106" s="217"/>
      <c r="S106" s="68">
        <v>-1500</v>
      </c>
      <c r="T106" s="768"/>
      <c r="U106" s="769"/>
      <c r="V106" s="516">
        <f t="shared" si="17"/>
        <v>0</v>
      </c>
    </row>
    <row r="107" spans="2:22" s="136" customFormat="1" x14ac:dyDescent="0.2">
      <c r="B107" s="152">
        <v>44074</v>
      </c>
      <c r="C107" s="68">
        <v>-2373.5</v>
      </c>
      <c r="D107" s="60" t="s">
        <v>507</v>
      </c>
      <c r="E107" s="68">
        <f t="shared" si="14"/>
        <v>-2373.5</v>
      </c>
      <c r="F107" s="68">
        <f t="shared" si="15"/>
        <v>0</v>
      </c>
      <c r="G107" s="33">
        <f t="shared" si="16"/>
        <v>19117.660000000014</v>
      </c>
      <c r="I107" s="322"/>
      <c r="J107" s="323"/>
      <c r="K107" s="217"/>
      <c r="L107" s="217"/>
      <c r="M107" s="60"/>
      <c r="N107" s="217"/>
      <c r="O107" s="217"/>
      <c r="P107" s="217"/>
      <c r="Q107" s="33"/>
      <c r="R107" s="217"/>
      <c r="S107" s="68">
        <v>-2373.5</v>
      </c>
      <c r="T107" s="768"/>
      <c r="U107" s="769"/>
      <c r="V107" s="516">
        <f t="shared" si="17"/>
        <v>0</v>
      </c>
    </row>
    <row r="108" spans="2:22" s="136" customFormat="1" x14ac:dyDescent="0.2">
      <c r="B108" s="152">
        <v>44067</v>
      </c>
      <c r="C108" s="68">
        <v>-100</v>
      </c>
      <c r="D108" s="60" t="s">
        <v>509</v>
      </c>
      <c r="E108" s="68">
        <f t="shared" si="14"/>
        <v>-100</v>
      </c>
      <c r="F108" s="68">
        <f t="shared" si="15"/>
        <v>0</v>
      </c>
      <c r="G108" s="33">
        <f t="shared" si="16"/>
        <v>21491.160000000014</v>
      </c>
      <c r="I108" s="322"/>
      <c r="J108" s="323"/>
      <c r="K108" s="217"/>
      <c r="L108" s="217"/>
      <c r="M108" s="60"/>
      <c r="N108" s="217"/>
      <c r="O108" s="217"/>
      <c r="P108" s="217"/>
      <c r="Q108" s="33"/>
      <c r="R108" s="217"/>
      <c r="S108" s="68">
        <v>-100</v>
      </c>
      <c r="T108" s="768"/>
      <c r="U108" s="769"/>
      <c r="V108" s="516">
        <f t="shared" si="17"/>
        <v>0</v>
      </c>
    </row>
    <row r="109" spans="2:22" s="136" customFormat="1" x14ac:dyDescent="0.2">
      <c r="B109" s="152">
        <v>44067</v>
      </c>
      <c r="C109" s="68">
        <v>-1500</v>
      </c>
      <c r="D109" s="60" t="s">
        <v>508</v>
      </c>
      <c r="E109" s="68">
        <f t="shared" si="14"/>
        <v>-1500</v>
      </c>
      <c r="F109" s="68">
        <f t="shared" si="15"/>
        <v>0</v>
      </c>
      <c r="G109" s="33">
        <f t="shared" si="16"/>
        <v>21591.160000000014</v>
      </c>
      <c r="I109" s="322"/>
      <c r="J109" s="323"/>
      <c r="K109" s="217"/>
      <c r="L109" s="217"/>
      <c r="M109" s="60"/>
      <c r="N109" s="217"/>
      <c r="O109" s="217"/>
      <c r="P109" s="217"/>
      <c r="Q109" s="33"/>
      <c r="R109" s="217"/>
      <c r="S109" s="68">
        <v>-1500</v>
      </c>
      <c r="T109" s="768"/>
      <c r="U109" s="769"/>
      <c r="V109" s="516">
        <f t="shared" si="17"/>
        <v>0</v>
      </c>
    </row>
    <row r="110" spans="2:22" s="136" customFormat="1" x14ac:dyDescent="0.2">
      <c r="B110" s="152">
        <v>44057</v>
      </c>
      <c r="C110" s="68">
        <v>-607.73</v>
      </c>
      <c r="D110" s="60" t="s">
        <v>510</v>
      </c>
      <c r="E110" s="68">
        <f t="shared" si="14"/>
        <v>-607.73</v>
      </c>
      <c r="F110" s="68">
        <f t="shared" si="15"/>
        <v>0</v>
      </c>
      <c r="G110" s="33">
        <f t="shared" si="16"/>
        <v>23091.160000000014</v>
      </c>
      <c r="I110" s="322"/>
      <c r="J110" s="323"/>
      <c r="K110" s="217"/>
      <c r="L110" s="217"/>
      <c r="M110" s="60"/>
      <c r="N110" s="217"/>
      <c r="O110" s="217"/>
      <c r="P110" s="217"/>
      <c r="Q110" s="33"/>
      <c r="R110" s="217"/>
      <c r="S110" s="68">
        <v>-607.73</v>
      </c>
      <c r="T110" s="768"/>
      <c r="U110" s="769"/>
      <c r="V110" s="516">
        <f t="shared" si="17"/>
        <v>0</v>
      </c>
    </row>
    <row r="111" spans="2:22" s="136" customFormat="1" x14ac:dyDescent="0.2">
      <c r="B111" s="152">
        <v>44048</v>
      </c>
      <c r="C111" s="68">
        <v>-1000</v>
      </c>
      <c r="D111" s="60" t="s">
        <v>511</v>
      </c>
      <c r="E111" s="68">
        <f t="shared" si="14"/>
        <v>-1000</v>
      </c>
      <c r="F111" s="68">
        <f t="shared" si="15"/>
        <v>0</v>
      </c>
      <c r="G111" s="33">
        <f t="shared" si="16"/>
        <v>23698.890000000014</v>
      </c>
      <c r="I111" s="322"/>
      <c r="J111" s="323"/>
      <c r="K111" s="217"/>
      <c r="L111" s="217"/>
      <c r="M111" s="60"/>
      <c r="N111" s="217"/>
      <c r="O111" s="217"/>
      <c r="P111" s="217"/>
      <c r="Q111" s="33"/>
      <c r="R111" s="217"/>
      <c r="S111" s="68">
        <v>-1000</v>
      </c>
      <c r="T111" s="768"/>
      <c r="U111" s="769"/>
      <c r="V111" s="516">
        <f t="shared" si="17"/>
        <v>0</v>
      </c>
    </row>
    <row r="112" spans="2:22" s="136" customFormat="1" x14ac:dyDescent="0.2">
      <c r="B112" s="152">
        <v>44046</v>
      </c>
      <c r="C112" s="68">
        <v>-2000</v>
      </c>
      <c r="D112" s="60" t="s">
        <v>359</v>
      </c>
      <c r="E112" s="68">
        <f t="shared" si="14"/>
        <v>-2000</v>
      </c>
      <c r="F112" s="68">
        <f t="shared" si="15"/>
        <v>0</v>
      </c>
      <c r="G112" s="33">
        <f t="shared" si="16"/>
        <v>24698.890000000014</v>
      </c>
      <c r="I112" s="322"/>
      <c r="J112" s="323"/>
      <c r="K112" s="217"/>
      <c r="L112" s="217"/>
      <c r="M112" s="60"/>
      <c r="N112" s="217"/>
      <c r="O112" s="217"/>
      <c r="P112" s="217"/>
      <c r="Q112" s="33"/>
      <c r="R112" s="217"/>
      <c r="S112" s="68">
        <v>-2000</v>
      </c>
      <c r="T112" s="768"/>
      <c r="U112" s="769"/>
      <c r="V112" s="516">
        <f t="shared" si="17"/>
        <v>0</v>
      </c>
    </row>
    <row r="113" spans="2:22" s="136" customFormat="1" x14ac:dyDescent="0.2">
      <c r="B113" s="152">
        <v>44043</v>
      </c>
      <c r="C113" s="68">
        <v>-153.56</v>
      </c>
      <c r="D113" s="60" t="s">
        <v>512</v>
      </c>
      <c r="E113" s="68">
        <f t="shared" si="14"/>
        <v>-153.56</v>
      </c>
      <c r="F113" s="68">
        <f t="shared" si="15"/>
        <v>0</v>
      </c>
      <c r="G113" s="33">
        <f t="shared" si="16"/>
        <v>26698.890000000014</v>
      </c>
      <c r="I113" s="322"/>
      <c r="J113" s="323"/>
      <c r="K113" s="217"/>
      <c r="L113" s="217"/>
      <c r="M113" s="60"/>
      <c r="N113" s="217"/>
      <c r="O113" s="217"/>
      <c r="P113" s="217"/>
      <c r="Q113" s="33"/>
      <c r="R113" s="217"/>
      <c r="S113" s="68">
        <v>-153.56</v>
      </c>
      <c r="T113" s="768"/>
      <c r="U113" s="769"/>
      <c r="V113" s="516">
        <f t="shared" si="17"/>
        <v>0</v>
      </c>
    </row>
    <row r="114" spans="2:22" s="136" customFormat="1" x14ac:dyDescent="0.2">
      <c r="B114" s="152">
        <v>44042</v>
      </c>
      <c r="C114" s="68">
        <v>-1000</v>
      </c>
      <c r="D114" s="60" t="s">
        <v>513</v>
      </c>
      <c r="E114" s="68">
        <f t="shared" si="14"/>
        <v>-1000</v>
      </c>
      <c r="F114" s="68">
        <f t="shared" si="15"/>
        <v>0</v>
      </c>
      <c r="G114" s="33">
        <f t="shared" si="16"/>
        <v>26852.450000000015</v>
      </c>
      <c r="I114" s="322"/>
      <c r="J114" s="323"/>
      <c r="K114" s="217"/>
      <c r="L114" s="217"/>
      <c r="M114" s="60"/>
      <c r="N114" s="217"/>
      <c r="O114" s="217"/>
      <c r="P114" s="217"/>
      <c r="Q114" s="33"/>
      <c r="R114" s="217"/>
      <c r="S114" s="68">
        <v>-1000</v>
      </c>
      <c r="T114" s="768"/>
      <c r="U114" s="769"/>
      <c r="V114" s="516">
        <f t="shared" si="17"/>
        <v>0</v>
      </c>
    </row>
    <row r="115" spans="2:22" s="136" customFormat="1" x14ac:dyDescent="0.2">
      <c r="B115" s="152">
        <v>44036</v>
      </c>
      <c r="C115" s="68">
        <v>4943</v>
      </c>
      <c r="D115" s="60" t="s">
        <v>517</v>
      </c>
      <c r="E115" s="68">
        <f t="shared" si="14"/>
        <v>0</v>
      </c>
      <c r="F115" s="68">
        <f t="shared" si="15"/>
        <v>4943</v>
      </c>
      <c r="G115" s="33">
        <f t="shared" si="16"/>
        <v>27852.450000000015</v>
      </c>
      <c r="I115" s="322"/>
      <c r="J115" s="323"/>
      <c r="K115" s="217">
        <v>4943</v>
      </c>
      <c r="L115" s="217"/>
      <c r="M115" s="60"/>
      <c r="N115" s="217"/>
      <c r="O115" s="217"/>
      <c r="P115" s="217"/>
      <c r="Q115" s="33"/>
      <c r="R115" s="217"/>
      <c r="S115" s="68"/>
      <c r="T115" s="768"/>
      <c r="U115" s="769"/>
      <c r="V115" s="516">
        <f t="shared" si="17"/>
        <v>0</v>
      </c>
    </row>
    <row r="116" spans="2:22" s="136" customFormat="1" x14ac:dyDescent="0.2">
      <c r="B116" s="152">
        <v>44036</v>
      </c>
      <c r="C116" s="68">
        <v>4943</v>
      </c>
      <c r="D116" s="60" t="s">
        <v>518</v>
      </c>
      <c r="E116" s="68">
        <f t="shared" si="14"/>
        <v>0</v>
      </c>
      <c r="F116" s="68">
        <f t="shared" si="15"/>
        <v>4943</v>
      </c>
      <c r="G116" s="33">
        <f t="shared" si="16"/>
        <v>22909.450000000015</v>
      </c>
      <c r="I116" s="322"/>
      <c r="J116" s="323"/>
      <c r="K116" s="217">
        <v>4943</v>
      </c>
      <c r="L116" s="217"/>
      <c r="M116" s="60"/>
      <c r="N116" s="217"/>
      <c r="O116" s="217"/>
      <c r="P116" s="217"/>
      <c r="Q116" s="33"/>
      <c r="R116" s="217"/>
      <c r="S116" s="68"/>
      <c r="T116" s="768"/>
      <c r="U116" s="769"/>
      <c r="V116" s="516">
        <f t="shared" si="17"/>
        <v>0</v>
      </c>
    </row>
    <row r="117" spans="2:22" s="136" customFormat="1" x14ac:dyDescent="0.2">
      <c r="B117" s="152">
        <v>44036</v>
      </c>
      <c r="C117" s="68">
        <v>-440</v>
      </c>
      <c r="D117" s="60" t="s">
        <v>515</v>
      </c>
      <c r="E117" s="68">
        <f t="shared" si="14"/>
        <v>-440</v>
      </c>
      <c r="F117" s="68">
        <f t="shared" si="15"/>
        <v>0</v>
      </c>
      <c r="G117" s="33">
        <f t="shared" si="16"/>
        <v>17966.450000000015</v>
      </c>
      <c r="I117" s="322"/>
      <c r="J117" s="323"/>
      <c r="K117" s="217"/>
      <c r="L117" s="217"/>
      <c r="M117" s="60"/>
      <c r="N117" s="217"/>
      <c r="O117" s="217"/>
      <c r="P117" s="217">
        <v>-440</v>
      </c>
      <c r="Q117" s="33"/>
      <c r="R117" s="217"/>
      <c r="S117" s="68"/>
      <c r="T117" s="768"/>
      <c r="U117" s="769"/>
      <c r="V117" s="516">
        <f t="shared" si="17"/>
        <v>0</v>
      </c>
    </row>
    <row r="118" spans="2:22" s="136" customFormat="1" x14ac:dyDescent="0.2">
      <c r="B118" s="152">
        <v>44036</v>
      </c>
      <c r="C118" s="68">
        <v>-50</v>
      </c>
      <c r="D118" s="60" t="s">
        <v>516</v>
      </c>
      <c r="E118" s="68">
        <f t="shared" si="14"/>
        <v>-50</v>
      </c>
      <c r="F118" s="68">
        <f t="shared" si="15"/>
        <v>0</v>
      </c>
      <c r="G118" s="33">
        <f t="shared" si="16"/>
        <v>18406.450000000015</v>
      </c>
      <c r="I118" s="322"/>
      <c r="J118" s="323"/>
      <c r="K118" s="217"/>
      <c r="L118" s="217"/>
      <c r="M118" s="60"/>
      <c r="N118" s="217"/>
      <c r="O118" s="217"/>
      <c r="P118" s="217"/>
      <c r="Q118" s="33"/>
      <c r="R118" s="217"/>
      <c r="S118" s="68">
        <v>-50</v>
      </c>
      <c r="T118" s="768"/>
      <c r="U118" s="769"/>
      <c r="V118" s="516">
        <f t="shared" si="17"/>
        <v>0</v>
      </c>
    </row>
    <row r="119" spans="2:22" s="136" customFormat="1" x14ac:dyDescent="0.2">
      <c r="B119" s="152">
        <v>44036</v>
      </c>
      <c r="C119" s="68">
        <v>-1500</v>
      </c>
      <c r="D119" s="60" t="s">
        <v>514</v>
      </c>
      <c r="E119" s="68">
        <f t="shared" si="14"/>
        <v>-1500</v>
      </c>
      <c r="F119" s="68">
        <f t="shared" si="15"/>
        <v>0</v>
      </c>
      <c r="G119" s="33">
        <f t="shared" si="16"/>
        <v>18456.450000000015</v>
      </c>
      <c r="I119" s="322"/>
      <c r="J119" s="323"/>
      <c r="K119" s="217"/>
      <c r="L119" s="217"/>
      <c r="M119" s="60"/>
      <c r="N119" s="217"/>
      <c r="O119" s="217"/>
      <c r="P119" s="217"/>
      <c r="Q119" s="33"/>
      <c r="R119" s="217"/>
      <c r="S119" s="68">
        <v>-1500</v>
      </c>
      <c r="T119" s="768"/>
      <c r="U119" s="769"/>
      <c r="V119" s="516">
        <f t="shared" si="17"/>
        <v>0</v>
      </c>
    </row>
    <row r="120" spans="2:22" s="136" customFormat="1" x14ac:dyDescent="0.2">
      <c r="B120" s="152">
        <v>44035</v>
      </c>
      <c r="C120" s="68">
        <v>-647.34</v>
      </c>
      <c r="D120" s="60" t="s">
        <v>519</v>
      </c>
      <c r="E120" s="68">
        <f t="shared" si="14"/>
        <v>-647.34</v>
      </c>
      <c r="F120" s="68">
        <f t="shared" si="15"/>
        <v>0</v>
      </c>
      <c r="G120" s="33">
        <f t="shared" si="16"/>
        <v>19956.450000000015</v>
      </c>
      <c r="I120" s="322"/>
      <c r="J120" s="323"/>
      <c r="K120" s="217"/>
      <c r="L120" s="217"/>
      <c r="M120" s="60"/>
      <c r="N120" s="217"/>
      <c r="O120" s="217"/>
      <c r="P120" s="217"/>
      <c r="Q120" s="33"/>
      <c r="R120" s="217"/>
      <c r="S120" s="68">
        <v>-647.34</v>
      </c>
      <c r="T120" s="768"/>
      <c r="U120" s="769"/>
      <c r="V120" s="516">
        <f t="shared" si="17"/>
        <v>0</v>
      </c>
    </row>
    <row r="121" spans="2:22" s="136" customFormat="1" x14ac:dyDescent="0.2">
      <c r="B121" s="152">
        <v>44034</v>
      </c>
      <c r="C121" s="68">
        <v>511.8</v>
      </c>
      <c r="D121" s="60" t="s">
        <v>520</v>
      </c>
      <c r="E121" s="68">
        <f t="shared" si="14"/>
        <v>0</v>
      </c>
      <c r="F121" s="68">
        <f t="shared" si="15"/>
        <v>511.8</v>
      </c>
      <c r="G121" s="33">
        <f t="shared" si="16"/>
        <v>20603.790000000015</v>
      </c>
      <c r="I121" s="322"/>
      <c r="J121" s="323"/>
      <c r="K121" s="217"/>
      <c r="L121" s="217"/>
      <c r="M121" s="60"/>
      <c r="N121" s="217"/>
      <c r="O121" s="217"/>
      <c r="P121" s="217"/>
      <c r="Q121" s="33"/>
      <c r="R121" s="217">
        <v>511.8</v>
      </c>
      <c r="S121" s="68"/>
      <c r="T121" s="768"/>
      <c r="U121" s="769"/>
      <c r="V121" s="516">
        <f t="shared" si="17"/>
        <v>0</v>
      </c>
    </row>
    <row r="122" spans="2:22" s="136" customFormat="1" x14ac:dyDescent="0.2">
      <c r="B122" s="152">
        <v>44028</v>
      </c>
      <c r="C122" s="68">
        <v>750</v>
      </c>
      <c r="D122" s="60" t="s">
        <v>521</v>
      </c>
      <c r="E122" s="68">
        <f t="shared" ref="E122:E127" si="18">IF(C122&lt;0,C122,0)</f>
        <v>0</v>
      </c>
      <c r="F122" s="68">
        <f t="shared" ref="F122:F127" si="19">IF(C122&lt;0,0,C122)</f>
        <v>750</v>
      </c>
      <c r="G122" s="33">
        <f t="shared" ref="G122:G127" si="20">G123+E122+F122</f>
        <v>20091.990000000016</v>
      </c>
      <c r="I122" s="322"/>
      <c r="J122" s="323"/>
      <c r="K122" s="217"/>
      <c r="L122" s="217">
        <v>750</v>
      </c>
      <c r="M122" s="60"/>
      <c r="N122" s="217"/>
      <c r="O122" s="217"/>
      <c r="P122" s="217"/>
      <c r="Q122" s="33"/>
      <c r="R122" s="217"/>
      <c r="S122" s="68"/>
      <c r="T122" s="768"/>
      <c r="U122" s="769"/>
      <c r="V122" s="516">
        <f t="shared" ref="V122:V127" si="21">SUM(I122:S122)-C122</f>
        <v>0</v>
      </c>
    </row>
    <row r="123" spans="2:22" s="136" customFormat="1" x14ac:dyDescent="0.2">
      <c r="B123" s="152">
        <v>44028</v>
      </c>
      <c r="C123" s="68">
        <v>750</v>
      </c>
      <c r="D123" s="60" t="s">
        <v>522</v>
      </c>
      <c r="E123" s="68">
        <f t="shared" si="18"/>
        <v>0</v>
      </c>
      <c r="F123" s="68">
        <f t="shared" si="19"/>
        <v>750</v>
      </c>
      <c r="G123" s="33">
        <f t="shared" si="20"/>
        <v>19341.990000000016</v>
      </c>
      <c r="I123" s="322"/>
      <c r="J123" s="323"/>
      <c r="K123" s="217"/>
      <c r="L123" s="217">
        <v>750</v>
      </c>
      <c r="M123" s="60"/>
      <c r="N123" s="217"/>
      <c r="O123" s="217"/>
      <c r="P123" s="217"/>
      <c r="Q123" s="33"/>
      <c r="R123" s="217"/>
      <c r="S123" s="68"/>
      <c r="T123" s="768"/>
      <c r="U123" s="769"/>
      <c r="V123" s="516">
        <f t="shared" si="21"/>
        <v>0</v>
      </c>
    </row>
    <row r="124" spans="2:22" s="136" customFormat="1" x14ac:dyDescent="0.2">
      <c r="B124" s="152">
        <v>44022</v>
      </c>
      <c r="C124" s="68">
        <v>-1200</v>
      </c>
      <c r="D124" s="60" t="s">
        <v>523</v>
      </c>
      <c r="E124" s="68">
        <f t="shared" si="18"/>
        <v>-1200</v>
      </c>
      <c r="F124" s="68">
        <f t="shared" si="19"/>
        <v>0</v>
      </c>
      <c r="G124" s="33">
        <f t="shared" si="20"/>
        <v>18591.990000000016</v>
      </c>
      <c r="I124" s="322"/>
      <c r="J124" s="323"/>
      <c r="K124" s="217"/>
      <c r="L124" s="217"/>
      <c r="M124" s="60"/>
      <c r="N124" s="217"/>
      <c r="O124" s="217"/>
      <c r="P124" s="217"/>
      <c r="Q124" s="33"/>
      <c r="R124" s="217"/>
      <c r="S124" s="68">
        <v>-1200</v>
      </c>
      <c r="T124" s="768"/>
      <c r="U124" s="769"/>
      <c r="V124" s="516">
        <f t="shared" si="21"/>
        <v>0</v>
      </c>
    </row>
    <row r="125" spans="2:22" s="136" customFormat="1" x14ac:dyDescent="0.2">
      <c r="B125" s="152">
        <v>44019</v>
      </c>
      <c r="C125" s="68">
        <v>-2000</v>
      </c>
      <c r="D125" s="60" t="s">
        <v>359</v>
      </c>
      <c r="E125" s="68">
        <f t="shared" si="18"/>
        <v>-2000</v>
      </c>
      <c r="F125" s="68">
        <f t="shared" si="19"/>
        <v>0</v>
      </c>
      <c r="G125" s="33">
        <f t="shared" si="20"/>
        <v>19791.990000000016</v>
      </c>
      <c r="I125" s="322"/>
      <c r="J125" s="323"/>
      <c r="K125" s="217"/>
      <c r="L125" s="217"/>
      <c r="M125" s="60"/>
      <c r="N125" s="217"/>
      <c r="O125" s="217"/>
      <c r="P125" s="217"/>
      <c r="Q125" s="33"/>
      <c r="R125" s="217"/>
      <c r="S125" s="68">
        <v>-2000</v>
      </c>
      <c r="T125" s="768"/>
      <c r="U125" s="769"/>
      <c r="V125" s="516">
        <f t="shared" si="21"/>
        <v>0</v>
      </c>
    </row>
    <row r="126" spans="2:22" s="136" customFormat="1" x14ac:dyDescent="0.2">
      <c r="B126" s="152">
        <v>44018</v>
      </c>
      <c r="C126" s="68">
        <v>-50</v>
      </c>
      <c r="D126" s="60" t="s">
        <v>524</v>
      </c>
      <c r="E126" s="68">
        <f t="shared" si="18"/>
        <v>-50</v>
      </c>
      <c r="F126" s="68">
        <f t="shared" si="19"/>
        <v>0</v>
      </c>
      <c r="G126" s="33">
        <f t="shared" si="20"/>
        <v>21791.990000000016</v>
      </c>
      <c r="I126" s="322"/>
      <c r="J126" s="323"/>
      <c r="K126" s="217"/>
      <c r="L126" s="217"/>
      <c r="M126" s="60"/>
      <c r="N126" s="217"/>
      <c r="O126" s="217"/>
      <c r="P126" s="217"/>
      <c r="Q126" s="33"/>
      <c r="R126" s="217"/>
      <c r="S126" s="68">
        <v>-50</v>
      </c>
      <c r="T126" s="768"/>
      <c r="U126" s="769"/>
      <c r="V126" s="516">
        <f t="shared" si="21"/>
        <v>0</v>
      </c>
    </row>
    <row r="127" spans="2:22" s="136" customFormat="1" ht="12" thickBot="1" x14ac:dyDescent="0.25">
      <c r="B127" s="152">
        <v>44013</v>
      </c>
      <c r="C127" s="68">
        <v>-1000</v>
      </c>
      <c r="D127" s="60" t="s">
        <v>525</v>
      </c>
      <c r="E127" s="68">
        <f t="shared" si="18"/>
        <v>-1000</v>
      </c>
      <c r="F127" s="68">
        <f t="shared" si="19"/>
        <v>0</v>
      </c>
      <c r="G127" s="33">
        <f t="shared" si="20"/>
        <v>21841.990000000016</v>
      </c>
      <c r="I127" s="322"/>
      <c r="J127" s="323"/>
      <c r="K127" s="217"/>
      <c r="L127" s="217"/>
      <c r="M127" s="60"/>
      <c r="N127" s="217"/>
      <c r="O127" s="217"/>
      <c r="P127" s="217"/>
      <c r="Q127" s="33"/>
      <c r="R127" s="217"/>
      <c r="S127" s="68">
        <v>-1000</v>
      </c>
      <c r="T127" s="768"/>
      <c r="U127" s="769"/>
      <c r="V127" s="516">
        <f t="shared" si="21"/>
        <v>0</v>
      </c>
    </row>
    <row r="128" spans="2:22" s="181" customFormat="1" ht="12.75" x14ac:dyDescent="0.2">
      <c r="B128" s="492"/>
      <c r="C128" s="493"/>
      <c r="D128" s="503" t="s">
        <v>433</v>
      </c>
      <c r="E128" s="493"/>
      <c r="F128" s="493"/>
      <c r="G128" s="493">
        <v>22841.990000000016</v>
      </c>
      <c r="H128" s="136"/>
      <c r="I128" s="494"/>
      <c r="J128" s="494"/>
      <c r="K128" s="493"/>
      <c r="L128" s="493"/>
      <c r="M128" s="494"/>
      <c r="N128" s="493"/>
      <c r="O128" s="493"/>
      <c r="P128" s="493"/>
      <c r="Q128" s="493"/>
      <c r="R128" s="493"/>
      <c r="S128" s="493"/>
      <c r="T128" s="851"/>
      <c r="U128" s="850"/>
      <c r="V128" s="493"/>
    </row>
    <row r="129" spans="2:22" s="181" customFormat="1" ht="12.75" x14ac:dyDescent="0.2">
      <c r="B129" s="496"/>
      <c r="C129" s="497"/>
      <c r="D129" s="504"/>
      <c r="E129" s="497"/>
      <c r="F129" s="497"/>
      <c r="G129" s="497"/>
      <c r="H129" s="136"/>
      <c r="I129" s="499"/>
      <c r="J129" s="499"/>
      <c r="K129" s="497"/>
      <c r="L129" s="497"/>
      <c r="M129" s="499"/>
      <c r="N129" s="497"/>
      <c r="O129" s="497"/>
      <c r="P129" s="497"/>
      <c r="Q129" s="497"/>
      <c r="R129" s="497"/>
      <c r="S129" s="497"/>
      <c r="T129" s="495"/>
      <c r="V129" s="497"/>
    </row>
    <row r="130" spans="2:22" s="181" customFormat="1" ht="13.5" thickBot="1" x14ac:dyDescent="0.25">
      <c r="B130" s="500"/>
      <c r="C130" s="501"/>
      <c r="D130" s="505" t="s">
        <v>432</v>
      </c>
      <c r="E130" s="501"/>
      <c r="F130" s="501"/>
      <c r="G130" s="501">
        <v>22841.990000000016</v>
      </c>
      <c r="H130" s="136"/>
      <c r="I130" s="502"/>
      <c r="J130" s="502"/>
      <c r="K130" s="501"/>
      <c r="L130" s="501"/>
      <c r="M130" s="502"/>
      <c r="N130" s="501"/>
      <c r="O130" s="501"/>
      <c r="P130" s="501"/>
      <c r="Q130" s="501"/>
      <c r="R130" s="501"/>
      <c r="S130" s="501"/>
      <c r="T130" s="495"/>
      <c r="V130" s="501"/>
    </row>
    <row r="131" spans="2:22" s="136" customFormat="1" x14ac:dyDescent="0.2">
      <c r="B131" s="152">
        <v>44006</v>
      </c>
      <c r="C131" s="68">
        <v>69.650000000000006</v>
      </c>
      <c r="D131" s="60" t="s">
        <v>376</v>
      </c>
      <c r="E131" s="68">
        <f t="shared" ref="E131:E139" si="22">IF(C131&lt;0,C131,0)</f>
        <v>0</v>
      </c>
      <c r="F131" s="68">
        <f t="shared" ref="F131:F139" si="23">IF(C131&lt;0,0,C131)</f>
        <v>69.650000000000006</v>
      </c>
      <c r="G131" s="33">
        <f t="shared" ref="G131:G139" si="24">G132+E131+F131</f>
        <v>22841.990000000016</v>
      </c>
      <c r="I131" s="322"/>
      <c r="J131" s="323"/>
      <c r="K131" s="217"/>
      <c r="L131" s="217"/>
      <c r="M131" s="60"/>
      <c r="N131" s="217"/>
      <c r="O131" s="217"/>
      <c r="P131" s="217"/>
      <c r="Q131" s="33">
        <v>69.650000000000006</v>
      </c>
      <c r="R131" s="217"/>
      <c r="S131" s="68"/>
      <c r="T131" s="768">
        <f t="shared" ref="T131:T141" si="25">SUM(I131:S131)-C131</f>
        <v>0</v>
      </c>
      <c r="U131" s="769"/>
      <c r="V131" s="516">
        <v>44006</v>
      </c>
    </row>
    <row r="132" spans="2:22" s="136" customFormat="1" x14ac:dyDescent="0.2">
      <c r="B132" s="152">
        <v>44006</v>
      </c>
      <c r="C132" s="68">
        <v>69.650000000000006</v>
      </c>
      <c r="D132" s="60" t="s">
        <v>377</v>
      </c>
      <c r="E132" s="68">
        <f t="shared" si="22"/>
        <v>0</v>
      </c>
      <c r="F132" s="68">
        <f t="shared" si="23"/>
        <v>69.650000000000006</v>
      </c>
      <c r="G132" s="33">
        <f t="shared" si="24"/>
        <v>22772.340000000015</v>
      </c>
      <c r="I132" s="322"/>
      <c r="J132" s="323"/>
      <c r="K132" s="217"/>
      <c r="L132" s="217"/>
      <c r="M132" s="60"/>
      <c r="N132" s="217"/>
      <c r="O132" s="217"/>
      <c r="P132" s="217"/>
      <c r="Q132" s="33">
        <v>69.650000000000006</v>
      </c>
      <c r="R132" s="217"/>
      <c r="S132" s="68"/>
      <c r="T132" s="768">
        <f t="shared" si="25"/>
        <v>0</v>
      </c>
      <c r="U132" s="769"/>
      <c r="V132" s="516">
        <v>44006</v>
      </c>
    </row>
    <row r="133" spans="2:22" s="136" customFormat="1" x14ac:dyDescent="0.2">
      <c r="B133" s="152">
        <v>44004</v>
      </c>
      <c r="C133" s="68">
        <v>-1000</v>
      </c>
      <c r="D133" s="60" t="s">
        <v>378</v>
      </c>
      <c r="E133" s="68">
        <f t="shared" si="22"/>
        <v>-1000</v>
      </c>
      <c r="F133" s="68">
        <f t="shared" si="23"/>
        <v>0</v>
      </c>
      <c r="G133" s="33">
        <f t="shared" si="24"/>
        <v>22702.690000000013</v>
      </c>
      <c r="I133" s="322"/>
      <c r="J133" s="323"/>
      <c r="K133" s="217"/>
      <c r="L133" s="217"/>
      <c r="M133" s="60"/>
      <c r="N133" s="217"/>
      <c r="O133" s="217"/>
      <c r="P133" s="217"/>
      <c r="Q133" s="33"/>
      <c r="R133" s="217"/>
      <c r="S133" s="68">
        <v>-1000</v>
      </c>
      <c r="T133" s="768">
        <f t="shared" si="25"/>
        <v>0</v>
      </c>
      <c r="U133" s="769"/>
      <c r="V133" s="516">
        <v>44004</v>
      </c>
    </row>
    <row r="134" spans="2:22" s="136" customFormat="1" x14ac:dyDescent="0.2">
      <c r="B134" s="152">
        <v>43994</v>
      </c>
      <c r="C134" s="68">
        <v>-1500</v>
      </c>
      <c r="D134" s="60" t="s">
        <v>379</v>
      </c>
      <c r="E134" s="68">
        <f t="shared" si="22"/>
        <v>-1500</v>
      </c>
      <c r="F134" s="68">
        <f t="shared" si="23"/>
        <v>0</v>
      </c>
      <c r="G134" s="33">
        <f t="shared" si="24"/>
        <v>23702.690000000013</v>
      </c>
      <c r="I134" s="322"/>
      <c r="J134" s="323"/>
      <c r="K134" s="217"/>
      <c r="L134" s="217"/>
      <c r="M134" s="60"/>
      <c r="N134" s="217"/>
      <c r="O134" s="217"/>
      <c r="P134" s="217"/>
      <c r="Q134" s="33"/>
      <c r="R134" s="217"/>
      <c r="S134" s="68">
        <v>-1500</v>
      </c>
      <c r="T134" s="768">
        <f t="shared" si="25"/>
        <v>0</v>
      </c>
      <c r="U134" s="769"/>
      <c r="V134" s="516">
        <v>43994</v>
      </c>
    </row>
    <row r="135" spans="2:22" s="136" customFormat="1" x14ac:dyDescent="0.2">
      <c r="B135" s="152">
        <v>43991</v>
      </c>
      <c r="C135" s="68">
        <v>234</v>
      </c>
      <c r="D135" s="60" t="s">
        <v>380</v>
      </c>
      <c r="E135" s="68">
        <f t="shared" si="22"/>
        <v>0</v>
      </c>
      <c r="F135" s="68">
        <f t="shared" si="23"/>
        <v>234</v>
      </c>
      <c r="G135" s="33">
        <f t="shared" si="24"/>
        <v>25202.690000000013</v>
      </c>
      <c r="I135" s="322"/>
      <c r="J135" s="323"/>
      <c r="K135" s="217"/>
      <c r="L135" s="217"/>
      <c r="M135" s="60"/>
      <c r="N135" s="217"/>
      <c r="O135" s="217"/>
      <c r="P135" s="217"/>
      <c r="Q135" s="33"/>
      <c r="R135" s="217">
        <v>234</v>
      </c>
      <c r="S135" s="68"/>
      <c r="T135" s="768">
        <f t="shared" si="25"/>
        <v>0</v>
      </c>
      <c r="U135" s="769"/>
      <c r="V135" s="516">
        <v>43991</v>
      </c>
    </row>
    <row r="136" spans="2:22" s="136" customFormat="1" x14ac:dyDescent="0.2">
      <c r="B136" s="152">
        <v>43984</v>
      </c>
      <c r="C136" s="68">
        <v>70.8</v>
      </c>
      <c r="D136" s="60" t="s">
        <v>358</v>
      </c>
      <c r="E136" s="68">
        <f t="shared" si="22"/>
        <v>0</v>
      </c>
      <c r="F136" s="68">
        <f t="shared" si="23"/>
        <v>70.8</v>
      </c>
      <c r="G136" s="33">
        <f t="shared" si="24"/>
        <v>24968.690000000013</v>
      </c>
      <c r="I136" s="322"/>
      <c r="J136" s="323"/>
      <c r="K136" s="217"/>
      <c r="L136" s="217"/>
      <c r="M136" s="60"/>
      <c r="N136" s="217"/>
      <c r="O136" s="217"/>
      <c r="P136" s="217"/>
      <c r="Q136" s="33"/>
      <c r="R136" s="217">
        <v>70.8</v>
      </c>
      <c r="S136" s="68"/>
      <c r="T136" s="768">
        <f t="shared" si="25"/>
        <v>0</v>
      </c>
      <c r="U136" s="769"/>
      <c r="V136" s="516">
        <v>43984</v>
      </c>
    </row>
    <row r="137" spans="2:22" s="136" customFormat="1" x14ac:dyDescent="0.2">
      <c r="B137" s="152">
        <v>43984</v>
      </c>
      <c r="C137" s="68">
        <v>70.8</v>
      </c>
      <c r="D137" s="60" t="s">
        <v>358</v>
      </c>
      <c r="E137" s="68">
        <f t="shared" si="22"/>
        <v>0</v>
      </c>
      <c r="F137" s="68">
        <f t="shared" si="23"/>
        <v>70.8</v>
      </c>
      <c r="G137" s="33">
        <f t="shared" si="24"/>
        <v>24897.890000000014</v>
      </c>
      <c r="I137" s="322"/>
      <c r="J137" s="323"/>
      <c r="K137" s="217"/>
      <c r="L137" s="217"/>
      <c r="M137" s="60"/>
      <c r="N137" s="217"/>
      <c r="O137" s="217"/>
      <c r="P137" s="217"/>
      <c r="Q137" s="33"/>
      <c r="R137" s="217">
        <v>70.8</v>
      </c>
      <c r="S137" s="68"/>
      <c r="T137" s="768">
        <f t="shared" si="25"/>
        <v>0</v>
      </c>
      <c r="U137" s="769"/>
      <c r="V137" s="516">
        <v>43984</v>
      </c>
    </row>
    <row r="138" spans="2:22" s="136" customFormat="1" x14ac:dyDescent="0.2">
      <c r="B138" s="152">
        <v>43983</v>
      </c>
      <c r="C138" s="68">
        <v>-2000</v>
      </c>
      <c r="D138" s="60" t="s">
        <v>359</v>
      </c>
      <c r="E138" s="68">
        <f t="shared" si="22"/>
        <v>-2000</v>
      </c>
      <c r="F138" s="68">
        <f t="shared" si="23"/>
        <v>0</v>
      </c>
      <c r="G138" s="33">
        <f t="shared" si="24"/>
        <v>24827.090000000015</v>
      </c>
      <c r="I138" s="322"/>
      <c r="J138" s="323"/>
      <c r="K138" s="217"/>
      <c r="L138" s="217"/>
      <c r="M138" s="60"/>
      <c r="N138" s="217"/>
      <c r="O138" s="217"/>
      <c r="P138" s="217"/>
      <c r="Q138" s="33"/>
      <c r="R138" s="217"/>
      <c r="S138" s="68">
        <v>-2000</v>
      </c>
      <c r="T138" s="768">
        <f t="shared" si="25"/>
        <v>0</v>
      </c>
      <c r="U138" s="769"/>
      <c r="V138" s="516">
        <v>43983</v>
      </c>
    </row>
    <row r="139" spans="2:22" s="136" customFormat="1" x14ac:dyDescent="0.2">
      <c r="B139" s="152">
        <v>43983</v>
      </c>
      <c r="C139" s="68">
        <v>-100</v>
      </c>
      <c r="D139" s="60" t="s">
        <v>359</v>
      </c>
      <c r="E139" s="68">
        <f t="shared" si="22"/>
        <v>-100</v>
      </c>
      <c r="F139" s="68">
        <f t="shared" si="23"/>
        <v>0</v>
      </c>
      <c r="G139" s="33">
        <f t="shared" si="24"/>
        <v>26827.090000000015</v>
      </c>
      <c r="I139" s="322"/>
      <c r="J139" s="323"/>
      <c r="K139" s="217"/>
      <c r="L139" s="217"/>
      <c r="M139" s="60"/>
      <c r="N139" s="217"/>
      <c r="O139" s="217"/>
      <c r="P139" s="217"/>
      <c r="Q139" s="33"/>
      <c r="R139" s="217"/>
      <c r="S139" s="68">
        <v>-100</v>
      </c>
      <c r="T139" s="768">
        <f t="shared" si="25"/>
        <v>0</v>
      </c>
      <c r="U139" s="769"/>
      <c r="V139" s="516">
        <v>43983</v>
      </c>
    </row>
    <row r="140" spans="2:22" s="136" customFormat="1" x14ac:dyDescent="0.2">
      <c r="B140" s="152">
        <v>43983</v>
      </c>
      <c r="C140" s="68">
        <v>-30</v>
      </c>
      <c r="D140" s="60" t="s">
        <v>361</v>
      </c>
      <c r="E140" s="68">
        <f t="shared" ref="E140:E141" si="26">IF(C140&lt;0,C140,0)</f>
        <v>-30</v>
      </c>
      <c r="F140" s="68">
        <f t="shared" ref="F140:F141" si="27">IF(C140&lt;0,0,C140)</f>
        <v>0</v>
      </c>
      <c r="G140" s="33">
        <f t="shared" ref="G140" si="28">G141+E140+F140</f>
        <v>26927.090000000015</v>
      </c>
      <c r="I140" s="322"/>
      <c r="J140" s="323"/>
      <c r="K140" s="217"/>
      <c r="L140" s="217"/>
      <c r="M140" s="60"/>
      <c r="N140" s="217"/>
      <c r="O140" s="217"/>
      <c r="P140" s="217"/>
      <c r="Q140" s="33"/>
      <c r="R140" s="217"/>
      <c r="S140" s="68">
        <v>-30</v>
      </c>
      <c r="T140" s="768">
        <f t="shared" si="25"/>
        <v>0</v>
      </c>
      <c r="U140" s="769"/>
      <c r="V140" s="516">
        <v>43983</v>
      </c>
    </row>
    <row r="141" spans="2:22" s="136" customFormat="1" x14ac:dyDescent="0.2">
      <c r="B141" s="152">
        <v>43983</v>
      </c>
      <c r="C141" s="68">
        <v>-500</v>
      </c>
      <c r="D141" s="60" t="s">
        <v>360</v>
      </c>
      <c r="E141" s="68">
        <f t="shared" si="26"/>
        <v>-500</v>
      </c>
      <c r="F141" s="68">
        <f t="shared" si="27"/>
        <v>0</v>
      </c>
      <c r="G141" s="33">
        <v>26957.090000000015</v>
      </c>
      <c r="I141" s="322"/>
      <c r="J141" s="323"/>
      <c r="K141" s="217"/>
      <c r="L141" s="217"/>
      <c r="M141" s="60"/>
      <c r="N141" s="217"/>
      <c r="O141" s="217"/>
      <c r="P141" s="217"/>
      <c r="Q141" s="33"/>
      <c r="R141" s="217"/>
      <c r="S141" s="68">
        <v>-500</v>
      </c>
      <c r="T141" s="768">
        <f t="shared" si="25"/>
        <v>0</v>
      </c>
      <c r="U141" s="769"/>
      <c r="V141" s="516">
        <v>43983</v>
      </c>
    </row>
    <row r="142" spans="2:22" s="136" customFormat="1" x14ac:dyDescent="0.2">
      <c r="B142" s="152"/>
      <c r="C142" s="68"/>
      <c r="D142" s="60"/>
      <c r="E142" s="68"/>
      <c r="F142" s="68"/>
      <c r="G142" s="33"/>
      <c r="I142" s="322"/>
      <c r="J142" s="323"/>
      <c r="K142" s="217"/>
      <c r="L142" s="217"/>
      <c r="M142" s="60"/>
      <c r="N142" s="217"/>
      <c r="O142" s="217"/>
      <c r="P142" s="217"/>
      <c r="Q142" s="33"/>
      <c r="R142" s="217"/>
      <c r="S142" s="68"/>
      <c r="T142" s="768"/>
      <c r="U142" s="769"/>
      <c r="V142" s="516"/>
    </row>
    <row r="143" spans="2:22" s="136" customFormat="1" x14ac:dyDescent="0.2">
      <c r="B143" s="152"/>
      <c r="C143" s="68"/>
      <c r="D143" s="60"/>
      <c r="E143" s="68"/>
      <c r="F143" s="68"/>
      <c r="G143" s="33"/>
      <c r="I143" s="322"/>
      <c r="J143" s="323"/>
      <c r="K143" s="217"/>
      <c r="L143" s="217"/>
      <c r="M143" s="60"/>
      <c r="N143" s="217"/>
      <c r="O143" s="217"/>
      <c r="P143" s="217"/>
      <c r="Q143" s="33"/>
      <c r="R143" s="217"/>
      <c r="S143" s="68"/>
      <c r="T143" s="768"/>
      <c r="U143" s="769"/>
      <c r="V143" s="516"/>
    </row>
    <row r="144" spans="2:22" s="136" customFormat="1" x14ac:dyDescent="0.2">
      <c r="B144" s="152"/>
      <c r="C144" s="68"/>
      <c r="D144" s="60"/>
      <c r="E144" s="68"/>
      <c r="F144" s="68"/>
      <c r="G144" s="33"/>
      <c r="I144" s="322"/>
      <c r="J144" s="323"/>
      <c r="K144" s="217"/>
      <c r="L144" s="217"/>
      <c r="M144" s="60"/>
      <c r="N144" s="217"/>
      <c r="O144" s="217"/>
      <c r="P144" s="217"/>
      <c r="Q144" s="33"/>
      <c r="R144" s="217"/>
      <c r="S144" s="68"/>
      <c r="T144" s="768"/>
      <c r="U144" s="769"/>
      <c r="V144" s="516"/>
    </row>
    <row r="145" spans="2:20" x14ac:dyDescent="0.2">
      <c r="B145" s="133"/>
      <c r="C145" s="133"/>
      <c r="D145" s="133"/>
      <c r="M145" s="133"/>
      <c r="Q145" s="133"/>
      <c r="R145" s="133"/>
      <c r="T145" s="133"/>
    </row>
    <row r="146" spans="2:20" x14ac:dyDescent="0.2">
      <c r="B146" s="133"/>
      <c r="C146" s="133"/>
      <c r="D146" s="133"/>
      <c r="M146" s="133"/>
      <c r="Q146" s="133"/>
      <c r="R146" s="133"/>
      <c r="T146" s="133"/>
    </row>
  </sheetData>
  <sheetProtection sheet="1" objects="1" scenarios="1"/>
  <sortState ref="A10:V23">
    <sortCondition descending="1" ref="B10:B23"/>
  </sortState>
  <mergeCells count="2">
    <mergeCell ref="B2:C2"/>
    <mergeCell ref="T4:U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8"/>
  <sheetViews>
    <sheetView topLeftCell="A4" workbookViewId="0">
      <selection activeCell="K7" sqref="K7"/>
    </sheetView>
  </sheetViews>
  <sheetFormatPr defaultRowHeight="11.25" x14ac:dyDescent="0.2"/>
  <cols>
    <col min="1" max="1" width="13.83203125" customWidth="1"/>
    <col min="2" max="2" width="12.1640625" customWidth="1"/>
    <col min="3" max="3" width="11" customWidth="1"/>
    <col min="4" max="4" width="71.33203125" customWidth="1"/>
    <col min="5" max="6" width="10.83203125" style="140" customWidth="1"/>
    <col min="7" max="7" width="12.83203125" style="140" customWidth="1"/>
    <col min="8" max="8" width="3.1640625" style="1" customWidth="1"/>
    <col min="9" max="9" width="11.33203125" style="1" customWidth="1"/>
    <col min="10" max="10" width="11.6640625" style="1" customWidth="1"/>
    <col min="11" max="11" width="12.5" style="1" customWidth="1"/>
    <col min="12" max="13" width="10.83203125" style="1" customWidth="1"/>
    <col min="14" max="14" width="12.5" customWidth="1"/>
    <col min="15" max="15" width="11.1640625" customWidth="1"/>
    <col min="16" max="16" width="11.33203125" customWidth="1"/>
  </cols>
  <sheetData>
    <row r="2" spans="2:16" ht="12" thickBot="1" x14ac:dyDescent="0.25"/>
    <row r="3" spans="2:16" s="133" customFormat="1" ht="19.5" customHeight="1" thickBot="1" x14ac:dyDescent="0.35">
      <c r="B3" s="1069" t="s">
        <v>408</v>
      </c>
      <c r="C3" s="1070"/>
      <c r="E3" s="140"/>
      <c r="F3" s="140"/>
      <c r="G3" s="140"/>
      <c r="H3" s="1"/>
      <c r="I3" s="26"/>
      <c r="J3" s="26"/>
      <c r="K3" s="1"/>
      <c r="L3" s="1"/>
      <c r="M3" s="1"/>
    </row>
    <row r="4" spans="2:16" s="510" customFormat="1" ht="21" customHeight="1" x14ac:dyDescent="0.3">
      <c r="C4" s="476"/>
      <c r="D4" s="511" t="s">
        <v>137</v>
      </c>
      <c r="E4" s="476"/>
      <c r="F4" s="476"/>
      <c r="G4" s="476"/>
      <c r="H4" s="508"/>
      <c r="I4" s="509"/>
      <c r="J4" s="509"/>
      <c r="K4" s="508"/>
      <c r="L4" s="508"/>
      <c r="M4" s="508"/>
    </row>
    <row r="5" spans="2:16" s="248" customFormat="1" ht="22.5" customHeight="1" thickBot="1" x14ac:dyDescent="0.25">
      <c r="B5" s="246"/>
      <c r="C5" s="247"/>
      <c r="E5" s="247"/>
      <c r="F5" s="247"/>
      <c r="G5" s="247"/>
      <c r="H5" s="247"/>
      <c r="I5" s="249"/>
      <c r="J5" s="247"/>
      <c r="K5" s="269"/>
      <c r="L5" s="95"/>
      <c r="M5" s="95"/>
    </row>
    <row r="6" spans="2:16" s="256" customFormat="1" ht="34.5" customHeight="1" thickBot="1" x14ac:dyDescent="0.25">
      <c r="B6" s="250" t="s">
        <v>13</v>
      </c>
      <c r="C6" s="251" t="s">
        <v>51</v>
      </c>
      <c r="D6" s="252" t="s">
        <v>57</v>
      </c>
      <c r="E6" s="251" t="s">
        <v>78</v>
      </c>
      <c r="F6" s="251" t="s">
        <v>79</v>
      </c>
      <c r="G6" s="328" t="s">
        <v>80</v>
      </c>
      <c r="H6" s="327"/>
      <c r="I6" s="325" t="s">
        <v>87</v>
      </c>
      <c r="J6" s="253" t="s">
        <v>77</v>
      </c>
      <c r="K6" s="253" t="s">
        <v>15</v>
      </c>
      <c r="L6" s="279" t="s">
        <v>128</v>
      </c>
      <c r="M6" s="253" t="s">
        <v>233</v>
      </c>
      <c r="N6" s="1075" t="s">
        <v>86</v>
      </c>
      <c r="O6" s="1076"/>
      <c r="P6" s="1077"/>
    </row>
    <row r="7" spans="2:16" s="1" customFormat="1" ht="12.75" thickTop="1" thickBot="1" x14ac:dyDescent="0.25">
      <c r="B7" s="1019"/>
      <c r="C7" s="1020">
        <f>SUM(C13:C51)</f>
        <v>-24272.57</v>
      </c>
      <c r="D7" s="1021"/>
      <c r="E7" s="1020">
        <f t="shared" ref="E7:F7" si="0">SUM(E13:E51)</f>
        <v>-199847.45999999996</v>
      </c>
      <c r="F7" s="1020">
        <f t="shared" si="0"/>
        <v>175574.89</v>
      </c>
      <c r="G7" s="984">
        <f>SUM(E7:F7)</f>
        <v>-24272.569999999949</v>
      </c>
      <c r="H7" s="324"/>
      <c r="I7" s="993">
        <f t="shared" ref="I7:M7" si="1">SUM(I13:I51)</f>
        <v>4000</v>
      </c>
      <c r="J7" s="221">
        <f t="shared" si="1"/>
        <v>2.2799999999999998</v>
      </c>
      <c r="K7" s="221">
        <f t="shared" si="1"/>
        <v>11584.59</v>
      </c>
      <c r="L7" s="221">
        <f t="shared" si="1"/>
        <v>-199847.45999999996</v>
      </c>
      <c r="M7" s="221">
        <f t="shared" si="1"/>
        <v>159988.01999999999</v>
      </c>
      <c r="N7" s="1025">
        <f>SUM(I7:M7)</f>
        <v>-24272.569999999978</v>
      </c>
      <c r="O7" s="167">
        <f>N7+G52</f>
        <v>1170.9200000000201</v>
      </c>
      <c r="P7" s="273"/>
    </row>
    <row r="8" spans="2:16" s="1" customFormat="1" x14ac:dyDescent="0.2">
      <c r="B8" s="515"/>
      <c r="C8" s="1022"/>
      <c r="D8" s="64"/>
      <c r="E8" s="1022"/>
      <c r="F8" s="1022"/>
      <c r="G8" s="32"/>
      <c r="H8" s="324"/>
      <c r="I8" s="849"/>
      <c r="J8" s="848"/>
      <c r="K8" s="848"/>
      <c r="L8" s="848"/>
      <c r="M8" s="848"/>
      <c r="N8" s="1023" t="s">
        <v>629</v>
      </c>
      <c r="O8" s="68" t="s">
        <v>80</v>
      </c>
      <c r="P8" s="33" t="s">
        <v>630</v>
      </c>
    </row>
    <row r="9" spans="2:16" s="1" customFormat="1" ht="12" thickBot="1" x14ac:dyDescent="0.25">
      <c r="B9" s="506"/>
      <c r="C9" s="169"/>
      <c r="D9" s="507"/>
      <c r="E9" s="507"/>
      <c r="F9" s="507"/>
      <c r="G9" s="867"/>
      <c r="H9" s="324"/>
      <c r="I9" s="849"/>
      <c r="J9" s="848"/>
      <c r="K9" s="848"/>
      <c r="L9" s="848"/>
      <c r="M9" s="848"/>
      <c r="N9" s="1024"/>
      <c r="O9" s="142"/>
      <c r="P9" s="147"/>
    </row>
    <row r="10" spans="2:16" s="134" customFormat="1" x14ac:dyDescent="0.2">
      <c r="B10" s="1026"/>
      <c r="C10" s="64"/>
      <c r="D10" s="1027"/>
      <c r="E10" s="487"/>
      <c r="F10" s="1027" t="s">
        <v>433</v>
      </c>
      <c r="G10" s="1028">
        <v>1170.9199999999944</v>
      </c>
      <c r="H10" s="1014"/>
      <c r="I10" s="487"/>
      <c r="J10" s="488"/>
      <c r="K10" s="488"/>
      <c r="L10" s="487"/>
      <c r="M10" s="487"/>
      <c r="N10" s="148"/>
    </row>
    <row r="11" spans="2:16" s="134" customFormat="1" x14ac:dyDescent="0.2">
      <c r="B11" s="1015"/>
      <c r="C11" s="138"/>
      <c r="D11" s="522"/>
      <c r="E11" s="464"/>
      <c r="F11" s="522"/>
      <c r="G11" s="1016"/>
      <c r="H11" s="1014"/>
      <c r="I11" s="464"/>
      <c r="J11" s="466"/>
      <c r="K11" s="466"/>
      <c r="L11" s="464"/>
      <c r="M11" s="464"/>
      <c r="N11" s="148"/>
    </row>
    <row r="12" spans="2:16" s="134" customFormat="1" ht="12" thickBot="1" x14ac:dyDescent="0.25">
      <c r="B12" s="1017"/>
      <c r="C12" s="142"/>
      <c r="D12" s="523"/>
      <c r="E12" s="490"/>
      <c r="F12" s="523" t="s">
        <v>550</v>
      </c>
      <c r="G12" s="1018">
        <v>1170.9199999999944</v>
      </c>
      <c r="H12" s="1014"/>
      <c r="I12" s="490"/>
      <c r="J12" s="491"/>
      <c r="K12" s="491"/>
      <c r="L12" s="490"/>
      <c r="M12" s="490"/>
      <c r="N12" s="148"/>
    </row>
    <row r="13" spans="2:16" s="133" customFormat="1" x14ac:dyDescent="0.2">
      <c r="B13" s="161">
        <v>44377</v>
      </c>
      <c r="C13" s="167">
        <v>0.09</v>
      </c>
      <c r="D13" s="60" t="s">
        <v>43</v>
      </c>
      <c r="E13" s="459">
        <f t="shared" ref="E13:E19" si="2">IF(C13&lt;0,C13,0)</f>
        <v>0</v>
      </c>
      <c r="F13" s="459">
        <f t="shared" ref="F13:F19" si="3">IF(C13&lt;0,0,C13)</f>
        <v>0.09</v>
      </c>
      <c r="G13" s="460">
        <f t="shared" ref="G13:G19" si="4">G14+E13+F13</f>
        <v>1170.9199999999944</v>
      </c>
      <c r="H13" s="1"/>
      <c r="I13" s="283"/>
      <c r="J13" s="194">
        <v>0.09</v>
      </c>
      <c r="K13" s="194"/>
      <c r="L13" s="138"/>
      <c r="M13" s="138"/>
      <c r="P13" s="1">
        <f t="shared" ref="P13:P51" si="5">SUM(I13:M13)-C13</f>
        <v>0</v>
      </c>
    </row>
    <row r="14" spans="2:16" s="133" customFormat="1" x14ac:dyDescent="0.2">
      <c r="B14" s="161">
        <v>44376</v>
      </c>
      <c r="C14" s="138">
        <v>22487.63</v>
      </c>
      <c r="D14" s="60" t="s">
        <v>632</v>
      </c>
      <c r="E14" s="459">
        <f t="shared" si="2"/>
        <v>0</v>
      </c>
      <c r="F14" s="459">
        <f t="shared" si="3"/>
        <v>22487.63</v>
      </c>
      <c r="G14" s="460">
        <f t="shared" si="4"/>
        <v>1170.8299999999945</v>
      </c>
      <c r="H14" s="1"/>
      <c r="I14" s="283"/>
      <c r="J14" s="194"/>
      <c r="K14" s="194"/>
      <c r="L14" s="138"/>
      <c r="M14" s="138">
        <v>22487.63</v>
      </c>
      <c r="P14" s="1">
        <f t="shared" si="5"/>
        <v>0</v>
      </c>
    </row>
    <row r="15" spans="2:16" s="133" customFormat="1" x14ac:dyDescent="0.2">
      <c r="B15" s="161">
        <v>44376</v>
      </c>
      <c r="C15" s="138">
        <v>-36896.89</v>
      </c>
      <c r="D15" s="60" t="s">
        <v>631</v>
      </c>
      <c r="E15" s="459">
        <f t="shared" si="2"/>
        <v>-36896.89</v>
      </c>
      <c r="F15" s="459">
        <f t="shared" si="3"/>
        <v>0</v>
      </c>
      <c r="G15" s="460">
        <f t="shared" si="4"/>
        <v>-21316.800000000007</v>
      </c>
      <c r="H15" s="1"/>
      <c r="I15" s="283"/>
      <c r="J15" s="194"/>
      <c r="K15" s="194"/>
      <c r="L15" s="138">
        <v>-36896.89</v>
      </c>
      <c r="M15" s="138"/>
      <c r="P15" s="1">
        <f t="shared" si="5"/>
        <v>0</v>
      </c>
    </row>
    <row r="16" spans="2:16" s="133" customFormat="1" x14ac:dyDescent="0.2">
      <c r="B16" s="161">
        <v>44372</v>
      </c>
      <c r="C16" s="138">
        <v>1741.63</v>
      </c>
      <c r="D16" s="60" t="s">
        <v>634</v>
      </c>
      <c r="E16" s="459">
        <f t="shared" si="2"/>
        <v>0</v>
      </c>
      <c r="F16" s="459">
        <f t="shared" si="3"/>
        <v>1741.63</v>
      </c>
      <c r="G16" s="460">
        <f t="shared" si="4"/>
        <v>15580.089999999993</v>
      </c>
      <c r="H16" s="1"/>
      <c r="I16" s="283"/>
      <c r="J16" s="194"/>
      <c r="K16" s="549">
        <v>1741.63</v>
      </c>
      <c r="L16" s="138"/>
      <c r="M16" s="138"/>
      <c r="P16" s="1">
        <f t="shared" si="5"/>
        <v>0</v>
      </c>
    </row>
    <row r="17" spans="2:16" s="133" customFormat="1" x14ac:dyDescent="0.2">
      <c r="B17" s="161">
        <v>44372</v>
      </c>
      <c r="C17" s="138">
        <v>3000</v>
      </c>
      <c r="D17" s="60" t="s">
        <v>633</v>
      </c>
      <c r="E17" s="459">
        <f t="shared" si="2"/>
        <v>0</v>
      </c>
      <c r="F17" s="459">
        <f t="shared" si="3"/>
        <v>3000</v>
      </c>
      <c r="G17" s="460">
        <f t="shared" si="4"/>
        <v>13838.459999999992</v>
      </c>
      <c r="H17" s="1"/>
      <c r="I17" s="283">
        <v>3000</v>
      </c>
      <c r="J17" s="194"/>
      <c r="K17" s="194"/>
      <c r="L17" s="138"/>
      <c r="M17" s="138"/>
      <c r="P17" s="1">
        <f t="shared" si="5"/>
        <v>0</v>
      </c>
    </row>
    <row r="18" spans="2:16" s="133" customFormat="1" x14ac:dyDescent="0.2">
      <c r="B18" s="161">
        <v>44372</v>
      </c>
      <c r="C18" s="138">
        <v>1000</v>
      </c>
      <c r="D18" s="60" t="s">
        <v>635</v>
      </c>
      <c r="E18" s="459">
        <f t="shared" si="2"/>
        <v>0</v>
      </c>
      <c r="F18" s="459">
        <f t="shared" si="3"/>
        <v>1000</v>
      </c>
      <c r="G18" s="460">
        <f t="shared" si="4"/>
        <v>10838.459999999992</v>
      </c>
      <c r="H18" s="1"/>
      <c r="I18" s="283">
        <v>1000</v>
      </c>
      <c r="J18" s="194"/>
      <c r="K18" s="194"/>
      <c r="L18" s="138"/>
      <c r="M18" s="138"/>
      <c r="P18" s="1">
        <f t="shared" si="5"/>
        <v>0</v>
      </c>
    </row>
    <row r="19" spans="2:16" s="134" customFormat="1" ht="10.5" customHeight="1" x14ac:dyDescent="0.2">
      <c r="B19" s="981">
        <v>44347</v>
      </c>
      <c r="C19" s="530">
        <v>0.16</v>
      </c>
      <c r="D19" s="774" t="s">
        <v>43</v>
      </c>
      <c r="E19" s="459">
        <f t="shared" si="2"/>
        <v>0</v>
      </c>
      <c r="F19" s="459">
        <f t="shared" si="3"/>
        <v>0.16</v>
      </c>
      <c r="G19" s="460">
        <f t="shared" si="4"/>
        <v>9838.4599999999919</v>
      </c>
      <c r="H19" s="148"/>
      <c r="I19" s="982"/>
      <c r="J19" s="549">
        <v>0.16</v>
      </c>
      <c r="K19" s="549"/>
      <c r="L19" s="530"/>
      <c r="M19" s="530"/>
      <c r="P19" s="1">
        <f t="shared" si="5"/>
        <v>0</v>
      </c>
    </row>
    <row r="20" spans="2:16" s="133" customFormat="1" x14ac:dyDescent="0.2">
      <c r="B20" s="161">
        <v>44326</v>
      </c>
      <c r="C20" s="138">
        <v>-27732.37</v>
      </c>
      <c r="D20" s="60" t="s">
        <v>528</v>
      </c>
      <c r="E20" s="459">
        <f t="shared" ref="E20:E51" si="6">IF(C20&lt;0,C20,0)</f>
        <v>-27732.37</v>
      </c>
      <c r="F20" s="459">
        <f t="shared" ref="F20:F51" si="7">IF(C20&lt;0,0,C20)</f>
        <v>0</v>
      </c>
      <c r="G20" s="460">
        <f t="shared" ref="G20:G51" si="8">G21+E20+F20</f>
        <v>9838.299999999992</v>
      </c>
      <c r="H20" s="1"/>
      <c r="I20" s="283"/>
      <c r="J20" s="194"/>
      <c r="K20" s="194"/>
      <c r="L20" s="138">
        <v>-27732.37</v>
      </c>
      <c r="M20" s="138"/>
      <c r="P20" s="1">
        <f t="shared" si="5"/>
        <v>0</v>
      </c>
    </row>
    <row r="21" spans="2:16" s="133" customFormat="1" x14ac:dyDescent="0.2">
      <c r="B21" s="161">
        <v>44316</v>
      </c>
      <c r="C21" s="138">
        <v>0.25</v>
      </c>
      <c r="D21" s="60" t="s">
        <v>43</v>
      </c>
      <c r="E21" s="459">
        <f t="shared" si="6"/>
        <v>0</v>
      </c>
      <c r="F21" s="459">
        <f t="shared" si="7"/>
        <v>0.25</v>
      </c>
      <c r="G21" s="460">
        <f t="shared" si="8"/>
        <v>37570.669999999991</v>
      </c>
      <c r="H21" s="1"/>
      <c r="I21" s="283"/>
      <c r="J21" s="194">
        <v>0.25</v>
      </c>
      <c r="K21" s="194"/>
      <c r="L21" s="138"/>
      <c r="M21" s="138"/>
      <c r="P21" s="1">
        <f t="shared" si="5"/>
        <v>0</v>
      </c>
    </row>
    <row r="22" spans="2:16" s="133" customFormat="1" x14ac:dyDescent="0.2">
      <c r="B22" s="161">
        <v>44315</v>
      </c>
      <c r="C22" s="138">
        <v>-9999</v>
      </c>
      <c r="D22" s="60" t="s">
        <v>529</v>
      </c>
      <c r="E22" s="459">
        <f t="shared" si="6"/>
        <v>-9999</v>
      </c>
      <c r="F22" s="459">
        <f t="shared" si="7"/>
        <v>0</v>
      </c>
      <c r="G22" s="460">
        <f t="shared" si="8"/>
        <v>37570.419999999991</v>
      </c>
      <c r="H22" s="1"/>
      <c r="I22" s="283"/>
      <c r="J22" s="194"/>
      <c r="K22" s="194"/>
      <c r="L22" s="138">
        <v>-9999</v>
      </c>
      <c r="M22" s="138"/>
      <c r="P22" s="1">
        <f t="shared" si="5"/>
        <v>0</v>
      </c>
    </row>
    <row r="23" spans="2:16" s="133" customFormat="1" x14ac:dyDescent="0.2">
      <c r="B23" s="161">
        <v>44312</v>
      </c>
      <c r="C23" s="138">
        <v>41851.49</v>
      </c>
      <c r="D23" s="60" t="s">
        <v>531</v>
      </c>
      <c r="E23" s="459">
        <f t="shared" si="6"/>
        <v>0</v>
      </c>
      <c r="F23" s="459">
        <f t="shared" si="7"/>
        <v>41851.49</v>
      </c>
      <c r="G23" s="460">
        <f t="shared" si="8"/>
        <v>47569.419999999991</v>
      </c>
      <c r="H23" s="1"/>
      <c r="I23" s="283"/>
      <c r="J23" s="194"/>
      <c r="K23" s="194"/>
      <c r="L23" s="138"/>
      <c r="M23" s="138">
        <v>41851.49</v>
      </c>
      <c r="P23" s="1">
        <f t="shared" si="5"/>
        <v>0</v>
      </c>
    </row>
    <row r="24" spans="2:16" s="133" customFormat="1" x14ac:dyDescent="0.2">
      <c r="B24" s="161">
        <v>44312</v>
      </c>
      <c r="C24" s="138">
        <v>-22627.279999999999</v>
      </c>
      <c r="D24" s="60" t="s">
        <v>530</v>
      </c>
      <c r="E24" s="459">
        <f t="shared" si="6"/>
        <v>-22627.279999999999</v>
      </c>
      <c r="F24" s="459">
        <f t="shared" si="7"/>
        <v>0</v>
      </c>
      <c r="G24" s="460">
        <f t="shared" si="8"/>
        <v>5717.929999999993</v>
      </c>
      <c r="H24" s="1"/>
      <c r="I24" s="283"/>
      <c r="J24" s="194"/>
      <c r="K24" s="194"/>
      <c r="L24" s="138">
        <v>-22627.279999999999</v>
      </c>
      <c r="M24" s="138"/>
      <c r="P24" s="1">
        <f t="shared" si="5"/>
        <v>0</v>
      </c>
    </row>
    <row r="25" spans="2:16" s="133" customFormat="1" x14ac:dyDescent="0.2">
      <c r="B25" s="161">
        <v>44300</v>
      </c>
      <c r="C25" s="138">
        <v>530</v>
      </c>
      <c r="D25" s="60" t="s">
        <v>532</v>
      </c>
      <c r="E25" s="459">
        <f t="shared" si="6"/>
        <v>0</v>
      </c>
      <c r="F25" s="459">
        <f t="shared" si="7"/>
        <v>530</v>
      </c>
      <c r="G25" s="460">
        <f t="shared" si="8"/>
        <v>28345.209999999992</v>
      </c>
      <c r="H25" s="1"/>
      <c r="I25" s="283"/>
      <c r="J25" s="194"/>
      <c r="K25" s="549">
        <v>530</v>
      </c>
      <c r="L25" s="138"/>
      <c r="M25" s="138"/>
      <c r="P25" s="1">
        <f t="shared" si="5"/>
        <v>0</v>
      </c>
    </row>
    <row r="26" spans="2:16" s="133" customFormat="1" x14ac:dyDescent="0.2">
      <c r="B26" s="161">
        <v>44286</v>
      </c>
      <c r="C26" s="138">
        <v>0.25</v>
      </c>
      <c r="D26" s="60" t="s">
        <v>43</v>
      </c>
      <c r="E26" s="459">
        <f t="shared" si="6"/>
        <v>0</v>
      </c>
      <c r="F26" s="459">
        <f t="shared" si="7"/>
        <v>0.25</v>
      </c>
      <c r="G26" s="460">
        <f t="shared" si="8"/>
        <v>27815.209999999992</v>
      </c>
      <c r="H26" s="1"/>
      <c r="I26" s="283"/>
      <c r="J26" s="194">
        <v>0.25</v>
      </c>
      <c r="K26" s="549"/>
      <c r="L26" s="138"/>
      <c r="M26" s="138"/>
      <c r="P26" s="1">
        <f t="shared" si="5"/>
        <v>0</v>
      </c>
    </row>
    <row r="27" spans="2:16" s="133" customFormat="1" x14ac:dyDescent="0.2">
      <c r="B27" s="161">
        <v>44285</v>
      </c>
      <c r="C27" s="138">
        <v>3000</v>
      </c>
      <c r="D27" s="60" t="s">
        <v>533</v>
      </c>
      <c r="E27" s="459">
        <f t="shared" si="6"/>
        <v>0</v>
      </c>
      <c r="F27" s="459">
        <f t="shared" si="7"/>
        <v>3000</v>
      </c>
      <c r="G27" s="460">
        <f t="shared" si="8"/>
        <v>27814.959999999992</v>
      </c>
      <c r="H27" s="1"/>
      <c r="I27" s="283"/>
      <c r="J27" s="194"/>
      <c r="K27" s="549">
        <v>3000</v>
      </c>
      <c r="L27" s="138"/>
      <c r="M27" s="138"/>
      <c r="P27" s="1">
        <f t="shared" si="5"/>
        <v>0</v>
      </c>
    </row>
    <row r="28" spans="2:16" s="133" customFormat="1" x14ac:dyDescent="0.2">
      <c r="B28" s="161">
        <v>44279</v>
      </c>
      <c r="C28" s="138">
        <v>152.96</v>
      </c>
      <c r="D28" s="60" t="s">
        <v>534</v>
      </c>
      <c r="E28" s="459">
        <f t="shared" si="6"/>
        <v>0</v>
      </c>
      <c r="F28" s="459">
        <f t="shared" si="7"/>
        <v>152.96</v>
      </c>
      <c r="G28" s="460">
        <f t="shared" si="8"/>
        <v>24814.959999999992</v>
      </c>
      <c r="H28" s="1"/>
      <c r="I28" s="283"/>
      <c r="J28" s="194"/>
      <c r="K28" s="549">
        <v>152.96</v>
      </c>
      <c r="L28" s="138"/>
      <c r="M28" s="138"/>
      <c r="P28" s="1">
        <f t="shared" si="5"/>
        <v>0</v>
      </c>
    </row>
    <row r="29" spans="2:16" s="133" customFormat="1" x14ac:dyDescent="0.2">
      <c r="B29" s="161">
        <v>44264</v>
      </c>
      <c r="C29" s="138">
        <v>-10000</v>
      </c>
      <c r="D29" s="60" t="s">
        <v>535</v>
      </c>
      <c r="E29" s="459">
        <f t="shared" si="6"/>
        <v>-10000</v>
      </c>
      <c r="F29" s="459">
        <f t="shared" si="7"/>
        <v>0</v>
      </c>
      <c r="G29" s="460">
        <f t="shared" si="8"/>
        <v>24661.999999999993</v>
      </c>
      <c r="H29" s="1"/>
      <c r="I29" s="283"/>
      <c r="J29" s="194"/>
      <c r="K29" s="194"/>
      <c r="L29" s="138">
        <v>-10000</v>
      </c>
      <c r="M29" s="138"/>
      <c r="P29" s="1">
        <f t="shared" si="5"/>
        <v>0</v>
      </c>
    </row>
    <row r="30" spans="2:16" s="133" customFormat="1" x14ac:dyDescent="0.2">
      <c r="B30" s="161">
        <v>44253</v>
      </c>
      <c r="C30" s="138">
        <v>0.27</v>
      </c>
      <c r="D30" s="60" t="s">
        <v>43</v>
      </c>
      <c r="E30" s="459">
        <f t="shared" si="6"/>
        <v>0</v>
      </c>
      <c r="F30" s="459">
        <f t="shared" si="7"/>
        <v>0.27</v>
      </c>
      <c r="G30" s="460">
        <f t="shared" si="8"/>
        <v>34661.999999999993</v>
      </c>
      <c r="H30" s="1"/>
      <c r="I30" s="283"/>
      <c r="J30" s="194">
        <v>0.27</v>
      </c>
      <c r="K30" s="194"/>
      <c r="L30" s="138"/>
      <c r="M30" s="138"/>
      <c r="P30" s="1">
        <f t="shared" si="5"/>
        <v>0</v>
      </c>
    </row>
    <row r="31" spans="2:16" s="133" customFormat="1" x14ac:dyDescent="0.2">
      <c r="B31" s="161">
        <v>44225</v>
      </c>
      <c r="C31" s="138">
        <v>0.17</v>
      </c>
      <c r="D31" s="60" t="s">
        <v>43</v>
      </c>
      <c r="E31" s="459">
        <f t="shared" si="6"/>
        <v>0</v>
      </c>
      <c r="F31" s="459">
        <f t="shared" si="7"/>
        <v>0.17</v>
      </c>
      <c r="G31" s="460">
        <f t="shared" si="8"/>
        <v>34661.729999999996</v>
      </c>
      <c r="H31" s="1"/>
      <c r="I31" s="283"/>
      <c r="J31" s="194">
        <v>0.17</v>
      </c>
      <c r="K31" s="194"/>
      <c r="L31" s="138"/>
      <c r="M31" s="138"/>
      <c r="P31" s="1">
        <f t="shared" si="5"/>
        <v>0</v>
      </c>
    </row>
    <row r="32" spans="2:16" s="133" customFormat="1" x14ac:dyDescent="0.2">
      <c r="B32" s="161">
        <v>44223</v>
      </c>
      <c r="C32" s="138">
        <v>-26381.41</v>
      </c>
      <c r="D32" s="60" t="s">
        <v>536</v>
      </c>
      <c r="E32" s="459">
        <f t="shared" si="6"/>
        <v>-26381.41</v>
      </c>
      <c r="F32" s="459">
        <f t="shared" si="7"/>
        <v>0</v>
      </c>
      <c r="G32" s="460">
        <f t="shared" si="8"/>
        <v>34661.56</v>
      </c>
      <c r="H32" s="1"/>
      <c r="I32" s="283"/>
      <c r="J32" s="194"/>
      <c r="K32" s="194"/>
      <c r="L32" s="138">
        <v>-26381.41</v>
      </c>
      <c r="M32" s="138"/>
      <c r="P32" s="1">
        <f t="shared" si="5"/>
        <v>0</v>
      </c>
    </row>
    <row r="33" spans="2:16" s="133" customFormat="1" x14ac:dyDescent="0.2">
      <c r="B33" s="161">
        <v>44218</v>
      </c>
      <c r="C33" s="138">
        <v>-24529.37</v>
      </c>
      <c r="D33" s="60" t="s">
        <v>537</v>
      </c>
      <c r="E33" s="459">
        <f t="shared" si="6"/>
        <v>-24529.37</v>
      </c>
      <c r="F33" s="459">
        <f t="shared" si="7"/>
        <v>0</v>
      </c>
      <c r="G33" s="460">
        <f t="shared" si="8"/>
        <v>61042.97</v>
      </c>
      <c r="H33" s="1"/>
      <c r="I33" s="283"/>
      <c r="J33" s="194"/>
      <c r="K33" s="194"/>
      <c r="L33" s="138">
        <v>-24529.37</v>
      </c>
      <c r="M33" s="138"/>
      <c r="P33" s="1">
        <f t="shared" si="5"/>
        <v>0</v>
      </c>
    </row>
    <row r="34" spans="2:16" s="133" customFormat="1" x14ac:dyDescent="0.2">
      <c r="B34" s="161">
        <v>44217</v>
      </c>
      <c r="C34" s="138">
        <v>85403.53</v>
      </c>
      <c r="D34" s="60" t="s">
        <v>538</v>
      </c>
      <c r="E34" s="459">
        <f t="shared" si="6"/>
        <v>0</v>
      </c>
      <c r="F34" s="459">
        <f t="shared" si="7"/>
        <v>85403.53</v>
      </c>
      <c r="G34" s="460">
        <f t="shared" si="8"/>
        <v>85572.34</v>
      </c>
      <c r="H34" s="1"/>
      <c r="I34" s="283"/>
      <c r="J34" s="194"/>
      <c r="K34" s="194"/>
      <c r="L34" s="138"/>
      <c r="M34" s="138">
        <v>85403.53</v>
      </c>
      <c r="P34" s="1">
        <f t="shared" si="5"/>
        <v>0</v>
      </c>
    </row>
    <row r="35" spans="2:16" s="133" customFormat="1" x14ac:dyDescent="0.2">
      <c r="B35" s="161">
        <v>44208</v>
      </c>
      <c r="C35" s="138">
        <v>-15000</v>
      </c>
      <c r="D35" s="60" t="s">
        <v>539</v>
      </c>
      <c r="E35" s="459">
        <f t="shared" si="6"/>
        <v>-15000</v>
      </c>
      <c r="F35" s="459">
        <f t="shared" si="7"/>
        <v>0</v>
      </c>
      <c r="G35" s="460">
        <f t="shared" si="8"/>
        <v>168.80999999999767</v>
      </c>
      <c r="H35" s="1"/>
      <c r="I35" s="283"/>
      <c r="J35" s="194"/>
      <c r="K35" s="194"/>
      <c r="L35" s="138">
        <v>-15000</v>
      </c>
      <c r="M35" s="138"/>
      <c r="P35" s="1">
        <f t="shared" si="5"/>
        <v>0</v>
      </c>
    </row>
    <row r="36" spans="2:16" s="133" customFormat="1" x14ac:dyDescent="0.2">
      <c r="B36" s="161">
        <v>44196</v>
      </c>
      <c r="C36" s="138">
        <v>0.17</v>
      </c>
      <c r="D36" s="60" t="s">
        <v>43</v>
      </c>
      <c r="E36" s="459">
        <f t="shared" si="6"/>
        <v>0</v>
      </c>
      <c r="F36" s="459">
        <f t="shared" si="7"/>
        <v>0.17</v>
      </c>
      <c r="G36" s="460">
        <f t="shared" si="8"/>
        <v>15168.809999999998</v>
      </c>
      <c r="H36" s="1"/>
      <c r="I36" s="283"/>
      <c r="J36" s="194">
        <v>0.17</v>
      </c>
      <c r="K36" s="194"/>
      <c r="L36" s="138"/>
      <c r="M36" s="138"/>
      <c r="P36" s="1">
        <f t="shared" si="5"/>
        <v>0</v>
      </c>
    </row>
    <row r="37" spans="2:16" s="133" customFormat="1" x14ac:dyDescent="0.2">
      <c r="B37" s="161">
        <v>44194</v>
      </c>
      <c r="C37" s="138">
        <v>10245.370000000001</v>
      </c>
      <c r="D37" s="60" t="s">
        <v>540</v>
      </c>
      <c r="E37" s="459">
        <f t="shared" si="6"/>
        <v>0</v>
      </c>
      <c r="F37" s="459">
        <f t="shared" si="7"/>
        <v>10245.370000000001</v>
      </c>
      <c r="G37" s="460">
        <f t="shared" si="8"/>
        <v>15168.639999999998</v>
      </c>
      <c r="H37" s="1"/>
      <c r="I37" s="283"/>
      <c r="J37" s="194"/>
      <c r="K37" s="194"/>
      <c r="L37" s="138"/>
      <c r="M37" s="138">
        <v>10245.370000000001</v>
      </c>
      <c r="P37" s="1">
        <f t="shared" si="5"/>
        <v>0</v>
      </c>
    </row>
    <row r="38" spans="2:16" s="133" customFormat="1" x14ac:dyDescent="0.2">
      <c r="B38" s="161">
        <v>44189</v>
      </c>
      <c r="C38" s="138">
        <v>-19200.87</v>
      </c>
      <c r="D38" s="60" t="s">
        <v>541</v>
      </c>
      <c r="E38" s="459">
        <f t="shared" si="6"/>
        <v>-19200.87</v>
      </c>
      <c r="F38" s="459">
        <f t="shared" si="7"/>
        <v>0</v>
      </c>
      <c r="G38" s="460">
        <f t="shared" si="8"/>
        <v>4923.2699999999968</v>
      </c>
      <c r="H38" s="1"/>
      <c r="I38" s="283"/>
      <c r="J38" s="194"/>
      <c r="K38" s="194"/>
      <c r="L38" s="138">
        <v>-19200.87</v>
      </c>
      <c r="M38" s="138"/>
      <c r="P38" s="1">
        <f t="shared" si="5"/>
        <v>0</v>
      </c>
    </row>
    <row r="39" spans="2:16" s="133" customFormat="1" x14ac:dyDescent="0.2">
      <c r="B39" s="161">
        <v>44181</v>
      </c>
      <c r="C39" s="138">
        <v>700</v>
      </c>
      <c r="D39" s="60" t="s">
        <v>542</v>
      </c>
      <c r="E39" s="459">
        <f t="shared" si="6"/>
        <v>0</v>
      </c>
      <c r="F39" s="459">
        <f t="shared" si="7"/>
        <v>700</v>
      </c>
      <c r="G39" s="460">
        <f t="shared" si="8"/>
        <v>24124.139999999996</v>
      </c>
      <c r="H39" s="1"/>
      <c r="I39" s="283"/>
      <c r="J39" s="194"/>
      <c r="K39" s="549">
        <v>700</v>
      </c>
      <c r="L39" s="138"/>
      <c r="M39" s="138"/>
      <c r="P39" s="1">
        <f t="shared" si="5"/>
        <v>0</v>
      </c>
    </row>
    <row r="40" spans="2:16" s="133" customFormat="1" x14ac:dyDescent="0.2">
      <c r="B40" s="161">
        <v>44175</v>
      </c>
      <c r="C40" s="138">
        <v>900</v>
      </c>
      <c r="D40" s="60" t="s">
        <v>543</v>
      </c>
      <c r="E40" s="459">
        <f t="shared" si="6"/>
        <v>0</v>
      </c>
      <c r="F40" s="459">
        <f t="shared" si="7"/>
        <v>900</v>
      </c>
      <c r="G40" s="460">
        <f t="shared" si="8"/>
        <v>23424.139999999996</v>
      </c>
      <c r="H40" s="1"/>
      <c r="I40" s="283"/>
      <c r="J40" s="194"/>
      <c r="K40" s="549">
        <v>900</v>
      </c>
      <c r="L40" s="138"/>
      <c r="M40" s="138"/>
      <c r="P40" s="1">
        <f t="shared" si="5"/>
        <v>0</v>
      </c>
    </row>
    <row r="41" spans="2:16" s="133" customFormat="1" x14ac:dyDescent="0.2">
      <c r="B41" s="161">
        <v>44165</v>
      </c>
      <c r="C41" s="138">
        <v>0.19</v>
      </c>
      <c r="D41" s="60" t="s">
        <v>43</v>
      </c>
      <c r="E41" s="459">
        <f t="shared" si="6"/>
        <v>0</v>
      </c>
      <c r="F41" s="459">
        <f t="shared" si="7"/>
        <v>0.19</v>
      </c>
      <c r="G41" s="460">
        <f t="shared" si="8"/>
        <v>22524.139999999996</v>
      </c>
      <c r="H41" s="1"/>
      <c r="I41" s="283"/>
      <c r="J41" s="194">
        <v>0.19</v>
      </c>
      <c r="K41" s="194"/>
      <c r="L41" s="138"/>
      <c r="M41" s="138"/>
      <c r="P41" s="1">
        <f t="shared" si="5"/>
        <v>0</v>
      </c>
    </row>
    <row r="42" spans="2:16" s="133" customFormat="1" x14ac:dyDescent="0.2">
      <c r="B42" s="161">
        <v>44134</v>
      </c>
      <c r="C42" s="138">
        <v>0.19</v>
      </c>
      <c r="D42" s="60" t="s">
        <v>43</v>
      </c>
      <c r="E42" s="459">
        <f t="shared" si="6"/>
        <v>0</v>
      </c>
      <c r="F42" s="459">
        <f t="shared" si="7"/>
        <v>0.19</v>
      </c>
      <c r="G42" s="460">
        <f t="shared" si="8"/>
        <v>22523.949999999997</v>
      </c>
      <c r="H42" s="1"/>
      <c r="I42" s="283"/>
      <c r="J42" s="194">
        <v>0.19</v>
      </c>
      <c r="K42" s="194"/>
      <c r="L42" s="138"/>
      <c r="M42" s="138"/>
      <c r="P42" s="1">
        <f t="shared" si="5"/>
        <v>0</v>
      </c>
    </row>
    <row r="43" spans="2:16" s="133" customFormat="1" x14ac:dyDescent="0.2">
      <c r="B43" s="161">
        <v>44110</v>
      </c>
      <c r="C43" s="138">
        <v>480</v>
      </c>
      <c r="D43" s="60" t="s">
        <v>544</v>
      </c>
      <c r="E43" s="459">
        <f t="shared" si="6"/>
        <v>0</v>
      </c>
      <c r="F43" s="459">
        <f t="shared" si="7"/>
        <v>480</v>
      </c>
      <c r="G43" s="460">
        <f t="shared" si="8"/>
        <v>22523.759999999998</v>
      </c>
      <c r="H43" s="1"/>
      <c r="I43" s="283"/>
      <c r="J43" s="194"/>
      <c r="K43" s="549">
        <v>480</v>
      </c>
      <c r="L43" s="138"/>
      <c r="M43" s="138"/>
      <c r="P43" s="1">
        <f t="shared" si="5"/>
        <v>0</v>
      </c>
    </row>
    <row r="44" spans="2:16" s="133" customFormat="1" x14ac:dyDescent="0.2">
      <c r="B44" s="161">
        <v>44104</v>
      </c>
      <c r="C44" s="138">
        <v>2940</v>
      </c>
      <c r="D44" s="60" t="s">
        <v>545</v>
      </c>
      <c r="E44" s="459">
        <f t="shared" si="6"/>
        <v>0</v>
      </c>
      <c r="F44" s="459">
        <f t="shared" si="7"/>
        <v>2940</v>
      </c>
      <c r="G44" s="460">
        <f t="shared" si="8"/>
        <v>22043.759999999998</v>
      </c>
      <c r="H44" s="1"/>
      <c r="I44" s="283"/>
      <c r="J44" s="194"/>
      <c r="K44" s="549">
        <v>2940</v>
      </c>
      <c r="L44" s="138"/>
      <c r="M44" s="138"/>
      <c r="P44" s="1">
        <f t="shared" si="5"/>
        <v>0</v>
      </c>
    </row>
    <row r="45" spans="2:16" s="133" customFormat="1" x14ac:dyDescent="0.2">
      <c r="B45" s="161">
        <v>44104</v>
      </c>
      <c r="C45" s="138">
        <v>500</v>
      </c>
      <c r="D45" s="60" t="s">
        <v>546</v>
      </c>
      <c r="E45" s="459">
        <f t="shared" si="6"/>
        <v>0</v>
      </c>
      <c r="F45" s="459">
        <f t="shared" si="7"/>
        <v>500</v>
      </c>
      <c r="G45" s="460">
        <f t="shared" si="8"/>
        <v>19103.759999999998</v>
      </c>
      <c r="H45" s="1"/>
      <c r="I45" s="283"/>
      <c r="J45" s="194"/>
      <c r="K45" s="549">
        <v>500</v>
      </c>
      <c r="L45" s="138"/>
      <c r="M45" s="138"/>
      <c r="P45" s="1">
        <f t="shared" si="5"/>
        <v>0</v>
      </c>
    </row>
    <row r="46" spans="2:16" s="133" customFormat="1" x14ac:dyDescent="0.2">
      <c r="B46" s="161">
        <v>44104</v>
      </c>
      <c r="C46" s="138">
        <v>0.15</v>
      </c>
      <c r="D46" s="60" t="s">
        <v>43</v>
      </c>
      <c r="E46" s="459">
        <f t="shared" si="6"/>
        <v>0</v>
      </c>
      <c r="F46" s="459">
        <f t="shared" si="7"/>
        <v>0.15</v>
      </c>
      <c r="G46" s="460">
        <f t="shared" si="8"/>
        <v>18603.759999999998</v>
      </c>
      <c r="H46" s="1"/>
      <c r="I46" s="283"/>
      <c r="J46" s="194">
        <v>0.15</v>
      </c>
      <c r="K46" s="549"/>
      <c r="L46" s="138"/>
      <c r="M46" s="138"/>
      <c r="P46" s="1">
        <f t="shared" si="5"/>
        <v>0</v>
      </c>
    </row>
    <row r="47" spans="2:16" s="133" customFormat="1" x14ac:dyDescent="0.2">
      <c r="B47" s="161">
        <v>44099</v>
      </c>
      <c r="C47" s="138">
        <v>40</v>
      </c>
      <c r="D47" s="60" t="s">
        <v>547</v>
      </c>
      <c r="E47" s="459">
        <f t="shared" si="6"/>
        <v>0</v>
      </c>
      <c r="F47" s="459">
        <f t="shared" si="7"/>
        <v>40</v>
      </c>
      <c r="G47" s="460">
        <f t="shared" si="8"/>
        <v>18603.609999999997</v>
      </c>
      <c r="H47" s="1"/>
      <c r="I47" s="283"/>
      <c r="J47" s="194"/>
      <c r="K47" s="549">
        <v>40</v>
      </c>
      <c r="L47" s="138"/>
      <c r="M47" s="138"/>
      <c r="P47" s="1">
        <f t="shared" si="5"/>
        <v>0</v>
      </c>
    </row>
    <row r="48" spans="2:16" s="133" customFormat="1" x14ac:dyDescent="0.2">
      <c r="B48" s="161">
        <v>44074</v>
      </c>
      <c r="C48" s="138">
        <v>0.17</v>
      </c>
      <c r="D48" s="60" t="s">
        <v>43</v>
      </c>
      <c r="E48" s="459">
        <f t="shared" si="6"/>
        <v>0</v>
      </c>
      <c r="F48" s="459">
        <f t="shared" si="7"/>
        <v>0.17</v>
      </c>
      <c r="G48" s="460">
        <f t="shared" si="8"/>
        <v>18563.609999999997</v>
      </c>
      <c r="H48" s="1"/>
      <c r="I48" s="283"/>
      <c r="J48" s="194">
        <v>0.17</v>
      </c>
      <c r="K48" s="549"/>
      <c r="L48" s="138"/>
      <c r="M48" s="138"/>
      <c r="P48" s="1">
        <f t="shared" si="5"/>
        <v>0</v>
      </c>
    </row>
    <row r="49" spans="2:16" s="133" customFormat="1" x14ac:dyDescent="0.2">
      <c r="B49" s="161">
        <v>44048</v>
      </c>
      <c r="C49" s="138">
        <v>-7480.27</v>
      </c>
      <c r="D49" s="60" t="s">
        <v>548</v>
      </c>
      <c r="E49" s="459">
        <f t="shared" si="6"/>
        <v>-7480.27</v>
      </c>
      <c r="F49" s="459">
        <f t="shared" si="7"/>
        <v>0</v>
      </c>
      <c r="G49" s="460">
        <f t="shared" si="8"/>
        <v>18563.439999999999</v>
      </c>
      <c r="H49" s="1"/>
      <c r="I49" s="283"/>
      <c r="J49" s="194"/>
      <c r="K49" s="549"/>
      <c r="L49" s="138">
        <v>-7480.27</v>
      </c>
      <c r="M49" s="138"/>
      <c r="P49" s="1">
        <f t="shared" si="5"/>
        <v>0</v>
      </c>
    </row>
    <row r="50" spans="2:16" s="133" customFormat="1" x14ac:dyDescent="0.2">
      <c r="B50" s="161">
        <v>44043</v>
      </c>
      <c r="C50" s="138">
        <v>0.22</v>
      </c>
      <c r="D50" s="60" t="s">
        <v>43</v>
      </c>
      <c r="E50" s="459">
        <f t="shared" si="6"/>
        <v>0</v>
      </c>
      <c r="F50" s="459">
        <f t="shared" si="7"/>
        <v>0.22</v>
      </c>
      <c r="G50" s="460">
        <f t="shared" si="8"/>
        <v>26043.71</v>
      </c>
      <c r="H50" s="1"/>
      <c r="I50" s="283"/>
      <c r="J50" s="194">
        <v>0.22</v>
      </c>
      <c r="K50" s="549"/>
      <c r="L50" s="138"/>
      <c r="M50" s="138"/>
      <c r="P50" s="1">
        <f t="shared" si="5"/>
        <v>0</v>
      </c>
    </row>
    <row r="51" spans="2:16" s="133" customFormat="1" ht="12" thickBot="1" x14ac:dyDescent="0.25">
      <c r="B51" s="168">
        <v>44015</v>
      </c>
      <c r="C51" s="169">
        <v>600</v>
      </c>
      <c r="D51" s="485" t="s">
        <v>549</v>
      </c>
      <c r="E51" s="852">
        <f t="shared" si="6"/>
        <v>0</v>
      </c>
      <c r="F51" s="852">
        <f t="shared" si="7"/>
        <v>600</v>
      </c>
      <c r="G51" s="853">
        <f t="shared" si="8"/>
        <v>26043.489999999998</v>
      </c>
      <c r="H51" s="1"/>
      <c r="I51" s="506"/>
      <c r="J51" s="507"/>
      <c r="K51" s="550">
        <v>600</v>
      </c>
      <c r="L51" s="169"/>
      <c r="M51" s="169"/>
      <c r="P51" s="1">
        <f t="shared" si="5"/>
        <v>0</v>
      </c>
    </row>
    <row r="52" spans="2:16" s="134" customFormat="1" thickTop="1" x14ac:dyDescent="0.15">
      <c r="B52" s="486"/>
      <c r="C52" s="487"/>
      <c r="D52" s="463"/>
      <c r="E52" s="487"/>
      <c r="F52" s="463" t="s">
        <v>433</v>
      </c>
      <c r="G52" s="487">
        <v>25443.489999999998</v>
      </c>
      <c r="H52" s="487"/>
      <c r="I52" s="487"/>
      <c r="J52" s="488"/>
      <c r="K52" s="488"/>
      <c r="L52" s="487"/>
      <c r="M52" s="487"/>
      <c r="N52" s="148"/>
    </row>
    <row r="53" spans="2:16" s="134" customFormat="1" ht="10.5" x14ac:dyDescent="0.15">
      <c r="B53" s="465"/>
      <c r="C53" s="464"/>
      <c r="D53" s="522"/>
      <c r="E53" s="464"/>
      <c r="F53" s="522"/>
      <c r="G53" s="464"/>
      <c r="H53" s="464"/>
      <c r="I53" s="464"/>
      <c r="J53" s="466"/>
      <c r="K53" s="466"/>
      <c r="L53" s="464"/>
      <c r="M53" s="464"/>
      <c r="N53" s="148"/>
    </row>
    <row r="54" spans="2:16" s="134" customFormat="1" thickBot="1" x14ac:dyDescent="0.2">
      <c r="B54" s="489"/>
      <c r="C54" s="490"/>
      <c r="D54" s="523"/>
      <c r="E54" s="490"/>
      <c r="F54" s="523" t="s">
        <v>550</v>
      </c>
      <c r="G54" s="490">
        <v>25443.489999999998</v>
      </c>
      <c r="H54" s="490"/>
      <c r="I54" s="490"/>
      <c r="J54" s="491"/>
      <c r="K54" s="491"/>
      <c r="L54" s="490"/>
      <c r="M54" s="490"/>
      <c r="N54" s="148"/>
    </row>
    <row r="55" spans="2:16" s="133" customFormat="1" x14ac:dyDescent="0.2">
      <c r="B55" s="165">
        <v>44012</v>
      </c>
      <c r="C55" s="167">
        <v>0.19</v>
      </c>
      <c r="D55" s="455" t="s">
        <v>43</v>
      </c>
      <c r="E55" s="459">
        <f t="shared" ref="E55" si="9">IF(C55&lt;0,C55,0)</f>
        <v>0</v>
      </c>
      <c r="F55" s="459">
        <f t="shared" ref="F55" si="10">IF(C55&lt;0,0,C55)</f>
        <v>0.19</v>
      </c>
      <c r="G55" s="460">
        <f t="shared" ref="G55" si="11">G56+E55+F55</f>
        <v>25443.489999999998</v>
      </c>
      <c r="H55" s="1"/>
      <c r="I55" s="461"/>
      <c r="J55" s="462"/>
      <c r="K55" s="462"/>
      <c r="L55" s="167"/>
      <c r="M55" s="167"/>
      <c r="N55" s="1"/>
    </row>
    <row r="56" spans="2:16" s="133" customFormat="1" x14ac:dyDescent="0.2">
      <c r="B56" s="161">
        <v>43986</v>
      </c>
      <c r="C56" s="138">
        <v>22090.15</v>
      </c>
      <c r="D56" s="60" t="s">
        <v>365</v>
      </c>
      <c r="E56" s="459">
        <f t="shared" ref="E56:E67" si="12">IF(C56&lt;0,C56,0)</f>
        <v>0</v>
      </c>
      <c r="F56" s="459">
        <f t="shared" ref="F56:F67" si="13">IF(C56&lt;0,0,C56)</f>
        <v>22090.15</v>
      </c>
      <c r="G56" s="460">
        <f t="shared" ref="G56:G66" si="14">G57+E56+F56</f>
        <v>25443.3</v>
      </c>
      <c r="H56" s="1"/>
      <c r="I56" s="283"/>
      <c r="J56" s="194"/>
      <c r="K56" s="194"/>
      <c r="L56" s="138">
        <v>22090.15</v>
      </c>
      <c r="M56" s="138"/>
      <c r="N56" s="1">
        <f t="shared" ref="N56:N67" si="15">SUM(I56:M56)-C56</f>
        <v>0</v>
      </c>
    </row>
    <row r="57" spans="2:16" s="133" customFormat="1" x14ac:dyDescent="0.2">
      <c r="B57" s="161">
        <v>43980</v>
      </c>
      <c r="C57" s="138">
        <v>0.06</v>
      </c>
      <c r="D57" s="60" t="s">
        <v>43</v>
      </c>
      <c r="E57" s="459">
        <f t="shared" si="12"/>
        <v>0</v>
      </c>
      <c r="F57" s="459">
        <f t="shared" si="13"/>
        <v>0.06</v>
      </c>
      <c r="G57" s="460">
        <f t="shared" si="14"/>
        <v>3353.1499999999965</v>
      </c>
      <c r="H57" s="1"/>
      <c r="I57" s="283"/>
      <c r="J57" s="194">
        <v>0.06</v>
      </c>
      <c r="K57" s="194"/>
      <c r="L57" s="138"/>
      <c r="M57" s="138"/>
      <c r="N57" s="1">
        <f t="shared" si="15"/>
        <v>0</v>
      </c>
    </row>
    <row r="58" spans="2:16" s="133" customFormat="1" x14ac:dyDescent="0.2">
      <c r="B58" s="161">
        <v>43956</v>
      </c>
      <c r="C58" s="138">
        <v>-30000</v>
      </c>
      <c r="D58" s="60" t="s">
        <v>366</v>
      </c>
      <c r="E58" s="459">
        <f t="shared" si="12"/>
        <v>-30000</v>
      </c>
      <c r="F58" s="459">
        <f t="shared" si="13"/>
        <v>0</v>
      </c>
      <c r="G58" s="460">
        <f t="shared" si="14"/>
        <v>3353.0899999999965</v>
      </c>
      <c r="H58" s="1"/>
      <c r="I58" s="283">
        <v>-30000</v>
      </c>
      <c r="J58" s="194"/>
      <c r="K58" s="194"/>
      <c r="L58" s="138"/>
      <c r="M58" s="138"/>
      <c r="N58" s="1">
        <f t="shared" si="15"/>
        <v>0</v>
      </c>
    </row>
    <row r="59" spans="2:16" s="133" customFormat="1" x14ac:dyDescent="0.2">
      <c r="B59" s="161">
        <v>43951</v>
      </c>
      <c r="C59" s="138">
        <v>0.28000000000000003</v>
      </c>
      <c r="D59" s="60" t="s">
        <v>43</v>
      </c>
      <c r="E59" s="459">
        <f t="shared" si="12"/>
        <v>0</v>
      </c>
      <c r="F59" s="459">
        <f t="shared" si="13"/>
        <v>0.28000000000000003</v>
      </c>
      <c r="G59" s="460">
        <f t="shared" si="14"/>
        <v>33353.089999999997</v>
      </c>
      <c r="H59" s="1"/>
      <c r="I59" s="283"/>
      <c r="J59" s="194">
        <v>0.28000000000000003</v>
      </c>
      <c r="K59" s="194"/>
      <c r="L59" s="138"/>
      <c r="M59" s="138"/>
      <c r="N59" s="1">
        <f t="shared" si="15"/>
        <v>0</v>
      </c>
    </row>
    <row r="60" spans="2:16" s="133" customFormat="1" x14ac:dyDescent="0.2">
      <c r="B60" s="161">
        <v>43930</v>
      </c>
      <c r="C60" s="138">
        <v>460</v>
      </c>
      <c r="D60" s="60" t="s">
        <v>367</v>
      </c>
      <c r="E60" s="459">
        <f t="shared" si="12"/>
        <v>0</v>
      </c>
      <c r="F60" s="459">
        <f t="shared" si="13"/>
        <v>460</v>
      </c>
      <c r="G60" s="460">
        <f t="shared" si="14"/>
        <v>33352.81</v>
      </c>
      <c r="H60" s="1"/>
      <c r="I60" s="283"/>
      <c r="J60" s="194"/>
      <c r="K60" s="194">
        <v>460</v>
      </c>
      <c r="L60" s="138"/>
      <c r="M60" s="138"/>
      <c r="N60" s="1">
        <f t="shared" si="15"/>
        <v>0</v>
      </c>
    </row>
    <row r="61" spans="2:16" s="133" customFormat="1" x14ac:dyDescent="0.2">
      <c r="B61" s="161">
        <v>43930</v>
      </c>
      <c r="C61" s="138">
        <v>270</v>
      </c>
      <c r="D61" s="60" t="s">
        <v>368</v>
      </c>
      <c r="E61" s="459">
        <f t="shared" si="12"/>
        <v>0</v>
      </c>
      <c r="F61" s="459">
        <f t="shared" si="13"/>
        <v>270</v>
      </c>
      <c r="G61" s="460">
        <f t="shared" si="14"/>
        <v>32892.81</v>
      </c>
      <c r="H61" s="1"/>
      <c r="I61" s="283"/>
      <c r="J61" s="194"/>
      <c r="K61" s="194">
        <v>270</v>
      </c>
      <c r="L61" s="138"/>
      <c r="M61" s="138"/>
      <c r="N61" s="1">
        <f t="shared" si="15"/>
        <v>0</v>
      </c>
    </row>
    <row r="62" spans="2:16" s="133" customFormat="1" x14ac:dyDescent="0.2">
      <c r="B62" s="161">
        <v>43921</v>
      </c>
      <c r="C62" s="138">
        <v>6000</v>
      </c>
      <c r="D62" s="60" t="s">
        <v>369</v>
      </c>
      <c r="E62" s="459">
        <f t="shared" si="12"/>
        <v>0</v>
      </c>
      <c r="F62" s="459">
        <f t="shared" si="13"/>
        <v>6000</v>
      </c>
      <c r="G62" s="460">
        <f t="shared" si="14"/>
        <v>32622.809999999994</v>
      </c>
      <c r="H62" s="1"/>
      <c r="I62" s="283"/>
      <c r="J62" s="194"/>
      <c r="K62" s="194">
        <v>6000</v>
      </c>
      <c r="L62" s="138"/>
      <c r="M62" s="138"/>
      <c r="N62" s="1">
        <f t="shared" si="15"/>
        <v>0</v>
      </c>
    </row>
    <row r="63" spans="2:16" s="133" customFormat="1" x14ac:dyDescent="0.2">
      <c r="B63" s="161">
        <v>43921</v>
      </c>
      <c r="C63" s="138">
        <v>0.75</v>
      </c>
      <c r="D63" s="60" t="s">
        <v>43</v>
      </c>
      <c r="E63" s="459">
        <f t="shared" si="12"/>
        <v>0</v>
      </c>
      <c r="F63" s="459">
        <f t="shared" si="13"/>
        <v>0.75</v>
      </c>
      <c r="G63" s="460">
        <f t="shared" si="14"/>
        <v>26622.809999999994</v>
      </c>
      <c r="H63" s="1"/>
      <c r="I63" s="283"/>
      <c r="J63" s="194">
        <v>0.75</v>
      </c>
      <c r="K63" s="194"/>
      <c r="L63" s="138"/>
      <c r="M63" s="138"/>
      <c r="N63" s="1">
        <f t="shared" si="15"/>
        <v>0</v>
      </c>
    </row>
    <row r="64" spans="2:16" s="133" customFormat="1" x14ac:dyDescent="0.2">
      <c r="B64" s="161">
        <v>43917</v>
      </c>
      <c r="C64" s="138">
        <v>350</v>
      </c>
      <c r="D64" s="60" t="s">
        <v>370</v>
      </c>
      <c r="E64" s="459">
        <f t="shared" si="12"/>
        <v>0</v>
      </c>
      <c r="F64" s="459">
        <f t="shared" si="13"/>
        <v>350</v>
      </c>
      <c r="G64" s="460">
        <f t="shared" si="14"/>
        <v>26622.059999999994</v>
      </c>
      <c r="H64" s="1"/>
      <c r="I64" s="283"/>
      <c r="J64" s="194"/>
      <c r="K64" s="194">
        <v>350</v>
      </c>
      <c r="L64" s="138"/>
      <c r="M64" s="138"/>
      <c r="N64" s="1">
        <f t="shared" si="15"/>
        <v>0</v>
      </c>
    </row>
    <row r="65" spans="2:14" s="133" customFormat="1" x14ac:dyDescent="0.2">
      <c r="B65" s="161">
        <v>43915</v>
      </c>
      <c r="C65" s="138">
        <v>18567.63</v>
      </c>
      <c r="D65" s="60" t="s">
        <v>371</v>
      </c>
      <c r="E65" s="459">
        <f t="shared" si="12"/>
        <v>0</v>
      </c>
      <c r="F65" s="459">
        <f t="shared" si="13"/>
        <v>18567.63</v>
      </c>
      <c r="G65" s="460">
        <f t="shared" si="14"/>
        <v>26272.059999999994</v>
      </c>
      <c r="H65" s="1"/>
      <c r="I65" s="283"/>
      <c r="J65" s="194"/>
      <c r="K65" s="194"/>
      <c r="L65" s="138"/>
      <c r="M65" s="138">
        <v>18567.63</v>
      </c>
      <c r="N65" s="1">
        <f t="shared" si="15"/>
        <v>0</v>
      </c>
    </row>
    <row r="66" spans="2:14" s="133" customFormat="1" x14ac:dyDescent="0.2">
      <c r="B66" s="161">
        <v>43901</v>
      </c>
      <c r="C66" s="138">
        <v>-10000</v>
      </c>
      <c r="D66" s="60" t="s">
        <v>372</v>
      </c>
      <c r="E66" s="459">
        <f t="shared" si="12"/>
        <v>-10000</v>
      </c>
      <c r="F66" s="459">
        <f t="shared" si="13"/>
        <v>0</v>
      </c>
      <c r="G66" s="460">
        <f t="shared" si="14"/>
        <v>7704.429999999993</v>
      </c>
      <c r="H66" s="1"/>
      <c r="I66" s="283">
        <v>-10000</v>
      </c>
      <c r="J66" s="194"/>
      <c r="K66" s="194"/>
      <c r="L66" s="138"/>
      <c r="M66" s="138"/>
      <c r="N66" s="1">
        <f t="shared" si="15"/>
        <v>0</v>
      </c>
    </row>
    <row r="67" spans="2:14" s="133" customFormat="1" x14ac:dyDescent="0.2">
      <c r="B67" s="161">
        <v>43889</v>
      </c>
      <c r="C67" s="138">
        <v>1.35</v>
      </c>
      <c r="D67" s="60" t="s">
        <v>43</v>
      </c>
      <c r="E67" s="459">
        <f t="shared" si="12"/>
        <v>0</v>
      </c>
      <c r="F67" s="459">
        <f t="shared" si="13"/>
        <v>1.35</v>
      </c>
      <c r="G67" s="460">
        <v>17704.429999999993</v>
      </c>
      <c r="H67" s="1"/>
      <c r="I67" s="283"/>
      <c r="J67" s="194">
        <v>1.35</v>
      </c>
      <c r="K67" s="194"/>
      <c r="L67" s="138"/>
      <c r="M67" s="138"/>
      <c r="N67" s="1">
        <f t="shared" si="15"/>
        <v>0</v>
      </c>
    </row>
    <row r="68" spans="2:14" s="133" customFormat="1" x14ac:dyDescent="0.2">
      <c r="B68" s="161"/>
      <c r="C68" s="138"/>
      <c r="D68" s="60"/>
      <c r="E68" s="459"/>
      <c r="F68" s="459"/>
      <c r="G68" s="460"/>
      <c r="H68" s="1"/>
      <c r="I68" s="283"/>
      <c r="J68" s="194"/>
      <c r="K68" s="194"/>
      <c r="L68" s="138"/>
      <c r="M68" s="138"/>
      <c r="N68" s="1"/>
    </row>
  </sheetData>
  <sheetProtection sheet="1" objects="1" scenarios="1"/>
  <sortState ref="B11:O17">
    <sortCondition descending="1" ref="B11:B17"/>
  </sortState>
  <mergeCells count="2">
    <mergeCell ref="B3:C3"/>
    <mergeCell ref="N6:P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opLeftCell="D1" zoomScaleNormal="100" workbookViewId="0">
      <selection activeCell="Q34" sqref="Q34"/>
    </sheetView>
  </sheetViews>
  <sheetFormatPr defaultRowHeight="11.25" x14ac:dyDescent="0.2"/>
  <cols>
    <col min="1" max="1" width="4.33203125" style="133" customWidth="1"/>
    <col min="2" max="2" width="6" style="5" customWidth="1"/>
    <col min="3" max="3" width="10.5" customWidth="1"/>
    <col min="4" max="4" width="3.1640625" style="85" customWidth="1"/>
    <col min="5" max="5" width="14.5" style="149" customWidth="1"/>
    <col min="6" max="6" width="12.1640625" customWidth="1"/>
    <col min="7" max="7" width="12.1640625" style="104" customWidth="1"/>
    <col min="8" max="9" width="9.83203125" style="1" customWidth="1"/>
    <col min="10" max="19" width="9.83203125" customWidth="1"/>
    <col min="20" max="20" width="9.83203125" style="183" customWidth="1"/>
    <col min="21" max="24" width="9.83203125" customWidth="1"/>
    <col min="25" max="25" width="4.6640625" style="26" customWidth="1"/>
    <col min="26" max="26" width="12.5" customWidth="1"/>
    <col min="28" max="28" width="11.1640625" customWidth="1"/>
    <col min="30" max="30" width="3.33203125" customWidth="1"/>
  </cols>
  <sheetData>
    <row r="1" spans="1:30" s="133" customFormat="1" x14ac:dyDescent="0.2">
      <c r="B1" s="5"/>
      <c r="C1" s="96"/>
      <c r="D1" s="85"/>
      <c r="E1" s="149"/>
      <c r="G1" s="104"/>
      <c r="H1" s="1"/>
      <c r="I1" s="1"/>
      <c r="K1" s="114"/>
      <c r="L1" s="104"/>
      <c r="P1" s="122"/>
      <c r="T1" s="183"/>
      <c r="Y1" s="26"/>
    </row>
    <row r="2" spans="1:30" s="133" customFormat="1" x14ac:dyDescent="0.2">
      <c r="B2" s="12"/>
      <c r="C2" s="98"/>
      <c r="D2" s="85"/>
      <c r="E2" s="149"/>
      <c r="G2" s="104"/>
      <c r="H2" s="1"/>
      <c r="I2" s="1"/>
      <c r="K2" s="114"/>
      <c r="L2" s="104"/>
      <c r="P2" s="122"/>
      <c r="T2" s="183"/>
      <c r="Y2" s="26"/>
    </row>
    <row r="3" spans="1:30" s="133" customFormat="1" ht="10.15" customHeight="1" thickBot="1" x14ac:dyDescent="0.4">
      <c r="B3" s="538"/>
      <c r="C3" s="475"/>
      <c r="D3" s="453"/>
      <c r="E3" s="453"/>
      <c r="F3" s="453"/>
      <c r="G3" s="782"/>
      <c r="H3" s="453"/>
      <c r="I3" s="1"/>
      <c r="J3" s="6"/>
      <c r="K3" s="114"/>
      <c r="L3" s="104"/>
      <c r="M3" s="1"/>
      <c r="N3" s="1"/>
      <c r="O3" s="6"/>
      <c r="P3" s="122"/>
      <c r="T3" s="183"/>
      <c r="Y3" s="26"/>
    </row>
    <row r="4" spans="1:30" s="133" customFormat="1" ht="24.75" customHeight="1" thickBot="1" x14ac:dyDescent="0.4">
      <c r="B4" s="538"/>
      <c r="C4" s="475"/>
      <c r="D4" s="453"/>
      <c r="E4" s="453"/>
      <c r="F4" s="453"/>
      <c r="G4" s="782"/>
      <c r="H4" s="1082" t="s">
        <v>397</v>
      </c>
      <c r="I4" s="1083"/>
      <c r="J4" s="1080" t="s">
        <v>329</v>
      </c>
      <c r="K4" s="1080"/>
      <c r="L4" s="1080"/>
      <c r="M4" s="1080"/>
      <c r="N4" s="1080"/>
      <c r="O4" s="1080"/>
      <c r="P4" s="1081"/>
      <c r="T4" s="183"/>
      <c r="Y4" s="26"/>
    </row>
    <row r="5" spans="1:30" s="133" customFormat="1" ht="12" thickBot="1" x14ac:dyDescent="0.25">
      <c r="B5" s="5"/>
      <c r="C5" s="96"/>
      <c r="D5" s="85"/>
      <c r="E5" s="149"/>
      <c r="G5" s="104"/>
      <c r="H5" s="1"/>
      <c r="I5" s="1"/>
      <c r="J5" s="6"/>
      <c r="K5" s="114"/>
      <c r="L5" s="104"/>
      <c r="M5" s="1"/>
      <c r="N5" s="1"/>
      <c r="O5" s="6"/>
      <c r="P5" s="122"/>
      <c r="T5" s="183"/>
      <c r="Y5" s="321"/>
    </row>
    <row r="6" spans="1:30" s="133" customFormat="1" ht="19.5" thickBot="1" x14ac:dyDescent="0.35">
      <c r="B6" s="5"/>
      <c r="D6" s="85"/>
      <c r="E6" s="1060" t="s">
        <v>286</v>
      </c>
      <c r="F6" s="1061"/>
      <c r="G6" s="1061"/>
      <c r="H6" s="1061"/>
      <c r="I6" s="1062"/>
      <c r="J6" s="6"/>
      <c r="K6" s="114"/>
      <c r="L6" s="104"/>
      <c r="M6" s="1"/>
      <c r="N6" s="1"/>
      <c r="O6" s="6"/>
      <c r="P6" s="122"/>
      <c r="T6" s="183"/>
      <c r="Y6" s="321"/>
    </row>
    <row r="7" spans="1:30" s="133" customFormat="1" ht="10.9" customHeight="1" thickBot="1" x14ac:dyDescent="0.25">
      <c r="B7" s="5"/>
      <c r="C7" s="96"/>
      <c r="D7" s="85"/>
      <c r="E7" s="149"/>
      <c r="G7" s="104"/>
      <c r="H7" s="1"/>
      <c r="I7" s="1"/>
      <c r="J7" s="6"/>
      <c r="K7" s="114"/>
      <c r="L7" s="104"/>
      <c r="M7" s="1"/>
      <c r="N7" s="1"/>
      <c r="O7" s="6"/>
      <c r="P7" s="122"/>
      <c r="T7" s="183"/>
      <c r="Y7" s="321"/>
    </row>
    <row r="8" spans="1:30" s="133" customFormat="1" ht="10.9" customHeight="1" thickBot="1" x14ac:dyDescent="0.25">
      <c r="B8" s="1088" t="s">
        <v>2</v>
      </c>
      <c r="C8" s="1090" t="s">
        <v>3</v>
      </c>
      <c r="D8" s="304"/>
      <c r="E8" s="1092" t="s">
        <v>21</v>
      </c>
      <c r="F8" s="1093"/>
      <c r="G8" s="1093"/>
      <c r="H8" s="1093"/>
      <c r="I8" s="1094"/>
      <c r="J8" s="1092" t="s">
        <v>22</v>
      </c>
      <c r="K8" s="1093"/>
      <c r="L8" s="1093"/>
      <c r="M8" s="1093"/>
      <c r="N8" s="1094"/>
      <c r="O8" s="1092" t="s">
        <v>23</v>
      </c>
      <c r="P8" s="1093"/>
      <c r="Q8" s="1093"/>
      <c r="R8" s="1093"/>
      <c r="S8" s="1094"/>
      <c r="T8" s="1092" t="s">
        <v>24</v>
      </c>
      <c r="U8" s="1093"/>
      <c r="V8" s="1093"/>
      <c r="W8" s="1093"/>
      <c r="X8" s="1094"/>
      <c r="Y8" s="321"/>
      <c r="Z8" s="7" t="s">
        <v>5</v>
      </c>
      <c r="AA8" s="29" t="s">
        <v>19</v>
      </c>
      <c r="AB8" s="9" t="s">
        <v>1</v>
      </c>
      <c r="AC8" s="1104" t="s">
        <v>3</v>
      </c>
      <c r="AD8" s="13"/>
    </row>
    <row r="9" spans="1:30" s="133" customFormat="1" ht="12" thickBot="1" x14ac:dyDescent="0.25">
      <c r="B9" s="1089"/>
      <c r="C9" s="1091"/>
      <c r="D9" s="304"/>
      <c r="E9" s="150" t="s">
        <v>13</v>
      </c>
      <c r="F9" s="20" t="s">
        <v>14</v>
      </c>
      <c r="G9" s="105" t="s">
        <v>15</v>
      </c>
      <c r="H9" s="16"/>
      <c r="I9" s="17"/>
      <c r="J9" s="30" t="s">
        <v>13</v>
      </c>
      <c r="K9" s="112" t="s">
        <v>14</v>
      </c>
      <c r="L9" s="105" t="s">
        <v>15</v>
      </c>
      <c r="M9" s="16"/>
      <c r="N9" s="17"/>
      <c r="O9" s="30" t="s">
        <v>13</v>
      </c>
      <c r="P9" s="123" t="s">
        <v>14</v>
      </c>
      <c r="Q9" s="14" t="s">
        <v>15</v>
      </c>
      <c r="R9" s="16"/>
      <c r="S9" s="17"/>
      <c r="T9" s="184" t="s">
        <v>13</v>
      </c>
      <c r="U9" s="20" t="s">
        <v>14</v>
      </c>
      <c r="V9" s="14" t="s">
        <v>15</v>
      </c>
      <c r="W9" s="16"/>
      <c r="X9" s="17"/>
      <c r="Y9" s="321"/>
      <c r="Z9" s="8" t="s">
        <v>6</v>
      </c>
      <c r="AA9" s="10" t="s">
        <v>6</v>
      </c>
      <c r="AB9" s="10" t="s">
        <v>6</v>
      </c>
      <c r="AC9" s="1105"/>
      <c r="AD9" s="13"/>
    </row>
    <row r="10" spans="1:30" s="133" customFormat="1" ht="12.75" thickTop="1" thickBot="1" x14ac:dyDescent="0.25">
      <c r="B10" s="535"/>
      <c r="C10" s="97"/>
      <c r="D10" s="304"/>
      <c r="E10" s="151"/>
      <c r="F10" s="21" t="s">
        <v>16</v>
      </c>
      <c r="G10" s="106" t="s">
        <v>17</v>
      </c>
      <c r="H10" s="18" t="s">
        <v>18</v>
      </c>
      <c r="I10" s="19" t="s">
        <v>12</v>
      </c>
      <c r="J10" s="31"/>
      <c r="K10" s="113" t="s">
        <v>16</v>
      </c>
      <c r="L10" s="106" t="s">
        <v>17</v>
      </c>
      <c r="M10" s="18" t="s">
        <v>18</v>
      </c>
      <c r="N10" s="19" t="s">
        <v>12</v>
      </c>
      <c r="O10" s="31"/>
      <c r="P10" s="124" t="s">
        <v>16</v>
      </c>
      <c r="Q10" s="15" t="s">
        <v>17</v>
      </c>
      <c r="R10" s="18" t="s">
        <v>18</v>
      </c>
      <c r="S10" s="19" t="s">
        <v>12</v>
      </c>
      <c r="T10" s="185"/>
      <c r="U10" s="21" t="s">
        <v>16</v>
      </c>
      <c r="V10" s="15" t="s">
        <v>17</v>
      </c>
      <c r="W10" s="18" t="s">
        <v>18</v>
      </c>
      <c r="X10" s="19" t="s">
        <v>12</v>
      </c>
      <c r="Y10" s="339"/>
      <c r="Z10" s="4">
        <f>Z28</f>
        <v>32100.532149999995</v>
      </c>
      <c r="AA10" s="4">
        <f t="shared" ref="AA10:AB10" si="0">AA28</f>
        <v>13931.542350000003</v>
      </c>
      <c r="AB10" s="4">
        <f t="shared" si="0"/>
        <v>46032.074500000002</v>
      </c>
      <c r="AC10" s="25"/>
      <c r="AD10" s="13"/>
    </row>
    <row r="11" spans="1:30" s="133" customFormat="1" ht="12.75" thickTop="1" thickBot="1" x14ac:dyDescent="0.25">
      <c r="B11" s="12"/>
      <c r="C11" s="98"/>
      <c r="D11" s="305"/>
      <c r="E11" s="149"/>
      <c r="F11" s="11"/>
      <c r="G11" s="104"/>
      <c r="H11" s="1"/>
      <c r="I11" s="1"/>
      <c r="J11" s="6"/>
      <c r="K11" s="114"/>
      <c r="L11" s="104"/>
      <c r="M11" s="1"/>
      <c r="N11" s="1"/>
      <c r="O11" s="6"/>
      <c r="P11" s="122"/>
      <c r="R11" s="1"/>
      <c r="S11" s="1"/>
      <c r="T11" s="183"/>
      <c r="U11" s="11"/>
      <c r="W11" s="1"/>
      <c r="X11" s="1"/>
      <c r="Y11" s="339"/>
      <c r="Z11" s="3"/>
      <c r="AA11" s="3"/>
      <c r="AB11" s="3"/>
      <c r="AC11" s="24"/>
      <c r="AD11" s="2"/>
    </row>
    <row r="12" spans="1:30" s="136" customFormat="1" ht="12" x14ac:dyDescent="0.2">
      <c r="A12" s="46"/>
      <c r="B12" s="311"/>
      <c r="C12" s="99"/>
      <c r="D12" s="160"/>
      <c r="E12" s="286"/>
      <c r="F12" s="58"/>
      <c r="G12" s="107"/>
      <c r="H12" s="802"/>
      <c r="I12" s="32"/>
      <c r="J12" s="56"/>
      <c r="K12" s="115"/>
      <c r="L12" s="107"/>
      <c r="M12" s="59"/>
      <c r="N12" s="48"/>
      <c r="O12" s="56"/>
      <c r="P12" s="125"/>
      <c r="Q12" s="58"/>
      <c r="R12" s="59"/>
      <c r="S12" s="48"/>
      <c r="T12" s="186"/>
      <c r="U12" s="57"/>
      <c r="V12" s="58"/>
      <c r="W12" s="59"/>
      <c r="X12" s="48"/>
      <c r="Y12" s="339"/>
      <c r="Z12" s="287"/>
      <c r="AA12" s="67"/>
      <c r="AB12" s="67"/>
      <c r="AC12" s="52"/>
      <c r="AD12" s="28"/>
    </row>
    <row r="13" spans="1:30" s="288" customFormat="1" ht="12" x14ac:dyDescent="0.2">
      <c r="A13" s="548"/>
      <c r="B13" s="312">
        <v>1</v>
      </c>
      <c r="C13" s="120" t="s">
        <v>46</v>
      </c>
      <c r="D13" s="160"/>
      <c r="E13" s="284"/>
      <c r="F13" s="299"/>
      <c r="G13" s="800"/>
      <c r="H13" s="222"/>
      <c r="I13" s="801"/>
      <c r="J13" s="291"/>
      <c r="K13" s="292"/>
      <c r="L13" s="293"/>
      <c r="M13" s="290"/>
      <c r="N13" s="223">
        <f t="shared" ref="N13:N15" si="1">(M13/0.7-M13)*1</f>
        <v>0</v>
      </c>
      <c r="O13" s="291"/>
      <c r="P13" s="294"/>
      <c r="Q13" s="289"/>
      <c r="R13" s="290"/>
      <c r="S13" s="228"/>
      <c r="T13" s="295"/>
      <c r="U13" s="296"/>
      <c r="V13" s="289"/>
      <c r="W13" s="227"/>
      <c r="X13" s="228"/>
      <c r="Y13" s="337"/>
      <c r="Z13" s="297">
        <f t="shared" ref="Z13" si="2">H13+M13+R13+W13</f>
        <v>0</v>
      </c>
      <c r="AA13" s="222">
        <f t="shared" ref="AA13" si="3">I13+N13+S13+X13</f>
        <v>0</v>
      </c>
      <c r="AB13" s="222">
        <f t="shared" ref="AB13" si="4">Z13+AA13</f>
        <v>0</v>
      </c>
      <c r="AC13" s="298" t="s">
        <v>46</v>
      </c>
      <c r="AD13" s="160"/>
    </row>
    <row r="14" spans="1:30" s="288" customFormat="1" ht="12" x14ac:dyDescent="0.2">
      <c r="A14" s="548"/>
      <c r="B14" s="312">
        <f>1+B13</f>
        <v>2</v>
      </c>
      <c r="C14" s="120" t="s">
        <v>95</v>
      </c>
      <c r="D14" s="160"/>
      <c r="E14" s="284"/>
      <c r="F14" s="299"/>
      <c r="G14" s="226"/>
      <c r="H14" s="803"/>
      <c r="I14" s="223"/>
      <c r="J14" s="291"/>
      <c r="K14" s="292"/>
      <c r="L14" s="293"/>
      <c r="M14" s="290"/>
      <c r="N14" s="223">
        <f t="shared" si="1"/>
        <v>0</v>
      </c>
      <c r="O14" s="291"/>
      <c r="P14" s="294"/>
      <c r="Q14" s="289"/>
      <c r="R14" s="290"/>
      <c r="S14" s="228"/>
      <c r="T14" s="295"/>
      <c r="U14" s="296"/>
      <c r="V14" s="289"/>
      <c r="W14" s="227"/>
      <c r="X14" s="228"/>
      <c r="Y14" s="337"/>
      <c r="Z14" s="297">
        <f t="shared" ref="Z14:Z26" si="5">H14+M14+R14+W14</f>
        <v>0</v>
      </c>
      <c r="AA14" s="222">
        <f t="shared" ref="AA14:AA26" si="6">I14+N14+S14+X14</f>
        <v>0</v>
      </c>
      <c r="AB14" s="222">
        <f t="shared" ref="AB14:AB26" si="7">Z14+AA14</f>
        <v>0</v>
      </c>
      <c r="AC14" s="298" t="s">
        <v>95</v>
      </c>
      <c r="AD14" s="160"/>
    </row>
    <row r="15" spans="1:30" s="288" customFormat="1" ht="12" customHeight="1" x14ac:dyDescent="0.2">
      <c r="A15" s="548" t="s">
        <v>284</v>
      </c>
      <c r="B15" s="312">
        <f t="shared" ref="B15:B26" si="8">1+B14</f>
        <v>3</v>
      </c>
      <c r="C15" s="100" t="s">
        <v>0</v>
      </c>
      <c r="E15" s="539">
        <v>44104</v>
      </c>
      <c r="F15" s="540">
        <v>3000</v>
      </c>
      <c r="G15" s="783">
        <v>0.25</v>
      </c>
      <c r="H15" s="541">
        <f t="shared" ref="H15:H19" si="9">F15*G15</f>
        <v>750</v>
      </c>
      <c r="I15" s="542">
        <f>H15/0.7-H15</f>
        <v>321.42857142857156</v>
      </c>
      <c r="J15" s="790">
        <v>44181</v>
      </c>
      <c r="K15" s="822">
        <v>3000</v>
      </c>
      <c r="L15" s="783">
        <v>0.35</v>
      </c>
      <c r="M15" s="789">
        <f t="shared" ref="M15" si="10">K15*L15</f>
        <v>1050</v>
      </c>
      <c r="N15" s="542">
        <f t="shared" si="1"/>
        <v>450</v>
      </c>
      <c r="O15" s="225"/>
      <c r="P15" s="198"/>
      <c r="Q15" s="299"/>
      <c r="R15" s="227"/>
      <c r="S15" s="228"/>
      <c r="T15" s="300"/>
      <c r="U15" s="285"/>
      <c r="V15" s="299"/>
      <c r="W15" s="227"/>
      <c r="X15" s="228"/>
      <c r="Y15" s="337"/>
      <c r="Z15" s="297">
        <f t="shared" si="5"/>
        <v>1800</v>
      </c>
      <c r="AA15" s="222">
        <f t="shared" si="6"/>
        <v>771.42857142857156</v>
      </c>
      <c r="AB15" s="222">
        <f t="shared" si="7"/>
        <v>2571.4285714285716</v>
      </c>
      <c r="AC15" s="301" t="s">
        <v>0</v>
      </c>
      <c r="AD15" s="27"/>
    </row>
    <row r="16" spans="1:30" s="288" customFormat="1" ht="12" customHeight="1" x14ac:dyDescent="0.2">
      <c r="A16" s="548"/>
      <c r="B16" s="312">
        <f t="shared" si="8"/>
        <v>4</v>
      </c>
      <c r="C16" s="100" t="s">
        <v>30</v>
      </c>
      <c r="E16" s="539">
        <v>44104</v>
      </c>
      <c r="F16" s="788">
        <v>2500</v>
      </c>
      <c r="G16" s="783">
        <v>0.98</v>
      </c>
      <c r="H16" s="541">
        <f t="shared" si="9"/>
        <v>2450</v>
      </c>
      <c r="I16" s="542">
        <f>H16/0.7-H16</f>
        <v>1050</v>
      </c>
      <c r="J16" s="225"/>
      <c r="K16" s="787"/>
      <c r="L16" s="226"/>
      <c r="M16" s="290"/>
      <c r="N16" s="223"/>
      <c r="O16" s="790">
        <v>44285</v>
      </c>
      <c r="P16" s="823">
        <v>2500</v>
      </c>
      <c r="Q16" s="824">
        <v>1.5</v>
      </c>
      <c r="R16" s="821">
        <f>P16*Q16</f>
        <v>3750</v>
      </c>
      <c r="S16" s="819">
        <f>R16/0.7-R16</f>
        <v>1607.1428571428578</v>
      </c>
      <c r="T16" s="300"/>
      <c r="U16" s="198"/>
      <c r="V16" s="299"/>
      <c r="W16" s="227"/>
      <c r="X16" s="228"/>
      <c r="Y16" s="337"/>
      <c r="Z16" s="297">
        <f t="shared" si="5"/>
        <v>6200</v>
      </c>
      <c r="AA16" s="222">
        <f t="shared" si="6"/>
        <v>2657.1428571428578</v>
      </c>
      <c r="AB16" s="222">
        <f t="shared" si="7"/>
        <v>8857.1428571428587</v>
      </c>
      <c r="AC16" s="301" t="s">
        <v>30</v>
      </c>
      <c r="AD16" s="27"/>
    </row>
    <row r="17" spans="1:30" s="288" customFormat="1" ht="12" customHeight="1" x14ac:dyDescent="0.2">
      <c r="A17" s="548"/>
      <c r="B17" s="312">
        <f t="shared" si="8"/>
        <v>5</v>
      </c>
      <c r="C17" s="100" t="s">
        <v>31</v>
      </c>
      <c r="E17" s="539">
        <v>44015</v>
      </c>
      <c r="F17" s="540">
        <v>500</v>
      </c>
      <c r="G17" s="783">
        <v>1.8</v>
      </c>
      <c r="H17" s="541">
        <f t="shared" si="9"/>
        <v>900</v>
      </c>
      <c r="I17" s="542">
        <v>154.29</v>
      </c>
      <c r="J17" s="790">
        <v>44187</v>
      </c>
      <c r="K17" s="822">
        <v>500</v>
      </c>
      <c r="L17" s="783">
        <v>1.35</v>
      </c>
      <c r="M17" s="541">
        <f t="shared" ref="M17:M21" si="11">K17*L17</f>
        <v>675</v>
      </c>
      <c r="N17" s="542">
        <v>115.71</v>
      </c>
      <c r="O17" s="225"/>
      <c r="P17" s="198"/>
      <c r="Q17" s="299"/>
      <c r="R17" s="227"/>
      <c r="S17" s="228"/>
      <c r="T17" s="300"/>
      <c r="U17" s="285"/>
      <c r="V17" s="299"/>
      <c r="W17" s="227"/>
      <c r="X17" s="228"/>
      <c r="Y17" s="337"/>
      <c r="Z17" s="297">
        <f t="shared" si="5"/>
        <v>1575</v>
      </c>
      <c r="AA17" s="222">
        <f t="shared" si="6"/>
        <v>270</v>
      </c>
      <c r="AB17" s="222">
        <f t="shared" si="7"/>
        <v>1845</v>
      </c>
      <c r="AC17" s="301" t="s">
        <v>31</v>
      </c>
      <c r="AD17" s="27"/>
    </row>
    <row r="18" spans="1:30" s="288" customFormat="1" ht="12" customHeight="1" x14ac:dyDescent="0.2">
      <c r="A18" s="548" t="s">
        <v>284</v>
      </c>
      <c r="B18" s="312">
        <f t="shared" si="8"/>
        <v>6</v>
      </c>
      <c r="C18" s="100" t="s">
        <v>7</v>
      </c>
      <c r="E18" s="539">
        <v>44015</v>
      </c>
      <c r="F18" s="540">
        <v>8000</v>
      </c>
      <c r="G18" s="783">
        <v>0.3</v>
      </c>
      <c r="H18" s="541">
        <f t="shared" si="9"/>
        <v>2400</v>
      </c>
      <c r="I18" s="542">
        <f>H18/0.7-H18</f>
        <v>1028.5714285714289</v>
      </c>
      <c r="J18" s="790">
        <v>44175</v>
      </c>
      <c r="K18" s="822">
        <v>8000</v>
      </c>
      <c r="L18" s="783">
        <v>0.3</v>
      </c>
      <c r="M18" s="789">
        <f t="shared" si="11"/>
        <v>2400</v>
      </c>
      <c r="N18" s="542">
        <f t="shared" ref="N18" si="12">(M18/0.7-M18)*1</f>
        <v>1028.5714285714289</v>
      </c>
      <c r="O18" s="225"/>
      <c r="P18" s="198"/>
      <c r="Q18" s="299"/>
      <c r="R18" s="227"/>
      <c r="S18" s="228"/>
      <c r="T18" s="300"/>
      <c r="U18" s="285"/>
      <c r="V18" s="299"/>
      <c r="W18" s="227"/>
      <c r="X18" s="228"/>
      <c r="Y18" s="337"/>
      <c r="Z18" s="297">
        <f t="shared" si="5"/>
        <v>4800</v>
      </c>
      <c r="AA18" s="222">
        <f t="shared" si="6"/>
        <v>2057.1428571428578</v>
      </c>
      <c r="AB18" s="222">
        <f t="shared" si="7"/>
        <v>6857.1428571428578</v>
      </c>
      <c r="AC18" s="301" t="s">
        <v>7</v>
      </c>
      <c r="AD18" s="27"/>
    </row>
    <row r="19" spans="1:30" s="288" customFormat="1" ht="12" customHeight="1" x14ac:dyDescent="0.2">
      <c r="A19" s="548" t="s">
        <v>284</v>
      </c>
      <c r="B19" s="312">
        <f t="shared" si="8"/>
        <v>7</v>
      </c>
      <c r="C19" s="100" t="s">
        <v>8</v>
      </c>
      <c r="E19" s="539">
        <v>44099</v>
      </c>
      <c r="F19" s="540">
        <v>5000</v>
      </c>
      <c r="G19" s="783">
        <v>0.04</v>
      </c>
      <c r="H19" s="541">
        <f t="shared" si="9"/>
        <v>200</v>
      </c>
      <c r="I19" s="542">
        <f>(H19/0.7-H19)*0.1</f>
        <v>8.571428571428573</v>
      </c>
      <c r="J19" s="225"/>
      <c r="K19" s="787"/>
      <c r="L19" s="226"/>
      <c r="M19" s="290"/>
      <c r="N19" s="223"/>
      <c r="O19" s="225"/>
      <c r="P19" s="198"/>
      <c r="Q19" s="299"/>
      <c r="R19" s="227"/>
      <c r="S19" s="228"/>
      <c r="T19" s="225"/>
      <c r="U19" s="198"/>
      <c r="V19" s="299"/>
      <c r="W19" s="227"/>
      <c r="X19" s="228"/>
      <c r="Y19" s="337"/>
      <c r="Z19" s="297">
        <f t="shared" si="5"/>
        <v>200</v>
      </c>
      <c r="AA19" s="222">
        <f t="shared" si="6"/>
        <v>8.571428571428573</v>
      </c>
      <c r="AB19" s="222">
        <f t="shared" si="7"/>
        <v>208.57142857142858</v>
      </c>
      <c r="AC19" s="301" t="s">
        <v>8</v>
      </c>
      <c r="AD19" s="27"/>
    </row>
    <row r="20" spans="1:30" s="288" customFormat="1" ht="12" customHeight="1" x14ac:dyDescent="0.2">
      <c r="A20" s="548"/>
      <c r="B20" s="312">
        <f t="shared" si="8"/>
        <v>8</v>
      </c>
      <c r="C20" s="100" t="s">
        <v>97</v>
      </c>
      <c r="E20" s="225">
        <v>43738</v>
      </c>
      <c r="F20" s="1043">
        <v>1000</v>
      </c>
      <c r="G20" s="226">
        <v>0</v>
      </c>
      <c r="H20" s="290">
        <f>F20*G20</f>
        <v>0</v>
      </c>
      <c r="I20" s="223">
        <f>(H20/0.7-H20)*0.4</f>
        <v>0</v>
      </c>
      <c r="J20" s="225"/>
      <c r="K20" s="787"/>
      <c r="L20" s="226"/>
      <c r="M20" s="290"/>
      <c r="N20" s="223">
        <f t="shared" ref="N20:N26" si="13">(M20/0.7-M20)*1</f>
        <v>0</v>
      </c>
      <c r="O20" s="790">
        <v>44286</v>
      </c>
      <c r="P20" s="823">
        <v>1000</v>
      </c>
      <c r="Q20" s="788">
        <v>0.48499999999999999</v>
      </c>
      <c r="R20" s="821">
        <f>P20*Q20</f>
        <v>485</v>
      </c>
      <c r="S20" s="819">
        <f>R20/0.7-R20</f>
        <v>207.85714285714289</v>
      </c>
      <c r="T20" s="225"/>
      <c r="U20" s="198"/>
      <c r="V20" s="299"/>
      <c r="W20" s="227"/>
      <c r="X20" s="228"/>
      <c r="Y20" s="337"/>
      <c r="Z20" s="297">
        <f t="shared" si="5"/>
        <v>485</v>
      </c>
      <c r="AA20" s="222">
        <f t="shared" si="6"/>
        <v>207.85714285714289</v>
      </c>
      <c r="AB20" s="222">
        <f t="shared" si="7"/>
        <v>692.85714285714289</v>
      </c>
      <c r="AC20" s="301" t="s">
        <v>97</v>
      </c>
      <c r="AD20" s="27"/>
    </row>
    <row r="21" spans="1:30" s="288" customFormat="1" ht="12" customHeight="1" x14ac:dyDescent="0.2">
      <c r="A21" s="548" t="s">
        <v>284</v>
      </c>
      <c r="B21" s="312">
        <f t="shared" si="8"/>
        <v>9</v>
      </c>
      <c r="C21" s="100" t="s">
        <v>9</v>
      </c>
      <c r="E21" s="284"/>
      <c r="F21" s="285"/>
      <c r="G21" s="226"/>
      <c r="H21" s="222"/>
      <c r="I21" s="223"/>
      <c r="J21" s="790">
        <v>44124</v>
      </c>
      <c r="K21" s="791">
        <v>1800</v>
      </c>
      <c r="L21" s="783">
        <v>1.7663</v>
      </c>
      <c r="M21" s="789">
        <f t="shared" si="11"/>
        <v>3179.34</v>
      </c>
      <c r="N21" s="542">
        <f t="shared" si="13"/>
        <v>1362.5742857142859</v>
      </c>
      <c r="O21" s="225"/>
      <c r="P21" s="198"/>
      <c r="Q21" s="299"/>
      <c r="R21" s="227"/>
      <c r="S21" s="228"/>
      <c r="T21" s="225">
        <v>44306</v>
      </c>
      <c r="U21" s="198">
        <v>1800</v>
      </c>
      <c r="V21" s="299">
        <v>1.728</v>
      </c>
      <c r="W21" s="227">
        <f>U21*V21</f>
        <v>3110.4</v>
      </c>
      <c r="X21" s="228">
        <f>W21/0.7-W21</f>
        <v>1333.0285714285715</v>
      </c>
      <c r="Y21" s="337"/>
      <c r="Z21" s="297">
        <f t="shared" si="5"/>
        <v>6289.74</v>
      </c>
      <c r="AA21" s="222">
        <f t="shared" si="6"/>
        <v>2695.6028571428574</v>
      </c>
      <c r="AB21" s="222">
        <f t="shared" si="7"/>
        <v>8985.3428571428576</v>
      </c>
      <c r="AC21" s="301" t="s">
        <v>9</v>
      </c>
      <c r="AD21" s="27"/>
    </row>
    <row r="22" spans="1:30" s="288" customFormat="1" ht="12" customHeight="1" x14ac:dyDescent="0.2">
      <c r="A22" s="548"/>
      <c r="B22" s="312">
        <f t="shared" si="8"/>
        <v>10</v>
      </c>
      <c r="C22" s="100" t="s">
        <v>10</v>
      </c>
      <c r="E22" s="539">
        <v>44098</v>
      </c>
      <c r="F22" s="540">
        <v>40000</v>
      </c>
      <c r="G22" s="783">
        <v>0.08</v>
      </c>
      <c r="H22" s="541">
        <f>F22*G22</f>
        <v>3200</v>
      </c>
      <c r="I22" s="542">
        <f>H22/0.7-H22</f>
        <v>1371.4285714285716</v>
      </c>
      <c r="J22" s="225"/>
      <c r="K22" s="787"/>
      <c r="L22" s="226"/>
      <c r="M22" s="290"/>
      <c r="N22" s="223">
        <f t="shared" si="13"/>
        <v>0</v>
      </c>
      <c r="O22" s="790">
        <v>44281</v>
      </c>
      <c r="P22" s="823">
        <v>40000</v>
      </c>
      <c r="Q22" s="788">
        <v>0.08</v>
      </c>
      <c r="R22" s="821">
        <f>P22*Q22</f>
        <v>3200</v>
      </c>
      <c r="S22" s="819">
        <f>R22/0.7-R22</f>
        <v>1371.4285714285716</v>
      </c>
      <c r="T22" s="225"/>
      <c r="U22" s="285"/>
      <c r="V22" s="299"/>
      <c r="W22" s="227"/>
      <c r="X22" s="228"/>
      <c r="Y22" s="337"/>
      <c r="Z22" s="297">
        <f t="shared" si="5"/>
        <v>6400</v>
      </c>
      <c r="AA22" s="222">
        <f t="shared" si="6"/>
        <v>2742.8571428571431</v>
      </c>
      <c r="AB22" s="222">
        <f t="shared" si="7"/>
        <v>9142.8571428571431</v>
      </c>
      <c r="AC22" s="301" t="s">
        <v>10</v>
      </c>
      <c r="AD22" s="27"/>
    </row>
    <row r="23" spans="1:30" s="288" customFormat="1" ht="12" customHeight="1" x14ac:dyDescent="0.2">
      <c r="A23" s="548" t="s">
        <v>284</v>
      </c>
      <c r="B23" s="312">
        <f t="shared" si="8"/>
        <v>11</v>
      </c>
      <c r="C23" s="100" t="s">
        <v>11</v>
      </c>
      <c r="E23" s="284"/>
      <c r="F23" s="285"/>
      <c r="G23" s="226"/>
      <c r="H23" s="222"/>
      <c r="I23" s="223"/>
      <c r="J23" s="225">
        <v>44183</v>
      </c>
      <c r="K23" s="787">
        <v>4940</v>
      </c>
      <c r="L23" s="226">
        <v>0.31</v>
      </c>
      <c r="M23" s="290">
        <f t="shared" ref="M23" si="14">K23*L23</f>
        <v>1531.4</v>
      </c>
      <c r="N23" s="223">
        <f t="shared" ref="N23" si="15">(M23/0.7-M23)*1</f>
        <v>656.31428571428569</v>
      </c>
      <c r="O23" s="225"/>
      <c r="P23" s="198"/>
      <c r="Q23" s="299"/>
      <c r="R23" s="227"/>
      <c r="S23" s="228"/>
      <c r="T23" s="790">
        <v>44372</v>
      </c>
      <c r="U23" s="540">
        <v>4000</v>
      </c>
      <c r="V23" s="788">
        <v>0.57999999999999996</v>
      </c>
      <c r="W23" s="821">
        <v>2324.4899999999998</v>
      </c>
      <c r="X23" s="819">
        <f>W23/0.7-W23</f>
        <v>996.21</v>
      </c>
      <c r="Y23" s="337"/>
      <c r="Z23" s="297">
        <f t="shared" si="5"/>
        <v>3855.89</v>
      </c>
      <c r="AA23" s="222">
        <f>I23+N23+S23+X23</f>
        <v>1652.5242857142857</v>
      </c>
      <c r="AB23" s="222">
        <f t="shared" si="7"/>
        <v>5508.4142857142851</v>
      </c>
      <c r="AC23" s="301" t="s">
        <v>11</v>
      </c>
      <c r="AD23" s="27"/>
    </row>
    <row r="24" spans="1:30" s="288" customFormat="1" ht="12" customHeight="1" x14ac:dyDescent="0.2">
      <c r="A24" s="548"/>
      <c r="B24" s="1051">
        <f t="shared" si="8"/>
        <v>12</v>
      </c>
      <c r="C24" s="1052" t="s">
        <v>551</v>
      </c>
      <c r="E24" s="1053"/>
      <c r="F24" s="1054"/>
      <c r="G24" s="1055"/>
      <c r="H24" s="520"/>
      <c r="I24" s="1056"/>
      <c r="J24" s="1044"/>
      <c r="K24" s="1057"/>
      <c r="L24" s="1055"/>
      <c r="M24" s="857">
        <v>-1531.4</v>
      </c>
      <c r="N24" s="1056"/>
      <c r="O24" s="1044"/>
      <c r="P24" s="1045"/>
      <c r="Q24" s="962"/>
      <c r="R24" s="1046"/>
      <c r="S24" s="1047"/>
      <c r="T24" s="1044"/>
      <c r="U24" s="1054"/>
      <c r="V24" s="962"/>
      <c r="W24" s="1046"/>
      <c r="X24" s="1047"/>
      <c r="Y24" s="1058"/>
      <c r="Z24" s="518">
        <f t="shared" si="5"/>
        <v>-1531.4</v>
      </c>
      <c r="AA24" s="520">
        <f t="shared" si="6"/>
        <v>0</v>
      </c>
      <c r="AB24" s="520">
        <f t="shared" si="7"/>
        <v>-1531.4</v>
      </c>
      <c r="AC24" s="1059" t="s">
        <v>551</v>
      </c>
      <c r="AD24" s="27"/>
    </row>
    <row r="25" spans="1:30" s="288" customFormat="1" ht="12" customHeight="1" x14ac:dyDescent="0.2">
      <c r="A25" s="548"/>
      <c r="B25" s="312">
        <f t="shared" si="8"/>
        <v>13</v>
      </c>
      <c r="C25" s="100" t="s">
        <v>37</v>
      </c>
      <c r="E25" s="284"/>
      <c r="F25" s="285"/>
      <c r="G25" s="226"/>
      <c r="H25" s="222"/>
      <c r="I25" s="223"/>
      <c r="J25" s="790">
        <v>44110</v>
      </c>
      <c r="K25" s="822">
        <v>1000</v>
      </c>
      <c r="L25" s="783">
        <v>0.48</v>
      </c>
      <c r="M25" s="789">
        <f>K25*L25</f>
        <v>480</v>
      </c>
      <c r="N25" s="542">
        <f>M25/0.7-M25</f>
        <v>205.71428571428578</v>
      </c>
      <c r="O25" s="225"/>
      <c r="P25" s="198"/>
      <c r="Q25" s="299"/>
      <c r="R25" s="227">
        <f>P25*Q25</f>
        <v>0</v>
      </c>
      <c r="S25" s="228"/>
      <c r="T25" s="225"/>
      <c r="U25" s="285"/>
      <c r="V25" s="299"/>
      <c r="W25" s="227"/>
      <c r="X25" s="228"/>
      <c r="Y25" s="337"/>
      <c r="Z25" s="297">
        <f t="shared" si="5"/>
        <v>480</v>
      </c>
      <c r="AA25" s="222">
        <f t="shared" si="6"/>
        <v>205.71428571428578</v>
      </c>
      <c r="AB25" s="222">
        <f t="shared" si="7"/>
        <v>685.71428571428578</v>
      </c>
      <c r="AC25" s="301" t="s">
        <v>37</v>
      </c>
      <c r="AD25" s="27"/>
    </row>
    <row r="26" spans="1:30" s="288" customFormat="1" ht="12" customHeight="1" x14ac:dyDescent="0.2">
      <c r="A26" s="548"/>
      <c r="B26" s="312">
        <f t="shared" si="8"/>
        <v>14</v>
      </c>
      <c r="C26" s="100" t="s">
        <v>33</v>
      </c>
      <c r="E26" s="539">
        <v>44092</v>
      </c>
      <c r="F26" s="540">
        <v>3000</v>
      </c>
      <c r="G26" s="783">
        <v>0.36247037999999998</v>
      </c>
      <c r="H26" s="541">
        <f>F26*G26</f>
        <v>1087.4111399999999</v>
      </c>
      <c r="I26" s="542">
        <f>H26/0.7-H26</f>
        <v>466.03334571428582</v>
      </c>
      <c r="J26" s="225"/>
      <c r="K26" s="787"/>
      <c r="L26" s="226"/>
      <c r="M26" s="290"/>
      <c r="N26" s="223">
        <f t="shared" si="13"/>
        <v>0</v>
      </c>
      <c r="O26" s="225">
        <v>44279</v>
      </c>
      <c r="P26" s="198">
        <v>3000</v>
      </c>
      <c r="Q26" s="299">
        <v>0.15296367</v>
      </c>
      <c r="R26" s="227">
        <f>P26*Q26</f>
        <v>458.89100999999999</v>
      </c>
      <c r="S26" s="228">
        <f>R26/0.7-R26</f>
        <v>196.66757571428576</v>
      </c>
      <c r="T26" s="225"/>
      <c r="U26" s="285"/>
      <c r="V26" s="299"/>
      <c r="W26" s="227"/>
      <c r="X26" s="228"/>
      <c r="Y26" s="337"/>
      <c r="Z26" s="297">
        <f t="shared" si="5"/>
        <v>1546.30215</v>
      </c>
      <c r="AA26" s="222">
        <f t="shared" si="6"/>
        <v>662.70092142857152</v>
      </c>
      <c r="AB26" s="222">
        <f t="shared" si="7"/>
        <v>2209.0030714285713</v>
      </c>
      <c r="AC26" s="301" t="s">
        <v>33</v>
      </c>
      <c r="AD26" s="27"/>
    </row>
    <row r="27" spans="1:30" s="136" customFormat="1" ht="12.75" thickBot="1" x14ac:dyDescent="0.25">
      <c r="A27" s="46"/>
      <c r="B27" s="313"/>
      <c r="C27" s="101"/>
      <c r="D27" s="160"/>
      <c r="E27" s="153"/>
      <c r="F27" s="62"/>
      <c r="G27" s="108"/>
      <c r="H27" s="866"/>
      <c r="I27" s="867"/>
      <c r="J27" s="61"/>
      <c r="K27" s="116"/>
      <c r="L27" s="108"/>
      <c r="M27" s="63"/>
      <c r="N27" s="49"/>
      <c r="O27" s="61"/>
      <c r="P27" s="126"/>
      <c r="Q27" s="54"/>
      <c r="R27" s="63"/>
      <c r="S27" s="49"/>
      <c r="T27" s="187"/>
      <c r="U27" s="62"/>
      <c r="V27" s="54"/>
      <c r="W27" s="63"/>
      <c r="X27" s="49"/>
      <c r="Y27" s="338"/>
      <c r="Z27" s="65"/>
      <c r="AA27" s="66"/>
      <c r="AB27" s="66"/>
      <c r="AC27" s="40"/>
      <c r="AD27" s="42"/>
    </row>
    <row r="28" spans="1:30" s="136" customFormat="1" ht="12" x14ac:dyDescent="0.2">
      <c r="B28" s="314"/>
      <c r="C28" s="102"/>
      <c r="D28" s="160">
        <f>SUM(D16:D27)</f>
        <v>0</v>
      </c>
      <c r="E28" s="156"/>
      <c r="F28" s="816"/>
      <c r="G28" s="868"/>
      <c r="H28" s="862">
        <f>SUM(H13:H27)</f>
        <v>10987.41114</v>
      </c>
      <c r="I28" s="863">
        <f>SUM(I13:I27)</f>
        <v>4400.323345714286</v>
      </c>
      <c r="J28" s="45"/>
      <c r="K28" s="119"/>
      <c r="L28" s="111"/>
      <c r="M28" s="862">
        <f>SUM(M13:M27)</f>
        <v>7784.34</v>
      </c>
      <c r="N28" s="863">
        <f>SUM(N13:N27)</f>
        <v>3818.8842857142863</v>
      </c>
      <c r="O28" s="45"/>
      <c r="P28" s="127"/>
      <c r="Q28" s="28"/>
      <c r="R28" s="862">
        <f>SUM(R13:R27)</f>
        <v>7893.8910100000003</v>
      </c>
      <c r="S28" s="863">
        <f>SUM(S13:S27)</f>
        <v>3383.0961471428582</v>
      </c>
      <c r="T28" s="188"/>
      <c r="U28" s="41"/>
      <c r="V28" s="28"/>
      <c r="W28" s="862">
        <f>SUM(W13:W27)</f>
        <v>5434.8899999999994</v>
      </c>
      <c r="X28" s="863">
        <f>SUM(X13:X27)</f>
        <v>2329.2385714285715</v>
      </c>
      <c r="Y28" s="73"/>
      <c r="Z28" s="135">
        <f>SUM(Z13:Z27)</f>
        <v>32100.532149999995</v>
      </c>
      <c r="AA28" s="135">
        <f>SUM(AA13:AA27)</f>
        <v>13931.542350000003</v>
      </c>
      <c r="AB28" s="135">
        <f>SUM(AB13:AB27)</f>
        <v>46032.074500000002</v>
      </c>
      <c r="AC28" s="28"/>
      <c r="AD28" s="42"/>
    </row>
    <row r="29" spans="1:30" s="248" customFormat="1" ht="12.75" thickBot="1" x14ac:dyDescent="0.25">
      <c r="B29" s="560"/>
      <c r="C29" s="561"/>
      <c r="D29" s="562"/>
      <c r="E29" s="563"/>
      <c r="F29" s="869"/>
      <c r="G29" s="869"/>
      <c r="H29" s="1085">
        <f>H28+I28</f>
        <v>15387.734485714285</v>
      </c>
      <c r="I29" s="1086"/>
      <c r="J29" s="1087"/>
      <c r="K29" s="1087"/>
      <c r="L29" s="1087"/>
      <c r="M29" s="1085">
        <f>M28+N28</f>
        <v>11603.224285714286</v>
      </c>
      <c r="N29" s="1086"/>
      <c r="O29" s="565"/>
      <c r="P29" s="568"/>
      <c r="Q29" s="569"/>
      <c r="R29" s="1085">
        <f>R28+S28</f>
        <v>11276.987157142859</v>
      </c>
      <c r="S29" s="1086"/>
      <c r="T29" s="570"/>
      <c r="U29" s="564"/>
      <c r="V29" s="569"/>
      <c r="W29" s="1085">
        <f>W28+X28</f>
        <v>7764.1285714285714</v>
      </c>
      <c r="X29" s="1086"/>
      <c r="Y29" s="278"/>
      <c r="Z29" s="95"/>
      <c r="AA29" s="95"/>
      <c r="AB29" s="95"/>
      <c r="AC29" s="569"/>
    </row>
    <row r="30" spans="1:30" s="248" customFormat="1" ht="15.75" thickTop="1" thickBot="1" x14ac:dyDescent="0.25">
      <c r="B30" s="560"/>
      <c r="C30" s="561"/>
      <c r="D30" s="562"/>
      <c r="E30" s="563"/>
      <c r="F30" s="564"/>
      <c r="G30" s="567"/>
      <c r="H30" s="278"/>
      <c r="I30" s="278"/>
      <c r="J30" s="565"/>
      <c r="K30" s="566"/>
      <c r="L30" s="567"/>
      <c r="M30" s="278"/>
      <c r="N30" s="278"/>
      <c r="O30" s="565"/>
      <c r="P30" s="568"/>
      <c r="Q30" s="569"/>
      <c r="R30" s="278"/>
      <c r="S30" s="278"/>
      <c r="T30" s="570"/>
      <c r="U30" s="564"/>
      <c r="V30" s="569"/>
      <c r="W30" s="278"/>
      <c r="X30" s="278"/>
      <c r="Y30" s="278"/>
      <c r="Z30" s="1098" t="s">
        <v>552</v>
      </c>
      <c r="AA30" s="1099"/>
      <c r="AB30" s="1106">
        <f>AB28-AB24</f>
        <v>47563.474500000004</v>
      </c>
      <c r="AC30" s="1106"/>
    </row>
    <row r="31" spans="1:30" s="571" customFormat="1" ht="15.75" thickTop="1" x14ac:dyDescent="0.25">
      <c r="B31" s="572"/>
      <c r="C31" s="573"/>
      <c r="D31" s="574"/>
      <c r="F31" s="870"/>
      <c r="G31" s="870"/>
      <c r="H31" s="870"/>
      <c r="I31" s="870"/>
      <c r="J31" s="870"/>
      <c r="K31" s="870"/>
      <c r="L31" s="870"/>
      <c r="M31" s="870"/>
      <c r="N31" s="1100">
        <f>H28+M28+R28+W28</f>
        <v>32100.532149999999</v>
      </c>
      <c r="O31" s="1101"/>
      <c r="P31" s="870"/>
      <c r="Q31" s="870"/>
      <c r="R31" s="870"/>
      <c r="S31" s="870"/>
      <c r="T31" s="870"/>
      <c r="U31" s="870"/>
      <c r="V31" s="870"/>
      <c r="X31" s="870"/>
      <c r="Y31" s="575"/>
      <c r="Z31" s="1106">
        <f>Z28-Z24</f>
        <v>33631.932149999993</v>
      </c>
      <c r="AA31" s="1106"/>
      <c r="AD31" s="576"/>
    </row>
    <row r="32" spans="1:30" s="571" customFormat="1" ht="15" thickBot="1" x14ac:dyDescent="0.25">
      <c r="B32" s="572"/>
      <c r="C32" s="573"/>
      <c r="D32" s="574"/>
      <c r="F32" s="871"/>
      <c r="G32" s="871"/>
      <c r="H32" s="871"/>
      <c r="I32" s="871"/>
      <c r="J32" s="871"/>
      <c r="K32" s="871"/>
      <c r="L32" s="871"/>
      <c r="M32" s="871"/>
      <c r="N32" s="1102">
        <f>H29+M29+R29+W29</f>
        <v>46032.074500000002</v>
      </c>
      <c r="O32" s="1103"/>
      <c r="P32" s="871"/>
      <c r="Q32" s="871"/>
      <c r="R32" s="871"/>
      <c r="S32" s="871"/>
      <c r="T32" s="871"/>
      <c r="U32" s="871"/>
      <c r="V32" s="871"/>
      <c r="W32" s="871"/>
      <c r="X32" s="871"/>
      <c r="Y32" s="575"/>
      <c r="AD32" s="576"/>
    </row>
    <row r="33" spans="2:34" s="136" customFormat="1" ht="12.75" x14ac:dyDescent="0.2">
      <c r="B33" s="46"/>
      <c r="C33" s="103"/>
      <c r="D33" s="288"/>
      <c r="E33" s="277"/>
      <c r="F33" s="277"/>
      <c r="G33" s="784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180"/>
      <c r="Z33" s="140"/>
      <c r="AD33" s="157"/>
    </row>
    <row r="34" spans="2:34" s="136" customFormat="1" ht="13.5" thickBot="1" x14ac:dyDescent="0.25">
      <c r="B34" s="46"/>
      <c r="C34" s="103"/>
      <c r="D34" s="288"/>
      <c r="E34" s="277"/>
      <c r="F34" s="277"/>
      <c r="G34" s="784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180"/>
      <c r="AD34" s="157"/>
    </row>
    <row r="35" spans="2:34" s="133" customFormat="1" ht="19.5" thickBot="1" x14ac:dyDescent="0.35">
      <c r="B35" s="5"/>
      <c r="C35" s="476"/>
      <c r="D35" s="85"/>
      <c r="E35" s="1095" t="s">
        <v>287</v>
      </c>
      <c r="F35" s="1096"/>
      <c r="G35" s="1096"/>
      <c r="H35" s="1096"/>
      <c r="I35" s="1097"/>
      <c r="J35" s="6"/>
      <c r="K35" s="114"/>
      <c r="L35" s="104"/>
      <c r="M35" s="1"/>
      <c r="N35" s="1"/>
      <c r="O35" s="6"/>
      <c r="P35" s="122"/>
      <c r="T35" s="183"/>
      <c r="Y35" s="26"/>
    </row>
    <row r="36" spans="2:34" s="133" customFormat="1" ht="10.9" customHeight="1" thickBot="1" x14ac:dyDescent="0.25">
      <c r="B36" s="5"/>
      <c r="C36" s="96"/>
      <c r="D36" s="85"/>
      <c r="E36" s="149"/>
      <c r="F36" s="22"/>
      <c r="G36" s="104"/>
      <c r="H36" s="1"/>
      <c r="I36" s="1"/>
      <c r="J36" s="1"/>
      <c r="K36" s="114"/>
      <c r="L36" s="104"/>
      <c r="M36" s="1"/>
      <c r="N36" s="1"/>
      <c r="O36" s="1"/>
      <c r="P36" s="122"/>
      <c r="Q36" s="69"/>
      <c r="S36" s="1"/>
      <c r="T36" s="183"/>
      <c r="U36" s="11"/>
      <c r="V36" s="69"/>
      <c r="X36" s="1"/>
      <c r="Y36" s="26"/>
      <c r="AA36" s="1"/>
      <c r="AB36" s="1"/>
      <c r="AD36" s="75"/>
      <c r="AF36" s="76"/>
      <c r="AG36" s="1"/>
      <c r="AH36" s="1"/>
    </row>
    <row r="37" spans="2:34" s="133" customFormat="1" ht="10.9" customHeight="1" thickBot="1" x14ac:dyDescent="0.25">
      <c r="B37" s="5"/>
      <c r="C37" s="96"/>
      <c r="D37" s="304"/>
      <c r="E37" s="1092" t="s">
        <v>21</v>
      </c>
      <c r="F37" s="1093"/>
      <c r="G37" s="1093"/>
      <c r="H37" s="1093"/>
      <c r="I37" s="1094"/>
      <c r="J37" s="1092" t="s">
        <v>22</v>
      </c>
      <c r="K37" s="1093"/>
      <c r="L37" s="1093"/>
      <c r="M37" s="1093"/>
      <c r="N37" s="1094"/>
      <c r="O37" s="1092" t="s">
        <v>23</v>
      </c>
      <c r="P37" s="1093"/>
      <c r="Q37" s="1093"/>
      <c r="R37" s="1093"/>
      <c r="S37" s="1094"/>
      <c r="T37" s="1092" t="s">
        <v>24</v>
      </c>
      <c r="U37" s="1093"/>
      <c r="V37" s="1093"/>
      <c r="W37" s="1093"/>
      <c r="X37" s="1094"/>
      <c r="Y37" s="26"/>
      <c r="Z37" s="7" t="s">
        <v>5</v>
      </c>
      <c r="AA37" s="29" t="s">
        <v>19</v>
      </c>
      <c r="AB37" s="9" t="s">
        <v>1</v>
      </c>
      <c r="AC37" s="1104" t="s">
        <v>3</v>
      </c>
      <c r="AD37" s="74"/>
      <c r="AF37" s="76"/>
      <c r="AG37" s="1"/>
      <c r="AH37" s="1"/>
    </row>
    <row r="38" spans="2:34" s="133" customFormat="1" ht="12" customHeight="1" thickBot="1" x14ac:dyDescent="0.25">
      <c r="B38" s="536" t="s">
        <v>2</v>
      </c>
      <c r="C38" s="130" t="s">
        <v>3</v>
      </c>
      <c r="D38" s="304"/>
      <c r="E38" s="150" t="s">
        <v>13</v>
      </c>
      <c r="F38" s="20" t="s">
        <v>14</v>
      </c>
      <c r="G38" s="105" t="s">
        <v>15</v>
      </c>
      <c r="H38" s="16"/>
      <c r="I38" s="17"/>
      <c r="J38" s="30" t="s">
        <v>13</v>
      </c>
      <c r="K38" s="112" t="s">
        <v>14</v>
      </c>
      <c r="L38" s="105" t="s">
        <v>15</v>
      </c>
      <c r="M38" s="16"/>
      <c r="N38" s="17"/>
      <c r="O38" s="30" t="s">
        <v>13</v>
      </c>
      <c r="P38" s="123" t="s">
        <v>14</v>
      </c>
      <c r="Q38" s="14" t="s">
        <v>15</v>
      </c>
      <c r="R38" s="16"/>
      <c r="S38" s="17"/>
      <c r="T38" s="184" t="s">
        <v>13</v>
      </c>
      <c r="U38" s="70" t="s">
        <v>14</v>
      </c>
      <c r="V38" s="14" t="s">
        <v>15</v>
      </c>
      <c r="W38" s="16"/>
      <c r="X38" s="17"/>
      <c r="Y38" s="26"/>
      <c r="Z38" s="8" t="s">
        <v>6</v>
      </c>
      <c r="AA38" s="10" t="s">
        <v>6</v>
      </c>
      <c r="AB38" s="10" t="s">
        <v>6</v>
      </c>
      <c r="AC38" s="1105"/>
      <c r="AD38" s="74"/>
      <c r="AF38" s="76"/>
      <c r="AG38" s="1"/>
      <c r="AH38" s="1"/>
    </row>
    <row r="39" spans="2:34" s="133" customFormat="1" ht="12.75" thickTop="1" thickBot="1" x14ac:dyDescent="0.25">
      <c r="B39" s="537"/>
      <c r="C39" s="131"/>
      <c r="D39" s="304"/>
      <c r="E39" s="151"/>
      <c r="F39" s="21" t="s">
        <v>16</v>
      </c>
      <c r="G39" s="106" t="s">
        <v>17</v>
      </c>
      <c r="H39" s="18" t="s">
        <v>18</v>
      </c>
      <c r="I39" s="19" t="s">
        <v>12</v>
      </c>
      <c r="J39" s="31"/>
      <c r="K39" s="113" t="s">
        <v>16</v>
      </c>
      <c r="L39" s="106" t="s">
        <v>17</v>
      </c>
      <c r="M39" s="18" t="s">
        <v>18</v>
      </c>
      <c r="N39" s="19" t="s">
        <v>12</v>
      </c>
      <c r="O39" s="31"/>
      <c r="P39" s="124" t="s">
        <v>16</v>
      </c>
      <c r="Q39" s="15" t="s">
        <v>17</v>
      </c>
      <c r="R39" s="18" t="s">
        <v>18</v>
      </c>
      <c r="S39" s="19" t="s">
        <v>12</v>
      </c>
      <c r="T39" s="185"/>
      <c r="U39" s="71" t="s">
        <v>16</v>
      </c>
      <c r="V39" s="15" t="s">
        <v>17</v>
      </c>
      <c r="W39" s="18" t="s">
        <v>18</v>
      </c>
      <c r="X39" s="19" t="s">
        <v>12</v>
      </c>
      <c r="Y39" s="26"/>
      <c r="Z39" s="135">
        <f>Z51</f>
        <v>11584.59367</v>
      </c>
      <c r="AA39" s="135">
        <f t="shared" ref="AA39:AB39" si="16">AA51</f>
        <v>5280.8271428571443</v>
      </c>
      <c r="AB39" s="135">
        <f t="shared" si="16"/>
        <v>16865.420812857144</v>
      </c>
      <c r="AC39" s="25"/>
      <c r="AD39" s="74"/>
      <c r="AF39" s="76"/>
      <c r="AG39" s="1"/>
      <c r="AH39" s="1"/>
    </row>
    <row r="40" spans="2:34" s="133" customFormat="1" ht="12.75" thickTop="1" thickBot="1" x14ac:dyDescent="0.25">
      <c r="B40" s="12"/>
      <c r="C40" s="98"/>
      <c r="D40" s="305"/>
      <c r="E40" s="149"/>
      <c r="F40" s="11"/>
      <c r="G40" s="104"/>
      <c r="H40" s="1"/>
      <c r="I40" s="1"/>
      <c r="J40" s="6"/>
      <c r="K40" s="114"/>
      <c r="L40" s="104"/>
      <c r="M40" s="1"/>
      <c r="N40" s="1"/>
      <c r="O40" s="6"/>
      <c r="P40" s="122"/>
      <c r="R40" s="1"/>
      <c r="S40" s="1"/>
      <c r="T40" s="183"/>
      <c r="U40" s="69"/>
      <c r="W40" s="1"/>
      <c r="X40" s="1"/>
      <c r="Y40" s="26"/>
      <c r="Z40" s="3"/>
      <c r="AA40" s="3"/>
      <c r="AB40" s="3"/>
      <c r="AC40" s="24"/>
      <c r="AD40" s="74"/>
      <c r="AF40" s="76"/>
      <c r="AG40" s="1"/>
      <c r="AH40" s="1"/>
    </row>
    <row r="41" spans="2:34" s="136" customFormat="1" x14ac:dyDescent="0.2">
      <c r="B41" s="173"/>
      <c r="C41" s="310"/>
      <c r="D41" s="160"/>
      <c r="E41" s="154"/>
      <c r="F41" s="77"/>
      <c r="G41" s="109"/>
      <c r="H41" s="79"/>
      <c r="I41" s="48"/>
      <c r="J41" s="80"/>
      <c r="K41" s="117"/>
      <c r="L41" s="109"/>
      <c r="M41" s="79"/>
      <c r="N41" s="48"/>
      <c r="O41" s="81"/>
      <c r="P41" s="128"/>
      <c r="Q41" s="78"/>
      <c r="R41" s="79"/>
      <c r="S41" s="48"/>
      <c r="T41" s="189"/>
      <c r="U41" s="82"/>
      <c r="V41" s="78"/>
      <c r="W41" s="79"/>
      <c r="X41" s="48"/>
      <c r="Y41" s="180"/>
      <c r="Z41" s="50"/>
      <c r="AA41" s="51"/>
      <c r="AB41" s="51"/>
      <c r="AC41" s="52"/>
      <c r="AD41" s="144"/>
      <c r="AF41" s="145"/>
      <c r="AG41" s="140"/>
      <c r="AH41" s="140"/>
    </row>
    <row r="42" spans="2:34" s="288" customFormat="1" ht="12.75" x14ac:dyDescent="0.2">
      <c r="B42" s="547">
        <v>1</v>
      </c>
      <c r="C42" s="329" t="s">
        <v>0</v>
      </c>
      <c r="E42" s="543">
        <v>44104</v>
      </c>
      <c r="F42" s="544">
        <v>2000</v>
      </c>
      <c r="G42" s="785">
        <v>0.25</v>
      </c>
      <c r="H42" s="545">
        <f t="shared" ref="H42:H45" si="17">F42*G42</f>
        <v>500</v>
      </c>
      <c r="I42" s="542">
        <f>H42/0.7-H42</f>
        <v>214.28571428571433</v>
      </c>
      <c r="J42" s="804">
        <v>44181</v>
      </c>
      <c r="K42" s="805">
        <v>2000</v>
      </c>
      <c r="L42" s="806">
        <v>0.35</v>
      </c>
      <c r="M42" s="545">
        <f>K42*L42</f>
        <v>700</v>
      </c>
      <c r="N42" s="546">
        <f>M42/0.7-M42</f>
        <v>300.00000000000011</v>
      </c>
      <c r="O42" s="197"/>
      <c r="P42" s="198"/>
      <c r="Q42" s="199"/>
      <c r="R42" s="227"/>
      <c r="S42" s="228"/>
      <c r="T42" s="559"/>
      <c r="U42" s="296"/>
      <c r="V42" s="289"/>
      <c r="W42" s="227"/>
      <c r="X42" s="228"/>
      <c r="Y42" s="337"/>
      <c r="Z42" s="297">
        <f t="shared" ref="Z42" si="18">H42+M42+R42+W42</f>
        <v>1200</v>
      </c>
      <c r="AA42" s="222">
        <f t="shared" ref="AA42" si="19">I42+N42+S42+X42</f>
        <v>514.28571428571445</v>
      </c>
      <c r="AB42" s="222">
        <f t="shared" ref="AB42" si="20">SUM(Z42:AA42)</f>
        <v>1714.2857142857144</v>
      </c>
      <c r="AC42" s="301" t="s">
        <v>0</v>
      </c>
      <c r="AD42" s="302"/>
      <c r="AF42" s="303"/>
      <c r="AG42" s="143"/>
      <c r="AH42" s="143"/>
    </row>
    <row r="43" spans="2:34" s="288" customFormat="1" ht="12.75" x14ac:dyDescent="0.2">
      <c r="B43" s="547">
        <f t="shared" ref="B43:B49" si="21">1+B42</f>
        <v>2</v>
      </c>
      <c r="C43" s="329" t="s">
        <v>30</v>
      </c>
      <c r="E43" s="543">
        <v>44104</v>
      </c>
      <c r="F43" s="544">
        <v>3000</v>
      </c>
      <c r="G43" s="785">
        <v>0.98</v>
      </c>
      <c r="H43" s="545">
        <f t="shared" si="17"/>
        <v>2940</v>
      </c>
      <c r="I43" s="542">
        <f>H43/0.7-H43</f>
        <v>1260</v>
      </c>
      <c r="J43" s="804"/>
      <c r="K43" s="805"/>
      <c r="L43" s="806"/>
      <c r="M43" s="545"/>
      <c r="N43" s="546"/>
      <c r="O43" s="825">
        <v>44285</v>
      </c>
      <c r="P43" s="823">
        <v>2000</v>
      </c>
      <c r="Q43" s="827">
        <v>1.5</v>
      </c>
      <c r="R43" s="821">
        <f>P43*Q43</f>
        <v>3000</v>
      </c>
      <c r="S43" s="819">
        <f>R43/0.7-R43</f>
        <v>1285.7142857142862</v>
      </c>
      <c r="T43" s="559"/>
      <c r="U43" s="296"/>
      <c r="V43" s="289"/>
      <c r="W43" s="227"/>
      <c r="X43" s="228"/>
      <c r="Y43" s="337"/>
      <c r="Z43" s="297">
        <f t="shared" ref="Z43:Z49" si="22">H43+M43+R43+W43</f>
        <v>5940</v>
      </c>
      <c r="AA43" s="222">
        <f t="shared" ref="AA43:AA49" si="23">I43+N43+S43+X43</f>
        <v>2545.7142857142862</v>
      </c>
      <c r="AB43" s="222">
        <f t="shared" ref="AB43:AB49" si="24">SUM(Z43:AA43)</f>
        <v>8485.7142857142862</v>
      </c>
      <c r="AC43" s="301" t="s">
        <v>30</v>
      </c>
      <c r="AD43" s="302"/>
      <c r="AF43" s="303"/>
      <c r="AG43" s="143"/>
      <c r="AH43" s="143"/>
    </row>
    <row r="44" spans="2:34" s="288" customFormat="1" ht="12.75" x14ac:dyDescent="0.2">
      <c r="B44" s="547">
        <f t="shared" si="21"/>
        <v>3</v>
      </c>
      <c r="C44" s="329" t="s">
        <v>7</v>
      </c>
      <c r="E44" s="543">
        <v>44015</v>
      </c>
      <c r="F44" s="544">
        <v>2000</v>
      </c>
      <c r="G44" s="785">
        <v>0.3</v>
      </c>
      <c r="H44" s="545">
        <f t="shared" ref="H44" si="25">F44*G44</f>
        <v>600</v>
      </c>
      <c r="I44" s="542">
        <f>H44/0.7-H44</f>
        <v>257.14285714285722</v>
      </c>
      <c r="J44" s="804">
        <v>44184</v>
      </c>
      <c r="K44" s="805">
        <v>3000</v>
      </c>
      <c r="L44" s="806">
        <v>0.3</v>
      </c>
      <c r="M44" s="545">
        <f t="shared" ref="M44:M48" si="26">K44*L44</f>
        <v>900</v>
      </c>
      <c r="N44" s="546">
        <f>M44/0.7-M44</f>
        <v>385.71428571428578</v>
      </c>
      <c r="O44" s="197"/>
      <c r="P44" s="198"/>
      <c r="Q44" s="199"/>
      <c r="R44" s="227"/>
      <c r="S44" s="228"/>
      <c r="T44" s="559"/>
      <c r="U44" s="296"/>
      <c r="V44" s="289"/>
      <c r="W44" s="227"/>
      <c r="X44" s="228"/>
      <c r="Y44" s="337"/>
      <c r="Z44" s="297">
        <f t="shared" si="22"/>
        <v>1500</v>
      </c>
      <c r="AA44" s="222">
        <f t="shared" si="23"/>
        <v>642.857142857143</v>
      </c>
      <c r="AB44" s="222">
        <f t="shared" si="24"/>
        <v>2142.8571428571431</v>
      </c>
      <c r="AC44" s="301" t="s">
        <v>7</v>
      </c>
      <c r="AD44" s="302"/>
      <c r="AF44" s="303"/>
      <c r="AG44" s="143"/>
      <c r="AH44" s="143"/>
    </row>
    <row r="45" spans="2:34" s="288" customFormat="1" ht="12.75" x14ac:dyDescent="0.2">
      <c r="B45" s="547">
        <f t="shared" si="21"/>
        <v>4</v>
      </c>
      <c r="C45" s="329" t="s">
        <v>8</v>
      </c>
      <c r="E45" s="543">
        <v>44099</v>
      </c>
      <c r="F45" s="544">
        <v>1000</v>
      </c>
      <c r="G45" s="785">
        <v>0.04</v>
      </c>
      <c r="H45" s="545">
        <f t="shared" si="17"/>
        <v>40</v>
      </c>
      <c r="I45" s="546">
        <v>1.71</v>
      </c>
      <c r="J45" s="797"/>
      <c r="K45" s="798"/>
      <c r="L45" s="799"/>
      <c r="M45" s="795"/>
      <c r="N45" s="796"/>
      <c r="O45" s="197"/>
      <c r="P45" s="198"/>
      <c r="Q45" s="199"/>
      <c r="R45" s="227"/>
      <c r="S45" s="228"/>
      <c r="T45" s="559"/>
      <c r="U45" s="296"/>
      <c r="V45" s="289"/>
      <c r="W45" s="227"/>
      <c r="X45" s="228"/>
      <c r="Y45" s="337"/>
      <c r="Z45" s="297">
        <f t="shared" si="22"/>
        <v>40</v>
      </c>
      <c r="AA45" s="222">
        <f t="shared" si="23"/>
        <v>1.71</v>
      </c>
      <c r="AB45" s="222">
        <f t="shared" si="24"/>
        <v>41.71</v>
      </c>
      <c r="AC45" s="301" t="s">
        <v>8</v>
      </c>
      <c r="AD45" s="302"/>
      <c r="AF45" s="303"/>
      <c r="AG45" s="143"/>
      <c r="AH45" s="143"/>
    </row>
    <row r="46" spans="2:34" s="288" customFormat="1" ht="12.75" x14ac:dyDescent="0.2">
      <c r="B46" s="547">
        <f t="shared" si="21"/>
        <v>5</v>
      </c>
      <c r="C46" s="329" t="s">
        <v>11</v>
      </c>
      <c r="E46" s="792"/>
      <c r="F46" s="793"/>
      <c r="G46" s="794"/>
      <c r="H46" s="795"/>
      <c r="I46" s="796"/>
      <c r="J46" s="797">
        <v>44183</v>
      </c>
      <c r="K46" s="798">
        <v>2500</v>
      </c>
      <c r="L46" s="799">
        <v>0.31</v>
      </c>
      <c r="M46" s="1049">
        <f>K46*L46</f>
        <v>775</v>
      </c>
      <c r="N46" s="796">
        <f>M46/0.7-M46</f>
        <v>332.14285714285711</v>
      </c>
      <c r="O46" s="197"/>
      <c r="P46" s="198"/>
      <c r="Q46" s="199"/>
      <c r="R46" s="227"/>
      <c r="S46" s="228"/>
      <c r="T46" s="790">
        <v>44372</v>
      </c>
      <c r="U46" s="1048">
        <v>3000</v>
      </c>
      <c r="V46" s="788">
        <v>0.57999999999999996</v>
      </c>
      <c r="W46" s="821">
        <v>1741.63</v>
      </c>
      <c r="X46" s="819">
        <v>745.71</v>
      </c>
      <c r="Y46" s="337"/>
      <c r="Z46" s="297">
        <f t="shared" si="22"/>
        <v>2516.63</v>
      </c>
      <c r="AA46" s="222">
        <f t="shared" si="23"/>
        <v>1077.8528571428571</v>
      </c>
      <c r="AB46" s="222">
        <f t="shared" si="24"/>
        <v>3594.482857142857</v>
      </c>
      <c r="AC46" s="301" t="s">
        <v>11</v>
      </c>
      <c r="AD46" s="302"/>
      <c r="AF46" s="303"/>
      <c r="AG46" s="143"/>
      <c r="AH46" s="143"/>
    </row>
    <row r="47" spans="2:34" s="288" customFormat="1" ht="12.75" x14ac:dyDescent="0.2">
      <c r="B47" s="547">
        <f t="shared" si="21"/>
        <v>6</v>
      </c>
      <c r="C47" s="329" t="s">
        <v>551</v>
      </c>
      <c r="E47" s="792"/>
      <c r="F47" s="793"/>
      <c r="G47" s="794"/>
      <c r="H47" s="795"/>
      <c r="I47" s="796"/>
      <c r="J47" s="797"/>
      <c r="K47" s="798"/>
      <c r="L47" s="799"/>
      <c r="M47" s="1049">
        <v>-775</v>
      </c>
      <c r="N47" s="796"/>
      <c r="O47" s="197"/>
      <c r="P47" s="198"/>
      <c r="Q47" s="199"/>
      <c r="R47" s="227"/>
      <c r="S47" s="228"/>
      <c r="T47" s="291"/>
      <c r="U47" s="854"/>
      <c r="V47" s="289"/>
      <c r="W47" s="227"/>
      <c r="X47" s="228"/>
      <c r="Y47" s="337"/>
      <c r="Z47" s="297">
        <f t="shared" si="22"/>
        <v>-775</v>
      </c>
      <c r="AA47" s="222">
        <f t="shared" si="23"/>
        <v>0</v>
      </c>
      <c r="AB47" s="222">
        <f t="shared" si="24"/>
        <v>-775</v>
      </c>
      <c r="AC47" s="301" t="s">
        <v>551</v>
      </c>
      <c r="AD47" s="302"/>
      <c r="AF47" s="303"/>
      <c r="AG47" s="143"/>
      <c r="AH47" s="143"/>
    </row>
    <row r="48" spans="2:34" s="288" customFormat="1" ht="12.75" x14ac:dyDescent="0.2">
      <c r="B48" s="547">
        <f t="shared" si="21"/>
        <v>7</v>
      </c>
      <c r="C48" s="329" t="s">
        <v>37</v>
      </c>
      <c r="E48" s="792"/>
      <c r="F48" s="793"/>
      <c r="G48" s="794"/>
      <c r="H48" s="795"/>
      <c r="I48" s="796"/>
      <c r="J48" s="804">
        <v>44110</v>
      </c>
      <c r="K48" s="805">
        <v>1000</v>
      </c>
      <c r="L48" s="806">
        <v>0.48</v>
      </c>
      <c r="M48" s="545">
        <f t="shared" si="26"/>
        <v>480</v>
      </c>
      <c r="N48" s="546">
        <f>M48/0.7-M48</f>
        <v>205.71428571428578</v>
      </c>
      <c r="O48" s="197"/>
      <c r="P48" s="198"/>
      <c r="Q48" s="199"/>
      <c r="R48" s="227"/>
      <c r="S48" s="228"/>
      <c r="T48" s="826">
        <v>44300</v>
      </c>
      <c r="U48" s="820">
        <v>1000</v>
      </c>
      <c r="V48" s="818">
        <v>0.53</v>
      </c>
      <c r="W48" s="821">
        <f>U48*V48</f>
        <v>530</v>
      </c>
      <c r="X48" s="819">
        <f>W48/0.7-W48</f>
        <v>227.14285714285722</v>
      </c>
      <c r="Y48" s="337"/>
      <c r="Z48" s="297">
        <f t="shared" si="22"/>
        <v>1010</v>
      </c>
      <c r="AA48" s="222">
        <f t="shared" si="23"/>
        <v>432.857142857143</v>
      </c>
      <c r="AB48" s="222">
        <f t="shared" si="24"/>
        <v>1442.8571428571431</v>
      </c>
      <c r="AC48" s="301" t="s">
        <v>37</v>
      </c>
      <c r="AD48" s="302"/>
      <c r="AF48" s="303"/>
      <c r="AG48" s="143"/>
      <c r="AH48" s="143"/>
    </row>
    <row r="49" spans="2:34" s="288" customFormat="1" ht="12.75" x14ac:dyDescent="0.2">
      <c r="B49" s="547">
        <f t="shared" si="21"/>
        <v>8</v>
      </c>
      <c r="C49" s="807" t="s">
        <v>33</v>
      </c>
      <c r="E49" s="808"/>
      <c r="F49" s="809"/>
      <c r="G49" s="810"/>
      <c r="H49" s="811"/>
      <c r="I49" s="812"/>
      <c r="J49" s="831"/>
      <c r="K49" s="832"/>
      <c r="L49" s="833"/>
      <c r="M49" s="811"/>
      <c r="N49" s="812"/>
      <c r="O49" s="828">
        <v>44279</v>
      </c>
      <c r="P49" s="829">
        <v>1000</v>
      </c>
      <c r="Q49" s="830">
        <v>0.15296367</v>
      </c>
      <c r="R49" s="821">
        <f>P49*Q49</f>
        <v>152.96367000000001</v>
      </c>
      <c r="S49" s="819">
        <v>65.55</v>
      </c>
      <c r="T49" s="815"/>
      <c r="U49" s="816"/>
      <c r="V49" s="160"/>
      <c r="W49" s="813"/>
      <c r="X49" s="814"/>
      <c r="Y49" s="337"/>
      <c r="Z49" s="297">
        <f t="shared" si="22"/>
        <v>152.96367000000001</v>
      </c>
      <c r="AA49" s="222">
        <f t="shared" si="23"/>
        <v>65.55</v>
      </c>
      <c r="AB49" s="222">
        <f t="shared" si="24"/>
        <v>218.51366999999999</v>
      </c>
      <c r="AC49" s="817" t="s">
        <v>33</v>
      </c>
      <c r="AD49" s="302"/>
      <c r="AF49" s="303"/>
      <c r="AG49" s="143"/>
      <c r="AH49" s="143"/>
    </row>
    <row r="50" spans="2:34" s="136" customFormat="1" ht="12" thickBot="1" x14ac:dyDescent="0.25">
      <c r="B50" s="177"/>
      <c r="C50" s="101"/>
      <c r="D50" s="160"/>
      <c r="E50" s="155"/>
      <c r="F50" s="34"/>
      <c r="G50" s="110"/>
      <c r="H50" s="860"/>
      <c r="I50" s="861"/>
      <c r="J50" s="44"/>
      <c r="K50" s="118"/>
      <c r="L50" s="110"/>
      <c r="M50" s="35"/>
      <c r="N50" s="36"/>
      <c r="O50" s="44"/>
      <c r="P50" s="129"/>
      <c r="Q50" s="37"/>
      <c r="R50" s="35"/>
      <c r="S50" s="36"/>
      <c r="T50" s="155"/>
      <c r="U50" s="72"/>
      <c r="V50" s="37"/>
      <c r="W50" s="35"/>
      <c r="X50" s="36"/>
      <c r="Y50" s="180"/>
      <c r="Z50" s="38"/>
      <c r="AA50" s="39"/>
      <c r="AB50" s="39"/>
      <c r="AC50" s="40"/>
      <c r="AD50" s="144"/>
      <c r="AF50" s="145"/>
      <c r="AG50" s="140"/>
      <c r="AH50" s="140"/>
    </row>
    <row r="51" spans="2:34" s="136" customFormat="1" ht="12" x14ac:dyDescent="0.2">
      <c r="B51" s="314"/>
      <c r="C51" s="102"/>
      <c r="D51" s="160"/>
      <c r="E51" s="156"/>
      <c r="F51" s="41"/>
      <c r="G51" s="111"/>
      <c r="H51" s="862">
        <f>SUM(H42:H50)</f>
        <v>4080</v>
      </c>
      <c r="I51" s="863">
        <f>SUM(I42:I50)</f>
        <v>1733.1385714285716</v>
      </c>
      <c r="J51" s="45"/>
      <c r="K51" s="119"/>
      <c r="L51" s="111"/>
      <c r="M51" s="862">
        <f>SUM(M42:M50)</f>
        <v>2080</v>
      </c>
      <c r="N51" s="863">
        <f>SUM(N42:N50)</f>
        <v>1223.5714285714289</v>
      </c>
      <c r="O51" s="45"/>
      <c r="P51" s="127"/>
      <c r="Q51" s="28"/>
      <c r="R51" s="862">
        <f>SUM(R42:R50)</f>
        <v>3152.9636700000001</v>
      </c>
      <c r="S51" s="863">
        <f>SUM(S42:S50)</f>
        <v>1351.2642857142862</v>
      </c>
      <c r="T51" s="188"/>
      <c r="U51" s="41"/>
      <c r="V51" s="28"/>
      <c r="W51" s="862">
        <f>SUM(W42:W50)</f>
        <v>2271.63</v>
      </c>
      <c r="X51" s="863">
        <f>SUM(X42:X50)</f>
        <v>972.85285714285726</v>
      </c>
      <c r="Y51" s="73"/>
      <c r="Z51" s="135">
        <f>SUM(Z42:Z50)</f>
        <v>11584.59367</v>
      </c>
      <c r="AA51" s="135">
        <f>SUM(AA42:AA50)</f>
        <v>5280.8271428571443</v>
      </c>
      <c r="AB51" s="135">
        <f>SUM(Z51:AA51)</f>
        <v>16865.420812857144</v>
      </c>
      <c r="AC51" s="28"/>
      <c r="AD51" s="42"/>
    </row>
    <row r="52" spans="2:34" s="248" customFormat="1" ht="12.75" thickBot="1" x14ac:dyDescent="0.25">
      <c r="B52" s="560"/>
      <c r="C52" s="561"/>
      <c r="D52" s="562"/>
      <c r="E52" s="563"/>
      <c r="F52" s="859"/>
      <c r="G52" s="859"/>
      <c r="H52" s="1085">
        <f>H51+I51</f>
        <v>5813.1385714285716</v>
      </c>
      <c r="I52" s="1086"/>
      <c r="J52" s="1087"/>
      <c r="K52" s="1087"/>
      <c r="L52" s="1087"/>
      <c r="M52" s="1085">
        <f>M51+N51</f>
        <v>3303.5714285714289</v>
      </c>
      <c r="N52" s="1086"/>
      <c r="O52" s="565"/>
      <c r="P52" s="568"/>
      <c r="Q52" s="569"/>
      <c r="R52" s="1085">
        <f>R51+S51</f>
        <v>4504.2279557142865</v>
      </c>
      <c r="S52" s="1086"/>
      <c r="T52" s="570"/>
      <c r="U52" s="564"/>
      <c r="V52" s="569"/>
      <c r="W52" s="1085">
        <f>W51+X51</f>
        <v>3244.4828571428575</v>
      </c>
      <c r="X52" s="1086"/>
      <c r="Y52" s="278"/>
      <c r="Z52" s="95"/>
      <c r="AA52" s="95"/>
      <c r="AB52" s="95"/>
      <c r="AC52" s="569"/>
    </row>
    <row r="53" spans="2:34" s="248" customFormat="1" ht="14.25" thickTop="1" thickBot="1" x14ac:dyDescent="0.25">
      <c r="B53" s="560"/>
      <c r="C53" s="561"/>
      <c r="D53" s="562"/>
      <c r="E53" s="563"/>
      <c r="F53" s="564"/>
      <c r="G53" s="567"/>
      <c r="H53" s="278"/>
      <c r="I53" s="278"/>
      <c r="J53" s="565"/>
      <c r="K53" s="566"/>
      <c r="L53" s="567"/>
      <c r="M53" s="278"/>
      <c r="N53" s="278"/>
      <c r="O53" s="565"/>
      <c r="P53" s="568"/>
      <c r="Q53" s="569"/>
      <c r="R53" s="278"/>
      <c r="S53" s="278"/>
      <c r="T53" s="570"/>
      <c r="U53" s="564"/>
      <c r="V53" s="569"/>
      <c r="W53" s="278"/>
      <c r="X53" s="278"/>
      <c r="Y53" s="278"/>
      <c r="Z53" s="1098" t="s">
        <v>552</v>
      </c>
      <c r="AA53" s="1099"/>
      <c r="AB53" s="1029">
        <f>AB51-AB47</f>
        <v>17640.420812857144</v>
      </c>
      <c r="AC53" s="569"/>
      <c r="AE53" s="248" t="s">
        <v>599</v>
      </c>
    </row>
    <row r="54" spans="2:34" s="136" customFormat="1" ht="12" thickTop="1" x14ac:dyDescent="0.2">
      <c r="B54" s="46"/>
      <c r="C54" s="103"/>
      <c r="D54" s="288"/>
      <c r="F54" s="864"/>
      <c r="G54" s="864"/>
      <c r="H54" s="864"/>
      <c r="I54" s="864"/>
      <c r="J54" s="864"/>
      <c r="K54" s="864"/>
      <c r="L54" s="864"/>
      <c r="M54" s="864"/>
      <c r="N54" s="1110">
        <f>H51+M51+R51+W51</f>
        <v>11584.593670000002</v>
      </c>
      <c r="O54" s="1111"/>
      <c r="P54" s="864"/>
      <c r="Q54" s="864"/>
      <c r="R54" s="864"/>
      <c r="S54" s="864"/>
      <c r="T54" s="864"/>
      <c r="U54" s="864"/>
      <c r="V54" s="864"/>
      <c r="W54" s="864"/>
      <c r="X54" s="864"/>
      <c r="Y54" s="180"/>
      <c r="Z54" s="1107">
        <f>Z51-Z47</f>
        <v>12359.59367</v>
      </c>
      <c r="AA54" s="1107"/>
      <c r="AB54" s="43"/>
      <c r="AD54" s="144"/>
      <c r="AF54" s="145"/>
      <c r="AG54" s="140"/>
      <c r="AH54" s="140"/>
    </row>
    <row r="55" spans="2:34" s="136" customFormat="1" ht="12" thickBot="1" x14ac:dyDescent="0.25">
      <c r="B55" s="46"/>
      <c r="C55" s="103"/>
      <c r="D55" s="288"/>
      <c r="F55" s="865"/>
      <c r="G55" s="865"/>
      <c r="H55" s="865"/>
      <c r="I55" s="865"/>
      <c r="J55" s="865"/>
      <c r="K55" s="865"/>
      <c r="L55" s="865"/>
      <c r="M55" s="865"/>
      <c r="N55" s="1112">
        <f>H52+M52+R52+W52</f>
        <v>16865.420812857144</v>
      </c>
      <c r="O55" s="1113"/>
      <c r="P55" s="865"/>
      <c r="Q55" s="865"/>
      <c r="R55" s="865"/>
      <c r="S55" s="865"/>
      <c r="T55" s="865"/>
      <c r="U55" s="1030"/>
      <c r="V55" s="1030"/>
      <c r="W55" s="1030"/>
      <c r="X55" s="865"/>
      <c r="Y55" s="180"/>
      <c r="AD55" s="144"/>
      <c r="AF55" s="145"/>
      <c r="AG55" s="140"/>
      <c r="AH55" s="140"/>
    </row>
    <row r="56" spans="2:34" s="136" customFormat="1" ht="12" thickBot="1" x14ac:dyDescent="0.25">
      <c r="B56" s="46"/>
      <c r="C56" s="103"/>
      <c r="D56" s="288"/>
      <c r="E56" s="73"/>
      <c r="F56" s="73"/>
      <c r="G56" s="786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1031"/>
      <c r="V56" s="1031"/>
      <c r="W56" s="1031"/>
      <c r="X56" s="73"/>
      <c r="Y56" s="180"/>
      <c r="Z56" s="43"/>
      <c r="AA56" s="43"/>
      <c r="AB56" s="43"/>
      <c r="AD56" s="144"/>
      <c r="AF56" s="145"/>
      <c r="AG56" s="140"/>
      <c r="AH56" s="140"/>
    </row>
    <row r="57" spans="2:34" s="133" customFormat="1" ht="12.75" x14ac:dyDescent="0.2">
      <c r="B57" s="5"/>
      <c r="C57" s="96"/>
      <c r="D57" s="85"/>
      <c r="E57" s="149"/>
      <c r="G57" s="104"/>
      <c r="H57" s="1084"/>
      <c r="I57" s="1084"/>
      <c r="K57" s="114"/>
      <c r="L57" s="104"/>
      <c r="N57" s="1110">
        <f>N31+N54</f>
        <v>43685.125820000001</v>
      </c>
      <c r="O57" s="1111"/>
      <c r="P57" s="122"/>
      <c r="T57" s="183"/>
      <c r="U57" s="1109"/>
      <c r="V57" s="1109"/>
      <c r="W57" s="1032"/>
    </row>
    <row r="58" spans="2:34" s="133" customFormat="1" ht="15" thickBot="1" x14ac:dyDescent="0.25">
      <c r="B58" s="5"/>
      <c r="C58" s="96"/>
      <c r="D58" s="85"/>
      <c r="E58" s="149"/>
      <c r="F58" s="858"/>
      <c r="G58" s="858"/>
      <c r="H58" s="1"/>
      <c r="I58" s="1"/>
      <c r="K58" s="114"/>
      <c r="L58" s="104"/>
      <c r="N58" s="1112">
        <f>N32+N55</f>
        <v>62897.495312857151</v>
      </c>
      <c r="O58" s="1113"/>
      <c r="P58" s="122"/>
      <c r="T58" s="183"/>
      <c r="U58" s="305"/>
      <c r="V58" s="305"/>
      <c r="W58" s="305"/>
      <c r="Y58" s="26"/>
    </row>
    <row r="59" spans="2:34" ht="12.75" x14ac:dyDescent="0.2">
      <c r="F59" s="1078"/>
      <c r="G59" s="1079"/>
      <c r="U59" s="1108"/>
      <c r="V59" s="1108"/>
      <c r="W59" s="1033"/>
    </row>
    <row r="60" spans="2:34" ht="15" x14ac:dyDescent="0.2">
      <c r="P60" s="553"/>
      <c r="Q60" s="553"/>
      <c r="U60" s="305"/>
      <c r="V60" s="305"/>
      <c r="W60" s="305"/>
    </row>
    <row r="61" spans="2:34" ht="12.75" x14ac:dyDescent="0.2">
      <c r="P61" s="276"/>
      <c r="Q61" s="276"/>
      <c r="U61" s="1109"/>
      <c r="V61" s="1109"/>
      <c r="W61" s="1032"/>
    </row>
    <row r="62" spans="2:34" ht="12.75" x14ac:dyDescent="0.2">
      <c r="P62" s="276"/>
      <c r="Q62" s="276"/>
      <c r="Z62" s="133"/>
      <c r="AA62" s="133"/>
      <c r="AB62" s="133"/>
    </row>
  </sheetData>
  <sheetProtection sheet="1" objects="1" scenarios="1"/>
  <sortState ref="A48:AH69">
    <sortCondition ref="A48:A69"/>
  </sortState>
  <mergeCells count="42">
    <mergeCell ref="Z54:AA54"/>
    <mergeCell ref="U59:V59"/>
    <mergeCell ref="U61:V61"/>
    <mergeCell ref="N54:O54"/>
    <mergeCell ref="N55:O55"/>
    <mergeCell ref="N58:O58"/>
    <mergeCell ref="N57:O57"/>
    <mergeCell ref="U57:V57"/>
    <mergeCell ref="AC8:AC9"/>
    <mergeCell ref="T8:X8"/>
    <mergeCell ref="J8:N8"/>
    <mergeCell ref="O8:S8"/>
    <mergeCell ref="AC37:AC38"/>
    <mergeCell ref="J29:L29"/>
    <mergeCell ref="R29:S29"/>
    <mergeCell ref="W29:X29"/>
    <mergeCell ref="Z31:AA31"/>
    <mergeCell ref="AB30:AC30"/>
    <mergeCell ref="Z53:AA53"/>
    <mergeCell ref="Z30:AA30"/>
    <mergeCell ref="N31:O31"/>
    <mergeCell ref="N32:O32"/>
    <mergeCell ref="O37:S37"/>
    <mergeCell ref="T37:X37"/>
    <mergeCell ref="R52:S52"/>
    <mergeCell ref="W52:X52"/>
    <mergeCell ref="B8:B9"/>
    <mergeCell ref="C8:C9"/>
    <mergeCell ref="E8:I8"/>
    <mergeCell ref="E37:I37"/>
    <mergeCell ref="J37:N37"/>
    <mergeCell ref="H29:I29"/>
    <mergeCell ref="M29:N29"/>
    <mergeCell ref="E35:I35"/>
    <mergeCell ref="F59:G59"/>
    <mergeCell ref="J4:P4"/>
    <mergeCell ref="H4:I4"/>
    <mergeCell ref="H57:I57"/>
    <mergeCell ref="E6:I6"/>
    <mergeCell ref="H52:I52"/>
    <mergeCell ref="M52:N52"/>
    <mergeCell ref="J52:L52"/>
  </mergeCells>
  <hyperlinks>
    <hyperlink ref="C15" r:id="rId1" display="https://invest.etrade.com.au/QuotesAndResearch/Shares/quote.aspx?tab=Quotes&amp;symbol=ANZ"/>
    <hyperlink ref="C18" r:id="rId2" display="https://invest.etrade.com.au/QuotesAndResearch/Shares/quote.aspx?tab=Quotes&amp;symbol=NAB"/>
    <hyperlink ref="C19" r:id="rId3" display="https://invest.etrade.com.au/QuotesAndResearch/Shares/quote.aspx?tab=Quotes&amp;symbol=QBE"/>
    <hyperlink ref="C21" r:id="rId4" display="https://invest.etrade.com.au/QuotesAndResearch/Shares/quote.aspx?tab=Quotes&amp;symbol=RHCPA"/>
    <hyperlink ref="C22" r:id="rId5" display="https://invest.etrade.com.au/QuotesAndResearch/Shares/quote.aspx?tab=Quotes&amp;symbol=TLS"/>
  </hyperlinks>
  <pageMargins left="0.7" right="0.7" top="0.75" bottom="0.75" header="0.3" footer="0.3"/>
  <pageSetup paperSize="9" orientation="portrait" horizontalDpi="0" verticalDpi="0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8"/>
  <sheetViews>
    <sheetView topLeftCell="A13" workbookViewId="0">
      <selection activeCell="C39" sqref="C39"/>
    </sheetView>
  </sheetViews>
  <sheetFormatPr defaultRowHeight="11.25" x14ac:dyDescent="0.2"/>
  <cols>
    <col min="1" max="1" width="13.6640625" customWidth="1"/>
    <col min="2" max="2" width="8.33203125" style="5" customWidth="1"/>
    <col min="3" max="3" width="15.33203125" style="114" customWidth="1"/>
    <col min="4" max="4" width="9.83203125" style="5" customWidth="1"/>
    <col min="5" max="5" width="13.5" style="533" customWidth="1"/>
    <col min="6" max="6" width="15.1640625" style="533" customWidth="1"/>
    <col min="7" max="7" width="9.33203125" style="26"/>
    <col min="8" max="8" width="9.33203125" style="114"/>
    <col min="9" max="10" width="9.33203125" style="26"/>
    <col min="11" max="11" width="7.83203125" style="26" customWidth="1"/>
    <col min="12" max="12" width="14.5" style="26" customWidth="1"/>
    <col min="13" max="13" width="4.83203125" style="1" customWidth="1"/>
    <col min="14" max="14" width="10.83203125" style="1" customWidth="1"/>
    <col min="15" max="15" width="12.33203125" style="1" customWidth="1"/>
    <col min="16" max="16" width="12.6640625" style="1" customWidth="1"/>
    <col min="17" max="17" width="14.5" customWidth="1"/>
    <col min="18" max="18" width="9.83203125" style="1" bestFit="1" customWidth="1"/>
    <col min="19" max="19" width="12.6640625" style="1" bestFit="1" customWidth="1"/>
  </cols>
  <sheetData>
    <row r="1" spans="1:36" s="133" customFormat="1" ht="12" thickBot="1" x14ac:dyDescent="0.25">
      <c r="B1" s="5"/>
      <c r="C1" s="114"/>
      <c r="D1" s="5"/>
      <c r="E1" s="533"/>
      <c r="F1" s="533"/>
      <c r="G1" s="26"/>
      <c r="H1" s="114"/>
      <c r="I1" s="26"/>
      <c r="J1" s="26"/>
      <c r="K1" s="26"/>
      <c r="L1" s="26"/>
      <c r="M1" s="1"/>
      <c r="N1" s="1"/>
      <c r="O1" s="1"/>
      <c r="P1" s="1"/>
      <c r="R1" s="1"/>
      <c r="S1" s="1"/>
    </row>
    <row r="2" spans="1:36" s="133" customFormat="1" ht="10.15" customHeight="1" x14ac:dyDescent="0.35">
      <c r="B2" s="1114" t="s">
        <v>560</v>
      </c>
      <c r="C2" s="1115"/>
      <c r="D2" s="1116"/>
      <c r="E2" s="1120" t="s">
        <v>55</v>
      </c>
      <c r="F2" s="1121"/>
      <c r="G2" s="1121"/>
      <c r="H2" s="1121"/>
      <c r="I2" s="1121"/>
      <c r="J2" s="1121"/>
      <c r="K2" s="1121"/>
      <c r="L2" s="1122"/>
      <c r="M2" s="684"/>
      <c r="N2" s="685"/>
      <c r="O2" s="525"/>
      <c r="P2" s="1"/>
      <c r="Q2" s="6"/>
      <c r="R2" s="114"/>
      <c r="S2" s="104"/>
      <c r="V2" s="183"/>
      <c r="AI2" s="5"/>
      <c r="AJ2" s="47"/>
    </row>
    <row r="3" spans="1:36" s="133" customFormat="1" ht="15.75" customHeight="1" thickBot="1" x14ac:dyDescent="0.4">
      <c r="B3" s="1117"/>
      <c r="C3" s="1118"/>
      <c r="D3" s="1119"/>
      <c r="E3" s="1123"/>
      <c r="F3" s="1124"/>
      <c r="G3" s="1124"/>
      <c r="H3" s="1124"/>
      <c r="I3" s="1124"/>
      <c r="J3" s="1124"/>
      <c r="K3" s="1124"/>
      <c r="L3" s="1125"/>
      <c r="M3" s="684"/>
      <c r="N3" s="685"/>
      <c r="O3" s="525"/>
      <c r="P3" s="1"/>
      <c r="Q3" s="6"/>
      <c r="R3" s="114"/>
      <c r="S3" s="104"/>
      <c r="V3" s="183"/>
      <c r="AI3" s="5"/>
      <c r="AJ3" s="47"/>
    </row>
    <row r="4" spans="1:36" s="133" customFormat="1" x14ac:dyDescent="0.2">
      <c r="B4" s="5"/>
      <c r="C4" s="114"/>
      <c r="D4" s="5"/>
      <c r="E4" s="533"/>
      <c r="F4" s="533"/>
      <c r="G4" s="26"/>
      <c r="H4" s="114"/>
      <c r="I4" s="26"/>
      <c r="J4" s="26"/>
      <c r="K4" s="26"/>
      <c r="L4" s="26"/>
      <c r="M4" s="1"/>
      <c r="N4" s="1"/>
      <c r="O4" s="1"/>
      <c r="P4" s="1"/>
      <c r="R4" s="1"/>
      <c r="S4" s="1"/>
    </row>
    <row r="5" spans="1:36" s="133" customFormat="1" ht="12" thickBot="1" x14ac:dyDescent="0.25">
      <c r="B5" s="5"/>
      <c r="C5" s="114"/>
      <c r="D5" s="5"/>
      <c r="E5" s="533"/>
      <c r="F5" s="533"/>
      <c r="G5" s="26"/>
      <c r="H5" s="114"/>
      <c r="I5" s="26"/>
      <c r="J5" s="26"/>
      <c r="K5" s="26"/>
      <c r="L5" s="26"/>
      <c r="M5" s="1"/>
      <c r="N5" s="1"/>
      <c r="O5" s="1"/>
      <c r="P5" s="1"/>
      <c r="Q5" s="1"/>
      <c r="R5" s="1"/>
      <c r="S5" s="1"/>
    </row>
    <row r="6" spans="1:36" s="855" customFormat="1" ht="34.5" customHeight="1" thickBot="1" x14ac:dyDescent="0.25">
      <c r="A6" s="346" t="s">
        <v>252</v>
      </c>
      <c r="B6" s="347" t="s">
        <v>3</v>
      </c>
      <c r="C6" s="656" t="s">
        <v>253</v>
      </c>
      <c r="D6" s="347" t="s">
        <v>254</v>
      </c>
      <c r="E6" s="681" t="s">
        <v>255</v>
      </c>
      <c r="F6" s="681" t="s">
        <v>256</v>
      </c>
      <c r="G6" s="348" t="s">
        <v>257</v>
      </c>
      <c r="H6" s="656" t="s">
        <v>4</v>
      </c>
      <c r="I6" s="348" t="s">
        <v>258</v>
      </c>
      <c r="J6" s="348" t="s">
        <v>259</v>
      </c>
      <c r="K6" s="348" t="s">
        <v>260</v>
      </c>
      <c r="L6" s="529" t="s">
        <v>261</v>
      </c>
      <c r="M6" s="686"/>
      <c r="N6" s="964" t="s">
        <v>276</v>
      </c>
      <c r="O6" s="963" t="s">
        <v>277</v>
      </c>
      <c r="P6" s="916" t="s">
        <v>80</v>
      </c>
      <c r="R6" s="344"/>
      <c r="S6" s="344"/>
    </row>
    <row r="7" spans="1:36" s="133" customFormat="1" ht="12" thickTop="1" x14ac:dyDescent="0.2">
      <c r="A7" s="53"/>
      <c r="B7" s="159"/>
      <c r="C7" s="664"/>
      <c r="D7" s="159"/>
      <c r="E7" s="710"/>
      <c r="F7" s="710"/>
      <c r="G7" s="194"/>
      <c r="H7" s="194"/>
      <c r="I7" s="194"/>
      <c r="J7" s="194"/>
      <c r="K7" s="468"/>
      <c r="L7" s="468"/>
      <c r="N7" s="283"/>
      <c r="O7" s="139"/>
      <c r="P7" s="1"/>
      <c r="R7" s="1"/>
      <c r="S7" s="1"/>
    </row>
    <row r="8" spans="1:36" s="133" customFormat="1" x14ac:dyDescent="0.2">
      <c r="A8" s="53"/>
      <c r="B8" s="159"/>
      <c r="C8" s="664"/>
      <c r="D8" s="159"/>
      <c r="E8" s="710"/>
      <c r="F8" s="710"/>
      <c r="G8" s="194"/>
      <c r="H8" s="194"/>
      <c r="I8" s="194"/>
      <c r="J8" s="194"/>
      <c r="K8" s="468"/>
      <c r="L8" s="468"/>
      <c r="N8" s="283"/>
      <c r="O8" s="139"/>
      <c r="P8" s="1"/>
      <c r="R8" s="1"/>
      <c r="S8" s="1"/>
    </row>
    <row r="9" spans="1:36" s="164" customFormat="1" ht="18.75" x14ac:dyDescent="0.3">
      <c r="A9" s="1129" t="s">
        <v>561</v>
      </c>
      <c r="B9" s="1129"/>
      <c r="C9" s="1129"/>
      <c r="D9" s="874"/>
      <c r="E9" s="876"/>
      <c r="F9" s="876"/>
      <c r="G9" s="877"/>
      <c r="H9" s="875"/>
      <c r="I9" s="877"/>
      <c r="J9" s="856"/>
      <c r="K9" s="856"/>
      <c r="L9" s="856"/>
      <c r="M9" s="171"/>
      <c r="N9" s="171"/>
      <c r="O9" s="171"/>
      <c r="P9" s="171"/>
      <c r="Q9" s="171"/>
      <c r="R9" s="171"/>
      <c r="S9" s="171"/>
    </row>
    <row r="10" spans="1:36" s="2" customFormat="1" x14ac:dyDescent="0.2">
      <c r="A10" s="612"/>
      <c r="B10" s="966"/>
      <c r="C10" s="967"/>
      <c r="D10" s="966"/>
      <c r="E10" s="968"/>
      <c r="F10" s="968"/>
      <c r="G10" s="969"/>
      <c r="H10" s="967"/>
      <c r="I10" s="969"/>
      <c r="J10" s="969"/>
      <c r="K10" s="969"/>
      <c r="L10" s="969"/>
      <c r="M10" s="3"/>
      <c r="N10" s="477"/>
      <c r="O10" s="477"/>
      <c r="P10" s="3"/>
      <c r="R10" s="3"/>
      <c r="S10" s="3"/>
    </row>
    <row r="11" spans="1:36" s="133" customFormat="1" ht="15" customHeight="1" x14ac:dyDescent="0.2">
      <c r="A11" s="965" t="s">
        <v>251</v>
      </c>
      <c r="B11" s="966"/>
      <c r="C11" s="967"/>
      <c r="D11" s="966"/>
      <c r="E11" s="968"/>
      <c r="F11" s="968"/>
      <c r="G11" s="969"/>
      <c r="H11" s="970"/>
      <c r="I11" s="194"/>
      <c r="J11" s="194"/>
      <c r="K11" s="194"/>
      <c r="L11" s="468"/>
      <c r="M11" s="1"/>
      <c r="N11" s="283"/>
      <c r="O11" s="139"/>
      <c r="P11" s="1"/>
      <c r="R11" s="1"/>
      <c r="S11" s="1"/>
    </row>
    <row r="12" spans="1:36" s="133" customFormat="1" x14ac:dyDescent="0.2">
      <c r="A12" s="53"/>
      <c r="B12" s="159" t="s">
        <v>0</v>
      </c>
      <c r="C12" s="664">
        <v>13113135</v>
      </c>
      <c r="D12" s="159" t="s">
        <v>112</v>
      </c>
      <c r="E12" s="710">
        <v>44216</v>
      </c>
      <c r="F12" s="710">
        <v>44218</v>
      </c>
      <c r="G12" s="194">
        <v>24.5</v>
      </c>
      <c r="H12" s="194">
        <v>1000</v>
      </c>
      <c r="I12" s="194">
        <v>24.5</v>
      </c>
      <c r="J12" s="194">
        <v>2.67</v>
      </c>
      <c r="K12" s="468">
        <v>2.2000000000000002</v>
      </c>
      <c r="L12" s="468">
        <v>24529.37</v>
      </c>
      <c r="N12" s="283">
        <f t="shared" ref="N12:N22" si="0">IF(D12="Sell","",-L12)</f>
        <v>-24529.37</v>
      </c>
      <c r="O12" s="139" t="str">
        <f t="shared" ref="O12:O22" si="1">IF(D12="Sell",L12,"")</f>
        <v/>
      </c>
      <c r="P12" s="1"/>
      <c r="R12" s="1"/>
      <c r="S12" s="1"/>
    </row>
    <row r="13" spans="1:36" s="133" customFormat="1" x14ac:dyDescent="0.2">
      <c r="A13" s="53"/>
      <c r="B13" s="159" t="s">
        <v>0</v>
      </c>
      <c r="C13" s="664">
        <v>14575652</v>
      </c>
      <c r="D13" s="159" t="s">
        <v>112</v>
      </c>
      <c r="E13" s="710">
        <v>44322</v>
      </c>
      <c r="F13" s="710">
        <v>44326</v>
      </c>
      <c r="G13" s="194">
        <v>27.7</v>
      </c>
      <c r="H13" s="194">
        <v>1000</v>
      </c>
      <c r="I13" s="194">
        <v>27.23</v>
      </c>
      <c r="J13" s="194">
        <v>2.94</v>
      </c>
      <c r="K13" s="468">
        <v>2.2000000000000002</v>
      </c>
      <c r="L13" s="468">
        <v>27732.37</v>
      </c>
      <c r="N13" s="283">
        <f t="shared" si="0"/>
        <v>-27732.37</v>
      </c>
      <c r="O13" s="139" t="str">
        <f t="shared" si="1"/>
        <v/>
      </c>
      <c r="P13" s="1"/>
      <c r="R13" s="1"/>
      <c r="S13" s="1"/>
    </row>
    <row r="14" spans="1:36" s="133" customFormat="1" x14ac:dyDescent="0.2">
      <c r="A14" s="53"/>
      <c r="B14" s="159" t="s">
        <v>30</v>
      </c>
      <c r="C14" s="664">
        <v>13083917</v>
      </c>
      <c r="D14" s="159" t="s">
        <v>111</v>
      </c>
      <c r="E14" s="710">
        <v>44215</v>
      </c>
      <c r="F14" s="710">
        <v>44217</v>
      </c>
      <c r="G14" s="194">
        <v>85.5</v>
      </c>
      <c r="H14" s="194">
        <v>1000</v>
      </c>
      <c r="I14" s="194">
        <v>85.5</v>
      </c>
      <c r="J14" s="194">
        <v>8.77</v>
      </c>
      <c r="K14" s="468">
        <v>2.2000000000000002</v>
      </c>
      <c r="L14" s="468">
        <v>85403.53</v>
      </c>
      <c r="N14" s="283" t="str">
        <f t="shared" si="0"/>
        <v/>
      </c>
      <c r="O14" s="139">
        <f t="shared" si="1"/>
        <v>85403.53</v>
      </c>
      <c r="P14" s="1"/>
      <c r="R14" s="1"/>
      <c r="S14" s="1"/>
    </row>
    <row r="15" spans="1:36" s="133" customFormat="1" x14ac:dyDescent="0.2">
      <c r="A15" s="53"/>
      <c r="B15" s="159" t="s">
        <v>7</v>
      </c>
      <c r="C15" s="664">
        <v>11027467</v>
      </c>
      <c r="D15" s="159" t="s">
        <v>112</v>
      </c>
      <c r="E15" s="710">
        <v>44046</v>
      </c>
      <c r="F15" s="710">
        <v>44048</v>
      </c>
      <c r="G15" s="194">
        <v>16.899999999999999</v>
      </c>
      <c r="H15" s="194">
        <v>441</v>
      </c>
      <c r="I15" s="194">
        <v>22.68</v>
      </c>
      <c r="J15" s="194">
        <v>2.4900000000000002</v>
      </c>
      <c r="K15" s="468">
        <v>2.2000000000000002</v>
      </c>
      <c r="L15" s="468">
        <v>7480.27</v>
      </c>
      <c r="N15" s="283">
        <f t="shared" si="0"/>
        <v>-7480.27</v>
      </c>
      <c r="O15" s="139" t="str">
        <f t="shared" si="1"/>
        <v/>
      </c>
      <c r="P15" s="1"/>
      <c r="R15" s="1"/>
      <c r="S15" s="1"/>
    </row>
    <row r="16" spans="1:36" s="133" customFormat="1" x14ac:dyDescent="0.2">
      <c r="A16" s="53"/>
      <c r="B16" s="159" t="s">
        <v>11</v>
      </c>
      <c r="C16" s="664">
        <v>12806049</v>
      </c>
      <c r="D16" s="159" t="s">
        <v>111</v>
      </c>
      <c r="E16" s="710">
        <v>44188</v>
      </c>
      <c r="F16" s="710">
        <v>44194</v>
      </c>
      <c r="G16" s="194">
        <v>19.670000000000002</v>
      </c>
      <c r="H16" s="194">
        <v>522</v>
      </c>
      <c r="I16" s="194">
        <v>18.14</v>
      </c>
      <c r="J16" s="194">
        <v>2.0299999999999998</v>
      </c>
      <c r="K16" s="468">
        <v>2.2000000000000002</v>
      </c>
      <c r="L16" s="468">
        <v>10245.370000000001</v>
      </c>
      <c r="N16" s="283" t="str">
        <f t="shared" si="0"/>
        <v/>
      </c>
      <c r="O16" s="139">
        <f t="shared" si="1"/>
        <v>10245.370000000001</v>
      </c>
      <c r="P16" s="1"/>
      <c r="R16" s="1"/>
      <c r="S16" s="1"/>
    </row>
    <row r="17" spans="1:19" s="133" customFormat="1" x14ac:dyDescent="0.2">
      <c r="A17" s="53"/>
      <c r="B17" s="159" t="s">
        <v>11</v>
      </c>
      <c r="C17" s="664">
        <v>12798720</v>
      </c>
      <c r="D17" s="159" t="s">
        <v>112</v>
      </c>
      <c r="E17" s="710">
        <v>44187</v>
      </c>
      <c r="F17" s="710">
        <v>44189</v>
      </c>
      <c r="G17" s="194">
        <v>19.5</v>
      </c>
      <c r="H17" s="194">
        <v>983</v>
      </c>
      <c r="I17" s="194">
        <v>27.23</v>
      </c>
      <c r="J17" s="194">
        <v>2.94</v>
      </c>
      <c r="K17" s="468">
        <v>2.2000000000000002</v>
      </c>
      <c r="L17" s="468">
        <v>19200.87</v>
      </c>
      <c r="N17" s="283">
        <f t="shared" si="0"/>
        <v>-19200.87</v>
      </c>
      <c r="O17" s="139" t="str">
        <f t="shared" si="1"/>
        <v/>
      </c>
      <c r="P17" s="1"/>
      <c r="R17" s="1"/>
      <c r="S17" s="1"/>
    </row>
    <row r="18" spans="1:19" s="133" customFormat="1" x14ac:dyDescent="0.2">
      <c r="A18" s="53"/>
      <c r="B18" s="159" t="s">
        <v>37</v>
      </c>
      <c r="C18" s="664">
        <v>15162317</v>
      </c>
      <c r="D18" s="159" t="s">
        <v>112</v>
      </c>
      <c r="E18" s="710">
        <v>44372</v>
      </c>
      <c r="F18" s="710">
        <v>44376</v>
      </c>
      <c r="G18" s="194">
        <v>36.853900000000003</v>
      </c>
      <c r="H18" s="194">
        <v>1000</v>
      </c>
      <c r="I18" s="194">
        <v>36.85</v>
      </c>
      <c r="J18" s="194">
        <v>3.91</v>
      </c>
      <c r="K18" s="468">
        <v>2.2000000000000002</v>
      </c>
      <c r="L18" s="468">
        <v>36896.89</v>
      </c>
      <c r="N18" s="283">
        <f t="shared" si="0"/>
        <v>-36896.89</v>
      </c>
      <c r="O18" s="139" t="str">
        <f t="shared" si="1"/>
        <v/>
      </c>
      <c r="P18" s="1"/>
      <c r="R18" s="1"/>
      <c r="S18" s="1"/>
    </row>
    <row r="19" spans="1:19" s="133" customFormat="1" x14ac:dyDescent="0.2">
      <c r="A19" s="53"/>
      <c r="B19" s="159" t="s">
        <v>37</v>
      </c>
      <c r="C19" s="664">
        <v>14407392</v>
      </c>
      <c r="D19" s="159" t="s">
        <v>111</v>
      </c>
      <c r="E19" s="710">
        <v>44308</v>
      </c>
      <c r="F19" s="710">
        <v>44312</v>
      </c>
      <c r="G19" s="194">
        <v>41.9</v>
      </c>
      <c r="H19" s="194">
        <v>1000</v>
      </c>
      <c r="I19" s="194">
        <v>41.9</v>
      </c>
      <c r="J19" s="194">
        <v>4.41</v>
      </c>
      <c r="K19" s="468">
        <v>2.2000000000000002</v>
      </c>
      <c r="L19" s="468">
        <v>41851.49</v>
      </c>
      <c r="N19" s="283" t="str">
        <f t="shared" si="0"/>
        <v/>
      </c>
      <c r="O19" s="139">
        <f t="shared" si="1"/>
        <v>41851.49</v>
      </c>
      <c r="P19" s="1"/>
      <c r="R19" s="1"/>
      <c r="S19" s="1"/>
    </row>
    <row r="20" spans="1:19" s="133" customFormat="1" x14ac:dyDescent="0.2">
      <c r="A20" s="53"/>
      <c r="B20" s="159" t="s">
        <v>33</v>
      </c>
      <c r="C20" s="664">
        <v>14411287</v>
      </c>
      <c r="D20" s="159" t="s">
        <v>112</v>
      </c>
      <c r="E20" s="710">
        <v>44308</v>
      </c>
      <c r="F20" s="710">
        <v>44312</v>
      </c>
      <c r="G20" s="194">
        <v>22.6</v>
      </c>
      <c r="H20" s="194">
        <v>1000</v>
      </c>
      <c r="I20" s="194">
        <v>22.6</v>
      </c>
      <c r="J20" s="194">
        <v>2.48</v>
      </c>
      <c r="K20" s="468">
        <v>2.2000000000000002</v>
      </c>
      <c r="L20" s="468">
        <v>22627.279999999999</v>
      </c>
      <c r="N20" s="283">
        <f t="shared" si="0"/>
        <v>-22627.279999999999</v>
      </c>
      <c r="O20" s="139" t="str">
        <f t="shared" si="1"/>
        <v/>
      </c>
      <c r="P20" s="1"/>
      <c r="R20" s="1"/>
      <c r="S20" s="1"/>
    </row>
    <row r="21" spans="1:19" s="133" customFormat="1" x14ac:dyDescent="0.2">
      <c r="A21" s="53"/>
      <c r="B21" s="159" t="s">
        <v>33</v>
      </c>
      <c r="C21" s="664">
        <v>13160098</v>
      </c>
      <c r="D21" s="159" t="s">
        <v>112</v>
      </c>
      <c r="E21" s="710">
        <v>44218</v>
      </c>
      <c r="F21" s="710">
        <v>44223</v>
      </c>
      <c r="G21" s="194">
        <v>26.35</v>
      </c>
      <c r="H21" s="194">
        <v>1000</v>
      </c>
      <c r="I21" s="194">
        <v>26.35</v>
      </c>
      <c r="J21" s="194">
        <v>2.86</v>
      </c>
      <c r="K21" s="468">
        <v>2.2000000000000002</v>
      </c>
      <c r="L21" s="468">
        <v>26381.41</v>
      </c>
      <c r="N21" s="283">
        <f t="shared" si="0"/>
        <v>-26381.41</v>
      </c>
      <c r="O21" s="139" t="str">
        <f t="shared" si="1"/>
        <v/>
      </c>
      <c r="P21" s="1"/>
      <c r="R21" s="1"/>
      <c r="S21" s="1"/>
    </row>
    <row r="22" spans="1:19" s="133" customFormat="1" ht="12" thickBot="1" x14ac:dyDescent="0.25">
      <c r="A22" s="53"/>
      <c r="B22" s="163" t="s">
        <v>33</v>
      </c>
      <c r="C22" s="669">
        <v>15161491</v>
      </c>
      <c r="D22" s="163" t="s">
        <v>111</v>
      </c>
      <c r="E22" s="718">
        <v>44372</v>
      </c>
      <c r="F22" s="718">
        <v>44376</v>
      </c>
      <c r="G22" s="191">
        <v>22.52</v>
      </c>
      <c r="H22" s="191">
        <v>1000</v>
      </c>
      <c r="I22" s="191">
        <v>27.23</v>
      </c>
      <c r="J22" s="191">
        <v>2.94</v>
      </c>
      <c r="K22" s="753">
        <v>2.2000000000000002</v>
      </c>
      <c r="L22" s="753">
        <v>22487.63</v>
      </c>
      <c r="M22" s="213"/>
      <c r="N22" s="309" t="str">
        <f t="shared" si="0"/>
        <v/>
      </c>
      <c r="O22" s="147">
        <f t="shared" si="1"/>
        <v>22487.63</v>
      </c>
      <c r="P22" s="211"/>
      <c r="R22" s="1"/>
      <c r="S22" s="1"/>
    </row>
    <row r="23" spans="1:19" s="133" customFormat="1" x14ac:dyDescent="0.2">
      <c r="A23" s="53"/>
      <c r="B23" s="166"/>
      <c r="C23" s="878"/>
      <c r="D23" s="166"/>
      <c r="E23" s="879"/>
      <c r="F23" s="879"/>
      <c r="G23" s="462"/>
      <c r="H23" s="878"/>
      <c r="I23" s="462"/>
      <c r="J23" s="462"/>
      <c r="K23" s="462"/>
      <c r="L23" s="880"/>
      <c r="M23" s="1"/>
      <c r="N23" s="461">
        <f>SUM(N12:N22)</f>
        <v>-164848.46</v>
      </c>
      <c r="O23" s="273">
        <f>SUM(O12:O22)</f>
        <v>159988.01999999999</v>
      </c>
      <c r="P23" s="1">
        <f>SUM(N23:O23)</f>
        <v>-4860.4400000000023</v>
      </c>
      <c r="R23" s="1"/>
      <c r="S23" s="1"/>
    </row>
    <row r="24" spans="1:19" s="133" customFormat="1" x14ac:dyDescent="0.2">
      <c r="A24" s="53"/>
      <c r="B24" s="159"/>
      <c r="C24" s="664"/>
      <c r="D24" s="159"/>
      <c r="E24" s="710"/>
      <c r="F24" s="710"/>
      <c r="G24" s="194"/>
      <c r="H24" s="664"/>
      <c r="I24" s="194"/>
      <c r="J24" s="194"/>
      <c r="K24" s="194"/>
      <c r="L24" s="468"/>
      <c r="M24" s="1"/>
      <c r="N24" s="283"/>
      <c r="O24" s="139"/>
      <c r="P24" s="1"/>
      <c r="R24" s="1"/>
      <c r="S24" s="1"/>
    </row>
    <row r="25" spans="1:19" s="133" customFormat="1" ht="12" thickBot="1" x14ac:dyDescent="0.25">
      <c r="A25" s="232"/>
      <c r="B25" s="15"/>
      <c r="C25" s="113"/>
      <c r="D25" s="15"/>
      <c r="E25" s="917"/>
      <c r="F25" s="917"/>
      <c r="G25" s="18"/>
      <c r="H25" s="113"/>
      <c r="I25" s="18"/>
      <c r="J25" s="18"/>
      <c r="K25" s="18"/>
      <c r="L25" s="19"/>
      <c r="M25" s="319"/>
      <c r="N25" s="319"/>
      <c r="O25" s="319"/>
      <c r="P25" s="319"/>
      <c r="R25" s="1"/>
      <c r="S25" s="1"/>
    </row>
    <row r="26" spans="1:19" s="133" customFormat="1" ht="12.75" thickTop="1" thickBot="1" x14ac:dyDescent="0.25">
      <c r="A26" s="121"/>
      <c r="B26" s="166"/>
      <c r="C26" s="878"/>
      <c r="D26" s="166"/>
      <c r="E26" s="879"/>
      <c r="F26" s="879"/>
      <c r="G26" s="462"/>
      <c r="H26" s="878"/>
      <c r="I26" s="462"/>
      <c r="J26" s="462"/>
      <c r="K26" s="462"/>
      <c r="L26" s="880"/>
      <c r="M26" s="1"/>
      <c r="N26" s="1"/>
      <c r="O26" s="1"/>
      <c r="P26" s="1"/>
      <c r="R26" s="1"/>
      <c r="S26" s="1"/>
    </row>
    <row r="27" spans="1:19" s="133" customFormat="1" ht="19.5" thickBot="1" x14ac:dyDescent="0.35">
      <c r="A27" s="1129" t="s">
        <v>554</v>
      </c>
      <c r="B27" s="1129"/>
      <c r="C27" s="1129"/>
      <c r="D27" s="932"/>
      <c r="E27" s="971"/>
      <c r="F27" s="972"/>
      <c r="G27" s="194"/>
      <c r="H27" s="664"/>
      <c r="I27" s="194"/>
      <c r="J27" s="194"/>
      <c r="K27" s="194"/>
      <c r="L27" s="468"/>
      <c r="M27" s="1"/>
      <c r="N27" s="912" t="s">
        <v>555</v>
      </c>
      <c r="O27" s="913" t="s">
        <v>556</v>
      </c>
      <c r="P27" s="908" t="s">
        <v>557</v>
      </c>
      <c r="R27" s="1"/>
      <c r="S27" s="1"/>
    </row>
    <row r="28" spans="1:19" s="133" customFormat="1" ht="12.75" x14ac:dyDescent="0.2">
      <c r="A28" s="53"/>
      <c r="B28" s="159"/>
      <c r="C28" s="886"/>
      <c r="D28" s="887"/>
      <c r="E28" s="973"/>
      <c r="F28" s="974"/>
      <c r="G28" s="194"/>
      <c r="H28" s="664"/>
      <c r="I28" s="194"/>
      <c r="J28" s="194"/>
      <c r="K28" s="194"/>
      <c r="L28" s="468"/>
      <c r="M28" s="1"/>
      <c r="N28" s="928"/>
      <c r="O28" s="929"/>
      <c r="P28" s="906"/>
      <c r="R28" s="1"/>
      <c r="S28" s="1"/>
    </row>
    <row r="29" spans="1:19" s="133" customFormat="1" x14ac:dyDescent="0.2">
      <c r="A29" s="53"/>
      <c r="B29" s="159" t="s">
        <v>30</v>
      </c>
      <c r="C29" s="664">
        <v>7652216</v>
      </c>
      <c r="D29" s="159" t="s">
        <v>112</v>
      </c>
      <c r="E29" s="710">
        <v>43684</v>
      </c>
      <c r="F29" s="710">
        <v>43686</v>
      </c>
      <c r="G29" s="194">
        <v>79.238799999999998</v>
      </c>
      <c r="H29" s="664">
        <v>1000</v>
      </c>
      <c r="I29" s="194">
        <v>79.239999999999995</v>
      </c>
      <c r="J29" s="194">
        <v>8.14</v>
      </c>
      <c r="K29" s="194">
        <v>2.2000000000000002</v>
      </c>
      <c r="L29" s="468">
        <v>79328.33</v>
      </c>
      <c r="M29" s="1"/>
      <c r="N29" s="631">
        <f>IF(D29="Sell",H29,-H29)</f>
        <v>-1000</v>
      </c>
      <c r="O29" s="692">
        <f>IF(D29="Sell",L29,-L29)</f>
        <v>-79328.33</v>
      </c>
      <c r="P29" s="1" t="s">
        <v>553</v>
      </c>
      <c r="R29" s="1"/>
      <c r="S29" s="1"/>
    </row>
    <row r="30" spans="1:19" s="133" customFormat="1" x14ac:dyDescent="0.2">
      <c r="A30" s="53"/>
      <c r="B30" s="606" t="s">
        <v>30</v>
      </c>
      <c r="C30" s="918">
        <v>13083917</v>
      </c>
      <c r="D30" s="606" t="s">
        <v>111</v>
      </c>
      <c r="E30" s="919">
        <v>44215</v>
      </c>
      <c r="F30" s="919">
        <v>44217</v>
      </c>
      <c r="G30" s="920">
        <v>85.5</v>
      </c>
      <c r="H30" s="918">
        <v>1000</v>
      </c>
      <c r="I30" s="920">
        <v>85.5</v>
      </c>
      <c r="J30" s="920">
        <v>8.77</v>
      </c>
      <c r="K30" s="920">
        <v>2.2000000000000002</v>
      </c>
      <c r="L30" s="921">
        <v>85403.53</v>
      </c>
      <c r="M30" s="905"/>
      <c r="N30" s="925">
        <f>IF(D30="Sell",H30,-H30)</f>
        <v>1000</v>
      </c>
      <c r="O30" s="693">
        <f>IF(D30="Sell",L30,-L30)</f>
        <v>85403.53</v>
      </c>
      <c r="P30" s="905"/>
      <c r="R30" s="1"/>
      <c r="S30" s="1"/>
    </row>
    <row r="31" spans="1:19" s="133" customFormat="1" x14ac:dyDescent="0.2">
      <c r="A31" s="53"/>
      <c r="B31" s="166"/>
      <c r="C31" s="878"/>
      <c r="D31" s="166"/>
      <c r="E31" s="879"/>
      <c r="F31" s="879"/>
      <c r="G31" s="462"/>
      <c r="H31" s="878"/>
      <c r="I31" s="462"/>
      <c r="J31" s="462"/>
      <c r="K31" s="462"/>
      <c r="L31" s="880"/>
      <c r="M31" s="1"/>
      <c r="N31" s="927">
        <f>SUM(N29:N30)</f>
        <v>0</v>
      </c>
      <c r="O31" s="927">
        <f>SUM(O29:O30)</f>
        <v>6075.1999999999971</v>
      </c>
      <c r="P31" s="1">
        <f>SUM(O31)</f>
        <v>6075.1999999999971</v>
      </c>
      <c r="R31" s="1"/>
      <c r="S31" s="1"/>
    </row>
    <row r="32" spans="1:19" s="133" customFormat="1" x14ac:dyDescent="0.2">
      <c r="A32" s="53"/>
      <c r="B32" s="159"/>
      <c r="C32" s="664"/>
      <c r="D32" s="159"/>
      <c r="E32" s="710"/>
      <c r="F32" s="710"/>
      <c r="G32" s="194"/>
      <c r="H32" s="664"/>
      <c r="I32" s="194"/>
      <c r="J32" s="194"/>
      <c r="K32" s="194"/>
      <c r="L32" s="468"/>
      <c r="M32" s="1"/>
      <c r="N32" s="138"/>
      <c r="O32" s="138"/>
      <c r="P32" s="1"/>
      <c r="R32" s="1"/>
      <c r="S32" s="1"/>
    </row>
    <row r="33" spans="1:19" s="133" customFormat="1" x14ac:dyDescent="0.2">
      <c r="A33" s="517" t="s">
        <v>597</v>
      </c>
      <c r="B33" s="204" t="s">
        <v>11</v>
      </c>
      <c r="C33" s="922">
        <v>12798720</v>
      </c>
      <c r="D33" s="204" t="s">
        <v>112</v>
      </c>
      <c r="E33" s="923">
        <v>44187</v>
      </c>
      <c r="F33" s="923">
        <v>44189</v>
      </c>
      <c r="G33" s="478">
        <v>19.5</v>
      </c>
      <c r="H33" s="922">
        <v>467</v>
      </c>
      <c r="I33" s="478">
        <v>27.23</v>
      </c>
      <c r="J33" s="478">
        <v>2.94</v>
      </c>
      <c r="K33" s="478">
        <v>2.2000000000000002</v>
      </c>
      <c r="L33" s="924">
        <v>19200.87</v>
      </c>
      <c r="M33" s="1"/>
      <c r="N33" s="138"/>
      <c r="O33" s="138"/>
      <c r="P33" s="1"/>
      <c r="R33" s="1"/>
      <c r="S33" s="1"/>
    </row>
    <row r="34" spans="1:19" s="85" customFormat="1" x14ac:dyDescent="0.2">
      <c r="A34" s="429"/>
      <c r="B34" s="218"/>
      <c r="C34" s="672"/>
      <c r="D34" s="218"/>
      <c r="E34" s="720"/>
      <c r="F34" s="720"/>
      <c r="G34" s="692"/>
      <c r="H34" s="672"/>
      <c r="I34" s="692"/>
      <c r="J34" s="692"/>
      <c r="K34" s="692"/>
      <c r="L34" s="975"/>
      <c r="M34" s="363"/>
      <c r="N34" s="219"/>
      <c r="O34" s="219"/>
      <c r="P34" s="363"/>
      <c r="R34" s="363"/>
      <c r="S34" s="363"/>
    </row>
    <row r="35" spans="1:19" s="133" customFormat="1" x14ac:dyDescent="0.2">
      <c r="A35" s="53"/>
      <c r="B35" s="159" t="s">
        <v>11</v>
      </c>
      <c r="C35" s="664">
        <v>12798720</v>
      </c>
      <c r="D35" s="159" t="s">
        <v>112</v>
      </c>
      <c r="E35" s="710">
        <v>44187</v>
      </c>
      <c r="F35" s="710">
        <v>44189</v>
      </c>
      <c r="G35" s="194">
        <v>19.5</v>
      </c>
      <c r="H35" s="664">
        <v>522</v>
      </c>
      <c r="I35" s="194">
        <v>27.23</v>
      </c>
      <c r="J35" s="194">
        <v>2.94</v>
      </c>
      <c r="K35" s="194">
        <v>2.2000000000000002</v>
      </c>
      <c r="L35" s="468">
        <v>19200.87</v>
      </c>
      <c r="M35" s="1"/>
      <c r="N35" s="138">
        <f>IF(D35="Sell",H35,-H35)</f>
        <v>-522</v>
      </c>
      <c r="O35" s="138">
        <f>IF(D35="Sell",L35,-L35)</f>
        <v>-19200.87</v>
      </c>
      <c r="P35" s="1"/>
      <c r="R35" s="1"/>
      <c r="S35" s="1"/>
    </row>
    <row r="36" spans="1:19" s="133" customFormat="1" x14ac:dyDescent="0.2">
      <c r="A36" s="53"/>
      <c r="B36" s="606" t="s">
        <v>11</v>
      </c>
      <c r="C36" s="918">
        <v>12806049</v>
      </c>
      <c r="D36" s="606" t="s">
        <v>111</v>
      </c>
      <c r="E36" s="919">
        <v>44188</v>
      </c>
      <c r="F36" s="919">
        <v>44194</v>
      </c>
      <c r="G36" s="920">
        <v>19.670000000000002</v>
      </c>
      <c r="H36" s="918">
        <v>522</v>
      </c>
      <c r="I36" s="920">
        <v>18.14</v>
      </c>
      <c r="J36" s="920">
        <v>2.0299999999999998</v>
      </c>
      <c r="K36" s="920">
        <v>2.2000000000000002</v>
      </c>
      <c r="L36" s="921">
        <v>10245.370000000001</v>
      </c>
      <c r="M36" s="905"/>
      <c r="N36" s="926">
        <f>IF(D36="Sell",H36,-H36)</f>
        <v>522</v>
      </c>
      <c r="O36" s="926">
        <f>IF(D36="Sell",L36,-L36)</f>
        <v>10245.370000000001</v>
      </c>
      <c r="P36" s="905"/>
      <c r="R36" s="1"/>
      <c r="S36" s="1"/>
    </row>
    <row r="37" spans="1:19" x14ac:dyDescent="0.2">
      <c r="N37" s="927">
        <f>SUM(N35:N36)</f>
        <v>0</v>
      </c>
      <c r="O37" s="927">
        <f>SUM(O35:O36)</f>
        <v>-8955.4999999999982</v>
      </c>
      <c r="P37" s="1">
        <f>SUM(O37)</f>
        <v>-8955.4999999999982</v>
      </c>
    </row>
    <row r="38" spans="1:19" x14ac:dyDescent="0.2">
      <c r="N38" s="138"/>
      <c r="O38" s="138"/>
    </row>
    <row r="39" spans="1:19" s="133" customFormat="1" x14ac:dyDescent="0.2">
      <c r="A39" s="53"/>
      <c r="B39" s="159" t="s">
        <v>37</v>
      </c>
      <c r="C39" s="664">
        <v>-118766272</v>
      </c>
      <c r="D39" s="159" t="s">
        <v>112</v>
      </c>
      <c r="E39" s="710">
        <v>43334</v>
      </c>
      <c r="F39" s="710">
        <v>43336</v>
      </c>
      <c r="G39" s="194">
        <v>28.5</v>
      </c>
      <c r="H39" s="664">
        <v>500</v>
      </c>
      <c r="I39" s="194">
        <v>20.14</v>
      </c>
      <c r="J39" s="194">
        <v>2.0099999999999998</v>
      </c>
      <c r="K39" s="194">
        <v>0</v>
      </c>
      <c r="L39" s="468">
        <v>14272.15</v>
      </c>
      <c r="M39" s="1"/>
      <c r="N39" s="138">
        <f>IF(D39="Sell",H39,-H39)</f>
        <v>-500</v>
      </c>
      <c r="O39" s="138">
        <f>IF(D39="Sell",L39,-L39)</f>
        <v>-14272.15</v>
      </c>
      <c r="P39" s="1"/>
      <c r="R39" s="1"/>
      <c r="S39" s="1"/>
    </row>
    <row r="40" spans="1:19" s="133" customFormat="1" x14ac:dyDescent="0.2">
      <c r="A40" s="53"/>
      <c r="B40" s="159" t="s">
        <v>37</v>
      </c>
      <c r="C40" s="664">
        <v>10844150</v>
      </c>
      <c r="D40" s="159" t="s">
        <v>112</v>
      </c>
      <c r="E40" s="710">
        <v>44029</v>
      </c>
      <c r="F40" s="710">
        <v>44033</v>
      </c>
      <c r="G40" s="194">
        <v>38.837499999999999</v>
      </c>
      <c r="H40" s="664">
        <v>500</v>
      </c>
      <c r="I40" s="194">
        <v>19.420000000000002</v>
      </c>
      <c r="J40" s="194">
        <v>2.16</v>
      </c>
      <c r="K40" s="194">
        <v>2.2000000000000002</v>
      </c>
      <c r="L40" s="468">
        <v>19442.55</v>
      </c>
      <c r="M40" s="1"/>
      <c r="N40" s="138">
        <f>IF(D40="Sell",H40,-H40)</f>
        <v>-500</v>
      </c>
      <c r="O40" s="138">
        <f>IF(D40="Sell",L40,-L40)</f>
        <v>-19442.55</v>
      </c>
      <c r="P40" s="1"/>
      <c r="R40" s="1"/>
      <c r="S40" s="1"/>
    </row>
    <row r="41" spans="1:19" s="133" customFormat="1" x14ac:dyDescent="0.2">
      <c r="A41" s="53"/>
      <c r="B41" s="606" t="s">
        <v>37</v>
      </c>
      <c r="C41" s="918">
        <v>14407392</v>
      </c>
      <c r="D41" s="606" t="s">
        <v>111</v>
      </c>
      <c r="E41" s="919">
        <v>44308</v>
      </c>
      <c r="F41" s="919">
        <v>44312</v>
      </c>
      <c r="G41" s="920">
        <v>41.9</v>
      </c>
      <c r="H41" s="918">
        <v>1000</v>
      </c>
      <c r="I41" s="920">
        <v>41.9</v>
      </c>
      <c r="J41" s="920">
        <v>4.41</v>
      </c>
      <c r="K41" s="920">
        <v>2.2000000000000002</v>
      </c>
      <c r="L41" s="921">
        <v>41851.49</v>
      </c>
      <c r="M41" s="905"/>
      <c r="N41" s="926">
        <f>IF(D41="Sell",H41,-H41)</f>
        <v>1000</v>
      </c>
      <c r="O41" s="926">
        <f>IF(D41="Sell",L41,-L41)</f>
        <v>41851.49</v>
      </c>
      <c r="P41" s="905"/>
      <c r="R41" s="1"/>
      <c r="S41" s="1"/>
    </row>
    <row r="42" spans="1:19" s="133" customFormat="1" x14ac:dyDescent="0.2">
      <c r="A42" s="53"/>
      <c r="B42" s="159"/>
      <c r="C42" s="664"/>
      <c r="D42" s="159"/>
      <c r="E42" s="710"/>
      <c r="F42" s="710"/>
      <c r="G42" s="194"/>
      <c r="H42" s="664"/>
      <c r="I42" s="194"/>
      <c r="J42" s="194"/>
      <c r="K42" s="194"/>
      <c r="L42" s="468"/>
      <c r="M42" s="1"/>
      <c r="N42" s="138">
        <f>SUM(N39:N41)</f>
        <v>0</v>
      </c>
      <c r="O42" s="138">
        <f>SUM(O39:O41)</f>
        <v>8136.7900000000009</v>
      </c>
      <c r="P42" s="1">
        <f>SUM(O42)</f>
        <v>8136.7900000000009</v>
      </c>
      <c r="R42" s="1"/>
      <c r="S42" s="1"/>
    </row>
    <row r="43" spans="1:19" s="133" customFormat="1" x14ac:dyDescent="0.2">
      <c r="A43" s="53"/>
      <c r="B43" s="159"/>
      <c r="C43" s="664"/>
      <c r="D43" s="159"/>
      <c r="E43" s="710"/>
      <c r="F43" s="710"/>
      <c r="G43" s="194"/>
      <c r="H43" s="664"/>
      <c r="I43" s="194"/>
      <c r="J43" s="194"/>
      <c r="K43" s="976"/>
      <c r="L43" s="468"/>
      <c r="M43" s="1"/>
      <c r="N43" s="317"/>
      <c r="O43" s="282"/>
      <c r="P43" s="1"/>
      <c r="R43" s="1"/>
      <c r="S43" s="1"/>
    </row>
    <row r="44" spans="1:19" s="133" customFormat="1" x14ac:dyDescent="0.2">
      <c r="A44" s="53"/>
      <c r="B44" s="159" t="s">
        <v>33</v>
      </c>
      <c r="C44" s="664">
        <v>13160098</v>
      </c>
      <c r="D44" s="159" t="s">
        <v>112</v>
      </c>
      <c r="E44" s="710">
        <v>44218</v>
      </c>
      <c r="F44" s="710">
        <v>44223</v>
      </c>
      <c r="G44" s="194">
        <v>26.35</v>
      </c>
      <c r="H44" s="194">
        <v>1000</v>
      </c>
      <c r="I44" s="194">
        <v>26.35</v>
      </c>
      <c r="J44" s="194">
        <v>2.86</v>
      </c>
      <c r="K44" s="468">
        <v>2.2000000000000002</v>
      </c>
      <c r="L44" s="468">
        <v>26381.41</v>
      </c>
      <c r="N44" s="138">
        <f t="shared" ref="N44:N45" si="2">IF(D44="Sell",H44,-H44)</f>
        <v>-1000</v>
      </c>
      <c r="O44" s="138">
        <f t="shared" ref="O44:O45" si="3">IF(D44="Sell",L44,-L44)</f>
        <v>-26381.41</v>
      </c>
      <c r="P44" s="1"/>
      <c r="R44" s="1"/>
      <c r="S44" s="1"/>
    </row>
    <row r="45" spans="1:19" s="133" customFormat="1" ht="12" thickBot="1" x14ac:dyDescent="0.25">
      <c r="A45" s="53"/>
      <c r="B45" s="163" t="s">
        <v>33</v>
      </c>
      <c r="C45" s="669">
        <v>15161491</v>
      </c>
      <c r="D45" s="163" t="s">
        <v>111</v>
      </c>
      <c r="E45" s="718">
        <v>44372</v>
      </c>
      <c r="F45" s="718">
        <v>44376</v>
      </c>
      <c r="G45" s="191">
        <v>22.52</v>
      </c>
      <c r="H45" s="191">
        <v>1000</v>
      </c>
      <c r="I45" s="191">
        <v>27.23</v>
      </c>
      <c r="J45" s="191">
        <v>2.94</v>
      </c>
      <c r="K45" s="753">
        <v>2.2000000000000002</v>
      </c>
      <c r="L45" s="753">
        <v>22487.63</v>
      </c>
      <c r="M45" s="213"/>
      <c r="N45" s="142">
        <f t="shared" si="2"/>
        <v>1000</v>
      </c>
      <c r="O45" s="142">
        <f t="shared" si="3"/>
        <v>22487.63</v>
      </c>
      <c r="P45" s="211"/>
      <c r="R45" s="1"/>
      <c r="S45" s="1"/>
    </row>
    <row r="46" spans="1:19" s="133" customFormat="1" x14ac:dyDescent="0.2">
      <c r="A46" s="53"/>
      <c r="B46" s="159"/>
      <c r="C46" s="664"/>
      <c r="D46" s="159"/>
      <c r="E46" s="710"/>
      <c r="F46" s="710"/>
      <c r="G46" s="194"/>
      <c r="H46" s="664"/>
      <c r="I46" s="194"/>
      <c r="J46" s="194"/>
      <c r="K46" s="194"/>
      <c r="L46" s="468"/>
      <c r="M46" s="1"/>
      <c r="N46" s="167">
        <f>SUM(N44:N45)</f>
        <v>0</v>
      </c>
      <c r="O46" s="167">
        <f>SUM(O44:O45)</f>
        <v>-3893.7799999999988</v>
      </c>
      <c r="P46" s="1">
        <f>SUM(O46)</f>
        <v>-3893.7799999999988</v>
      </c>
      <c r="R46" s="1"/>
      <c r="S46" s="1"/>
    </row>
    <row r="47" spans="1:19" s="133" customFormat="1" ht="12" thickBot="1" x14ac:dyDescent="0.25">
      <c r="A47" s="53"/>
      <c r="B47" s="159"/>
      <c r="C47" s="664"/>
      <c r="D47" s="159"/>
      <c r="E47" s="710"/>
      <c r="F47" s="710"/>
      <c r="G47" s="194"/>
      <c r="H47" s="664"/>
      <c r="I47" s="194"/>
      <c r="J47" s="194"/>
      <c r="K47" s="194"/>
      <c r="L47" s="468"/>
      <c r="M47" s="1"/>
      <c r="N47" s="138"/>
      <c r="O47" s="169"/>
      <c r="P47" s="1"/>
      <c r="R47" s="1"/>
      <c r="S47" s="1"/>
    </row>
    <row r="48" spans="1:19" s="133" customFormat="1" ht="15" thickBot="1" x14ac:dyDescent="0.25">
      <c r="A48" s="53"/>
      <c r="B48" s="159"/>
      <c r="C48" s="664"/>
      <c r="D48" s="159"/>
      <c r="E48" s="710"/>
      <c r="F48" s="710"/>
      <c r="G48" s="194"/>
      <c r="H48" s="664"/>
      <c r="I48" s="194"/>
      <c r="J48" s="194"/>
      <c r="K48" s="194"/>
      <c r="L48" s="468"/>
      <c r="M48" s="1"/>
      <c r="N48" s="138"/>
      <c r="O48" s="930" t="s">
        <v>1</v>
      </c>
      <c r="P48" s="931">
        <f>P31+P37+P42+P46</f>
        <v>1362.7100000000009</v>
      </c>
      <c r="R48" s="1"/>
      <c r="S48" s="1"/>
    </row>
    <row r="49" spans="1:36" s="133" customFormat="1" x14ac:dyDescent="0.2">
      <c r="A49" s="53"/>
      <c r="B49" s="159"/>
      <c r="C49" s="664"/>
      <c r="D49" s="159"/>
      <c r="E49" s="710"/>
      <c r="F49" s="710"/>
      <c r="G49" s="194"/>
      <c r="H49" s="664"/>
      <c r="I49" s="194"/>
      <c r="J49" s="194"/>
      <c r="K49" s="194"/>
      <c r="L49" s="468"/>
      <c r="M49" s="1"/>
      <c r="N49" s="138"/>
      <c r="O49" s="167"/>
      <c r="P49" s="1"/>
      <c r="R49" s="1"/>
      <c r="S49" s="1"/>
    </row>
    <row r="50" spans="1:36" s="133" customFormat="1" ht="12" thickBot="1" x14ac:dyDescent="0.25">
      <c r="A50" s="881"/>
      <c r="B50" s="202"/>
      <c r="C50" s="882"/>
      <c r="D50" s="202"/>
      <c r="E50" s="883"/>
      <c r="F50" s="883"/>
      <c r="G50" s="884"/>
      <c r="H50" s="882"/>
      <c r="I50" s="884"/>
      <c r="J50" s="884"/>
      <c r="K50" s="884"/>
      <c r="L50" s="885"/>
      <c r="M50" s="319"/>
      <c r="N50" s="236"/>
      <c r="O50" s="236"/>
      <c r="P50" s="319"/>
      <c r="R50" s="1"/>
      <c r="S50" s="1"/>
    </row>
    <row r="51" spans="1:36" s="133" customFormat="1" ht="12.75" thickTop="1" thickBot="1" x14ac:dyDescent="0.25">
      <c r="A51" s="2"/>
      <c r="B51" s="12"/>
      <c r="C51" s="679"/>
      <c r="D51" s="12"/>
      <c r="E51" s="726"/>
      <c r="F51" s="726"/>
      <c r="G51" s="4"/>
      <c r="H51" s="679"/>
      <c r="I51" s="4"/>
      <c r="J51" s="4"/>
      <c r="K51" s="4"/>
      <c r="L51" s="4"/>
      <c r="M51" s="3"/>
      <c r="N51" s="3"/>
      <c r="O51" s="3"/>
      <c r="P51" s="3"/>
      <c r="R51" s="1"/>
      <c r="S51" s="1"/>
    </row>
    <row r="52" spans="1:36" s="133" customFormat="1" ht="15" thickBot="1" x14ac:dyDescent="0.25">
      <c r="A52" s="2"/>
      <c r="B52" s="12"/>
      <c r="C52" s="679"/>
      <c r="D52" s="12"/>
      <c r="E52" s="726"/>
      <c r="F52" s="726"/>
      <c r="G52" s="4"/>
      <c r="H52" s="679"/>
      <c r="I52" s="4"/>
      <c r="J52" s="4"/>
      <c r="K52" s="4"/>
      <c r="L52" s="4"/>
      <c r="M52" s="3"/>
      <c r="N52" s="864"/>
      <c r="P52" s="931">
        <f>SUM(P29:P50)</f>
        <v>2725.4200000000019</v>
      </c>
      <c r="R52" s="1"/>
      <c r="S52" s="1"/>
    </row>
    <row r="53" spans="1:36" s="133" customFormat="1" x14ac:dyDescent="0.2">
      <c r="A53" s="2"/>
      <c r="B53" s="12"/>
      <c r="C53" s="679"/>
      <c r="D53" s="12"/>
      <c r="E53" s="726"/>
      <c r="F53" s="726"/>
      <c r="G53" s="4"/>
      <c r="H53" s="679"/>
      <c r="I53" s="4"/>
      <c r="J53" s="4"/>
      <c r="K53" s="4"/>
      <c r="L53" s="4"/>
      <c r="M53" s="3"/>
      <c r="N53" s="3"/>
      <c r="O53" s="3"/>
      <c r="P53" s="3"/>
      <c r="R53" s="1"/>
      <c r="S53" s="1"/>
    </row>
    <row r="54" spans="1:36" s="133" customFormat="1" x14ac:dyDescent="0.2">
      <c r="B54" s="5"/>
      <c r="C54" s="114"/>
      <c r="D54" s="5"/>
      <c r="E54" s="533"/>
      <c r="F54" s="533"/>
      <c r="G54" s="26"/>
      <c r="H54" s="114"/>
      <c r="I54" s="26"/>
      <c r="J54" s="26"/>
      <c r="K54" s="26"/>
      <c r="L54" s="26"/>
      <c r="M54" s="1"/>
      <c r="N54" s="1"/>
      <c r="O54" s="1"/>
      <c r="P54" s="1"/>
      <c r="R54" s="1"/>
      <c r="S54" s="1"/>
    </row>
    <row r="56" spans="1:36" s="133" customFormat="1" x14ac:dyDescent="0.2">
      <c r="A56" s="888"/>
      <c r="B56" s="889"/>
      <c r="C56" s="890"/>
      <c r="D56" s="889"/>
      <c r="E56" s="891"/>
      <c r="F56" s="891"/>
      <c r="G56" s="892"/>
      <c r="H56" s="890"/>
      <c r="I56" s="892"/>
      <c r="J56" s="892"/>
      <c r="K56" s="892"/>
      <c r="L56" s="892"/>
      <c r="M56" s="893"/>
      <c r="N56" s="893"/>
      <c r="O56" s="893"/>
      <c r="P56" s="893"/>
      <c r="Q56" s="888"/>
      <c r="R56" s="1"/>
      <c r="S56" s="1"/>
    </row>
    <row r="57" spans="1:36" s="133" customFormat="1" ht="12" thickBot="1" x14ac:dyDescent="0.25">
      <c r="B57" s="5"/>
      <c r="C57" s="114"/>
      <c r="D57" s="5"/>
      <c r="E57" s="533"/>
      <c r="F57" s="533"/>
      <c r="G57" s="26"/>
      <c r="H57" s="114"/>
      <c r="I57" s="26"/>
      <c r="J57" s="26"/>
      <c r="K57" s="26"/>
      <c r="L57" s="26"/>
      <c r="M57" s="1"/>
      <c r="N57" s="1"/>
      <c r="O57" s="1"/>
      <c r="P57" s="1"/>
      <c r="R57" s="1"/>
      <c r="S57" s="1"/>
    </row>
    <row r="58" spans="1:36" s="133" customFormat="1" ht="10.15" customHeight="1" x14ac:dyDescent="0.35">
      <c r="B58" s="1130" t="s">
        <v>330</v>
      </c>
      <c r="C58" s="1131"/>
      <c r="D58" s="1132"/>
      <c r="E58" s="1136" t="s">
        <v>55</v>
      </c>
      <c r="F58" s="1137"/>
      <c r="G58" s="1137"/>
      <c r="H58" s="1137"/>
      <c r="I58" s="1137"/>
      <c r="J58" s="1137"/>
      <c r="K58" s="1137"/>
      <c r="L58" s="1138"/>
      <c r="M58" s="684"/>
      <c r="N58" s="685"/>
      <c r="O58" s="525"/>
      <c r="P58" s="1"/>
      <c r="Q58" s="6"/>
      <c r="R58" s="114"/>
      <c r="S58" s="104"/>
      <c r="V58" s="183"/>
      <c r="AI58" s="5"/>
      <c r="AJ58" s="47"/>
    </row>
    <row r="59" spans="1:36" s="133" customFormat="1" ht="15.75" customHeight="1" thickBot="1" x14ac:dyDescent="0.4">
      <c r="B59" s="1133"/>
      <c r="C59" s="1134"/>
      <c r="D59" s="1135"/>
      <c r="E59" s="1139"/>
      <c r="F59" s="1140"/>
      <c r="G59" s="1140"/>
      <c r="H59" s="1140"/>
      <c r="I59" s="1140"/>
      <c r="J59" s="1140"/>
      <c r="K59" s="1140"/>
      <c r="L59" s="1141"/>
      <c r="M59" s="684"/>
      <c r="N59" s="685"/>
      <c r="O59" s="525"/>
      <c r="P59" s="1"/>
      <c r="Q59" s="6"/>
      <c r="R59" s="114"/>
      <c r="S59" s="104"/>
      <c r="V59" s="183"/>
      <c r="AI59" s="5"/>
      <c r="AJ59" s="47"/>
    </row>
    <row r="60" spans="1:36" s="133" customFormat="1" x14ac:dyDescent="0.2">
      <c r="B60" s="5"/>
      <c r="C60" s="114"/>
      <c r="D60" s="5"/>
      <c r="E60" s="533"/>
      <c r="F60" s="533"/>
      <c r="G60" s="26"/>
      <c r="H60" s="114"/>
      <c r="I60" s="26"/>
      <c r="J60" s="26"/>
      <c r="K60" s="26"/>
      <c r="L60" s="26"/>
      <c r="M60" s="1"/>
      <c r="N60" s="1"/>
      <c r="O60" s="1"/>
      <c r="P60" s="1"/>
      <c r="R60" s="1"/>
      <c r="S60" s="1"/>
    </row>
    <row r="61" spans="1:36" s="133" customFormat="1" ht="12" thickBot="1" x14ac:dyDescent="0.25">
      <c r="C61" s="654"/>
      <c r="E61" s="533"/>
      <c r="F61" s="533"/>
      <c r="G61" s="26"/>
      <c r="H61" s="114"/>
      <c r="I61" s="26"/>
      <c r="J61" s="26"/>
      <c r="K61" s="26"/>
      <c r="L61" s="26"/>
      <c r="M61" s="1"/>
      <c r="N61" s="1"/>
      <c r="O61" s="1"/>
      <c r="P61" s="1"/>
      <c r="Q61" s="1"/>
    </row>
    <row r="62" spans="1:36" s="385" customFormat="1" ht="19.5" thickBot="1" x14ac:dyDescent="0.35">
      <c r="A62" s="412" t="s">
        <v>268</v>
      </c>
      <c r="B62" s="413"/>
      <c r="C62" s="655"/>
      <c r="D62" s="413"/>
      <c r="E62" s="703"/>
      <c r="F62" s="703"/>
      <c r="G62" s="728"/>
      <c r="H62" s="655"/>
      <c r="I62" s="728"/>
      <c r="J62" s="728"/>
      <c r="K62" s="728"/>
      <c r="L62" s="744"/>
      <c r="M62" s="421"/>
      <c r="N62" s="421"/>
      <c r="O62" s="386"/>
      <c r="P62" s="386"/>
      <c r="Q62" s="386"/>
      <c r="R62" s="386"/>
      <c r="S62" s="386"/>
    </row>
    <row r="63" spans="1:36" s="133" customFormat="1" ht="12" thickBot="1" x14ac:dyDescent="0.25">
      <c r="B63" s="5"/>
      <c r="C63" s="114"/>
      <c r="D63" s="5"/>
      <c r="E63" s="533"/>
      <c r="F63" s="533"/>
      <c r="G63" s="26"/>
      <c r="H63" s="114"/>
      <c r="I63" s="26"/>
      <c r="J63" s="26"/>
      <c r="K63" s="26"/>
      <c r="L63" s="26"/>
      <c r="M63" s="1"/>
      <c r="N63" s="1"/>
      <c r="O63" s="1"/>
      <c r="P63" s="1"/>
      <c r="Q63" s="1"/>
      <c r="R63" s="1"/>
      <c r="S63" s="1"/>
    </row>
    <row r="64" spans="1:36" s="554" customFormat="1" ht="34.5" customHeight="1" thickBot="1" x14ac:dyDescent="0.25">
      <c r="A64" s="346" t="s">
        <v>252</v>
      </c>
      <c r="B64" s="347" t="s">
        <v>3</v>
      </c>
      <c r="C64" s="656" t="s">
        <v>253</v>
      </c>
      <c r="D64" s="347" t="s">
        <v>254</v>
      </c>
      <c r="E64" s="681" t="s">
        <v>255</v>
      </c>
      <c r="F64" s="681" t="s">
        <v>256</v>
      </c>
      <c r="G64" s="348" t="s">
        <v>257</v>
      </c>
      <c r="H64" s="656" t="s">
        <v>4</v>
      </c>
      <c r="I64" s="348" t="s">
        <v>258</v>
      </c>
      <c r="J64" s="348" t="s">
        <v>259</v>
      </c>
      <c r="K64" s="348" t="s">
        <v>260</v>
      </c>
      <c r="L64" s="529" t="s">
        <v>261</v>
      </c>
      <c r="M64" s="686"/>
      <c r="N64" s="686"/>
      <c r="O64" s="687" t="s">
        <v>276</v>
      </c>
      <c r="P64" s="688" t="s">
        <v>277</v>
      </c>
      <c r="Q64" s="701" t="s">
        <v>80</v>
      </c>
      <c r="R64" s="344"/>
      <c r="S64" s="344"/>
    </row>
    <row r="65" spans="1:19" s="133" customFormat="1" ht="18.75" customHeight="1" thickTop="1" thickBot="1" x14ac:dyDescent="0.25">
      <c r="B65" s="5"/>
      <c r="C65" s="114"/>
      <c r="D65" s="5"/>
      <c r="E65" s="533"/>
      <c r="F65" s="533"/>
      <c r="G65" s="26"/>
      <c r="H65" s="114"/>
      <c r="I65" s="26"/>
      <c r="J65" s="26"/>
      <c r="K65" s="26"/>
      <c r="L65" s="26"/>
      <c r="M65" s="1"/>
      <c r="N65" s="1"/>
      <c r="O65" s="456">
        <f>O75</f>
        <v>-99630.55</v>
      </c>
      <c r="P65" s="457">
        <f>P75</f>
        <v>30935.260000000002</v>
      </c>
      <c r="Q65" s="702">
        <f>SUM(O65:P65)</f>
        <v>-68695.290000000008</v>
      </c>
      <c r="R65" s="1"/>
      <c r="S65" s="1"/>
    </row>
    <row r="66" spans="1:19" s="164" customFormat="1" ht="19.5" thickBot="1" x14ac:dyDescent="0.35">
      <c r="A66" s="345" t="s">
        <v>251</v>
      </c>
      <c r="B66" s="371"/>
      <c r="C66" s="657"/>
      <c r="D66" s="372"/>
      <c r="E66" s="704"/>
      <c r="F66" s="704"/>
      <c r="G66" s="729"/>
      <c r="H66" s="730"/>
      <c r="I66" s="1146" t="s">
        <v>331</v>
      </c>
      <c r="J66" s="1147"/>
      <c r="K66" s="1147"/>
      <c r="L66" s="1147"/>
      <c r="M66" s="171"/>
      <c r="N66" s="171"/>
      <c r="O66" s="171"/>
      <c r="P66" s="171"/>
      <c r="Q66" s="171"/>
      <c r="R66" s="171"/>
      <c r="S66" s="171"/>
    </row>
    <row r="67" spans="1:19" s="133" customFormat="1" ht="12" thickBot="1" x14ac:dyDescent="0.25">
      <c r="B67" s="5"/>
      <c r="C67" s="114"/>
      <c r="D67" s="5"/>
      <c r="E67" s="533"/>
      <c r="F67" s="533"/>
      <c r="G67" s="26"/>
      <c r="H67" s="114"/>
      <c r="I67" s="26"/>
      <c r="J67" s="26"/>
      <c r="K67" s="26"/>
      <c r="L67" s="26"/>
      <c r="M67" s="1"/>
      <c r="N67" s="1"/>
      <c r="O67" s="1"/>
      <c r="P67" s="1"/>
      <c r="R67" s="1"/>
      <c r="S67" s="1"/>
    </row>
    <row r="68" spans="1:19" s="133" customFormat="1" x14ac:dyDescent="0.2">
      <c r="B68" s="578"/>
      <c r="C68" s="658"/>
      <c r="D68" s="579"/>
      <c r="E68" s="705"/>
      <c r="F68" s="705"/>
      <c r="G68" s="731"/>
      <c r="H68" s="658"/>
      <c r="I68" s="731"/>
      <c r="J68" s="731"/>
      <c r="K68" s="731"/>
      <c r="L68" s="745"/>
      <c r="M68" s="3"/>
      <c r="N68" s="1"/>
      <c r="O68" s="515"/>
      <c r="P68" s="132"/>
      <c r="Q68" s="1"/>
      <c r="R68" s="1"/>
      <c r="S68" s="1"/>
    </row>
    <row r="69" spans="1:19" s="136" customFormat="1" x14ac:dyDescent="0.2">
      <c r="B69" s="582" t="s">
        <v>300</v>
      </c>
      <c r="C69" s="659">
        <v>7519507</v>
      </c>
      <c r="D69" s="583" t="s">
        <v>112</v>
      </c>
      <c r="E69" s="706">
        <v>43668</v>
      </c>
      <c r="F69" s="706">
        <v>43670</v>
      </c>
      <c r="G69" s="524">
        <v>6.18</v>
      </c>
      <c r="H69" s="659">
        <v>2000</v>
      </c>
      <c r="I69" s="176">
        <v>27.23</v>
      </c>
      <c r="J69" s="176">
        <v>2.94</v>
      </c>
      <c r="K69" s="176">
        <v>2.2000000000000002</v>
      </c>
      <c r="L69" s="746">
        <v>12392.37</v>
      </c>
      <c r="M69" s="135"/>
      <c r="N69" s="140"/>
      <c r="O69" s="516">
        <f t="shared" ref="O69:O72" si="4">IF(D69="Sell","",-L69)</f>
        <v>-12392.37</v>
      </c>
      <c r="P69" s="33" t="str">
        <f t="shared" ref="P69:P72" si="5">IF(D69="Sell",L69,"")</f>
        <v/>
      </c>
      <c r="Q69" s="140"/>
      <c r="R69" s="140"/>
      <c r="S69" s="140"/>
    </row>
    <row r="70" spans="1:19" s="136" customFormat="1" x14ac:dyDescent="0.2">
      <c r="B70" s="582" t="s">
        <v>300</v>
      </c>
      <c r="C70" s="659">
        <v>8652774</v>
      </c>
      <c r="D70" s="583" t="s">
        <v>111</v>
      </c>
      <c r="E70" s="706">
        <v>43852</v>
      </c>
      <c r="F70" s="706">
        <v>43854</v>
      </c>
      <c r="G70" s="524">
        <v>6.2</v>
      </c>
      <c r="H70" s="659">
        <v>2000</v>
      </c>
      <c r="I70" s="176">
        <v>27.23</v>
      </c>
      <c r="J70" s="176">
        <v>2.94</v>
      </c>
      <c r="K70" s="176">
        <v>2.2000000000000002</v>
      </c>
      <c r="L70" s="746">
        <v>12367.63</v>
      </c>
      <c r="M70" s="135"/>
      <c r="N70" s="140"/>
      <c r="O70" s="516" t="str">
        <f t="shared" si="4"/>
        <v/>
      </c>
      <c r="P70" s="33">
        <f t="shared" si="5"/>
        <v>12367.63</v>
      </c>
      <c r="Q70" s="140"/>
      <c r="R70" s="140"/>
      <c r="S70" s="140"/>
    </row>
    <row r="71" spans="1:19" s="136" customFormat="1" x14ac:dyDescent="0.2">
      <c r="B71" s="582" t="s">
        <v>30</v>
      </c>
      <c r="C71" s="659">
        <v>7652216</v>
      </c>
      <c r="D71" s="583" t="s">
        <v>112</v>
      </c>
      <c r="E71" s="706">
        <v>43684</v>
      </c>
      <c r="F71" s="706">
        <v>43686</v>
      </c>
      <c r="G71" s="524">
        <v>79.238799999999998</v>
      </c>
      <c r="H71" s="659">
        <v>1000</v>
      </c>
      <c r="I71" s="176">
        <v>79.239999999999995</v>
      </c>
      <c r="J71" s="176">
        <v>8.14</v>
      </c>
      <c r="K71" s="176">
        <v>2.2000000000000002</v>
      </c>
      <c r="L71" s="746">
        <v>79328.33</v>
      </c>
      <c r="M71" s="135"/>
      <c r="N71" s="140"/>
      <c r="O71" s="516">
        <f t="shared" si="4"/>
        <v>-79328.33</v>
      </c>
      <c r="P71" s="33" t="str">
        <f t="shared" si="5"/>
        <v/>
      </c>
      <c r="Q71" s="140"/>
      <c r="R71" s="140"/>
      <c r="S71" s="140"/>
    </row>
    <row r="72" spans="1:19" s="136" customFormat="1" x14ac:dyDescent="0.2">
      <c r="B72" s="582" t="s">
        <v>99</v>
      </c>
      <c r="C72" s="659">
        <v>9281431</v>
      </c>
      <c r="D72" s="583" t="s">
        <v>111</v>
      </c>
      <c r="E72" s="706">
        <v>43913</v>
      </c>
      <c r="F72" s="706">
        <v>43915</v>
      </c>
      <c r="G72" s="524">
        <v>3.72</v>
      </c>
      <c r="H72" s="659">
        <v>5000</v>
      </c>
      <c r="I72" s="176">
        <v>27.23</v>
      </c>
      <c r="J72" s="176">
        <v>2.94</v>
      </c>
      <c r="K72" s="176">
        <v>2.2000000000000002</v>
      </c>
      <c r="L72" s="746">
        <v>18567.63</v>
      </c>
      <c r="M72" s="135"/>
      <c r="N72" s="140"/>
      <c r="O72" s="516" t="str">
        <f t="shared" si="4"/>
        <v/>
      </c>
      <c r="P72" s="33">
        <f t="shared" si="5"/>
        <v>18567.63</v>
      </c>
      <c r="Q72" s="140"/>
      <c r="R72" s="140"/>
      <c r="S72" s="140"/>
    </row>
    <row r="73" spans="1:19" s="28" customFormat="1" x14ac:dyDescent="0.2">
      <c r="B73" s="175" t="s">
        <v>7</v>
      </c>
      <c r="C73" s="660" t="s">
        <v>332</v>
      </c>
      <c r="D73" s="593" t="s">
        <v>112</v>
      </c>
      <c r="E73" s="707">
        <v>43978</v>
      </c>
      <c r="F73" s="707">
        <v>43984</v>
      </c>
      <c r="G73" s="176">
        <v>14.15</v>
      </c>
      <c r="H73" s="660">
        <v>559</v>
      </c>
      <c r="I73" s="176">
        <v>0</v>
      </c>
      <c r="J73" s="176">
        <v>0</v>
      </c>
      <c r="K73" s="694">
        <v>0</v>
      </c>
      <c r="L73" s="746">
        <f>G73*H73</f>
        <v>7909.85</v>
      </c>
      <c r="M73" s="135"/>
      <c r="N73" s="370"/>
      <c r="O73" s="516">
        <f t="shared" ref="O73" si="6">IF(D73="Sell","",-L73)</f>
        <v>-7909.85</v>
      </c>
      <c r="P73" s="33" t="str">
        <f t="shared" ref="P73" si="7">IF(D73="Sell",L73,"")</f>
        <v/>
      </c>
      <c r="Q73" s="135"/>
      <c r="R73" s="135"/>
      <c r="S73" s="135"/>
    </row>
    <row r="74" spans="1:19" s="133" customFormat="1" ht="12" thickBot="1" x14ac:dyDescent="0.25">
      <c r="B74" s="594"/>
      <c r="C74" s="661"/>
      <c r="D74" s="595"/>
      <c r="E74" s="708"/>
      <c r="F74" s="708"/>
      <c r="G74" s="732"/>
      <c r="H74" s="661"/>
      <c r="I74" s="732"/>
      <c r="J74" s="732"/>
      <c r="K74" s="732"/>
      <c r="L74" s="747"/>
      <c r="M74" s="3"/>
      <c r="N74" s="1"/>
      <c r="O74" s="309"/>
      <c r="P74" s="147"/>
      <c r="Q74" s="1"/>
      <c r="R74" s="1"/>
      <c r="S74" s="1"/>
    </row>
    <row r="75" spans="1:19" s="133" customFormat="1" x14ac:dyDescent="0.2">
      <c r="B75" s="5"/>
      <c r="C75" s="114"/>
      <c r="D75" s="5"/>
      <c r="E75" s="533"/>
      <c r="F75" s="533"/>
      <c r="G75" s="26"/>
      <c r="H75" s="114"/>
      <c r="I75" s="26"/>
      <c r="J75" s="26"/>
      <c r="K75" s="26"/>
      <c r="L75" s="26"/>
      <c r="M75" s="1"/>
      <c r="N75" s="1"/>
      <c r="O75" s="689">
        <f>SUM(O69:O74)</f>
        <v>-99630.55</v>
      </c>
      <c r="P75" s="690">
        <f>SUM(P69:P74)</f>
        <v>30935.260000000002</v>
      </c>
      <c r="Q75" s="1">
        <f>SUM(O75:P75)</f>
        <v>-68695.290000000008</v>
      </c>
      <c r="R75" s="1"/>
      <c r="S75" s="1"/>
    </row>
    <row r="76" spans="1:19" s="133" customFormat="1" ht="12" thickBot="1" x14ac:dyDescent="0.25">
      <c r="B76" s="5"/>
      <c r="C76" s="114"/>
      <c r="D76" s="5"/>
      <c r="E76" s="533"/>
      <c r="F76" s="533"/>
      <c r="G76" s="26"/>
      <c r="H76" s="114"/>
      <c r="I76" s="26"/>
      <c r="J76" s="26"/>
      <c r="K76" s="26"/>
      <c r="L76" s="26"/>
      <c r="M76" s="1"/>
      <c r="N76" s="1"/>
      <c r="O76" s="1"/>
      <c r="P76" s="1"/>
      <c r="R76" s="1"/>
      <c r="S76" s="1"/>
    </row>
    <row r="77" spans="1:19" s="385" customFormat="1" ht="19.5" thickBot="1" x14ac:dyDescent="0.35">
      <c r="E77" s="682"/>
      <c r="F77" s="682"/>
      <c r="G77" s="558"/>
      <c r="H77" s="558"/>
      <c r="I77" s="558"/>
      <c r="J77" s="558"/>
      <c r="K77" s="590"/>
      <c r="L77" s="590"/>
      <c r="M77" s="386"/>
      <c r="N77" s="386"/>
      <c r="O77" s="386"/>
      <c r="P77" s="386"/>
      <c r="Q77" s="386"/>
      <c r="R77" s="386"/>
      <c r="S77" s="386"/>
    </row>
    <row r="78" spans="1:19" s="385" customFormat="1" ht="20.25" thickTop="1" thickBot="1" x14ac:dyDescent="0.35">
      <c r="B78" s="1142" t="s">
        <v>264</v>
      </c>
      <c r="C78" s="1143"/>
      <c r="D78" s="1143"/>
      <c r="E78" s="1143"/>
      <c r="F78" s="1143"/>
      <c r="G78" s="1143"/>
      <c r="H78" s="1143"/>
      <c r="I78" s="1143"/>
      <c r="J78" s="1144"/>
      <c r="K78" s="590"/>
      <c r="L78" s="590"/>
      <c r="M78" s="1128" t="s">
        <v>273</v>
      </c>
      <c r="N78" s="1126"/>
      <c r="O78" s="1126">
        <f>P90</f>
        <v>4795.4800000000014</v>
      </c>
      <c r="P78" s="1127"/>
      <c r="Q78" s="596"/>
      <c r="R78" s="386"/>
      <c r="S78" s="386"/>
    </row>
    <row r="79" spans="1:19" s="133" customFormat="1" ht="12" thickBot="1" x14ac:dyDescent="0.25">
      <c r="B79" s="5"/>
      <c r="C79" s="114"/>
      <c r="D79" s="5"/>
      <c r="E79" s="533"/>
      <c r="F79" s="533"/>
      <c r="G79" s="26"/>
      <c r="H79" s="114"/>
      <c r="I79" s="26"/>
      <c r="J79" s="26"/>
      <c r="K79" s="26"/>
      <c r="L79" s="26"/>
      <c r="M79" s="1"/>
      <c r="N79" s="1"/>
      <c r="O79" s="1"/>
      <c r="P79" s="1"/>
      <c r="R79" s="1"/>
      <c r="S79" s="1"/>
    </row>
    <row r="80" spans="1:19" s="589" customFormat="1" ht="37.5" customHeight="1" thickBot="1" x14ac:dyDescent="0.25">
      <c r="A80" s="756"/>
      <c r="B80" s="759" t="s">
        <v>338</v>
      </c>
      <c r="C80" s="760" t="s">
        <v>103</v>
      </c>
      <c r="D80" s="761" t="s">
        <v>104</v>
      </c>
      <c r="E80" s="762" t="s">
        <v>105</v>
      </c>
      <c r="F80" s="762" t="s">
        <v>106</v>
      </c>
      <c r="G80" s="763" t="s">
        <v>27</v>
      </c>
      <c r="H80" s="760" t="s">
        <v>45</v>
      </c>
      <c r="I80" s="763" t="s">
        <v>107</v>
      </c>
      <c r="J80" s="763" t="s">
        <v>108</v>
      </c>
      <c r="K80" s="763" t="s">
        <v>109</v>
      </c>
      <c r="L80" s="764" t="s">
        <v>110</v>
      </c>
      <c r="M80" s="757"/>
      <c r="N80" s="765" t="s">
        <v>45</v>
      </c>
      <c r="O80" s="766" t="s">
        <v>110</v>
      </c>
      <c r="P80" s="767" t="s">
        <v>119</v>
      </c>
    </row>
    <row r="81" spans="2:19" s="133" customFormat="1" ht="12" thickTop="1" x14ac:dyDescent="0.2">
      <c r="B81" s="447"/>
      <c r="C81" s="668"/>
      <c r="D81" s="448"/>
      <c r="E81" s="717"/>
      <c r="F81" s="717"/>
      <c r="G81" s="738"/>
      <c r="H81" s="668"/>
      <c r="I81" s="738"/>
      <c r="J81" s="738"/>
      <c r="K81" s="738"/>
      <c r="L81" s="758"/>
      <c r="M81" s="3"/>
      <c r="N81" s="513"/>
      <c r="O81" s="514"/>
      <c r="P81" s="514"/>
      <c r="Q81" s="1"/>
      <c r="R81" s="1"/>
      <c r="S81" s="1"/>
    </row>
    <row r="82" spans="2:19" s="136" customFormat="1" x14ac:dyDescent="0.2">
      <c r="B82" s="582" t="s">
        <v>300</v>
      </c>
      <c r="C82" s="659">
        <v>7519507</v>
      </c>
      <c r="D82" s="583" t="s">
        <v>112</v>
      </c>
      <c r="E82" s="706">
        <v>43668</v>
      </c>
      <c r="F82" s="706">
        <v>43670</v>
      </c>
      <c r="G82" s="524">
        <v>6.18</v>
      </c>
      <c r="H82" s="659">
        <v>2000</v>
      </c>
      <c r="I82" s="176">
        <v>27.23</v>
      </c>
      <c r="J82" s="176">
        <v>2.94</v>
      </c>
      <c r="K82" s="176">
        <v>2.2000000000000002</v>
      </c>
      <c r="L82" s="746">
        <v>12392.37</v>
      </c>
      <c r="M82" s="135"/>
      <c r="N82" s="631">
        <f>IF(D82="Sell",H82,-H82)</f>
        <v>-2000</v>
      </c>
      <c r="O82" s="692">
        <f>IF(D82="Sell",L82,-L82)</f>
        <v>-12392.37</v>
      </c>
      <c r="P82" s="692"/>
      <c r="Q82" s="140"/>
      <c r="R82" s="140"/>
      <c r="S82" s="140"/>
    </row>
    <row r="83" spans="2:19" s="136" customFormat="1" x14ac:dyDescent="0.2">
      <c r="B83" s="584" t="s">
        <v>300</v>
      </c>
      <c r="C83" s="663">
        <v>8652774</v>
      </c>
      <c r="D83" s="585" t="s">
        <v>111</v>
      </c>
      <c r="E83" s="709">
        <v>43852</v>
      </c>
      <c r="F83" s="709">
        <v>43854</v>
      </c>
      <c r="G83" s="733">
        <v>6.2</v>
      </c>
      <c r="H83" s="663">
        <v>2000</v>
      </c>
      <c r="I83" s="733">
        <v>27.23</v>
      </c>
      <c r="J83" s="733">
        <v>2.94</v>
      </c>
      <c r="K83" s="733">
        <v>2.2000000000000002</v>
      </c>
      <c r="L83" s="748">
        <v>12367.63</v>
      </c>
      <c r="M83" s="135"/>
      <c r="N83" s="629">
        <f t="shared" ref="N83:N87" si="8">IF(D83="Sell",H83,-H83)</f>
        <v>2000</v>
      </c>
      <c r="O83" s="693">
        <f t="shared" ref="O83:O87" si="9">IF(D83="Sell",L83,-L83)</f>
        <v>12367.63</v>
      </c>
      <c r="P83" s="692"/>
      <c r="Q83" s="140"/>
      <c r="R83" s="140"/>
      <c r="S83" s="140"/>
    </row>
    <row r="84" spans="2:19" s="136" customFormat="1" x14ac:dyDescent="0.2">
      <c r="B84" s="582"/>
      <c r="C84" s="659"/>
      <c r="D84" s="583"/>
      <c r="E84" s="706"/>
      <c r="F84" s="706"/>
      <c r="G84" s="524"/>
      <c r="H84" s="659"/>
      <c r="I84" s="524"/>
      <c r="J84" s="524"/>
      <c r="K84" s="524"/>
      <c r="L84" s="749"/>
      <c r="M84" s="135"/>
      <c r="N84" s="513">
        <f>SUM(N82:N83)</f>
        <v>0</v>
      </c>
      <c r="O84" s="514">
        <f>SUM(O82:O83)</f>
        <v>-24.740000000001601</v>
      </c>
      <c r="P84" s="692">
        <f>O84</f>
        <v>-24.740000000001601</v>
      </c>
      <c r="Q84" s="140"/>
      <c r="R84" s="140"/>
      <c r="S84" s="140"/>
    </row>
    <row r="85" spans="2:19" s="136" customFormat="1" x14ac:dyDescent="0.2">
      <c r="B85" s="582"/>
      <c r="C85" s="659"/>
      <c r="D85" s="583"/>
      <c r="E85" s="706"/>
      <c r="F85" s="706"/>
      <c r="G85" s="524"/>
      <c r="H85" s="659"/>
      <c r="I85" s="176"/>
      <c r="J85" s="176"/>
      <c r="K85" s="176"/>
      <c r="L85" s="746"/>
      <c r="M85" s="135"/>
      <c r="N85" s="631"/>
      <c r="O85" s="692"/>
      <c r="P85" s="692"/>
      <c r="Q85" s="140"/>
      <c r="R85" s="140"/>
      <c r="S85" s="140"/>
    </row>
    <row r="86" spans="2:19" s="133" customFormat="1" x14ac:dyDescent="0.2">
      <c r="B86" s="352" t="s">
        <v>99</v>
      </c>
      <c r="C86" s="664">
        <v>-119091144</v>
      </c>
      <c r="D86" s="159" t="s">
        <v>112</v>
      </c>
      <c r="E86" s="710">
        <v>43349</v>
      </c>
      <c r="F86" s="710">
        <v>43353</v>
      </c>
      <c r="G86" s="194">
        <v>2.75</v>
      </c>
      <c r="H86" s="664">
        <v>5000</v>
      </c>
      <c r="I86" s="194">
        <v>20.14</v>
      </c>
      <c r="J86" s="194">
        <v>2.0099999999999998</v>
      </c>
      <c r="K86" s="194">
        <v>0</v>
      </c>
      <c r="L86" s="746">
        <v>13772.15</v>
      </c>
      <c r="M86" s="135"/>
      <c r="N86" s="631">
        <f t="shared" si="8"/>
        <v>-5000</v>
      </c>
      <c r="O86" s="692">
        <f t="shared" si="9"/>
        <v>-13772.15</v>
      </c>
      <c r="P86" s="692"/>
    </row>
    <row r="87" spans="2:19" s="136" customFormat="1" x14ac:dyDescent="0.2">
      <c r="B87" s="584" t="s">
        <v>99</v>
      </c>
      <c r="C87" s="663">
        <v>9281431</v>
      </c>
      <c r="D87" s="585" t="s">
        <v>111</v>
      </c>
      <c r="E87" s="709">
        <v>43913</v>
      </c>
      <c r="F87" s="709">
        <v>43915</v>
      </c>
      <c r="G87" s="733">
        <v>3.72</v>
      </c>
      <c r="H87" s="663">
        <v>5000</v>
      </c>
      <c r="I87" s="733">
        <v>27.23</v>
      </c>
      <c r="J87" s="733">
        <v>2.94</v>
      </c>
      <c r="K87" s="733">
        <v>2.2000000000000002</v>
      </c>
      <c r="L87" s="748">
        <v>18567.63</v>
      </c>
      <c r="M87" s="135"/>
      <c r="N87" s="629">
        <f t="shared" si="8"/>
        <v>5000</v>
      </c>
      <c r="O87" s="693">
        <f t="shared" si="9"/>
        <v>18567.63</v>
      </c>
      <c r="P87" s="692"/>
      <c r="Q87" s="140"/>
      <c r="R87" s="140"/>
      <c r="S87" s="140"/>
    </row>
    <row r="88" spans="2:19" s="136" customFormat="1" x14ac:dyDescent="0.2">
      <c r="B88" s="582"/>
      <c r="C88" s="659"/>
      <c r="D88" s="583"/>
      <c r="E88" s="706"/>
      <c r="F88" s="706"/>
      <c r="G88" s="524"/>
      <c r="H88" s="659"/>
      <c r="I88" s="524"/>
      <c r="J88" s="524"/>
      <c r="K88" s="524"/>
      <c r="L88" s="749"/>
      <c r="M88" s="135"/>
      <c r="N88" s="513">
        <f>SUM(N86:N87)</f>
        <v>0</v>
      </c>
      <c r="O88" s="514">
        <f>SUM(O86:O87)</f>
        <v>4795.4800000000014</v>
      </c>
      <c r="P88" s="692">
        <f>SUM(N88:O88)</f>
        <v>4795.4800000000014</v>
      </c>
      <c r="Q88" s="140"/>
      <c r="R88" s="140"/>
      <c r="S88" s="140"/>
    </row>
    <row r="89" spans="2:19" s="133" customFormat="1" ht="12" thickBot="1" x14ac:dyDescent="0.25">
      <c r="B89" s="580"/>
      <c r="C89" s="665"/>
      <c r="D89" s="581"/>
      <c r="E89" s="711"/>
      <c r="F89" s="711"/>
      <c r="G89" s="734"/>
      <c r="H89" s="665"/>
      <c r="I89" s="732"/>
      <c r="J89" s="732"/>
      <c r="K89" s="732"/>
      <c r="L89" s="747"/>
      <c r="M89" s="3"/>
      <c r="N89" s="309"/>
      <c r="O89" s="142"/>
      <c r="P89" s="147"/>
      <c r="Q89" s="1"/>
      <c r="R89" s="1"/>
      <c r="S89" s="1"/>
    </row>
    <row r="90" spans="2:19" s="133" customFormat="1" x14ac:dyDescent="0.2">
      <c r="B90" s="5"/>
      <c r="C90" s="114"/>
      <c r="D90" s="5"/>
      <c r="E90" s="533"/>
      <c r="F90" s="533"/>
      <c r="G90" s="26"/>
      <c r="H90" s="114"/>
      <c r="I90" s="26"/>
      <c r="J90" s="26"/>
      <c r="K90" s="26"/>
      <c r="L90" s="26"/>
      <c r="M90" s="1"/>
      <c r="N90" s="1"/>
      <c r="O90" s="1"/>
      <c r="P90" s="557">
        <f>SUM(P88)</f>
        <v>4795.4800000000014</v>
      </c>
      <c r="R90" s="1"/>
      <c r="S90" s="1"/>
    </row>
    <row r="91" spans="2:19" s="133" customFormat="1" x14ac:dyDescent="0.2">
      <c r="B91" s="5"/>
      <c r="C91" s="114"/>
      <c r="D91" s="5"/>
      <c r="E91" s="533"/>
      <c r="F91" s="533"/>
      <c r="G91" s="26"/>
      <c r="H91" s="114"/>
      <c r="I91" s="26"/>
      <c r="J91" s="26"/>
      <c r="K91" s="26"/>
      <c r="L91" s="26"/>
      <c r="M91" s="1"/>
      <c r="N91" s="1"/>
      <c r="O91" s="1"/>
      <c r="P91" s="1"/>
      <c r="R91" s="1"/>
      <c r="S91" s="1"/>
    </row>
    <row r="92" spans="2:19" s="385" customFormat="1" ht="18.75" x14ac:dyDescent="0.3">
      <c r="B92" s="1145" t="s">
        <v>375</v>
      </c>
      <c r="C92" s="1145"/>
      <c r="D92" s="1145"/>
      <c r="E92" s="1145"/>
      <c r="F92" s="1145"/>
      <c r="G92" s="1145"/>
      <c r="H92" s="1145"/>
      <c r="I92" s="1145"/>
      <c r="J92" s="1145"/>
      <c r="K92" s="1145"/>
      <c r="L92" s="1145"/>
      <c r="M92" s="386"/>
      <c r="N92" s="386"/>
      <c r="O92" s="386"/>
      <c r="P92" s="386"/>
      <c r="Q92" s="386"/>
      <c r="R92" s="386"/>
    </row>
    <row r="93" spans="2:19" s="133" customFormat="1" ht="12" thickBot="1" x14ac:dyDescent="0.25">
      <c r="B93" s="5"/>
      <c r="C93" s="114"/>
      <c r="D93" s="5"/>
      <c r="E93" s="533"/>
      <c r="F93" s="533"/>
      <c r="G93" s="26"/>
      <c r="H93" s="114"/>
      <c r="I93" s="26"/>
      <c r="J93" s="26"/>
      <c r="K93" s="26"/>
      <c r="L93" s="26"/>
      <c r="M93" s="1"/>
      <c r="N93" s="1"/>
      <c r="O93" s="1"/>
      <c r="P93" s="1"/>
      <c r="R93" s="1"/>
      <c r="S93" s="1"/>
    </row>
    <row r="94" spans="2:19" s="28" customFormat="1" x14ac:dyDescent="0.2">
      <c r="B94" s="173" t="s">
        <v>30</v>
      </c>
      <c r="C94" s="115">
        <v>7652216</v>
      </c>
      <c r="D94" s="588" t="s">
        <v>112</v>
      </c>
      <c r="E94" s="712">
        <v>43684</v>
      </c>
      <c r="F94" s="712">
        <v>43686</v>
      </c>
      <c r="G94" s="174">
        <v>79.238799999999998</v>
      </c>
      <c r="H94" s="115">
        <v>1000</v>
      </c>
      <c r="I94" s="174">
        <v>79.239999999999995</v>
      </c>
      <c r="J94" s="174">
        <v>8.14</v>
      </c>
      <c r="K94" s="174">
        <v>2.2000000000000002</v>
      </c>
      <c r="L94" s="750">
        <v>79328.33</v>
      </c>
      <c r="M94" s="135"/>
      <c r="N94" s="370"/>
      <c r="O94" s="244"/>
      <c r="P94" s="244"/>
      <c r="Q94" s="135"/>
      <c r="R94" s="135"/>
      <c r="S94" s="135"/>
    </row>
    <row r="95" spans="2:19" s="28" customFormat="1" ht="12" thickBot="1" x14ac:dyDescent="0.25">
      <c r="B95" s="177" t="s">
        <v>7</v>
      </c>
      <c r="C95" s="116" t="s">
        <v>332</v>
      </c>
      <c r="D95" s="216" t="s">
        <v>112</v>
      </c>
      <c r="E95" s="713">
        <v>43984</v>
      </c>
      <c r="F95" s="713">
        <v>43987</v>
      </c>
      <c r="G95" s="178">
        <v>14.15</v>
      </c>
      <c r="H95" s="116">
        <v>559</v>
      </c>
      <c r="I95" s="178">
        <v>0</v>
      </c>
      <c r="J95" s="178">
        <v>0</v>
      </c>
      <c r="K95" s="735">
        <v>0</v>
      </c>
      <c r="L95" s="751">
        <f>G95*H95</f>
        <v>7909.85</v>
      </c>
      <c r="M95" s="135"/>
      <c r="N95" s="370"/>
      <c r="O95" s="244"/>
      <c r="P95" s="244"/>
      <c r="Q95" s="135"/>
      <c r="R95" s="135"/>
      <c r="S95" s="135"/>
    </row>
    <row r="96" spans="2:19" s="28" customFormat="1" x14ac:dyDescent="0.2">
      <c r="B96" s="314"/>
      <c r="C96" s="119"/>
      <c r="D96" s="314"/>
      <c r="E96" s="714"/>
      <c r="F96" s="714"/>
      <c r="G96" s="73"/>
      <c r="H96" s="119"/>
      <c r="I96" s="73"/>
      <c r="J96" s="73"/>
      <c r="K96" s="73"/>
      <c r="L96" s="73"/>
      <c r="M96" s="135"/>
      <c r="N96" s="370"/>
      <c r="O96" s="244"/>
      <c r="P96" s="244"/>
      <c r="Q96" s="135"/>
      <c r="R96" s="135"/>
      <c r="S96" s="135"/>
    </row>
    <row r="97" spans="1:36" s="133" customFormat="1" ht="12" thickBot="1" x14ac:dyDescent="0.25">
      <c r="A97" s="320"/>
      <c r="B97" s="577"/>
      <c r="C97" s="666"/>
      <c r="D97" s="577"/>
      <c r="E97" s="715"/>
      <c r="F97" s="715"/>
      <c r="G97" s="736"/>
      <c r="H97" s="666"/>
      <c r="I97" s="736"/>
      <c r="J97" s="736"/>
      <c r="K97" s="736"/>
      <c r="L97" s="736"/>
      <c r="M97" s="319"/>
      <c r="N97" s="319"/>
      <c r="O97" s="319"/>
      <c r="P97" s="319"/>
      <c r="Q97" s="320"/>
      <c r="R97" s="1"/>
      <c r="S97" s="1"/>
    </row>
    <row r="98" spans="1:36" s="133" customFormat="1" ht="12.75" thickTop="1" thickBot="1" x14ac:dyDescent="0.25">
      <c r="A98" s="586"/>
      <c r="B98" s="587"/>
      <c r="C98" s="667"/>
      <c r="D98" s="587"/>
      <c r="E98" s="716"/>
      <c r="F98" s="716"/>
      <c r="G98" s="737"/>
      <c r="H98" s="667"/>
      <c r="I98" s="737"/>
      <c r="J98" s="737"/>
      <c r="K98" s="737"/>
      <c r="L98" s="737"/>
      <c r="M98" s="591"/>
      <c r="N98" s="591"/>
      <c r="O98" s="591"/>
      <c r="P98" s="591"/>
      <c r="Q98" s="586"/>
      <c r="R98" s="1"/>
      <c r="S98" s="1"/>
    </row>
    <row r="99" spans="1:36" ht="12.75" thickTop="1" thickBot="1" x14ac:dyDescent="0.25"/>
    <row r="100" spans="1:36" s="133" customFormat="1" ht="10.15" customHeight="1" x14ac:dyDescent="0.35">
      <c r="B100" s="1130" t="s">
        <v>94</v>
      </c>
      <c r="C100" s="1131"/>
      <c r="D100" s="1132"/>
      <c r="E100" s="1136" t="s">
        <v>55</v>
      </c>
      <c r="F100" s="1137"/>
      <c r="G100" s="1137"/>
      <c r="H100" s="1137"/>
      <c r="I100" s="1137"/>
      <c r="J100" s="1137"/>
      <c r="K100" s="1137"/>
      <c r="L100" s="1138"/>
      <c r="M100" s="684"/>
      <c r="N100" s="685"/>
      <c r="O100" s="525"/>
      <c r="P100" s="1"/>
      <c r="Q100" s="6"/>
      <c r="R100" s="114"/>
      <c r="S100" s="104"/>
      <c r="V100" s="183"/>
      <c r="AI100" s="5"/>
      <c r="AJ100" s="47"/>
    </row>
    <row r="101" spans="1:36" s="133" customFormat="1" ht="15.75" customHeight="1" thickBot="1" x14ac:dyDescent="0.4">
      <c r="B101" s="1133"/>
      <c r="C101" s="1134"/>
      <c r="D101" s="1135"/>
      <c r="E101" s="1139"/>
      <c r="F101" s="1140"/>
      <c r="G101" s="1140"/>
      <c r="H101" s="1140"/>
      <c r="I101" s="1140"/>
      <c r="J101" s="1140"/>
      <c r="K101" s="1140"/>
      <c r="L101" s="1141"/>
      <c r="M101" s="684"/>
      <c r="N101" s="685"/>
      <c r="O101" s="525"/>
      <c r="P101" s="1"/>
      <c r="Q101" s="6"/>
      <c r="R101" s="114"/>
      <c r="S101" s="104"/>
      <c r="V101" s="183"/>
      <c r="AI101" s="5"/>
      <c r="AJ101" s="47"/>
    </row>
    <row r="102" spans="1:36" s="133" customFormat="1" x14ac:dyDescent="0.2">
      <c r="B102" s="5"/>
      <c r="C102" s="114"/>
      <c r="D102" s="5"/>
      <c r="E102" s="533"/>
      <c r="F102" s="533"/>
      <c r="G102" s="26"/>
      <c r="H102" s="114"/>
      <c r="I102" s="26"/>
      <c r="J102" s="26"/>
      <c r="K102" s="26"/>
      <c r="L102" s="26"/>
      <c r="M102" s="1"/>
      <c r="N102" s="1"/>
      <c r="O102" s="1"/>
      <c r="P102" s="1"/>
      <c r="R102" s="1"/>
      <c r="S102" s="1"/>
    </row>
    <row r="103" spans="1:36" s="133" customFormat="1" x14ac:dyDescent="0.2">
      <c r="B103" s="5"/>
      <c r="C103" s="114"/>
      <c r="D103" s="5"/>
      <c r="E103" s="533"/>
      <c r="F103" s="533"/>
      <c r="G103" s="26"/>
      <c r="H103" s="114"/>
      <c r="I103" s="26"/>
      <c r="J103" s="26"/>
      <c r="K103" s="26"/>
      <c r="L103" s="26"/>
      <c r="M103" s="1"/>
      <c r="N103" s="1"/>
      <c r="O103" s="1"/>
      <c r="P103" s="1"/>
      <c r="R103" s="1"/>
      <c r="S103" s="1"/>
    </row>
    <row r="104" spans="1:36" s="133" customFormat="1" ht="12" thickBot="1" x14ac:dyDescent="0.25">
      <c r="C104" s="654"/>
      <c r="E104" s="533"/>
      <c r="F104" s="533"/>
      <c r="G104" s="26"/>
      <c r="H104" s="114"/>
      <c r="I104" s="26"/>
      <c r="J104" s="26"/>
      <c r="K104" s="26"/>
      <c r="L104" s="26"/>
      <c r="M104" s="1"/>
      <c r="N104" s="1"/>
      <c r="O104" s="1"/>
      <c r="P104" s="1"/>
      <c r="Q104" s="1"/>
    </row>
    <row r="105" spans="1:36" s="385" customFormat="1" ht="19.5" thickBot="1" x14ac:dyDescent="0.35">
      <c r="A105" s="412" t="s">
        <v>268</v>
      </c>
      <c r="B105" s="413"/>
      <c r="C105" s="655"/>
      <c r="D105" s="413"/>
      <c r="E105" s="703"/>
      <c r="F105" s="703"/>
      <c r="G105" s="728"/>
      <c r="H105" s="655"/>
      <c r="I105" s="728"/>
      <c r="J105" s="728"/>
      <c r="K105" s="728"/>
      <c r="L105" s="744"/>
      <c r="M105" s="421"/>
      <c r="N105" s="421"/>
      <c r="O105" s="386"/>
      <c r="P105" s="386"/>
      <c r="Q105" s="386"/>
      <c r="R105" s="386"/>
      <c r="S105" s="386"/>
    </row>
    <row r="106" spans="1:36" s="133" customFormat="1" ht="12" thickBot="1" x14ac:dyDescent="0.25">
      <c r="B106" s="5"/>
      <c r="C106" s="114"/>
      <c r="D106" s="5"/>
      <c r="E106" s="533"/>
      <c r="F106" s="533"/>
      <c r="G106" s="26"/>
      <c r="H106" s="114"/>
      <c r="I106" s="26"/>
      <c r="J106" s="26"/>
      <c r="K106" s="26"/>
      <c r="L106" s="26"/>
      <c r="M106" s="1"/>
      <c r="N106" s="1"/>
      <c r="O106" s="1"/>
      <c r="P106" s="1"/>
      <c r="Q106" s="1"/>
      <c r="R106" s="1"/>
      <c r="S106" s="1"/>
    </row>
    <row r="107" spans="1:36" s="343" customFormat="1" ht="34.5" customHeight="1" thickBot="1" x14ac:dyDescent="0.25">
      <c r="A107" s="346" t="s">
        <v>252</v>
      </c>
      <c r="B107" s="347" t="s">
        <v>3</v>
      </c>
      <c r="C107" s="656" t="s">
        <v>253</v>
      </c>
      <c r="D107" s="347" t="s">
        <v>254</v>
      </c>
      <c r="E107" s="681" t="s">
        <v>255</v>
      </c>
      <c r="F107" s="681" t="s">
        <v>256</v>
      </c>
      <c r="G107" s="348" t="s">
        <v>257</v>
      </c>
      <c r="H107" s="656" t="s">
        <v>4</v>
      </c>
      <c r="I107" s="348" t="s">
        <v>258</v>
      </c>
      <c r="J107" s="348" t="s">
        <v>259</v>
      </c>
      <c r="K107" s="348" t="s">
        <v>260</v>
      </c>
      <c r="L107" s="529" t="s">
        <v>261</v>
      </c>
      <c r="M107" s="686"/>
      <c r="N107" s="686"/>
      <c r="O107" s="687" t="s">
        <v>276</v>
      </c>
      <c r="P107" s="688" t="s">
        <v>277</v>
      </c>
      <c r="Q107" s="344"/>
      <c r="R107" s="344"/>
      <c r="S107" s="344"/>
    </row>
    <row r="108" spans="1:36" s="133" customFormat="1" ht="18.75" customHeight="1" thickTop="1" thickBot="1" x14ac:dyDescent="0.25">
      <c r="B108" s="5"/>
      <c r="C108" s="114"/>
      <c r="D108" s="5"/>
      <c r="E108" s="533"/>
      <c r="F108" s="533"/>
      <c r="G108" s="26"/>
      <c r="H108" s="114"/>
      <c r="I108" s="26"/>
      <c r="J108" s="26"/>
      <c r="K108" s="26"/>
      <c r="L108" s="26"/>
      <c r="M108" s="1"/>
      <c r="N108" s="1"/>
      <c r="O108" s="456">
        <v>-157922.22999999998</v>
      </c>
      <c r="P108" s="457">
        <v>201422.23000000004</v>
      </c>
      <c r="Q108" s="458">
        <f>SUM(O108:P108)</f>
        <v>43500.000000000058</v>
      </c>
      <c r="R108" s="1"/>
      <c r="S108" s="1"/>
    </row>
    <row r="109" spans="1:36" s="164" customFormat="1" ht="19.5" thickBot="1" x14ac:dyDescent="0.35">
      <c r="A109" s="345" t="s">
        <v>251</v>
      </c>
      <c r="B109" s="371"/>
      <c r="C109" s="657"/>
      <c r="D109" s="372"/>
      <c r="E109" s="704"/>
      <c r="F109" s="704"/>
      <c r="G109" s="729"/>
      <c r="H109" s="730"/>
      <c r="I109" s="592"/>
      <c r="J109" s="592"/>
      <c r="K109" s="592"/>
      <c r="L109" s="592"/>
      <c r="M109" s="171"/>
      <c r="N109" s="171"/>
      <c r="O109" s="171"/>
      <c r="P109" s="171"/>
      <c r="Q109" s="171"/>
      <c r="R109" s="171"/>
      <c r="S109" s="171"/>
    </row>
    <row r="110" spans="1:36" s="133" customFormat="1" x14ac:dyDescent="0.2">
      <c r="B110" s="447" t="s">
        <v>34</v>
      </c>
      <c r="C110" s="668">
        <v>6528475</v>
      </c>
      <c r="D110" s="448" t="s">
        <v>111</v>
      </c>
      <c r="E110" s="717">
        <v>43503</v>
      </c>
      <c r="F110" s="717">
        <v>43507</v>
      </c>
      <c r="G110" s="738">
        <v>2.5</v>
      </c>
      <c r="H110" s="668">
        <v>5000</v>
      </c>
      <c r="I110" s="549">
        <v>27.23</v>
      </c>
      <c r="J110" s="549">
        <v>2.94</v>
      </c>
      <c r="K110" s="549">
        <v>2.2000000000000002</v>
      </c>
      <c r="L110" s="752">
        <v>12467.63</v>
      </c>
      <c r="M110" s="3">
        <f t="shared" ref="M110:M130" si="10">IF(D110="Sell",1,0)</f>
        <v>1</v>
      </c>
      <c r="N110" s="1">
        <v>1</v>
      </c>
      <c r="O110" s="515" t="str">
        <f>IF(D110="Sell","",-L110)</f>
        <v/>
      </c>
      <c r="P110" s="132">
        <f>IF(D110="Sell",L110,"")</f>
        <v>12467.63</v>
      </c>
      <c r="Q110" s="1"/>
      <c r="R110" s="1"/>
      <c r="S110" s="1"/>
    </row>
    <row r="111" spans="1:36" s="133" customFormat="1" x14ac:dyDescent="0.2">
      <c r="B111" s="352" t="s">
        <v>0</v>
      </c>
      <c r="C111" s="664">
        <v>6437396</v>
      </c>
      <c r="D111" s="159" t="s">
        <v>112</v>
      </c>
      <c r="E111" s="710">
        <v>43487</v>
      </c>
      <c r="F111" s="710">
        <v>43489</v>
      </c>
      <c r="G111" s="194">
        <v>26.07</v>
      </c>
      <c r="H111" s="664">
        <v>1000</v>
      </c>
      <c r="I111" s="194">
        <v>26.07</v>
      </c>
      <c r="J111" s="194">
        <v>2.83</v>
      </c>
      <c r="K111" s="194">
        <v>2.2000000000000002</v>
      </c>
      <c r="L111" s="468">
        <v>26101.1</v>
      </c>
      <c r="M111" s="3">
        <f t="shared" si="10"/>
        <v>0</v>
      </c>
      <c r="N111" s="1">
        <f t="shared" ref="N111:N130" si="11">N110+1</f>
        <v>2</v>
      </c>
      <c r="O111" s="283">
        <f t="shared" ref="O111:O130" si="12">IF(D111="Sell","",-L111)</f>
        <v>-26101.1</v>
      </c>
      <c r="P111" s="139" t="str">
        <f t="shared" ref="P111:P130" si="13">IF(D111="Sell",L111,"")</f>
        <v/>
      </c>
      <c r="Q111" s="1"/>
      <c r="R111" s="1"/>
      <c r="S111" s="1"/>
    </row>
    <row r="112" spans="1:36" s="133" customFormat="1" x14ac:dyDescent="0.2">
      <c r="B112" s="447" t="s">
        <v>98</v>
      </c>
      <c r="C112" s="668">
        <v>7228873</v>
      </c>
      <c r="D112" s="448" t="s">
        <v>111</v>
      </c>
      <c r="E112" s="717">
        <v>43622</v>
      </c>
      <c r="F112" s="717">
        <v>43627</v>
      </c>
      <c r="G112" s="738">
        <v>7.9802999999999997</v>
      </c>
      <c r="H112" s="668">
        <v>1000</v>
      </c>
      <c r="I112" s="549">
        <v>22.68</v>
      </c>
      <c r="J112" s="549">
        <v>2.4900000000000002</v>
      </c>
      <c r="K112" s="549">
        <v>2.2000000000000002</v>
      </c>
      <c r="L112" s="752">
        <v>7952.97</v>
      </c>
      <c r="M112" s="3">
        <f t="shared" si="10"/>
        <v>1</v>
      </c>
      <c r="N112" s="1">
        <f t="shared" si="11"/>
        <v>3</v>
      </c>
      <c r="O112" s="283" t="str">
        <f t="shared" si="12"/>
        <v/>
      </c>
      <c r="P112" s="139">
        <f t="shared" si="13"/>
        <v>7952.97</v>
      </c>
      <c r="Q112" s="1"/>
      <c r="R112" s="1"/>
      <c r="S112" s="1"/>
    </row>
    <row r="113" spans="2:19" s="133" customFormat="1" x14ac:dyDescent="0.2">
      <c r="B113" s="352" t="s">
        <v>98</v>
      </c>
      <c r="C113" s="664">
        <v>6844308</v>
      </c>
      <c r="D113" s="159" t="s">
        <v>112</v>
      </c>
      <c r="E113" s="710">
        <v>43557</v>
      </c>
      <c r="F113" s="710">
        <v>43559</v>
      </c>
      <c r="G113" s="194">
        <v>8.07</v>
      </c>
      <c r="H113" s="664">
        <v>1000</v>
      </c>
      <c r="I113" s="194">
        <v>22.68</v>
      </c>
      <c r="J113" s="194">
        <v>2.4900000000000002</v>
      </c>
      <c r="K113" s="194">
        <v>2.2000000000000002</v>
      </c>
      <c r="L113" s="468">
        <v>8097.37</v>
      </c>
      <c r="M113" s="3">
        <f t="shared" si="10"/>
        <v>0</v>
      </c>
      <c r="N113" s="1">
        <f t="shared" si="11"/>
        <v>4</v>
      </c>
      <c r="O113" s="283">
        <f t="shared" si="12"/>
        <v>-8097.37</v>
      </c>
      <c r="P113" s="139" t="str">
        <f t="shared" si="13"/>
        <v/>
      </c>
      <c r="Q113" s="1"/>
      <c r="R113" s="1"/>
      <c r="S113" s="1"/>
    </row>
    <row r="114" spans="2:19" s="133" customFormat="1" x14ac:dyDescent="0.2">
      <c r="B114" s="447" t="s">
        <v>41</v>
      </c>
      <c r="C114" s="668">
        <v>6679838</v>
      </c>
      <c r="D114" s="448" t="s">
        <v>111</v>
      </c>
      <c r="E114" s="717">
        <v>43528</v>
      </c>
      <c r="F114" s="717">
        <v>43530</v>
      </c>
      <c r="G114" s="738">
        <v>101.11660000000001</v>
      </c>
      <c r="H114" s="668">
        <v>700</v>
      </c>
      <c r="I114" s="549">
        <v>70.78</v>
      </c>
      <c r="J114" s="549">
        <v>7.3</v>
      </c>
      <c r="K114" s="549">
        <v>2.2000000000000002</v>
      </c>
      <c r="L114" s="752">
        <v>70701.320000000007</v>
      </c>
      <c r="M114" s="3">
        <f t="shared" si="10"/>
        <v>1</v>
      </c>
      <c r="N114" s="1">
        <f t="shared" si="11"/>
        <v>5</v>
      </c>
      <c r="O114" s="283" t="str">
        <f t="shared" si="12"/>
        <v/>
      </c>
      <c r="P114" s="139">
        <f t="shared" si="13"/>
        <v>70701.320000000007</v>
      </c>
      <c r="Q114" s="1"/>
      <c r="R114" s="1"/>
      <c r="S114" s="1"/>
    </row>
    <row r="115" spans="2:19" s="133" customFormat="1" x14ac:dyDescent="0.2">
      <c r="B115" s="447" t="s">
        <v>113</v>
      </c>
      <c r="C115" s="668">
        <v>6699762</v>
      </c>
      <c r="D115" s="448" t="s">
        <v>111</v>
      </c>
      <c r="E115" s="717">
        <v>43531</v>
      </c>
      <c r="F115" s="717">
        <v>43535</v>
      </c>
      <c r="G115" s="738">
        <v>11.38</v>
      </c>
      <c r="H115" s="668">
        <v>1300</v>
      </c>
      <c r="I115" s="549">
        <v>18.14</v>
      </c>
      <c r="J115" s="549">
        <v>2.0299999999999998</v>
      </c>
      <c r="K115" s="549">
        <v>2.2000000000000002</v>
      </c>
      <c r="L115" s="752">
        <v>14771.63</v>
      </c>
      <c r="M115" s="3">
        <f t="shared" si="10"/>
        <v>1</v>
      </c>
      <c r="N115" s="1">
        <f t="shared" si="11"/>
        <v>6</v>
      </c>
      <c r="O115" s="283" t="str">
        <f t="shared" si="12"/>
        <v/>
      </c>
      <c r="P115" s="139">
        <f t="shared" si="13"/>
        <v>14771.63</v>
      </c>
      <c r="Q115" s="1"/>
      <c r="R115" s="1"/>
      <c r="S115" s="1"/>
    </row>
    <row r="116" spans="2:19" s="133" customFormat="1" x14ac:dyDescent="0.2">
      <c r="B116" s="352" t="s">
        <v>113</v>
      </c>
      <c r="C116" s="664">
        <v>6544857</v>
      </c>
      <c r="D116" s="159" t="s">
        <v>112</v>
      </c>
      <c r="E116" s="710">
        <v>43507</v>
      </c>
      <c r="F116" s="710">
        <v>43509</v>
      </c>
      <c r="G116" s="194">
        <v>12.4</v>
      </c>
      <c r="H116" s="664">
        <v>1000</v>
      </c>
      <c r="I116" s="194">
        <v>18.14</v>
      </c>
      <c r="J116" s="194">
        <v>2.0299999999999998</v>
      </c>
      <c r="K116" s="194">
        <v>2.2000000000000002</v>
      </c>
      <c r="L116" s="468">
        <v>12422.37</v>
      </c>
      <c r="M116" s="3">
        <f t="shared" si="10"/>
        <v>0</v>
      </c>
      <c r="N116" s="1">
        <f t="shared" si="11"/>
        <v>7</v>
      </c>
      <c r="O116" s="283">
        <f t="shared" si="12"/>
        <v>-12422.37</v>
      </c>
      <c r="P116" s="139" t="str">
        <f t="shared" si="13"/>
        <v/>
      </c>
      <c r="Q116" s="1"/>
      <c r="R116" s="1"/>
      <c r="S116" s="1"/>
    </row>
    <row r="117" spans="2:19" s="133" customFormat="1" x14ac:dyDescent="0.2">
      <c r="B117" s="352" t="s">
        <v>99</v>
      </c>
      <c r="C117" s="664">
        <v>-119091144</v>
      </c>
      <c r="D117" s="159" t="s">
        <v>112</v>
      </c>
      <c r="E117" s="710">
        <v>43349</v>
      </c>
      <c r="F117" s="710">
        <v>43353</v>
      </c>
      <c r="G117" s="194">
        <v>2.75</v>
      </c>
      <c r="H117" s="664">
        <v>5000</v>
      </c>
      <c r="I117" s="194">
        <v>20.14</v>
      </c>
      <c r="J117" s="194">
        <v>2.0099999999999998</v>
      </c>
      <c r="K117" s="194">
        <v>0</v>
      </c>
      <c r="L117" s="468">
        <v>13772.15</v>
      </c>
      <c r="M117" s="3">
        <f t="shared" si="10"/>
        <v>0</v>
      </c>
      <c r="N117" s="1">
        <f t="shared" si="11"/>
        <v>8</v>
      </c>
      <c r="O117" s="283">
        <f t="shared" si="12"/>
        <v>-13772.15</v>
      </c>
      <c r="P117" s="139" t="str">
        <f t="shared" si="13"/>
        <v/>
      </c>
      <c r="Q117" s="1"/>
      <c r="R117" s="1"/>
      <c r="S117" s="1"/>
    </row>
    <row r="118" spans="2:19" s="133" customFormat="1" x14ac:dyDescent="0.2">
      <c r="B118" s="447" t="s">
        <v>42</v>
      </c>
      <c r="C118" s="668">
        <v>-119061052</v>
      </c>
      <c r="D118" s="448" t="s">
        <v>111</v>
      </c>
      <c r="E118" s="717">
        <v>43348</v>
      </c>
      <c r="F118" s="717">
        <v>43350</v>
      </c>
      <c r="G118" s="738">
        <v>8.2721</v>
      </c>
      <c r="H118" s="668">
        <v>2428</v>
      </c>
      <c r="I118" s="549">
        <v>22.08</v>
      </c>
      <c r="J118" s="549">
        <v>2.21</v>
      </c>
      <c r="K118" s="549">
        <v>0</v>
      </c>
      <c r="L118" s="752">
        <v>20060.28</v>
      </c>
      <c r="M118" s="3">
        <f t="shared" si="10"/>
        <v>1</v>
      </c>
      <c r="N118" s="1">
        <f t="shared" si="11"/>
        <v>9</v>
      </c>
      <c r="O118" s="283" t="str">
        <f t="shared" si="12"/>
        <v/>
      </c>
      <c r="P118" s="139">
        <f t="shared" si="13"/>
        <v>20060.28</v>
      </c>
      <c r="Q118" s="1"/>
      <c r="R118" s="1"/>
      <c r="S118" s="1"/>
    </row>
    <row r="119" spans="2:19" s="133" customFormat="1" x14ac:dyDescent="0.2">
      <c r="B119" s="447" t="s">
        <v>38</v>
      </c>
      <c r="C119" s="668">
        <v>6413313</v>
      </c>
      <c r="D119" s="448" t="s">
        <v>111</v>
      </c>
      <c r="E119" s="717">
        <v>43481</v>
      </c>
      <c r="F119" s="717">
        <v>43483</v>
      </c>
      <c r="G119" s="738">
        <v>0.32</v>
      </c>
      <c r="H119" s="668">
        <v>50000</v>
      </c>
      <c r="I119" s="549">
        <v>27.23</v>
      </c>
      <c r="J119" s="549">
        <v>2.94</v>
      </c>
      <c r="K119" s="549">
        <v>2.2000000000000002</v>
      </c>
      <c r="L119" s="752">
        <v>15967.63</v>
      </c>
      <c r="M119" s="3">
        <f t="shared" si="10"/>
        <v>1</v>
      </c>
      <c r="N119" s="1">
        <f t="shared" si="11"/>
        <v>10</v>
      </c>
      <c r="O119" s="283" t="str">
        <f t="shared" si="12"/>
        <v/>
      </c>
      <c r="P119" s="139">
        <f t="shared" si="13"/>
        <v>15967.63</v>
      </c>
      <c r="Q119" s="1"/>
      <c r="R119" s="1"/>
      <c r="S119" s="1"/>
    </row>
    <row r="120" spans="2:19" s="133" customFormat="1" x14ac:dyDescent="0.2">
      <c r="B120" s="447" t="s">
        <v>48</v>
      </c>
      <c r="C120" s="668">
        <v>6794916</v>
      </c>
      <c r="D120" s="448" t="s">
        <v>111</v>
      </c>
      <c r="E120" s="717">
        <v>43549</v>
      </c>
      <c r="F120" s="717">
        <v>43551</v>
      </c>
      <c r="G120" s="738">
        <v>35.240600000000001</v>
      </c>
      <c r="H120" s="668">
        <v>500</v>
      </c>
      <c r="I120" s="549">
        <v>18.14</v>
      </c>
      <c r="J120" s="549">
        <v>2.0299999999999998</v>
      </c>
      <c r="K120" s="549">
        <v>2.2000000000000002</v>
      </c>
      <c r="L120" s="752">
        <v>17597.93</v>
      </c>
      <c r="M120" s="3">
        <f t="shared" si="10"/>
        <v>1</v>
      </c>
      <c r="N120" s="1">
        <f t="shared" si="11"/>
        <v>11</v>
      </c>
      <c r="O120" s="283" t="str">
        <f t="shared" si="12"/>
        <v/>
      </c>
      <c r="P120" s="139">
        <f t="shared" si="13"/>
        <v>17597.93</v>
      </c>
      <c r="Q120" s="1"/>
      <c r="R120" s="1"/>
      <c r="S120" s="1"/>
    </row>
    <row r="121" spans="2:19" s="133" customFormat="1" x14ac:dyDescent="0.2">
      <c r="B121" s="352" t="s">
        <v>48</v>
      </c>
      <c r="C121" s="664">
        <v>-118477348</v>
      </c>
      <c r="D121" s="159" t="s">
        <v>112</v>
      </c>
      <c r="E121" s="710">
        <v>43319</v>
      </c>
      <c r="F121" s="710">
        <v>43321</v>
      </c>
      <c r="G121" s="194">
        <v>24.04</v>
      </c>
      <c r="H121" s="664">
        <v>500</v>
      </c>
      <c r="I121" s="194">
        <v>29.23</v>
      </c>
      <c r="J121" s="194">
        <v>2.92</v>
      </c>
      <c r="K121" s="194">
        <v>0</v>
      </c>
      <c r="L121" s="468">
        <v>12052.15</v>
      </c>
      <c r="M121" s="3">
        <f t="shared" si="10"/>
        <v>0</v>
      </c>
      <c r="N121" s="1">
        <f t="shared" si="11"/>
        <v>12</v>
      </c>
      <c r="O121" s="283">
        <f t="shared" si="12"/>
        <v>-12052.15</v>
      </c>
      <c r="P121" s="139" t="str">
        <f t="shared" si="13"/>
        <v/>
      </c>
      <c r="Q121" s="1"/>
      <c r="R121" s="1"/>
      <c r="S121" s="1"/>
    </row>
    <row r="122" spans="2:19" s="133" customFormat="1" x14ac:dyDescent="0.2">
      <c r="B122" s="447" t="s">
        <v>25</v>
      </c>
      <c r="C122" s="668">
        <v>6678555</v>
      </c>
      <c r="D122" s="448" t="s">
        <v>111</v>
      </c>
      <c r="E122" s="717">
        <v>43528</v>
      </c>
      <c r="F122" s="717">
        <v>43530</v>
      </c>
      <c r="G122" s="738">
        <v>17.940000000000001</v>
      </c>
      <c r="H122" s="668">
        <v>300</v>
      </c>
      <c r="I122" s="549">
        <v>22.68</v>
      </c>
      <c r="J122" s="549">
        <v>2.4900000000000002</v>
      </c>
      <c r="K122" s="549">
        <v>2.2000000000000002</v>
      </c>
      <c r="L122" s="752">
        <v>5354.63</v>
      </c>
      <c r="M122" s="3">
        <f t="shared" si="10"/>
        <v>1</v>
      </c>
      <c r="N122" s="1">
        <f t="shared" si="11"/>
        <v>13</v>
      </c>
      <c r="O122" s="283" t="str">
        <f t="shared" si="12"/>
        <v/>
      </c>
      <c r="P122" s="139">
        <f t="shared" si="13"/>
        <v>5354.63</v>
      </c>
      <c r="Q122" s="1"/>
      <c r="R122" s="1"/>
      <c r="S122" s="1"/>
    </row>
    <row r="123" spans="2:19" s="133" customFormat="1" x14ac:dyDescent="0.2">
      <c r="B123" s="352" t="s">
        <v>7</v>
      </c>
      <c r="C123" s="664">
        <v>-119067328</v>
      </c>
      <c r="D123" s="159" t="s">
        <v>112</v>
      </c>
      <c r="E123" s="710">
        <v>43348</v>
      </c>
      <c r="F123" s="710">
        <v>43350</v>
      </c>
      <c r="G123" s="194">
        <v>28</v>
      </c>
      <c r="H123" s="664">
        <v>1000</v>
      </c>
      <c r="I123" s="194">
        <v>30</v>
      </c>
      <c r="J123" s="194">
        <v>3</v>
      </c>
      <c r="K123" s="194">
        <v>0</v>
      </c>
      <c r="L123" s="468">
        <v>28033</v>
      </c>
      <c r="M123" s="3">
        <f t="shared" si="10"/>
        <v>0</v>
      </c>
      <c r="N123" s="1">
        <f t="shared" si="11"/>
        <v>14</v>
      </c>
      <c r="O123" s="283">
        <f t="shared" si="12"/>
        <v>-28033</v>
      </c>
      <c r="P123" s="139" t="str">
        <f t="shared" si="13"/>
        <v/>
      </c>
      <c r="Q123" s="1"/>
      <c r="R123" s="1"/>
      <c r="S123" s="1"/>
    </row>
    <row r="124" spans="2:19" s="133" customFormat="1" x14ac:dyDescent="0.2">
      <c r="B124" s="447" t="s">
        <v>50</v>
      </c>
      <c r="C124" s="668">
        <v>-119017681</v>
      </c>
      <c r="D124" s="448" t="s">
        <v>111</v>
      </c>
      <c r="E124" s="717">
        <v>43346</v>
      </c>
      <c r="F124" s="717">
        <v>43348</v>
      </c>
      <c r="G124" s="738">
        <v>4.0340999999999996</v>
      </c>
      <c r="H124" s="668">
        <v>3000</v>
      </c>
      <c r="I124" s="549">
        <v>20.14</v>
      </c>
      <c r="J124" s="549">
        <v>2.0099999999999998</v>
      </c>
      <c r="K124" s="549">
        <v>0</v>
      </c>
      <c r="L124" s="752">
        <v>12080.1</v>
      </c>
      <c r="M124" s="3">
        <f t="shared" si="10"/>
        <v>1</v>
      </c>
      <c r="N124" s="1">
        <f t="shared" si="11"/>
        <v>15</v>
      </c>
      <c r="O124" s="283" t="str">
        <f t="shared" si="12"/>
        <v/>
      </c>
      <c r="P124" s="139">
        <f t="shared" si="13"/>
        <v>12080.1</v>
      </c>
      <c r="Q124" s="1"/>
      <c r="R124" s="1"/>
      <c r="S124" s="1"/>
    </row>
    <row r="125" spans="2:19" s="133" customFormat="1" x14ac:dyDescent="0.2">
      <c r="B125" s="447" t="s">
        <v>40</v>
      </c>
      <c r="C125" s="668">
        <v>-119016887</v>
      </c>
      <c r="D125" s="448" t="s">
        <v>111</v>
      </c>
      <c r="E125" s="717">
        <v>43346</v>
      </c>
      <c r="F125" s="717">
        <v>43348</v>
      </c>
      <c r="G125" s="738">
        <v>0.67500000000000004</v>
      </c>
      <c r="H125" s="668">
        <v>8000</v>
      </c>
      <c r="I125" s="549">
        <v>24.68</v>
      </c>
      <c r="J125" s="549">
        <v>2.4700000000000002</v>
      </c>
      <c r="K125" s="549">
        <v>0</v>
      </c>
      <c r="L125" s="752">
        <v>5372.85</v>
      </c>
      <c r="M125" s="3">
        <f t="shared" si="10"/>
        <v>1</v>
      </c>
      <c r="N125" s="1">
        <f t="shared" si="11"/>
        <v>16</v>
      </c>
      <c r="O125" s="283" t="str">
        <f t="shared" si="12"/>
        <v/>
      </c>
      <c r="P125" s="139">
        <f t="shared" si="13"/>
        <v>5372.85</v>
      </c>
      <c r="Q125" s="1"/>
      <c r="R125" s="1"/>
      <c r="S125" s="1"/>
    </row>
    <row r="126" spans="2:19" s="133" customFormat="1" x14ac:dyDescent="0.2">
      <c r="B126" s="447" t="s">
        <v>32</v>
      </c>
      <c r="C126" s="668">
        <v>6418829</v>
      </c>
      <c r="D126" s="448" t="s">
        <v>111</v>
      </c>
      <c r="E126" s="717">
        <v>43482</v>
      </c>
      <c r="F126" s="717">
        <v>43486</v>
      </c>
      <c r="G126" s="738">
        <v>3.17</v>
      </c>
      <c r="H126" s="668">
        <v>3000</v>
      </c>
      <c r="I126" s="549">
        <v>18.14</v>
      </c>
      <c r="J126" s="549">
        <v>2.0299999999999998</v>
      </c>
      <c r="K126" s="549">
        <v>2.2000000000000002</v>
      </c>
      <c r="L126" s="752">
        <v>9487.6299999999992</v>
      </c>
      <c r="M126" s="3">
        <f t="shared" si="10"/>
        <v>1</v>
      </c>
      <c r="N126" s="1">
        <f t="shared" si="11"/>
        <v>17</v>
      </c>
      <c r="O126" s="283" t="str">
        <f t="shared" si="12"/>
        <v/>
      </c>
      <c r="P126" s="139">
        <f t="shared" si="13"/>
        <v>9487.6299999999992</v>
      </c>
      <c r="Q126" s="1"/>
      <c r="R126" s="1"/>
      <c r="S126" s="1"/>
    </row>
    <row r="127" spans="2:19" s="133" customFormat="1" x14ac:dyDescent="0.2">
      <c r="B127" s="352" t="s">
        <v>11</v>
      </c>
      <c r="C127" s="664">
        <v>6702197</v>
      </c>
      <c r="D127" s="159" t="s">
        <v>112</v>
      </c>
      <c r="E127" s="710">
        <v>43531</v>
      </c>
      <c r="F127" s="710">
        <v>43535</v>
      </c>
      <c r="G127" s="194">
        <v>27.37</v>
      </c>
      <c r="H127" s="664">
        <v>500</v>
      </c>
      <c r="I127" s="194">
        <v>18.14</v>
      </c>
      <c r="J127" s="194">
        <v>2.0299999999999998</v>
      </c>
      <c r="K127" s="194">
        <v>2.2000000000000002</v>
      </c>
      <c r="L127" s="468">
        <v>13707.37</v>
      </c>
      <c r="M127" s="3">
        <f t="shared" si="10"/>
        <v>0</v>
      </c>
      <c r="N127" s="1">
        <f t="shared" si="11"/>
        <v>18</v>
      </c>
      <c r="O127" s="283">
        <f t="shared" si="12"/>
        <v>-13707.37</v>
      </c>
      <c r="P127" s="139" t="str">
        <f t="shared" si="13"/>
        <v/>
      </c>
      <c r="Q127" s="1"/>
      <c r="R127" s="1"/>
      <c r="S127" s="1"/>
    </row>
    <row r="128" spans="2:19" s="133" customFormat="1" x14ac:dyDescent="0.2">
      <c r="B128" s="352" t="s">
        <v>11</v>
      </c>
      <c r="C128" s="664">
        <v>-118121049</v>
      </c>
      <c r="D128" s="159" t="s">
        <v>112</v>
      </c>
      <c r="E128" s="710">
        <v>43298</v>
      </c>
      <c r="F128" s="710">
        <v>43300</v>
      </c>
      <c r="G128" s="194">
        <v>29.43</v>
      </c>
      <c r="H128" s="664">
        <v>1000</v>
      </c>
      <c r="I128" s="194">
        <v>31.43</v>
      </c>
      <c r="J128" s="194">
        <v>3.14</v>
      </c>
      <c r="K128" s="194">
        <v>0</v>
      </c>
      <c r="L128" s="468">
        <v>29464.57</v>
      </c>
      <c r="M128" s="3">
        <f t="shared" si="10"/>
        <v>0</v>
      </c>
      <c r="N128" s="1">
        <f t="shared" si="11"/>
        <v>19</v>
      </c>
      <c r="O128" s="283">
        <f t="shared" si="12"/>
        <v>-29464.57</v>
      </c>
      <c r="P128" s="139" t="str">
        <f t="shared" si="13"/>
        <v/>
      </c>
      <c r="Q128" s="1"/>
      <c r="R128" s="1"/>
      <c r="S128" s="1"/>
    </row>
    <row r="129" spans="1:19" s="133" customFormat="1" x14ac:dyDescent="0.2">
      <c r="B129" s="447" t="s">
        <v>35</v>
      </c>
      <c r="C129" s="668">
        <v>6415488</v>
      </c>
      <c r="D129" s="448" t="s">
        <v>111</v>
      </c>
      <c r="E129" s="717">
        <v>43481</v>
      </c>
      <c r="F129" s="717">
        <v>43483</v>
      </c>
      <c r="G129" s="738">
        <v>32.1</v>
      </c>
      <c r="H129" s="668">
        <v>300</v>
      </c>
      <c r="I129" s="549">
        <v>18.14</v>
      </c>
      <c r="J129" s="549">
        <v>2.0299999999999998</v>
      </c>
      <c r="K129" s="549">
        <v>2.2000000000000002</v>
      </c>
      <c r="L129" s="752">
        <v>9607.6299999999992</v>
      </c>
      <c r="M129" s="3">
        <f t="shared" si="10"/>
        <v>1</v>
      </c>
      <c r="N129" s="1">
        <f t="shared" si="11"/>
        <v>20</v>
      </c>
      <c r="O129" s="283" t="str">
        <f t="shared" si="12"/>
        <v/>
      </c>
      <c r="P129" s="139">
        <f t="shared" si="13"/>
        <v>9607.6299999999992</v>
      </c>
      <c r="Q129" s="1"/>
      <c r="R129" s="1"/>
      <c r="S129" s="1"/>
    </row>
    <row r="130" spans="1:19" s="133" customFormat="1" ht="12" thickBot="1" x14ac:dyDescent="0.25">
      <c r="B130" s="354" t="s">
        <v>37</v>
      </c>
      <c r="C130" s="669">
        <v>-118766272</v>
      </c>
      <c r="D130" s="163" t="s">
        <v>112</v>
      </c>
      <c r="E130" s="718">
        <v>43334</v>
      </c>
      <c r="F130" s="718">
        <v>43336</v>
      </c>
      <c r="G130" s="191">
        <v>28.5</v>
      </c>
      <c r="H130" s="669">
        <v>500</v>
      </c>
      <c r="I130" s="191">
        <v>20.14</v>
      </c>
      <c r="J130" s="191">
        <v>2.0099999999999998</v>
      </c>
      <c r="K130" s="191">
        <v>0</v>
      </c>
      <c r="L130" s="753">
        <v>14272.15</v>
      </c>
      <c r="M130" s="211">
        <f t="shared" si="10"/>
        <v>0</v>
      </c>
      <c r="N130" s="211">
        <f t="shared" si="11"/>
        <v>21</v>
      </c>
      <c r="O130" s="309">
        <f t="shared" si="12"/>
        <v>-14272.15</v>
      </c>
      <c r="P130" s="147" t="str">
        <f t="shared" si="13"/>
        <v/>
      </c>
      <c r="Q130" s="1"/>
      <c r="R130" s="1"/>
      <c r="S130" s="1"/>
    </row>
    <row r="131" spans="1:19" s="133" customFormat="1" x14ac:dyDescent="0.2">
      <c r="B131" s="5"/>
      <c r="C131" s="114"/>
      <c r="D131" s="5"/>
      <c r="E131" s="533"/>
      <c r="F131" s="533"/>
      <c r="G131" s="26"/>
      <c r="H131" s="114"/>
      <c r="I131" s="26"/>
      <c r="J131" s="26"/>
      <c r="K131" s="26"/>
      <c r="L131" s="26"/>
      <c r="M131" s="1">
        <f>SUM(M110:M130)</f>
        <v>12</v>
      </c>
      <c r="N131" s="1"/>
      <c r="O131" s="370">
        <f>SUM(O110:O130)</f>
        <v>-157922.22999999998</v>
      </c>
      <c r="P131" s="370">
        <f>SUM(P110:P130)</f>
        <v>201422.23000000004</v>
      </c>
      <c r="R131" s="1"/>
      <c r="S131" s="1"/>
    </row>
    <row r="132" spans="1:19" s="133" customFormat="1" ht="12" thickBot="1" x14ac:dyDescent="0.25">
      <c r="B132" s="5"/>
      <c r="C132" s="114"/>
      <c r="D132" s="5"/>
      <c r="E132" s="533"/>
      <c r="F132" s="533"/>
      <c r="G132" s="26"/>
      <c r="H132" s="114"/>
      <c r="I132" s="26"/>
      <c r="J132" s="26"/>
      <c r="K132" s="26"/>
      <c r="L132" s="26"/>
      <c r="M132" s="1"/>
      <c r="N132" s="1"/>
      <c r="O132" s="1"/>
      <c r="P132" s="1"/>
      <c r="R132" s="1"/>
      <c r="S132" s="1"/>
    </row>
    <row r="133" spans="1:19" s="385" customFormat="1" ht="19.5" thickBot="1" x14ac:dyDescent="0.35">
      <c r="B133" s="1142" t="s">
        <v>264</v>
      </c>
      <c r="C133" s="1143"/>
      <c r="D133" s="1143"/>
      <c r="E133" s="1143"/>
      <c r="F133" s="1143"/>
      <c r="G133" s="1143"/>
      <c r="H133" s="1143"/>
      <c r="I133" s="1143"/>
      <c r="J133" s="1144"/>
      <c r="K133" s="590"/>
      <c r="L133" s="556" t="s">
        <v>272</v>
      </c>
      <c r="M133" s="695"/>
      <c r="N133" s="1148">
        <v>-18266.745999999996</v>
      </c>
      <c r="O133" s="1149"/>
      <c r="P133" s="386"/>
      <c r="Q133" s="386"/>
      <c r="R133" s="386"/>
      <c r="S133" s="386"/>
    </row>
    <row r="134" spans="1:19" s="385" customFormat="1" ht="19.5" thickBot="1" x14ac:dyDescent="0.35">
      <c r="B134" s="388"/>
      <c r="C134" s="662"/>
      <c r="D134" s="388"/>
      <c r="E134" s="682"/>
      <c r="F134" s="682"/>
      <c r="G134" s="590"/>
      <c r="H134" s="662"/>
      <c r="I134" s="590"/>
      <c r="J134" s="590"/>
      <c r="K134" s="590"/>
      <c r="L134" s="590"/>
      <c r="M134" s="590"/>
      <c r="N134" s="590"/>
      <c r="O134" s="386"/>
      <c r="P134" s="386"/>
      <c r="Q134" s="386"/>
      <c r="R134" s="386"/>
      <c r="S134" s="386"/>
    </row>
    <row r="135" spans="1:19" s="385" customFormat="1" ht="21" customHeight="1" x14ac:dyDescent="0.3">
      <c r="A135" s="389" t="s">
        <v>265</v>
      </c>
      <c r="B135" s="1153" t="s">
        <v>270</v>
      </c>
      <c r="C135" s="1154"/>
      <c r="D135" s="1154"/>
      <c r="E135" s="1154"/>
      <c r="F135" s="1154"/>
      <c r="G135" s="1154"/>
      <c r="H135" s="1154"/>
      <c r="I135" s="1154"/>
      <c r="J135" s="1154"/>
      <c r="K135" s="1154"/>
      <c r="L135" s="1155"/>
      <c r="M135" s="696"/>
      <c r="N135" s="696"/>
      <c r="O135" s="386"/>
      <c r="P135" s="386"/>
      <c r="Q135" s="386"/>
      <c r="R135" s="386"/>
      <c r="S135" s="386"/>
    </row>
    <row r="136" spans="1:19" s="385" customFormat="1" ht="12" customHeight="1" thickBot="1" x14ac:dyDescent="0.35">
      <c r="B136" s="1150" t="s">
        <v>266</v>
      </c>
      <c r="C136" s="1151"/>
      <c r="D136" s="1151"/>
      <c r="E136" s="1151"/>
      <c r="F136" s="1151"/>
      <c r="G136" s="1151"/>
      <c r="H136" s="1151"/>
      <c r="I136" s="1151"/>
      <c r="J136" s="1151"/>
      <c r="K136" s="1151"/>
      <c r="L136" s="1152"/>
      <c r="M136" s="696"/>
      <c r="N136" s="696"/>
      <c r="O136" s="386"/>
      <c r="P136" s="386"/>
      <c r="Q136" s="386"/>
      <c r="R136" s="386"/>
      <c r="S136" s="386"/>
    </row>
    <row r="137" spans="1:19" s="133" customFormat="1" ht="12" thickBot="1" x14ac:dyDescent="0.25">
      <c r="B137" s="5"/>
      <c r="C137" s="114"/>
      <c r="D137" s="5"/>
      <c r="E137" s="533"/>
      <c r="F137" s="533"/>
      <c r="G137" s="26"/>
      <c r="H137" s="114"/>
      <c r="I137" s="26"/>
      <c r="J137" s="26"/>
      <c r="K137" s="26"/>
      <c r="L137" s="26"/>
      <c r="M137" s="1"/>
      <c r="N137" s="1"/>
      <c r="O137" s="1"/>
      <c r="P137" s="1"/>
      <c r="R137" s="1"/>
      <c r="S137" s="1"/>
    </row>
    <row r="138" spans="1:19" s="164" customFormat="1" ht="19.5" thickBot="1" x14ac:dyDescent="0.35">
      <c r="A138" s="345" t="s">
        <v>251</v>
      </c>
      <c r="B138" s="371"/>
      <c r="C138" s="657"/>
      <c r="D138" s="372"/>
      <c r="E138" s="704"/>
      <c r="F138" s="704"/>
      <c r="G138" s="729"/>
      <c r="H138" s="730"/>
      <c r="I138" s="592"/>
      <c r="J138" s="592"/>
      <c r="K138" s="592"/>
      <c r="L138" s="592"/>
      <c r="M138" s="171"/>
      <c r="N138" s="171"/>
      <c r="O138" s="171"/>
      <c r="P138" s="171"/>
      <c r="Q138" s="171"/>
      <c r="R138" s="171"/>
      <c r="S138" s="171"/>
    </row>
    <row r="139" spans="1:19" s="306" customFormat="1" ht="37.5" customHeight="1" thickBot="1" x14ac:dyDescent="0.25">
      <c r="A139" s="422" t="s">
        <v>101</v>
      </c>
      <c r="B139" s="423" t="s">
        <v>102</v>
      </c>
      <c r="C139" s="670" t="s">
        <v>103</v>
      </c>
      <c r="D139" s="423" t="s">
        <v>104</v>
      </c>
      <c r="E139" s="683" t="s">
        <v>105</v>
      </c>
      <c r="F139" s="683" t="s">
        <v>106</v>
      </c>
      <c r="G139" s="424" t="s">
        <v>27</v>
      </c>
      <c r="H139" s="670" t="s">
        <v>45</v>
      </c>
      <c r="I139" s="424" t="s">
        <v>107</v>
      </c>
      <c r="J139" s="424" t="s">
        <v>108</v>
      </c>
      <c r="K139" s="424" t="s">
        <v>109</v>
      </c>
      <c r="L139" s="424" t="s">
        <v>110</v>
      </c>
      <c r="M139" s="425"/>
      <c r="N139" s="697" t="s">
        <v>45</v>
      </c>
      <c r="O139" s="698" t="s">
        <v>110</v>
      </c>
      <c r="P139" s="699" t="s">
        <v>119</v>
      </c>
    </row>
    <row r="140" spans="1:19" s="85" customFormat="1" x14ac:dyDescent="0.2">
      <c r="A140" s="426"/>
      <c r="B140" s="427"/>
      <c r="C140" s="671"/>
      <c r="D140" s="427"/>
      <c r="E140" s="719"/>
      <c r="F140" s="719"/>
      <c r="G140" s="691"/>
      <c r="H140" s="671"/>
      <c r="I140" s="691"/>
      <c r="J140" s="691"/>
      <c r="K140" s="691"/>
      <c r="L140" s="691"/>
      <c r="M140" s="428"/>
      <c r="N140" s="513"/>
      <c r="O140" s="514"/>
      <c r="P140" s="514"/>
    </row>
    <row r="141" spans="1:19" s="85" customFormat="1" x14ac:dyDescent="0.2">
      <c r="A141" s="429"/>
      <c r="B141" s="218" t="s">
        <v>34</v>
      </c>
      <c r="C141" s="672">
        <v>6528475</v>
      </c>
      <c r="D141" s="218" t="s">
        <v>111</v>
      </c>
      <c r="E141" s="720">
        <v>43503</v>
      </c>
      <c r="F141" s="720">
        <v>43507</v>
      </c>
      <c r="G141" s="692">
        <v>2.5</v>
      </c>
      <c r="H141" s="672">
        <v>5000</v>
      </c>
      <c r="I141" s="692">
        <v>27.23</v>
      </c>
      <c r="J141" s="692">
        <v>2.94</v>
      </c>
      <c r="K141" s="692">
        <v>0</v>
      </c>
      <c r="L141" s="692">
        <v>12467.63</v>
      </c>
      <c r="M141" s="440"/>
      <c r="N141" s="631">
        <f>IF(D141="Sell",H141,-H141)</f>
        <v>5000</v>
      </c>
      <c r="O141" s="692">
        <f>IF(D141="Sell",L141,-L141)</f>
        <v>12467.63</v>
      </c>
      <c r="P141" s="692"/>
      <c r="Q141" s="85">
        <f>IF(P141&lt;&gt;0,1,0)</f>
        <v>0</v>
      </c>
    </row>
    <row r="142" spans="1:19" s="133" customFormat="1" ht="12" thickBot="1" x14ac:dyDescent="0.25">
      <c r="B142" s="359" t="s">
        <v>34</v>
      </c>
      <c r="C142" s="673">
        <v>-101289809</v>
      </c>
      <c r="D142" s="214" t="s">
        <v>112</v>
      </c>
      <c r="E142" s="721">
        <v>42681</v>
      </c>
      <c r="F142" s="721">
        <v>42683</v>
      </c>
      <c r="G142" s="739">
        <v>4.5449999999999999</v>
      </c>
      <c r="H142" s="673">
        <v>5000</v>
      </c>
      <c r="I142" s="739">
        <f>I144/2</f>
        <v>27.2</v>
      </c>
      <c r="J142" s="739">
        <f>J144/2</f>
        <v>2.72</v>
      </c>
      <c r="K142" s="739">
        <f>K144/2</f>
        <v>0</v>
      </c>
      <c r="L142" s="739">
        <f>L144/2</f>
        <v>26229.919999999998</v>
      </c>
      <c r="M142" s="362"/>
      <c r="N142" s="631">
        <f>IF(D142="Sell",H142,-H142)</f>
        <v>-5000</v>
      </c>
      <c r="O142" s="692">
        <f>IF(D142="Sell",L142,-L142)</f>
        <v>-26229.919999999998</v>
      </c>
      <c r="P142" s="692"/>
      <c r="Q142" s="85">
        <f t="shared" ref="Q142:Q206" si="14">IF(P142&lt;&gt;0,1,0)</f>
        <v>0</v>
      </c>
      <c r="R142" s="1"/>
    </row>
    <row r="143" spans="1:19" s="85" customFormat="1" x14ac:dyDescent="0.2">
      <c r="A143" s="429"/>
      <c r="B143" s="218"/>
      <c r="C143" s="672"/>
      <c r="D143" s="218"/>
      <c r="E143" s="720"/>
      <c r="F143" s="720"/>
      <c r="G143" s="692"/>
      <c r="H143" s="672"/>
      <c r="I143" s="692"/>
      <c r="J143" s="692"/>
      <c r="K143" s="692"/>
      <c r="L143" s="692"/>
      <c r="M143" s="440"/>
      <c r="N143" s="436">
        <f>SUM(N141:N142)</f>
        <v>0</v>
      </c>
      <c r="O143" s="436">
        <f>SUM(O141:O142)</f>
        <v>-13762.289999999999</v>
      </c>
      <c r="P143" s="431">
        <f>O143</f>
        <v>-13762.289999999999</v>
      </c>
      <c r="Q143" s="85">
        <f t="shared" si="14"/>
        <v>1</v>
      </c>
    </row>
    <row r="144" spans="1:19" s="85" customFormat="1" x14ac:dyDescent="0.2">
      <c r="A144" s="429"/>
      <c r="B144" s="434" t="s">
        <v>34</v>
      </c>
      <c r="C144" s="674">
        <v>-97337786</v>
      </c>
      <c r="D144" s="434" t="s">
        <v>112</v>
      </c>
      <c r="E144" s="722">
        <v>42537</v>
      </c>
      <c r="F144" s="722">
        <v>42541</v>
      </c>
      <c r="G144" s="740">
        <v>5.24</v>
      </c>
      <c r="H144" s="674">
        <v>10000</v>
      </c>
      <c r="I144" s="740">
        <v>54.4</v>
      </c>
      <c r="J144" s="740">
        <v>5.44</v>
      </c>
      <c r="K144" s="740">
        <v>0</v>
      </c>
      <c r="L144" s="740">
        <v>52459.839999999997</v>
      </c>
      <c r="M144" s="440"/>
      <c r="N144" s="219"/>
      <c r="O144" s="219"/>
      <c r="P144" s="431"/>
      <c r="Q144" s="85">
        <f t="shared" si="14"/>
        <v>0</v>
      </c>
      <c r="R144" s="363"/>
      <c r="S144" s="363"/>
    </row>
    <row r="145" spans="1:19" s="85" customFormat="1" x14ac:dyDescent="0.2">
      <c r="A145" s="429"/>
      <c r="B145" s="218"/>
      <c r="C145" s="672"/>
      <c r="D145" s="218"/>
      <c r="E145" s="720"/>
      <c r="F145" s="720"/>
      <c r="G145" s="692"/>
      <c r="H145" s="672"/>
      <c r="I145" s="692"/>
      <c r="J145" s="692"/>
      <c r="K145" s="692"/>
      <c r="L145" s="692"/>
      <c r="M145" s="440"/>
      <c r="N145" s="219"/>
      <c r="O145" s="219"/>
      <c r="P145" s="431"/>
      <c r="Q145" s="85">
        <f t="shared" si="14"/>
        <v>0</v>
      </c>
      <c r="R145" s="363"/>
      <c r="S145" s="363"/>
    </row>
    <row r="146" spans="1:19" s="85" customFormat="1" x14ac:dyDescent="0.2">
      <c r="A146" s="429"/>
      <c r="B146" s="218"/>
      <c r="C146" s="672"/>
      <c r="D146" s="218"/>
      <c r="E146" s="720"/>
      <c r="F146" s="720"/>
      <c r="G146" s="692"/>
      <c r="H146" s="672"/>
      <c r="I146" s="692"/>
      <c r="J146" s="692"/>
      <c r="K146" s="692"/>
      <c r="L146" s="692"/>
      <c r="M146" s="440"/>
      <c r="N146" s="219"/>
      <c r="O146" s="219"/>
      <c r="P146" s="431"/>
      <c r="Q146" s="85">
        <f t="shared" si="14"/>
        <v>0</v>
      </c>
      <c r="R146" s="363"/>
      <c r="S146" s="363"/>
    </row>
    <row r="147" spans="1:19" s="85" customFormat="1" x14ac:dyDescent="0.2">
      <c r="A147" s="429"/>
      <c r="B147" s="365" t="s">
        <v>98</v>
      </c>
      <c r="C147" s="675">
        <v>7228873</v>
      </c>
      <c r="D147" s="365" t="s">
        <v>111</v>
      </c>
      <c r="E147" s="723">
        <v>43622</v>
      </c>
      <c r="F147" s="723">
        <v>43627</v>
      </c>
      <c r="G147" s="741">
        <v>7.9802999999999997</v>
      </c>
      <c r="H147" s="675">
        <v>1000</v>
      </c>
      <c r="I147" s="741">
        <v>22.68</v>
      </c>
      <c r="J147" s="741">
        <v>2.4900000000000002</v>
      </c>
      <c r="K147" s="741">
        <v>2.2000000000000002</v>
      </c>
      <c r="L147" s="741">
        <v>7952.97</v>
      </c>
      <c r="M147" s="445"/>
      <c r="N147" s="169">
        <f>IF(D147="Sell",H147,-H147)</f>
        <v>1000</v>
      </c>
      <c r="O147" s="169">
        <f>IF(D147="Sell",L147,-L147)</f>
        <v>7952.97</v>
      </c>
      <c r="P147" s="431"/>
      <c r="Q147" s="85">
        <f t="shared" si="14"/>
        <v>0</v>
      </c>
    </row>
    <row r="148" spans="1:19" s="85" customFormat="1" ht="12" thickBot="1" x14ac:dyDescent="0.25">
      <c r="A148" s="429"/>
      <c r="B148" s="374" t="s">
        <v>98</v>
      </c>
      <c r="C148" s="676">
        <v>6844308</v>
      </c>
      <c r="D148" s="374" t="s">
        <v>112</v>
      </c>
      <c r="E148" s="724">
        <v>43557</v>
      </c>
      <c r="F148" s="724">
        <v>43559</v>
      </c>
      <c r="G148" s="742">
        <v>8.07</v>
      </c>
      <c r="H148" s="676">
        <v>1000</v>
      </c>
      <c r="I148" s="742">
        <v>22.68</v>
      </c>
      <c r="J148" s="742">
        <v>2.4900000000000002</v>
      </c>
      <c r="K148" s="742">
        <v>2.2000000000000002</v>
      </c>
      <c r="L148" s="742">
        <v>8097.37</v>
      </c>
      <c r="M148" s="441"/>
      <c r="N148" s="142">
        <f>IF(D148="Sell",H148,-H148)</f>
        <v>-1000</v>
      </c>
      <c r="O148" s="142">
        <f>IF(D148="Sell",L148,-L148)</f>
        <v>-8097.37</v>
      </c>
      <c r="P148" s="431"/>
      <c r="Q148" s="85">
        <f t="shared" si="14"/>
        <v>0</v>
      </c>
    </row>
    <row r="149" spans="1:19" s="85" customFormat="1" x14ac:dyDescent="0.2">
      <c r="A149" s="429"/>
      <c r="B149" s="435"/>
      <c r="C149" s="677"/>
      <c r="D149" s="435"/>
      <c r="E149" s="725"/>
      <c r="F149" s="725"/>
      <c r="G149" s="514"/>
      <c r="H149" s="677"/>
      <c r="I149" s="514"/>
      <c r="J149" s="514"/>
      <c r="K149" s="514"/>
      <c r="L149" s="514"/>
      <c r="M149" s="442"/>
      <c r="N149" s="436">
        <f>SUM(N147:N148)</f>
        <v>0</v>
      </c>
      <c r="O149" s="436">
        <f>SUM(O147:O148)</f>
        <v>-144.39999999999964</v>
      </c>
      <c r="P149" s="431">
        <f>O149</f>
        <v>-144.39999999999964</v>
      </c>
      <c r="Q149" s="85">
        <f t="shared" si="14"/>
        <v>1</v>
      </c>
    </row>
    <row r="150" spans="1:19" s="85" customFormat="1" x14ac:dyDescent="0.2">
      <c r="A150" s="429"/>
      <c r="B150" s="218"/>
      <c r="C150" s="672"/>
      <c r="D150" s="218"/>
      <c r="E150" s="720"/>
      <c r="F150" s="720"/>
      <c r="G150" s="692"/>
      <c r="H150" s="672"/>
      <c r="I150" s="692"/>
      <c r="J150" s="692"/>
      <c r="K150" s="692"/>
      <c r="L150" s="692"/>
      <c r="M150" s="440"/>
      <c r="N150" s="219"/>
      <c r="O150" s="219"/>
      <c r="P150" s="431"/>
      <c r="Q150" s="85">
        <f t="shared" si="14"/>
        <v>0</v>
      </c>
    </row>
    <row r="151" spans="1:19" s="85" customFormat="1" x14ac:dyDescent="0.2">
      <c r="A151" s="429"/>
      <c r="B151" s="218"/>
      <c r="C151" s="672"/>
      <c r="D151" s="218"/>
      <c r="E151" s="720"/>
      <c r="F151" s="720"/>
      <c r="G151" s="692"/>
      <c r="H151" s="672"/>
      <c r="I151" s="692"/>
      <c r="J151" s="692"/>
      <c r="K151" s="692"/>
      <c r="L151" s="692"/>
      <c r="M151" s="440"/>
      <c r="N151" s="219"/>
      <c r="O151" s="219"/>
      <c r="P151" s="431"/>
      <c r="Q151" s="85">
        <f t="shared" si="14"/>
        <v>0</v>
      </c>
    </row>
    <row r="152" spans="1:19" s="85" customFormat="1" x14ac:dyDescent="0.2">
      <c r="A152" s="429"/>
      <c r="B152" s="218" t="s">
        <v>41</v>
      </c>
      <c r="C152" s="672">
        <v>6679838</v>
      </c>
      <c r="D152" s="218" t="s">
        <v>111</v>
      </c>
      <c r="E152" s="720">
        <v>43528</v>
      </c>
      <c r="F152" s="720">
        <v>43530</v>
      </c>
      <c r="G152" s="692">
        <v>101.11660000000001</v>
      </c>
      <c r="H152" s="672">
        <v>700</v>
      </c>
      <c r="I152" s="692">
        <v>70.78</v>
      </c>
      <c r="J152" s="692">
        <v>7.3</v>
      </c>
      <c r="K152" s="692">
        <v>0</v>
      </c>
      <c r="L152" s="692">
        <v>70701.320000000007</v>
      </c>
      <c r="M152" s="440"/>
      <c r="N152" s="138">
        <f>IF(D152="Sell",H152,-H152)</f>
        <v>700</v>
      </c>
      <c r="O152" s="138">
        <f>IF(D152="Sell",L152,-L152)</f>
        <v>70701.320000000007</v>
      </c>
      <c r="P152" s="431"/>
      <c r="Q152" s="85">
        <f t="shared" si="14"/>
        <v>0</v>
      </c>
    </row>
    <row r="153" spans="1:19" s="85" customFormat="1" ht="12" thickBot="1" x14ac:dyDescent="0.25">
      <c r="A153" s="429"/>
      <c r="B153" s="374" t="s">
        <v>41</v>
      </c>
      <c r="C153" s="676" t="s">
        <v>117</v>
      </c>
      <c r="D153" s="374" t="s">
        <v>112</v>
      </c>
      <c r="E153" s="724"/>
      <c r="F153" s="724"/>
      <c r="G153" s="742">
        <v>100</v>
      </c>
      <c r="H153" s="676">
        <v>700</v>
      </c>
      <c r="I153" s="742"/>
      <c r="J153" s="742"/>
      <c r="K153" s="742"/>
      <c r="L153" s="742">
        <f>G153*H153</f>
        <v>70000</v>
      </c>
      <c r="M153" s="441"/>
      <c r="N153" s="142">
        <f>IF(D153="Sell",H153,-H153)</f>
        <v>-700</v>
      </c>
      <c r="O153" s="142">
        <f>IF(D153="Sell",L153,-L153)</f>
        <v>-70000</v>
      </c>
      <c r="P153" s="431"/>
      <c r="Q153" s="85">
        <f t="shared" si="14"/>
        <v>0</v>
      </c>
    </row>
    <row r="154" spans="1:19" s="85" customFormat="1" x14ac:dyDescent="0.2">
      <c r="A154" s="429"/>
      <c r="B154" s="435"/>
      <c r="C154" s="677"/>
      <c r="D154" s="435"/>
      <c r="E154" s="725"/>
      <c r="F154" s="725"/>
      <c r="G154" s="514"/>
      <c r="H154" s="677"/>
      <c r="I154" s="514"/>
      <c r="J154" s="514"/>
      <c r="K154" s="514"/>
      <c r="L154" s="514"/>
      <c r="M154" s="442"/>
      <c r="N154" s="436">
        <f>SUM(N152:N153)</f>
        <v>0</v>
      </c>
      <c r="O154" s="436">
        <f>SUM(O152:O153)</f>
        <v>701.32000000000698</v>
      </c>
      <c r="P154" s="431">
        <f>O154</f>
        <v>701.32000000000698</v>
      </c>
      <c r="Q154" s="85">
        <f t="shared" si="14"/>
        <v>1</v>
      </c>
    </row>
    <row r="155" spans="1:19" s="85" customFormat="1" x14ac:dyDescent="0.2">
      <c r="A155" s="429"/>
      <c r="B155" s="435"/>
      <c r="C155" s="677"/>
      <c r="D155" s="435"/>
      <c r="E155" s="725"/>
      <c r="F155" s="725"/>
      <c r="G155" s="514"/>
      <c r="H155" s="677"/>
      <c r="I155" s="514"/>
      <c r="J155" s="514"/>
      <c r="K155" s="514"/>
      <c r="L155" s="514"/>
      <c r="M155" s="442"/>
      <c r="N155" s="436"/>
      <c r="O155" s="436"/>
      <c r="P155" s="431"/>
      <c r="Q155" s="85">
        <f t="shared" si="14"/>
        <v>0</v>
      </c>
    </row>
    <row r="156" spans="1:19" s="85" customFormat="1" x14ac:dyDescent="0.2">
      <c r="A156" s="429"/>
      <c r="B156" s="218"/>
      <c r="C156" s="672"/>
      <c r="D156" s="218"/>
      <c r="E156" s="720"/>
      <c r="F156" s="720"/>
      <c r="G156" s="692"/>
      <c r="H156" s="672"/>
      <c r="I156" s="692"/>
      <c r="J156" s="692"/>
      <c r="K156" s="692"/>
      <c r="L156" s="692"/>
      <c r="M156" s="440"/>
      <c r="N156" s="219"/>
      <c r="O156" s="219"/>
      <c r="P156" s="431"/>
      <c r="Q156" s="85">
        <f t="shared" si="14"/>
        <v>0</v>
      </c>
    </row>
    <row r="157" spans="1:19" s="85" customFormat="1" x14ac:dyDescent="0.2">
      <c r="A157" s="429"/>
      <c r="B157" s="218" t="s">
        <v>113</v>
      </c>
      <c r="C157" s="672">
        <v>6699762</v>
      </c>
      <c r="D157" s="218" t="s">
        <v>111</v>
      </c>
      <c r="E157" s="720">
        <v>43531</v>
      </c>
      <c r="F157" s="720">
        <v>43535</v>
      </c>
      <c r="G157" s="692">
        <v>11.38</v>
      </c>
      <c r="H157" s="672">
        <v>1300</v>
      </c>
      <c r="I157" s="692">
        <v>18.14</v>
      </c>
      <c r="J157" s="692">
        <v>2.0299999999999998</v>
      </c>
      <c r="K157" s="692">
        <v>0</v>
      </c>
      <c r="L157" s="692">
        <v>14771.63</v>
      </c>
      <c r="M157" s="440"/>
      <c r="N157" s="138">
        <f>IF(D157="Sell",H157,-H157)</f>
        <v>1300</v>
      </c>
      <c r="O157" s="138">
        <f>IF(D157="Sell",L157,-L157)</f>
        <v>14771.63</v>
      </c>
      <c r="P157" s="431"/>
      <c r="Q157" s="85">
        <f t="shared" si="14"/>
        <v>0</v>
      </c>
    </row>
    <row r="158" spans="1:19" s="85" customFormat="1" x14ac:dyDescent="0.2">
      <c r="A158" s="429"/>
      <c r="B158" s="365" t="s">
        <v>113</v>
      </c>
      <c r="C158" s="675">
        <v>6544857</v>
      </c>
      <c r="D158" s="365" t="s">
        <v>112</v>
      </c>
      <c r="E158" s="723">
        <v>43507</v>
      </c>
      <c r="F158" s="723">
        <v>43509</v>
      </c>
      <c r="G158" s="741">
        <v>12.4</v>
      </c>
      <c r="H158" s="675">
        <v>1000</v>
      </c>
      <c r="I158" s="741">
        <v>18.14</v>
      </c>
      <c r="J158" s="741">
        <v>2.0299999999999998</v>
      </c>
      <c r="K158" s="741">
        <v>0</v>
      </c>
      <c r="L158" s="741">
        <f>G158*H158</f>
        <v>12400</v>
      </c>
      <c r="M158" s="445"/>
      <c r="N158" s="169">
        <f>IF(D158="Sell",H158,-H158)</f>
        <v>-1000</v>
      </c>
      <c r="O158" s="169">
        <f>IF(D158="Sell",L158,-L158)</f>
        <v>-12400</v>
      </c>
      <c r="P158" s="431"/>
      <c r="Q158" s="85">
        <f t="shared" si="14"/>
        <v>0</v>
      </c>
    </row>
    <row r="159" spans="1:19" s="85" customFormat="1" ht="21" customHeight="1" thickBot="1" x14ac:dyDescent="0.25">
      <c r="A159" s="429"/>
      <c r="B159" s="374" t="s">
        <v>113</v>
      </c>
      <c r="C159" s="678" t="s">
        <v>262</v>
      </c>
      <c r="D159" s="374" t="s">
        <v>112</v>
      </c>
      <c r="E159" s="724">
        <v>43432</v>
      </c>
      <c r="F159" s="724">
        <v>43432</v>
      </c>
      <c r="G159" s="742">
        <v>0</v>
      </c>
      <c r="H159" s="676">
        <v>300</v>
      </c>
      <c r="I159" s="742">
        <v>0</v>
      </c>
      <c r="J159" s="742">
        <v>0</v>
      </c>
      <c r="K159" s="742">
        <v>0</v>
      </c>
      <c r="L159" s="742">
        <v>0</v>
      </c>
      <c r="M159" s="441"/>
      <c r="N159" s="142">
        <f>IF(D159="Sell",H159,-H159)</f>
        <v>-300</v>
      </c>
      <c r="O159" s="142">
        <v>0</v>
      </c>
      <c r="P159" s="431"/>
      <c r="Q159" s="85">
        <f t="shared" si="14"/>
        <v>0</v>
      </c>
    </row>
    <row r="160" spans="1:19" s="85" customFormat="1" x14ac:dyDescent="0.2">
      <c r="A160" s="429"/>
      <c r="B160" s="435"/>
      <c r="C160" s="677"/>
      <c r="D160" s="435"/>
      <c r="E160" s="725"/>
      <c r="F160" s="725"/>
      <c r="G160" s="514"/>
      <c r="H160" s="677"/>
      <c r="I160" s="514"/>
      <c r="J160" s="514"/>
      <c r="K160" s="514"/>
      <c r="L160" s="514"/>
      <c r="M160" s="442"/>
      <c r="N160" s="436">
        <f>SUM(N157:N159)</f>
        <v>0</v>
      </c>
      <c r="O160" s="436">
        <f>SUM(O157:O158)</f>
        <v>2371.6299999999992</v>
      </c>
      <c r="P160" s="431">
        <f>O160</f>
        <v>2371.6299999999992</v>
      </c>
      <c r="Q160" s="85">
        <f t="shared" si="14"/>
        <v>1</v>
      </c>
    </row>
    <row r="161" spans="1:19" s="85" customFormat="1" x14ac:dyDescent="0.2">
      <c r="A161" s="429"/>
      <c r="B161" s="435"/>
      <c r="C161" s="677"/>
      <c r="D161" s="435"/>
      <c r="E161" s="725"/>
      <c r="F161" s="725"/>
      <c r="G161" s="514"/>
      <c r="H161" s="677"/>
      <c r="I161" s="514"/>
      <c r="J161" s="514"/>
      <c r="K161" s="514"/>
      <c r="L161" s="514"/>
      <c r="M161" s="442"/>
      <c r="N161" s="436"/>
      <c r="O161" s="436"/>
      <c r="P161" s="431"/>
      <c r="Q161" s="85">
        <f t="shared" si="14"/>
        <v>0</v>
      </c>
    </row>
    <row r="162" spans="1:19" s="85" customFormat="1" x14ac:dyDescent="0.2">
      <c r="A162" s="429"/>
      <c r="B162" s="218"/>
      <c r="C162" s="672"/>
      <c r="D162" s="218"/>
      <c r="E162" s="720"/>
      <c r="F162" s="720"/>
      <c r="G162" s="692"/>
      <c r="H162" s="672"/>
      <c r="I162" s="692"/>
      <c r="J162" s="692"/>
      <c r="K162" s="692"/>
      <c r="L162" s="692"/>
      <c r="M162" s="440"/>
      <c r="N162" s="219"/>
      <c r="O162" s="219"/>
      <c r="P162" s="431"/>
      <c r="Q162" s="85">
        <f t="shared" si="14"/>
        <v>0</v>
      </c>
    </row>
    <row r="163" spans="1:19" s="85" customFormat="1" x14ac:dyDescent="0.2">
      <c r="A163" s="429"/>
      <c r="B163" s="218" t="s">
        <v>42</v>
      </c>
      <c r="C163" s="672">
        <v>-119061052</v>
      </c>
      <c r="D163" s="218" t="s">
        <v>111</v>
      </c>
      <c r="E163" s="720">
        <v>43348</v>
      </c>
      <c r="F163" s="720">
        <v>43350</v>
      </c>
      <c r="G163" s="692">
        <v>8.2721</v>
      </c>
      <c r="H163" s="672">
        <v>2428</v>
      </c>
      <c r="I163" s="692">
        <v>22.08</v>
      </c>
      <c r="J163" s="692">
        <v>2.21</v>
      </c>
      <c r="K163" s="692">
        <v>0</v>
      </c>
      <c r="L163" s="692">
        <v>20060.28</v>
      </c>
      <c r="M163" s="440"/>
      <c r="N163" s="138">
        <f>IF(D163="Sell",H163,-H163)</f>
        <v>2428</v>
      </c>
      <c r="O163" s="138">
        <f>IF(D163="Sell",L163,-L163)</f>
        <v>20060.28</v>
      </c>
      <c r="P163" s="431"/>
      <c r="Q163" s="85">
        <f t="shared" si="14"/>
        <v>0</v>
      </c>
    </row>
    <row r="164" spans="1:19" s="133" customFormat="1" ht="12" thickBot="1" x14ac:dyDescent="0.25">
      <c r="B164" s="359" t="s">
        <v>118</v>
      </c>
      <c r="C164" s="673" t="s">
        <v>269</v>
      </c>
      <c r="D164" s="214" t="s">
        <v>112</v>
      </c>
      <c r="E164" s="721">
        <v>42724</v>
      </c>
      <c r="F164" s="721">
        <v>42724</v>
      </c>
      <c r="G164" s="739">
        <v>9.8800000000000008</v>
      </c>
      <c r="H164" s="673">
        <v>2428</v>
      </c>
      <c r="I164" s="739"/>
      <c r="J164" s="739"/>
      <c r="K164" s="739"/>
      <c r="L164" s="754">
        <f>G164*H164</f>
        <v>23988.640000000003</v>
      </c>
      <c r="M164" s="362"/>
      <c r="N164" s="207">
        <f>IF(D164="Sell",H164,-H164)</f>
        <v>-2428</v>
      </c>
      <c r="O164" s="207">
        <f>IF(D164="Sell",L164,-L164)</f>
        <v>-23988.640000000003</v>
      </c>
      <c r="P164" s="139"/>
      <c r="Q164" s="85">
        <f t="shared" si="14"/>
        <v>0</v>
      </c>
      <c r="R164" s="1"/>
    </row>
    <row r="165" spans="1:19" s="85" customFormat="1" x14ac:dyDescent="0.2">
      <c r="A165" s="429"/>
      <c r="B165" s="218"/>
      <c r="C165" s="672"/>
      <c r="D165" s="218"/>
      <c r="E165" s="720"/>
      <c r="F165" s="720"/>
      <c r="G165" s="692"/>
      <c r="H165" s="672"/>
      <c r="I165" s="692"/>
      <c r="J165" s="692"/>
      <c r="K165" s="692"/>
      <c r="L165" s="692"/>
      <c r="M165" s="440"/>
      <c r="N165" s="219">
        <f>SUM(N163:N164)</f>
        <v>0</v>
      </c>
      <c r="O165" s="219">
        <f>SUM(O163:O164)</f>
        <v>-3928.3600000000042</v>
      </c>
      <c r="P165" s="431">
        <f>O165</f>
        <v>-3928.3600000000042</v>
      </c>
      <c r="Q165" s="85">
        <f t="shared" si="14"/>
        <v>1</v>
      </c>
    </row>
    <row r="166" spans="1:19" s="85" customFormat="1" x14ac:dyDescent="0.2">
      <c r="A166" s="429"/>
      <c r="B166" s="218"/>
      <c r="C166" s="672"/>
      <c r="D166" s="218"/>
      <c r="E166" s="720"/>
      <c r="F166" s="720"/>
      <c r="G166" s="692"/>
      <c r="H166" s="672"/>
      <c r="I166" s="692"/>
      <c r="J166" s="692"/>
      <c r="K166" s="692"/>
      <c r="L166" s="692"/>
      <c r="M166" s="440"/>
      <c r="N166" s="219"/>
      <c r="O166" s="219"/>
      <c r="P166" s="431"/>
      <c r="Q166" s="85">
        <f t="shared" si="14"/>
        <v>0</v>
      </c>
    </row>
    <row r="167" spans="1:19" s="85" customFormat="1" x14ac:dyDescent="0.2">
      <c r="A167" s="429"/>
      <c r="B167" s="218"/>
      <c r="C167" s="672"/>
      <c r="D167" s="218"/>
      <c r="E167" s="720"/>
      <c r="F167" s="720"/>
      <c r="G167" s="692"/>
      <c r="H167" s="672"/>
      <c r="I167" s="692"/>
      <c r="J167" s="692"/>
      <c r="K167" s="692"/>
      <c r="L167" s="692"/>
      <c r="M167" s="440"/>
      <c r="N167" s="219"/>
      <c r="O167" s="219"/>
      <c r="P167" s="431"/>
      <c r="Q167" s="85">
        <f t="shared" si="14"/>
        <v>0</v>
      </c>
    </row>
    <row r="168" spans="1:19" s="85" customFormat="1" x14ac:dyDescent="0.2">
      <c r="A168" s="429"/>
      <c r="B168" s="218" t="s">
        <v>38</v>
      </c>
      <c r="C168" s="672">
        <v>6413313</v>
      </c>
      <c r="D168" s="218" t="s">
        <v>111</v>
      </c>
      <c r="E168" s="720">
        <v>43481</v>
      </c>
      <c r="F168" s="720">
        <v>43483</v>
      </c>
      <c r="G168" s="692">
        <v>0.32</v>
      </c>
      <c r="H168" s="672">
        <v>50000</v>
      </c>
      <c r="I168" s="692">
        <v>27.23</v>
      </c>
      <c r="J168" s="692">
        <v>2.94</v>
      </c>
      <c r="K168" s="692">
        <v>0</v>
      </c>
      <c r="L168" s="692">
        <v>15967.63</v>
      </c>
      <c r="M168" s="440"/>
      <c r="N168" s="138">
        <f>IF(D168="Sell",H168,-H168)</f>
        <v>50000</v>
      </c>
      <c r="O168" s="138">
        <f>IF(D168="Sell",L168,-L168)</f>
        <v>15967.63</v>
      </c>
      <c r="P168" s="431"/>
      <c r="Q168" s="85">
        <f t="shared" si="14"/>
        <v>0</v>
      </c>
    </row>
    <row r="169" spans="1:19" s="133" customFormat="1" ht="12" thickBot="1" x14ac:dyDescent="0.25">
      <c r="B169" s="359" t="s">
        <v>38</v>
      </c>
      <c r="C169" s="673">
        <v>-99068421</v>
      </c>
      <c r="D169" s="214" t="s">
        <v>112</v>
      </c>
      <c r="E169" s="721">
        <v>42598</v>
      </c>
      <c r="F169" s="721">
        <v>42600</v>
      </c>
      <c r="G169" s="739">
        <v>0.22</v>
      </c>
      <c r="H169" s="673">
        <v>50000</v>
      </c>
      <c r="I169" s="739">
        <f>I171</f>
        <v>20.14</v>
      </c>
      <c r="J169" s="739">
        <f t="shared" ref="J169:L169" si="15">J171</f>
        <v>2.0099999999999998</v>
      </c>
      <c r="K169" s="739">
        <f t="shared" si="15"/>
        <v>0</v>
      </c>
      <c r="L169" s="739">
        <f t="shared" si="15"/>
        <v>11022.15</v>
      </c>
      <c r="M169" s="362"/>
      <c r="N169" s="207">
        <f>IF(D169="Sell",H169,-H169)</f>
        <v>-50000</v>
      </c>
      <c r="O169" s="207">
        <f>IF(D169="Sell",L169,-L169)</f>
        <v>-11022.15</v>
      </c>
      <c r="P169" s="139"/>
      <c r="Q169" s="85">
        <f t="shared" si="14"/>
        <v>0</v>
      </c>
      <c r="R169" s="1"/>
    </row>
    <row r="170" spans="1:19" s="85" customFormat="1" x14ac:dyDescent="0.2">
      <c r="A170" s="429"/>
      <c r="B170" s="218"/>
      <c r="C170" s="672"/>
      <c r="D170" s="218"/>
      <c r="E170" s="720"/>
      <c r="F170" s="720"/>
      <c r="G170" s="692"/>
      <c r="H170" s="672"/>
      <c r="I170" s="692"/>
      <c r="J170" s="692"/>
      <c r="K170" s="692"/>
      <c r="L170" s="692"/>
      <c r="M170" s="440"/>
      <c r="N170" s="436">
        <f>SUM(N168:N169)</f>
        <v>0</v>
      </c>
      <c r="O170" s="436">
        <f>SUM(O168:O169)</f>
        <v>4945.4799999999996</v>
      </c>
      <c r="P170" s="431">
        <f>O170</f>
        <v>4945.4799999999996</v>
      </c>
      <c r="Q170" s="85">
        <f t="shared" si="14"/>
        <v>1</v>
      </c>
    </row>
    <row r="171" spans="1:19" s="85" customFormat="1" x14ac:dyDescent="0.2">
      <c r="A171" s="429"/>
      <c r="B171" s="434" t="s">
        <v>38</v>
      </c>
      <c r="C171" s="674">
        <v>-99068421</v>
      </c>
      <c r="D171" s="434" t="s">
        <v>112</v>
      </c>
      <c r="E171" s="722">
        <v>42598</v>
      </c>
      <c r="F171" s="722">
        <v>42600</v>
      </c>
      <c r="G171" s="740">
        <v>0.22</v>
      </c>
      <c r="H171" s="674">
        <v>50000</v>
      </c>
      <c r="I171" s="740">
        <v>20.14</v>
      </c>
      <c r="J171" s="740">
        <v>2.0099999999999998</v>
      </c>
      <c r="K171" s="740">
        <v>0</v>
      </c>
      <c r="L171" s="740">
        <v>11022.15</v>
      </c>
      <c r="M171" s="440"/>
      <c r="N171" s="219"/>
      <c r="O171" s="219"/>
      <c r="P171" s="431"/>
      <c r="Q171" s="85">
        <f t="shared" si="14"/>
        <v>0</v>
      </c>
      <c r="R171" s="363"/>
      <c r="S171" s="363"/>
    </row>
    <row r="172" spans="1:19" s="85" customFormat="1" x14ac:dyDescent="0.2">
      <c r="A172" s="429"/>
      <c r="B172" s="218"/>
      <c r="C172" s="672"/>
      <c r="D172" s="218"/>
      <c r="E172" s="720"/>
      <c r="F172" s="720"/>
      <c r="G172" s="692"/>
      <c r="H172" s="672"/>
      <c r="I172" s="692"/>
      <c r="J172" s="692"/>
      <c r="K172" s="692"/>
      <c r="L172" s="692"/>
      <c r="M172" s="440"/>
      <c r="N172" s="219"/>
      <c r="O172" s="219"/>
      <c r="P172" s="431"/>
      <c r="Q172" s="85">
        <f t="shared" si="14"/>
        <v>0</v>
      </c>
    </row>
    <row r="173" spans="1:19" s="85" customFormat="1" x14ac:dyDescent="0.2">
      <c r="A173" s="429"/>
      <c r="B173" s="218"/>
      <c r="C173" s="672"/>
      <c r="D173" s="218"/>
      <c r="E173" s="720"/>
      <c r="F173" s="720"/>
      <c r="G173" s="692"/>
      <c r="H173" s="672"/>
      <c r="I173" s="692"/>
      <c r="J173" s="692"/>
      <c r="K173" s="692"/>
      <c r="L173" s="692"/>
      <c r="M173" s="440"/>
      <c r="N173" s="219"/>
      <c r="O173" s="219"/>
      <c r="P173" s="431"/>
      <c r="Q173" s="85">
        <f t="shared" si="14"/>
        <v>0</v>
      </c>
    </row>
    <row r="174" spans="1:19" s="85" customFormat="1" x14ac:dyDescent="0.2">
      <c r="A174" s="429"/>
      <c r="B174" s="218" t="s">
        <v>48</v>
      </c>
      <c r="C174" s="672">
        <v>6794916</v>
      </c>
      <c r="D174" s="218" t="s">
        <v>111</v>
      </c>
      <c r="E174" s="720">
        <v>43549</v>
      </c>
      <c r="F174" s="720">
        <v>43551</v>
      </c>
      <c r="G174" s="692">
        <v>35.240600000000001</v>
      </c>
      <c r="H174" s="672">
        <v>500</v>
      </c>
      <c r="I174" s="692">
        <v>18.14</v>
      </c>
      <c r="J174" s="692">
        <v>2.0299999999999998</v>
      </c>
      <c r="K174" s="692">
        <v>0</v>
      </c>
      <c r="L174" s="692">
        <v>17597.93</v>
      </c>
      <c r="M174" s="440"/>
      <c r="N174" s="138">
        <f>IF(D174="Sell",H174,-H174)</f>
        <v>500</v>
      </c>
      <c r="O174" s="138">
        <f>IF(D174="Sell",L174,-L174)</f>
        <v>17597.93</v>
      </c>
      <c r="P174" s="431"/>
      <c r="Q174" s="85">
        <f t="shared" si="14"/>
        <v>0</v>
      </c>
    </row>
    <row r="175" spans="1:19" s="85" customFormat="1" ht="12" thickBot="1" x14ac:dyDescent="0.25">
      <c r="B175" s="373" t="s">
        <v>48</v>
      </c>
      <c r="C175" s="676">
        <v>-118477348</v>
      </c>
      <c r="D175" s="374" t="s">
        <v>112</v>
      </c>
      <c r="E175" s="724">
        <v>43319</v>
      </c>
      <c r="F175" s="724">
        <v>43321</v>
      </c>
      <c r="G175" s="742">
        <v>24.04</v>
      </c>
      <c r="H175" s="676">
        <v>500</v>
      </c>
      <c r="I175" s="742">
        <v>29.23</v>
      </c>
      <c r="J175" s="742">
        <v>2.92</v>
      </c>
      <c r="K175" s="742">
        <v>0</v>
      </c>
      <c r="L175" s="742">
        <v>12052.15</v>
      </c>
      <c r="M175" s="700"/>
      <c r="N175" s="437">
        <f>IF(D175="Sell",H175,-H175)</f>
        <v>-500</v>
      </c>
      <c r="O175" s="142">
        <f>IF(D175="Sell",L175,-L175)</f>
        <v>-12052.15</v>
      </c>
      <c r="P175" s="431"/>
      <c r="Q175" s="85">
        <f t="shared" si="14"/>
        <v>0</v>
      </c>
      <c r="R175" s="363"/>
    </row>
    <row r="176" spans="1:19" s="85" customFormat="1" x14ac:dyDescent="0.2">
      <c r="A176" s="429"/>
      <c r="B176" s="218"/>
      <c r="C176" s="672"/>
      <c r="D176" s="218"/>
      <c r="E176" s="720"/>
      <c r="F176" s="720"/>
      <c r="G176" s="692"/>
      <c r="H176" s="672"/>
      <c r="I176" s="692"/>
      <c r="J176" s="692"/>
      <c r="K176" s="692"/>
      <c r="L176" s="514"/>
      <c r="M176" s="442"/>
      <c r="N176" s="436">
        <f>SUM(N174:N175)</f>
        <v>0</v>
      </c>
      <c r="O176" s="436">
        <f>SUM(O174:O175)</f>
        <v>5545.7800000000007</v>
      </c>
      <c r="P176" s="431">
        <f>O176</f>
        <v>5545.7800000000007</v>
      </c>
      <c r="Q176" s="85">
        <f t="shared" si="14"/>
        <v>1</v>
      </c>
    </row>
    <row r="177" spans="1:19" s="85" customFormat="1" x14ac:dyDescent="0.2">
      <c r="A177" s="429"/>
      <c r="B177" s="218"/>
      <c r="C177" s="672"/>
      <c r="D177" s="218"/>
      <c r="E177" s="720"/>
      <c r="F177" s="720"/>
      <c r="G177" s="692"/>
      <c r="H177" s="672"/>
      <c r="I177" s="692"/>
      <c r="J177" s="692"/>
      <c r="K177" s="692"/>
      <c r="L177" s="755"/>
      <c r="M177" s="440"/>
      <c r="N177" s="219"/>
      <c r="O177" s="219"/>
      <c r="P177" s="431"/>
      <c r="Q177" s="85">
        <f t="shared" si="14"/>
        <v>0</v>
      </c>
    </row>
    <row r="178" spans="1:19" s="85" customFormat="1" x14ac:dyDescent="0.2">
      <c r="A178" s="429"/>
      <c r="B178" s="218"/>
      <c r="C178" s="672"/>
      <c r="D178" s="218"/>
      <c r="E178" s="720"/>
      <c r="F178" s="720"/>
      <c r="G178" s="692"/>
      <c r="H178" s="672"/>
      <c r="I178" s="692"/>
      <c r="J178" s="692"/>
      <c r="K178" s="692"/>
      <c r="L178" s="692"/>
      <c r="M178" s="440"/>
      <c r="N178" s="219"/>
      <c r="O178" s="219"/>
      <c r="P178" s="431"/>
      <c r="Q178" s="85">
        <f t="shared" si="14"/>
        <v>0</v>
      </c>
    </row>
    <row r="179" spans="1:19" s="85" customFormat="1" x14ac:dyDescent="0.2">
      <c r="A179" s="429"/>
      <c r="B179" s="218" t="s">
        <v>25</v>
      </c>
      <c r="C179" s="672">
        <v>6678555</v>
      </c>
      <c r="D179" s="218" t="s">
        <v>111</v>
      </c>
      <c r="E179" s="720">
        <v>43528</v>
      </c>
      <c r="F179" s="720">
        <v>43530</v>
      </c>
      <c r="G179" s="692">
        <v>17.940000000000001</v>
      </c>
      <c r="H179" s="672">
        <v>300</v>
      </c>
      <c r="I179" s="692">
        <v>22.68</v>
      </c>
      <c r="J179" s="692">
        <v>2.4900000000000002</v>
      </c>
      <c r="K179" s="692">
        <v>0</v>
      </c>
      <c r="L179" s="692">
        <v>5354.63</v>
      </c>
      <c r="M179" s="440"/>
      <c r="N179" s="138">
        <f>IF(D179="Sell",H179,-H179)</f>
        <v>300</v>
      </c>
      <c r="O179" s="138">
        <f>IF(D179="Sell",L179,-L179)</f>
        <v>5354.63</v>
      </c>
      <c r="P179" s="431"/>
      <c r="Q179" s="85">
        <f t="shared" si="14"/>
        <v>0</v>
      </c>
    </row>
    <row r="180" spans="1:19" s="133" customFormat="1" ht="12" thickBot="1" x14ac:dyDescent="0.25">
      <c r="B180" s="359" t="s">
        <v>25</v>
      </c>
      <c r="C180" s="673">
        <v>-98907224</v>
      </c>
      <c r="D180" s="214" t="s">
        <v>112</v>
      </c>
      <c r="E180" s="721">
        <v>42592</v>
      </c>
      <c r="F180" s="721">
        <v>42594</v>
      </c>
      <c r="G180" s="739">
        <v>10.49</v>
      </c>
      <c r="H180" s="673">
        <v>300</v>
      </c>
      <c r="I180" s="739">
        <f>I182*0.3</f>
        <v>8.7690000000000001</v>
      </c>
      <c r="J180" s="739">
        <f t="shared" ref="J180:L180" si="16">J182*0.3</f>
        <v>0.876</v>
      </c>
      <c r="K180" s="739">
        <f t="shared" si="16"/>
        <v>0</v>
      </c>
      <c r="L180" s="754">
        <f t="shared" si="16"/>
        <v>3156.645</v>
      </c>
      <c r="M180" s="362"/>
      <c r="N180" s="207">
        <f>IF(D180="Sell",H180,-H180)</f>
        <v>-300</v>
      </c>
      <c r="O180" s="207">
        <f>IF(D180="Sell",L180,-L180)</f>
        <v>-3156.645</v>
      </c>
      <c r="P180" s="139"/>
      <c r="Q180" s="85">
        <f t="shared" si="14"/>
        <v>0</v>
      </c>
      <c r="R180" s="1"/>
    </row>
    <row r="181" spans="1:19" s="85" customFormat="1" x14ac:dyDescent="0.2">
      <c r="A181" s="429"/>
      <c r="B181" s="218"/>
      <c r="C181" s="672"/>
      <c r="D181" s="218"/>
      <c r="E181" s="720"/>
      <c r="F181" s="720"/>
      <c r="G181" s="692"/>
      <c r="H181" s="672"/>
      <c r="I181" s="692"/>
      <c r="J181" s="692"/>
      <c r="K181" s="692"/>
      <c r="L181" s="692"/>
      <c r="M181" s="440"/>
      <c r="N181" s="436">
        <f>SUM(N179:N180)</f>
        <v>0</v>
      </c>
      <c r="O181" s="436">
        <f>SUM(O179:O180)</f>
        <v>2197.9850000000001</v>
      </c>
      <c r="P181" s="431">
        <f>O181</f>
        <v>2197.9850000000001</v>
      </c>
      <c r="Q181" s="85">
        <f t="shared" si="14"/>
        <v>1</v>
      </c>
    </row>
    <row r="182" spans="1:19" s="85" customFormat="1" x14ac:dyDescent="0.2">
      <c r="A182" s="429"/>
      <c r="B182" s="434" t="s">
        <v>25</v>
      </c>
      <c r="C182" s="674">
        <v>-98907224</v>
      </c>
      <c r="D182" s="434" t="s">
        <v>112</v>
      </c>
      <c r="E182" s="722">
        <v>42592</v>
      </c>
      <c r="F182" s="722">
        <v>42594</v>
      </c>
      <c r="G182" s="740">
        <v>10.49</v>
      </c>
      <c r="H182" s="674">
        <v>1000</v>
      </c>
      <c r="I182" s="740">
        <v>29.23</v>
      </c>
      <c r="J182" s="740">
        <v>2.92</v>
      </c>
      <c r="K182" s="740">
        <v>0</v>
      </c>
      <c r="L182" s="740">
        <v>10522.15</v>
      </c>
      <c r="M182" s="440"/>
      <c r="N182" s="219"/>
      <c r="O182" s="219"/>
      <c r="P182" s="431"/>
      <c r="Q182" s="85">
        <f t="shared" si="14"/>
        <v>0</v>
      </c>
      <c r="R182" s="363"/>
      <c r="S182" s="363"/>
    </row>
    <row r="183" spans="1:19" s="85" customFormat="1" x14ac:dyDescent="0.2">
      <c r="A183" s="429"/>
      <c r="B183" s="218"/>
      <c r="C183" s="672"/>
      <c r="D183" s="218"/>
      <c r="E183" s="720"/>
      <c r="F183" s="720"/>
      <c r="G183" s="692"/>
      <c r="H183" s="672"/>
      <c r="I183" s="692"/>
      <c r="J183" s="692"/>
      <c r="K183" s="692"/>
      <c r="L183" s="692"/>
      <c r="M183" s="440"/>
      <c r="N183" s="219"/>
      <c r="O183" s="219"/>
      <c r="P183" s="431"/>
      <c r="Q183" s="85">
        <f t="shared" si="14"/>
        <v>0</v>
      </c>
    </row>
    <row r="184" spans="1:19" s="85" customFormat="1" x14ac:dyDescent="0.2">
      <c r="A184" s="429"/>
      <c r="B184" s="218"/>
      <c r="C184" s="672"/>
      <c r="D184" s="218"/>
      <c r="E184" s="720"/>
      <c r="F184" s="720"/>
      <c r="G184" s="692"/>
      <c r="H184" s="672"/>
      <c r="I184" s="692"/>
      <c r="J184" s="692"/>
      <c r="K184" s="692"/>
      <c r="L184" s="692"/>
      <c r="M184" s="440"/>
      <c r="N184" s="219"/>
      <c r="O184" s="219"/>
      <c r="P184" s="431"/>
      <c r="Q184" s="85">
        <f t="shared" si="14"/>
        <v>0</v>
      </c>
    </row>
    <row r="185" spans="1:19" s="85" customFormat="1" x14ac:dyDescent="0.2">
      <c r="A185" s="429"/>
      <c r="B185" s="218" t="s">
        <v>50</v>
      </c>
      <c r="C185" s="672">
        <v>-119017681</v>
      </c>
      <c r="D185" s="218" t="s">
        <v>111</v>
      </c>
      <c r="E185" s="720">
        <v>43346</v>
      </c>
      <c r="F185" s="720">
        <v>43348</v>
      </c>
      <c r="G185" s="692">
        <v>4.0340999999999996</v>
      </c>
      <c r="H185" s="672">
        <v>3000</v>
      </c>
      <c r="I185" s="692">
        <v>20.14</v>
      </c>
      <c r="J185" s="692">
        <v>2.0099999999999998</v>
      </c>
      <c r="K185" s="692">
        <v>0</v>
      </c>
      <c r="L185" s="692">
        <v>12080.1</v>
      </c>
      <c r="M185" s="440"/>
      <c r="N185" s="138">
        <f>IF(D185="Sell",H185,-H185)</f>
        <v>3000</v>
      </c>
      <c r="O185" s="138">
        <f>IF(D185="Sell",L185,-L185)</f>
        <v>12080.1</v>
      </c>
      <c r="P185" s="431"/>
      <c r="Q185" s="85">
        <f t="shared" si="14"/>
        <v>0</v>
      </c>
    </row>
    <row r="186" spans="1:19" s="133" customFormat="1" ht="12" thickBot="1" x14ac:dyDescent="0.25">
      <c r="B186" s="359" t="s">
        <v>50</v>
      </c>
      <c r="C186" s="673">
        <v>-117377943</v>
      </c>
      <c r="D186" s="214" t="s">
        <v>112</v>
      </c>
      <c r="E186" s="721">
        <v>43264</v>
      </c>
      <c r="F186" s="721">
        <v>43266</v>
      </c>
      <c r="G186" s="739">
        <v>3.42</v>
      </c>
      <c r="H186" s="673">
        <v>3000</v>
      </c>
      <c r="I186" s="739">
        <v>20.14</v>
      </c>
      <c r="J186" s="739">
        <v>2.0099999999999998</v>
      </c>
      <c r="K186" s="739">
        <v>0</v>
      </c>
      <c r="L186" s="754">
        <v>10282.15</v>
      </c>
      <c r="M186" s="362"/>
      <c r="N186" s="207">
        <f>IF(D186="Sell",H186,-H186)</f>
        <v>-3000</v>
      </c>
      <c r="O186" s="207">
        <f>IF(D186="Sell",L186,-L186)</f>
        <v>-10282.15</v>
      </c>
      <c r="P186" s="139"/>
      <c r="Q186" s="85">
        <f t="shared" si="14"/>
        <v>0</v>
      </c>
      <c r="R186" s="1"/>
    </row>
    <row r="187" spans="1:19" s="85" customFormat="1" x14ac:dyDescent="0.2">
      <c r="A187" s="429"/>
      <c r="B187" s="218"/>
      <c r="C187" s="672"/>
      <c r="D187" s="218"/>
      <c r="E187" s="720"/>
      <c r="F187" s="720"/>
      <c r="G187" s="692"/>
      <c r="H187" s="672"/>
      <c r="I187" s="692"/>
      <c r="J187" s="692"/>
      <c r="K187" s="692"/>
      <c r="L187" s="692"/>
      <c r="M187" s="440"/>
      <c r="N187" s="436">
        <f>SUM(N185:N186)</f>
        <v>0</v>
      </c>
      <c r="O187" s="436">
        <f>SUM(O185:O186)</f>
        <v>1797.9500000000007</v>
      </c>
      <c r="P187" s="431">
        <f>O187</f>
        <v>1797.9500000000007</v>
      </c>
      <c r="Q187" s="85">
        <f t="shared" si="14"/>
        <v>1</v>
      </c>
    </row>
    <row r="188" spans="1:19" s="85" customFormat="1" x14ac:dyDescent="0.2">
      <c r="A188" s="429"/>
      <c r="B188" s="434" t="s">
        <v>50</v>
      </c>
      <c r="C188" s="674">
        <v>-117377943</v>
      </c>
      <c r="D188" s="434" t="s">
        <v>112</v>
      </c>
      <c r="E188" s="722">
        <v>43264</v>
      </c>
      <c r="F188" s="722">
        <v>43266</v>
      </c>
      <c r="G188" s="740">
        <v>3.42</v>
      </c>
      <c r="H188" s="674">
        <v>3000</v>
      </c>
      <c r="I188" s="740">
        <v>20.14</v>
      </c>
      <c r="J188" s="740">
        <v>2.0099999999999998</v>
      </c>
      <c r="K188" s="740">
        <v>0</v>
      </c>
      <c r="L188" s="740">
        <v>10282.15</v>
      </c>
      <c r="M188" s="440"/>
      <c r="N188" s="219"/>
      <c r="O188" s="219"/>
      <c r="P188" s="431"/>
      <c r="Q188" s="85">
        <f t="shared" si="14"/>
        <v>0</v>
      </c>
      <c r="R188" s="363"/>
      <c r="S188" s="363"/>
    </row>
    <row r="189" spans="1:19" s="85" customFormat="1" x14ac:dyDescent="0.2">
      <c r="A189" s="429"/>
      <c r="B189" s="218"/>
      <c r="C189" s="672"/>
      <c r="D189" s="218"/>
      <c r="E189" s="720"/>
      <c r="F189" s="720"/>
      <c r="G189" s="692"/>
      <c r="H189" s="672"/>
      <c r="I189" s="692"/>
      <c r="J189" s="692"/>
      <c r="K189" s="692"/>
      <c r="L189" s="692"/>
      <c r="M189" s="440"/>
      <c r="N189" s="219"/>
      <c r="O189" s="219"/>
      <c r="P189" s="431"/>
      <c r="Q189" s="85">
        <f t="shared" si="14"/>
        <v>0</v>
      </c>
      <c r="R189" s="363"/>
      <c r="S189" s="363"/>
    </row>
    <row r="190" spans="1:19" s="85" customFormat="1" x14ac:dyDescent="0.2">
      <c r="A190" s="429"/>
      <c r="B190" s="218"/>
      <c r="C190" s="672"/>
      <c r="D190" s="218"/>
      <c r="E190" s="720"/>
      <c r="F190" s="720"/>
      <c r="G190" s="692"/>
      <c r="H190" s="672"/>
      <c r="I190" s="692"/>
      <c r="J190" s="692"/>
      <c r="K190" s="692"/>
      <c r="L190" s="692"/>
      <c r="M190" s="440"/>
      <c r="N190" s="219"/>
      <c r="O190" s="219"/>
      <c r="P190" s="431"/>
      <c r="Q190" s="85">
        <f t="shared" si="14"/>
        <v>0</v>
      </c>
    </row>
    <row r="191" spans="1:19" s="85" customFormat="1" x14ac:dyDescent="0.2">
      <c r="A191" s="429"/>
      <c r="B191" s="218" t="s">
        <v>40</v>
      </c>
      <c r="C191" s="672">
        <v>-119016887</v>
      </c>
      <c r="D191" s="218" t="s">
        <v>111</v>
      </c>
      <c r="E191" s="720">
        <v>43346</v>
      </c>
      <c r="F191" s="720">
        <v>43348</v>
      </c>
      <c r="G191" s="692">
        <v>0.67500000000000004</v>
      </c>
      <c r="H191" s="672">
        <v>8000</v>
      </c>
      <c r="I191" s="692">
        <v>24.68</v>
      </c>
      <c r="J191" s="692">
        <v>2.4700000000000002</v>
      </c>
      <c r="K191" s="692">
        <v>0</v>
      </c>
      <c r="L191" s="692">
        <v>5372.85</v>
      </c>
      <c r="M191" s="440"/>
      <c r="N191" s="138">
        <f>IF(D191="Sell",H191,-H191)</f>
        <v>8000</v>
      </c>
      <c r="O191" s="138">
        <f>IF(D191="Sell",L191,-L191)</f>
        <v>5372.85</v>
      </c>
      <c r="P191" s="431"/>
      <c r="Q191" s="85">
        <f t="shared" si="14"/>
        <v>0</v>
      </c>
    </row>
    <row r="192" spans="1:19" s="133" customFormat="1" ht="12" thickBot="1" x14ac:dyDescent="0.25">
      <c r="B192" s="359" t="s">
        <v>40</v>
      </c>
      <c r="C192" s="673">
        <v>-101290731</v>
      </c>
      <c r="D192" s="214" t="s">
        <v>112</v>
      </c>
      <c r="E192" s="721">
        <v>42681</v>
      </c>
      <c r="F192" s="721">
        <v>42683</v>
      </c>
      <c r="G192" s="739">
        <v>1.7849999999999999</v>
      </c>
      <c r="H192" s="673">
        <v>8000</v>
      </c>
      <c r="I192" s="739">
        <v>20.14</v>
      </c>
      <c r="J192" s="739">
        <v>2.0099999999999998</v>
      </c>
      <c r="K192" s="739">
        <v>0</v>
      </c>
      <c r="L192" s="754">
        <v>14302.15</v>
      </c>
      <c r="M192" s="362"/>
      <c r="N192" s="207">
        <f>IF(D192="Sell",H192,-H192)</f>
        <v>-8000</v>
      </c>
      <c r="O192" s="207">
        <f>IF(D192="Sell",L192,-L192)</f>
        <v>-14302.15</v>
      </c>
      <c r="P192" s="139"/>
      <c r="Q192" s="85">
        <f t="shared" si="14"/>
        <v>0</v>
      </c>
      <c r="R192" s="1"/>
    </row>
    <row r="193" spans="1:19" s="85" customFormat="1" x14ac:dyDescent="0.2">
      <c r="A193" s="429"/>
      <c r="B193" s="218"/>
      <c r="C193" s="672"/>
      <c r="D193" s="218"/>
      <c r="E193" s="720"/>
      <c r="F193" s="720"/>
      <c r="G193" s="692"/>
      <c r="H193" s="672"/>
      <c r="I193" s="692"/>
      <c r="J193" s="692"/>
      <c r="K193" s="692"/>
      <c r="L193" s="692"/>
      <c r="M193" s="440"/>
      <c r="N193" s="436">
        <f>SUM(N191:N192)</f>
        <v>0</v>
      </c>
      <c r="O193" s="436">
        <f>SUM(O191:O192)</f>
        <v>-8929.2999999999993</v>
      </c>
      <c r="P193" s="431">
        <f>O193</f>
        <v>-8929.2999999999993</v>
      </c>
      <c r="Q193" s="85">
        <f t="shared" si="14"/>
        <v>1</v>
      </c>
    </row>
    <row r="194" spans="1:19" s="85" customFormat="1" x14ac:dyDescent="0.2">
      <c r="A194" s="429"/>
      <c r="B194" s="434" t="s">
        <v>40</v>
      </c>
      <c r="C194" s="674">
        <v>-101290731</v>
      </c>
      <c r="D194" s="434" t="s">
        <v>112</v>
      </c>
      <c r="E194" s="722">
        <v>42681</v>
      </c>
      <c r="F194" s="722">
        <v>42683</v>
      </c>
      <c r="G194" s="740">
        <v>1.7849999999999999</v>
      </c>
      <c r="H194" s="674">
        <v>8000</v>
      </c>
      <c r="I194" s="740">
        <v>20.14</v>
      </c>
      <c r="J194" s="740">
        <v>2.0099999999999998</v>
      </c>
      <c r="K194" s="740">
        <v>0</v>
      </c>
      <c r="L194" s="740">
        <v>14302.15</v>
      </c>
      <c r="M194" s="440"/>
      <c r="N194" s="219"/>
      <c r="O194" s="219"/>
      <c r="P194" s="431"/>
      <c r="Q194" s="85">
        <f t="shared" si="14"/>
        <v>0</v>
      </c>
      <c r="R194" s="363"/>
      <c r="S194" s="363"/>
    </row>
    <row r="195" spans="1:19" s="85" customFormat="1" x14ac:dyDescent="0.2">
      <c r="A195" s="429"/>
      <c r="B195" s="218"/>
      <c r="C195" s="672"/>
      <c r="D195" s="218"/>
      <c r="E195" s="720"/>
      <c r="F195" s="720"/>
      <c r="G195" s="692"/>
      <c r="H195" s="672"/>
      <c r="I195" s="692"/>
      <c r="J195" s="692"/>
      <c r="K195" s="692"/>
      <c r="L195" s="692"/>
      <c r="M195" s="440"/>
      <c r="N195" s="219"/>
      <c r="O195" s="219"/>
      <c r="P195" s="431"/>
      <c r="Q195" s="85">
        <f t="shared" si="14"/>
        <v>0</v>
      </c>
    </row>
    <row r="196" spans="1:19" s="85" customFormat="1" x14ac:dyDescent="0.2">
      <c r="A196" s="429"/>
      <c r="B196" s="218"/>
      <c r="C196" s="672"/>
      <c r="D196" s="218"/>
      <c r="E196" s="720"/>
      <c r="F196" s="720"/>
      <c r="G196" s="692"/>
      <c r="H196" s="672"/>
      <c r="I196" s="692"/>
      <c r="J196" s="692"/>
      <c r="K196" s="692"/>
      <c r="L196" s="692"/>
      <c r="M196" s="440"/>
      <c r="N196" s="219"/>
      <c r="O196" s="219"/>
      <c r="P196" s="431"/>
      <c r="Q196" s="85">
        <f t="shared" si="14"/>
        <v>0</v>
      </c>
    </row>
    <row r="197" spans="1:19" s="85" customFormat="1" x14ac:dyDescent="0.2">
      <c r="A197" s="429"/>
      <c r="B197" s="218" t="s">
        <v>32</v>
      </c>
      <c r="C197" s="672">
        <v>6418829</v>
      </c>
      <c r="D197" s="218" t="s">
        <v>111</v>
      </c>
      <c r="E197" s="720">
        <v>43482</v>
      </c>
      <c r="F197" s="720">
        <v>43486</v>
      </c>
      <c r="G197" s="692">
        <v>3.17</v>
      </c>
      <c r="H197" s="672">
        <v>3000</v>
      </c>
      <c r="I197" s="692">
        <v>18.14</v>
      </c>
      <c r="J197" s="692">
        <v>2.0299999999999998</v>
      </c>
      <c r="K197" s="692">
        <v>0</v>
      </c>
      <c r="L197" s="692">
        <v>9487.6299999999992</v>
      </c>
      <c r="M197" s="440"/>
      <c r="N197" s="138">
        <f>IF(D197="Sell",H197,-H197)</f>
        <v>3000</v>
      </c>
      <c r="O197" s="138">
        <f>IF(D197="Sell",L197,-L197)</f>
        <v>9487.6299999999992</v>
      </c>
      <c r="P197" s="431"/>
      <c r="Q197" s="85">
        <f t="shared" si="14"/>
        <v>0</v>
      </c>
    </row>
    <row r="198" spans="1:19" s="133" customFormat="1" ht="12" thickBot="1" x14ac:dyDescent="0.25">
      <c r="B198" s="359" t="s">
        <v>32</v>
      </c>
      <c r="C198" s="673">
        <v>-100630109</v>
      </c>
      <c r="D198" s="214" t="s">
        <v>112</v>
      </c>
      <c r="E198" s="721">
        <v>42655</v>
      </c>
      <c r="F198" s="721">
        <v>42657</v>
      </c>
      <c r="G198" s="739">
        <v>5.415</v>
      </c>
      <c r="H198" s="673">
        <v>3000</v>
      </c>
      <c r="I198" s="739">
        <v>29.23</v>
      </c>
      <c r="J198" s="739">
        <v>2.92</v>
      </c>
      <c r="K198" s="739">
        <v>0</v>
      </c>
      <c r="L198" s="754">
        <v>16277.15</v>
      </c>
      <c r="M198" s="362"/>
      <c r="N198" s="207">
        <f>IF(D198="Sell",H198,-H198)</f>
        <v>-3000</v>
      </c>
      <c r="O198" s="207">
        <f>IF(D198="Sell",L198,-L198)</f>
        <v>-16277.15</v>
      </c>
      <c r="P198" s="139"/>
      <c r="Q198" s="85">
        <f t="shared" si="14"/>
        <v>0</v>
      </c>
      <c r="R198" s="1"/>
    </row>
    <row r="199" spans="1:19" s="85" customFormat="1" x14ac:dyDescent="0.2">
      <c r="A199" s="429"/>
      <c r="B199" s="218"/>
      <c r="C199" s="672"/>
      <c r="D199" s="218"/>
      <c r="E199" s="720"/>
      <c r="F199" s="720"/>
      <c r="G199" s="692"/>
      <c r="H199" s="672"/>
      <c r="I199" s="692"/>
      <c r="J199" s="692"/>
      <c r="K199" s="692"/>
      <c r="L199" s="692"/>
      <c r="M199" s="440"/>
      <c r="N199" s="436">
        <f>SUM(N197:N198)</f>
        <v>0</v>
      </c>
      <c r="O199" s="436">
        <f>SUM(O197:O198)</f>
        <v>-6789.52</v>
      </c>
      <c r="P199" s="431">
        <f>O199</f>
        <v>-6789.52</v>
      </c>
      <c r="Q199" s="85">
        <f t="shared" si="14"/>
        <v>1</v>
      </c>
    </row>
    <row r="200" spans="1:19" s="85" customFormat="1" x14ac:dyDescent="0.2">
      <c r="A200" s="429"/>
      <c r="B200" s="434" t="s">
        <v>32</v>
      </c>
      <c r="C200" s="674">
        <v>-100630109</v>
      </c>
      <c r="D200" s="434" t="s">
        <v>112</v>
      </c>
      <c r="E200" s="722">
        <v>42655</v>
      </c>
      <c r="F200" s="722">
        <v>42657</v>
      </c>
      <c r="G200" s="740">
        <v>5.415</v>
      </c>
      <c r="H200" s="674">
        <v>3000</v>
      </c>
      <c r="I200" s="740">
        <v>29.23</v>
      </c>
      <c r="J200" s="740">
        <v>2.92</v>
      </c>
      <c r="K200" s="740">
        <v>0</v>
      </c>
      <c r="L200" s="740">
        <v>16277.15</v>
      </c>
      <c r="M200" s="440"/>
      <c r="N200" s="219"/>
      <c r="O200" s="219"/>
      <c r="P200" s="431"/>
      <c r="Q200" s="85">
        <f t="shared" si="14"/>
        <v>0</v>
      </c>
      <c r="R200" s="363"/>
      <c r="S200" s="363"/>
    </row>
    <row r="201" spans="1:19" s="85" customFormat="1" x14ac:dyDescent="0.2">
      <c r="A201" s="429"/>
      <c r="B201" s="218"/>
      <c r="C201" s="672"/>
      <c r="D201" s="218"/>
      <c r="E201" s="720"/>
      <c r="F201" s="720"/>
      <c r="G201" s="692"/>
      <c r="H201" s="672"/>
      <c r="I201" s="692"/>
      <c r="J201" s="692"/>
      <c r="K201" s="692"/>
      <c r="L201" s="692"/>
      <c r="M201" s="440"/>
      <c r="N201" s="219"/>
      <c r="O201" s="219"/>
      <c r="P201" s="431"/>
      <c r="Q201" s="85">
        <f t="shared" si="14"/>
        <v>0</v>
      </c>
    </row>
    <row r="202" spans="1:19" s="85" customFormat="1" x14ac:dyDescent="0.2">
      <c r="A202" s="429"/>
      <c r="B202" s="218" t="s">
        <v>35</v>
      </c>
      <c r="C202" s="672">
        <v>6415488</v>
      </c>
      <c r="D202" s="218" t="s">
        <v>111</v>
      </c>
      <c r="E202" s="720">
        <v>43481</v>
      </c>
      <c r="F202" s="720">
        <v>43483</v>
      </c>
      <c r="G202" s="692">
        <v>32.1</v>
      </c>
      <c r="H202" s="672">
        <v>300</v>
      </c>
      <c r="I202" s="692">
        <v>18.14</v>
      </c>
      <c r="J202" s="692">
        <v>2.0299999999999998</v>
      </c>
      <c r="K202" s="692">
        <v>0</v>
      </c>
      <c r="L202" s="692">
        <v>9607.6299999999992</v>
      </c>
      <c r="M202" s="440"/>
      <c r="N202" s="138">
        <f>IF(D202="Sell",H202,-H202)</f>
        <v>300</v>
      </c>
      <c r="O202" s="138">
        <f>IF(D202="Sell",L202,-L202)</f>
        <v>9607.6299999999992</v>
      </c>
      <c r="P202" s="431"/>
      <c r="Q202" s="85">
        <f t="shared" si="14"/>
        <v>0</v>
      </c>
    </row>
    <row r="203" spans="1:19" s="133" customFormat="1" ht="12" thickBot="1" x14ac:dyDescent="0.25">
      <c r="B203" s="359" t="s">
        <v>35</v>
      </c>
      <c r="C203" s="673" t="s">
        <v>47</v>
      </c>
      <c r="D203" s="214" t="s">
        <v>112</v>
      </c>
      <c r="E203" s="721">
        <v>42545</v>
      </c>
      <c r="F203" s="721"/>
      <c r="G203" s="739">
        <v>39.56</v>
      </c>
      <c r="H203" s="673">
        <v>300</v>
      </c>
      <c r="I203" s="739">
        <f>I205*0.3</f>
        <v>12.468</v>
      </c>
      <c r="J203" s="739">
        <f t="shared" ref="J203:K203" si="17">J205*0.3</f>
        <v>1.248</v>
      </c>
      <c r="K203" s="739">
        <f t="shared" si="17"/>
        <v>0</v>
      </c>
      <c r="L203" s="754">
        <v>11880.651</v>
      </c>
      <c r="M203" s="362"/>
      <c r="N203" s="207">
        <f>IF(D203="Sell",H203,-H203)</f>
        <v>-300</v>
      </c>
      <c r="O203" s="207">
        <f>IF(D203="Sell",L203,-L203)</f>
        <v>-11880.651</v>
      </c>
      <c r="P203" s="139"/>
      <c r="Q203" s="85">
        <f t="shared" si="14"/>
        <v>0</v>
      </c>
      <c r="R203" s="1"/>
    </row>
    <row r="204" spans="1:19" s="85" customFormat="1" x14ac:dyDescent="0.2">
      <c r="A204" s="429"/>
      <c r="B204" s="218"/>
      <c r="C204" s="672"/>
      <c r="D204" s="218"/>
      <c r="E204" s="720"/>
      <c r="F204" s="720"/>
      <c r="G204" s="692"/>
      <c r="H204" s="672"/>
      <c r="I204" s="692"/>
      <c r="J204" s="692"/>
      <c r="K204" s="692"/>
      <c r="L204" s="692"/>
      <c r="M204" s="440"/>
      <c r="N204" s="436">
        <f>SUM(N202:N203)</f>
        <v>0</v>
      </c>
      <c r="O204" s="436">
        <f>SUM(O202:O203)</f>
        <v>-2273.0210000000006</v>
      </c>
      <c r="P204" s="431">
        <f>O204</f>
        <v>-2273.0210000000006</v>
      </c>
      <c r="Q204" s="85">
        <f t="shared" si="14"/>
        <v>1</v>
      </c>
    </row>
    <row r="205" spans="1:19" s="85" customFormat="1" x14ac:dyDescent="0.2">
      <c r="A205" s="429"/>
      <c r="B205" s="434" t="s">
        <v>35</v>
      </c>
      <c r="C205" s="674">
        <v>-97577687</v>
      </c>
      <c r="D205" s="434" t="s">
        <v>112</v>
      </c>
      <c r="E205" s="722">
        <v>42545</v>
      </c>
      <c r="F205" s="722">
        <v>42549</v>
      </c>
      <c r="G205" s="740">
        <v>39.556399999999996</v>
      </c>
      <c r="H205" s="674">
        <v>1000</v>
      </c>
      <c r="I205" s="740">
        <v>41.56</v>
      </c>
      <c r="J205" s="740">
        <v>4.16</v>
      </c>
      <c r="K205" s="740">
        <v>0</v>
      </c>
      <c r="L205" s="740">
        <v>39602.17</v>
      </c>
      <c r="M205" s="440"/>
      <c r="N205" s="219"/>
      <c r="O205" s="219"/>
      <c r="P205" s="431"/>
      <c r="Q205" s="85">
        <f t="shared" si="14"/>
        <v>0</v>
      </c>
      <c r="R205" s="363"/>
      <c r="S205" s="363"/>
    </row>
    <row r="206" spans="1:19" ht="12" thickBot="1" x14ac:dyDescent="0.25">
      <c r="A206" s="53"/>
      <c r="B206" s="163"/>
      <c r="C206" s="669"/>
      <c r="D206" s="163"/>
      <c r="E206" s="718"/>
      <c r="F206" s="718"/>
      <c r="G206" s="191"/>
      <c r="H206" s="669"/>
      <c r="I206" s="191"/>
      <c r="J206" s="191"/>
      <c r="K206" s="191"/>
      <c r="L206" s="191"/>
      <c r="M206" s="443"/>
      <c r="N206" s="142"/>
      <c r="O206" s="142"/>
      <c r="P206" s="147"/>
      <c r="Q206" s="446">
        <f t="shared" si="14"/>
        <v>0</v>
      </c>
    </row>
    <row r="207" spans="1:19" x14ac:dyDescent="0.2">
      <c r="A207" s="2"/>
      <c r="B207" s="12"/>
      <c r="C207" s="679"/>
      <c r="D207" s="12"/>
      <c r="E207" s="726"/>
      <c r="F207" s="726"/>
      <c r="G207" s="4"/>
      <c r="H207" s="679"/>
      <c r="I207" s="4"/>
      <c r="J207" s="4"/>
      <c r="K207" s="4"/>
      <c r="L207" s="4"/>
      <c r="M207" s="3"/>
      <c r="N207" s="3"/>
      <c r="O207" s="3"/>
      <c r="P207" s="1">
        <f>SUM(P142:P206)</f>
        <v>-18266.745999999996</v>
      </c>
      <c r="Q207" s="85">
        <f>SUM(Q141:Q205)</f>
        <v>12</v>
      </c>
    </row>
    <row r="208" spans="1:19" ht="12" thickBot="1" x14ac:dyDescent="0.25">
      <c r="A208" s="450"/>
      <c r="B208" s="450"/>
      <c r="C208" s="680"/>
      <c r="D208" s="450"/>
      <c r="E208" s="727"/>
      <c r="F208" s="727"/>
      <c r="G208" s="743"/>
      <c r="H208" s="680"/>
      <c r="I208" s="743"/>
      <c r="J208" s="743"/>
      <c r="K208" s="743"/>
      <c r="L208" s="743"/>
      <c r="M208" s="452"/>
      <c r="N208" s="452"/>
      <c r="O208" s="452"/>
      <c r="P208" s="452"/>
      <c r="Q208" s="451"/>
    </row>
    <row r="209" spans="1:18" ht="12" thickTop="1" x14ac:dyDescent="0.2">
      <c r="O209" s="370"/>
    </row>
    <row r="210" spans="1:18" s="385" customFormat="1" ht="18.75" x14ac:dyDescent="0.3">
      <c r="B210" s="1145" t="s">
        <v>267</v>
      </c>
      <c r="C210" s="1145"/>
      <c r="D210" s="1145"/>
      <c r="E210" s="1145"/>
      <c r="F210" s="1145"/>
      <c r="G210" s="1145"/>
      <c r="H210" s="1145"/>
      <c r="I210" s="1145"/>
      <c r="J210" s="1145"/>
      <c r="K210" s="1145"/>
      <c r="L210" s="1145"/>
      <c r="M210" s="386"/>
      <c r="N210" s="386"/>
      <c r="O210" s="386"/>
      <c r="P210" s="386"/>
      <c r="Q210" s="386"/>
      <c r="R210" s="386"/>
    </row>
    <row r="211" spans="1:18" s="385" customFormat="1" ht="18.75" x14ac:dyDescent="0.3">
      <c r="B211" s="1145"/>
      <c r="C211" s="1145"/>
      <c r="D211" s="1145"/>
      <c r="E211" s="1145"/>
      <c r="F211" s="1145"/>
      <c r="G211" s="1145"/>
      <c r="H211" s="1145"/>
      <c r="I211" s="1145"/>
      <c r="J211" s="1145"/>
      <c r="K211" s="1145"/>
      <c r="L211" s="1145"/>
      <c r="M211" s="386"/>
      <c r="N211" s="386"/>
      <c r="O211" s="386"/>
      <c r="P211" s="386"/>
      <c r="Q211" s="386"/>
      <c r="R211" s="386"/>
    </row>
    <row r="212" spans="1:18" s="133" customFormat="1" x14ac:dyDescent="0.2">
      <c r="A212" s="133">
        <v>3221898</v>
      </c>
      <c r="B212" s="352" t="s">
        <v>0</v>
      </c>
      <c r="C212" s="664">
        <v>6437396</v>
      </c>
      <c r="D212" s="159" t="s">
        <v>112</v>
      </c>
      <c r="E212" s="710">
        <v>43487</v>
      </c>
      <c r="F212" s="710">
        <v>43489</v>
      </c>
      <c r="G212" s="194">
        <v>26.07</v>
      </c>
      <c r="H212" s="664">
        <v>1000</v>
      </c>
      <c r="I212" s="194">
        <v>26.07</v>
      </c>
      <c r="J212" s="194">
        <v>2.83</v>
      </c>
      <c r="K212" s="194">
        <v>0</v>
      </c>
      <c r="L212" s="26">
        <v>26101.1</v>
      </c>
      <c r="M212" s="1"/>
      <c r="N212" s="1">
        <v>1</v>
      </c>
      <c r="O212" s="1"/>
      <c r="P212" s="1"/>
    </row>
    <row r="213" spans="1:18" s="133" customFormat="1" x14ac:dyDescent="0.2">
      <c r="A213" s="133">
        <v>3221898</v>
      </c>
      <c r="B213" s="352" t="s">
        <v>98</v>
      </c>
      <c r="C213" s="664">
        <v>6844308</v>
      </c>
      <c r="D213" s="159" t="s">
        <v>112</v>
      </c>
      <c r="E213" s="710">
        <v>43557</v>
      </c>
      <c r="F213" s="710">
        <v>43559</v>
      </c>
      <c r="G213" s="194">
        <v>8.07</v>
      </c>
      <c r="H213" s="664">
        <v>1000</v>
      </c>
      <c r="I213" s="194">
        <v>22.68</v>
      </c>
      <c r="J213" s="194">
        <v>2.4900000000000002</v>
      </c>
      <c r="K213" s="194">
        <v>0</v>
      </c>
      <c r="L213" s="26">
        <v>8097.37</v>
      </c>
      <c r="M213" s="1"/>
      <c r="N213" s="1">
        <f>N212+1</f>
        <v>2</v>
      </c>
      <c r="O213" s="1"/>
      <c r="P213" s="1"/>
    </row>
    <row r="214" spans="1:18" s="133" customFormat="1" x14ac:dyDescent="0.2">
      <c r="A214" s="133">
        <v>3221898</v>
      </c>
      <c r="B214" s="352" t="s">
        <v>99</v>
      </c>
      <c r="C214" s="664">
        <v>-119091144</v>
      </c>
      <c r="D214" s="159" t="s">
        <v>112</v>
      </c>
      <c r="E214" s="710">
        <v>43349</v>
      </c>
      <c r="F214" s="710">
        <v>43353</v>
      </c>
      <c r="G214" s="194">
        <v>2.75</v>
      </c>
      <c r="H214" s="664">
        <v>5000</v>
      </c>
      <c r="I214" s="194">
        <v>20.14</v>
      </c>
      <c r="J214" s="194">
        <v>2.0099999999999998</v>
      </c>
      <c r="K214" s="194">
        <v>0</v>
      </c>
      <c r="L214" s="26">
        <v>13772.15</v>
      </c>
      <c r="M214" s="1"/>
      <c r="N214" s="1">
        <f t="shared" ref="N214:N218" si="18">N213+1</f>
        <v>3</v>
      </c>
      <c r="O214" s="1"/>
      <c r="P214" s="1"/>
    </row>
    <row r="215" spans="1:18" s="133" customFormat="1" x14ac:dyDescent="0.2">
      <c r="A215" s="133">
        <v>3221898</v>
      </c>
      <c r="B215" s="352" t="s">
        <v>7</v>
      </c>
      <c r="C215" s="664">
        <v>-119067328</v>
      </c>
      <c r="D215" s="159" t="s">
        <v>112</v>
      </c>
      <c r="E215" s="710">
        <v>43348</v>
      </c>
      <c r="F215" s="710">
        <v>43350</v>
      </c>
      <c r="G215" s="194">
        <v>28</v>
      </c>
      <c r="H215" s="664">
        <v>1000</v>
      </c>
      <c r="I215" s="194">
        <v>30</v>
      </c>
      <c r="J215" s="194">
        <v>3</v>
      </c>
      <c r="K215" s="194">
        <v>0</v>
      </c>
      <c r="L215" s="26">
        <v>28033</v>
      </c>
      <c r="M215" s="1"/>
      <c r="N215" s="1">
        <f t="shared" si="18"/>
        <v>4</v>
      </c>
      <c r="O215" s="1"/>
      <c r="P215" s="1"/>
    </row>
    <row r="216" spans="1:18" s="133" customFormat="1" x14ac:dyDescent="0.2">
      <c r="A216" s="133">
        <v>3221898</v>
      </c>
      <c r="B216" s="352" t="s">
        <v>11</v>
      </c>
      <c r="C216" s="664">
        <v>6702197</v>
      </c>
      <c r="D216" s="159" t="s">
        <v>112</v>
      </c>
      <c r="E216" s="710">
        <v>43531</v>
      </c>
      <c r="F216" s="710">
        <v>43535</v>
      </c>
      <c r="G216" s="194">
        <v>27.37</v>
      </c>
      <c r="H216" s="664">
        <v>500</v>
      </c>
      <c r="I216" s="194">
        <v>18.14</v>
      </c>
      <c r="J216" s="194">
        <v>2.0299999999999998</v>
      </c>
      <c r="K216" s="194">
        <v>0</v>
      </c>
      <c r="L216" s="26">
        <v>13707.37</v>
      </c>
      <c r="M216" s="1"/>
      <c r="N216" s="1">
        <f t="shared" si="18"/>
        <v>5</v>
      </c>
      <c r="O216" s="1"/>
      <c r="P216" s="1"/>
    </row>
    <row r="217" spans="1:18" s="133" customFormat="1" x14ac:dyDescent="0.2">
      <c r="A217" s="133">
        <v>3221898</v>
      </c>
      <c r="B217" s="352" t="s">
        <v>11</v>
      </c>
      <c r="C217" s="664">
        <v>-118121049</v>
      </c>
      <c r="D217" s="159" t="s">
        <v>112</v>
      </c>
      <c r="E217" s="710">
        <v>43298</v>
      </c>
      <c r="F217" s="710">
        <v>43300</v>
      </c>
      <c r="G217" s="194">
        <v>29.43</v>
      </c>
      <c r="H217" s="664">
        <v>1000</v>
      </c>
      <c r="I217" s="194">
        <v>31.43</v>
      </c>
      <c r="J217" s="194">
        <v>3.14</v>
      </c>
      <c r="K217" s="194">
        <v>0</v>
      </c>
      <c r="L217" s="26">
        <v>29464.57</v>
      </c>
      <c r="M217" s="1"/>
      <c r="N217" s="1">
        <f t="shared" si="18"/>
        <v>6</v>
      </c>
      <c r="O217" s="1"/>
      <c r="P217" s="1"/>
    </row>
    <row r="218" spans="1:18" s="133" customFormat="1" x14ac:dyDescent="0.2">
      <c r="A218" s="133">
        <v>3221898</v>
      </c>
      <c r="B218" s="352" t="s">
        <v>37</v>
      </c>
      <c r="C218" s="664">
        <v>-118766272</v>
      </c>
      <c r="D218" s="159" t="s">
        <v>112</v>
      </c>
      <c r="E218" s="710">
        <v>43334</v>
      </c>
      <c r="F218" s="710">
        <v>43336</v>
      </c>
      <c r="G218" s="194">
        <v>28.5</v>
      </c>
      <c r="H218" s="664">
        <v>500</v>
      </c>
      <c r="I218" s="194">
        <v>20.14</v>
      </c>
      <c r="J218" s="194">
        <v>2.0099999999999998</v>
      </c>
      <c r="K218" s="194">
        <v>0</v>
      </c>
      <c r="L218" s="26">
        <v>14272.15</v>
      </c>
      <c r="M218" s="1"/>
      <c r="N218" s="1">
        <f t="shared" si="18"/>
        <v>7</v>
      </c>
      <c r="O218" s="1"/>
      <c r="P218" s="1"/>
    </row>
    <row r="220" spans="1:18" s="385" customFormat="1" ht="18.75" x14ac:dyDescent="0.3">
      <c r="B220" s="1145" t="s">
        <v>271</v>
      </c>
      <c r="C220" s="1145"/>
      <c r="D220" s="1145"/>
      <c r="E220" s="1145"/>
      <c r="F220" s="1145"/>
      <c r="G220" s="1145"/>
      <c r="H220" s="1145"/>
      <c r="I220" s="1145"/>
      <c r="J220" s="1145"/>
      <c r="K220" s="1145"/>
      <c r="L220" s="1145"/>
      <c r="M220" s="386"/>
      <c r="N220" s="386"/>
      <c r="O220" s="386"/>
      <c r="P220" s="386"/>
      <c r="Q220" s="386"/>
      <c r="R220" s="386"/>
    </row>
    <row r="221" spans="1:18" x14ac:dyDescent="0.2">
      <c r="A221" s="133" t="s">
        <v>251</v>
      </c>
    </row>
    <row r="222" spans="1:18" s="133" customFormat="1" x14ac:dyDescent="0.2">
      <c r="B222" s="352" t="s">
        <v>0</v>
      </c>
      <c r="C222" s="664">
        <v>-116586674</v>
      </c>
      <c r="D222" s="159" t="s">
        <v>112</v>
      </c>
      <c r="E222" s="710">
        <v>43230</v>
      </c>
      <c r="F222" s="710">
        <v>43234</v>
      </c>
      <c r="G222" s="194">
        <v>28.01</v>
      </c>
      <c r="H222" s="664">
        <v>2000</v>
      </c>
      <c r="I222" s="194">
        <v>58.02</v>
      </c>
      <c r="J222" s="194">
        <v>5.8</v>
      </c>
      <c r="K222" s="194">
        <v>0</v>
      </c>
      <c r="L222" s="26">
        <v>56083.82</v>
      </c>
      <c r="M222" s="1"/>
      <c r="N222" s="1"/>
      <c r="O222" s="1"/>
      <c r="P222" s="1"/>
    </row>
    <row r="223" spans="1:18" s="133" customFormat="1" x14ac:dyDescent="0.2">
      <c r="B223" s="352" t="s">
        <v>0</v>
      </c>
      <c r="C223" s="664">
        <v>-117225274</v>
      </c>
      <c r="D223" s="159" t="s">
        <v>111</v>
      </c>
      <c r="E223" s="710">
        <v>43257</v>
      </c>
      <c r="F223" s="710">
        <v>43259</v>
      </c>
      <c r="G223" s="194">
        <v>26.6</v>
      </c>
      <c r="H223" s="664">
        <v>1000</v>
      </c>
      <c r="I223" s="194">
        <v>29.23</v>
      </c>
      <c r="J223" s="194">
        <v>2.92</v>
      </c>
      <c r="K223" s="194">
        <v>0</v>
      </c>
      <c r="L223" s="26">
        <v>26567.85</v>
      </c>
      <c r="M223" s="1"/>
      <c r="N223" s="1"/>
      <c r="O223" s="1"/>
      <c r="P223" s="1"/>
    </row>
    <row r="224" spans="1:18" s="133" customFormat="1" x14ac:dyDescent="0.2">
      <c r="B224" s="352" t="s">
        <v>26</v>
      </c>
      <c r="C224" s="664">
        <v>-110747962</v>
      </c>
      <c r="D224" s="159" t="s">
        <v>111</v>
      </c>
      <c r="E224" s="710">
        <v>43035</v>
      </c>
      <c r="F224" s="710">
        <v>43039</v>
      </c>
      <c r="G224" s="194">
        <v>26.786799999999999</v>
      </c>
      <c r="H224" s="664">
        <v>1000</v>
      </c>
      <c r="I224" s="194">
        <v>29.23</v>
      </c>
      <c r="J224" s="194">
        <v>2.92</v>
      </c>
      <c r="K224" s="194">
        <v>0</v>
      </c>
      <c r="L224" s="26">
        <v>26754.65</v>
      </c>
      <c r="M224" s="1"/>
      <c r="N224" s="1"/>
      <c r="O224" s="1"/>
      <c r="P224" s="1"/>
    </row>
    <row r="225" spans="2:16" s="133" customFormat="1" x14ac:dyDescent="0.2">
      <c r="B225" s="352" t="s">
        <v>26</v>
      </c>
      <c r="C225" s="664">
        <v>-116165872</v>
      </c>
      <c r="D225" s="159" t="s">
        <v>111</v>
      </c>
      <c r="E225" s="710">
        <v>43214</v>
      </c>
      <c r="F225" s="710">
        <v>43217</v>
      </c>
      <c r="G225" s="194">
        <v>31.16</v>
      </c>
      <c r="H225" s="664">
        <v>1000</v>
      </c>
      <c r="I225" s="194">
        <v>33.159999999999997</v>
      </c>
      <c r="J225" s="194">
        <v>3.32</v>
      </c>
      <c r="K225" s="194">
        <v>0</v>
      </c>
      <c r="L225" s="26">
        <v>31123.52</v>
      </c>
      <c r="M225" s="1"/>
      <c r="N225" s="1"/>
      <c r="O225" s="1"/>
      <c r="P225" s="1"/>
    </row>
    <row r="226" spans="2:16" s="133" customFormat="1" x14ac:dyDescent="0.2">
      <c r="B226" s="352" t="s">
        <v>30</v>
      </c>
      <c r="C226" s="664">
        <v>-114014661</v>
      </c>
      <c r="D226" s="159" t="s">
        <v>111</v>
      </c>
      <c r="E226" s="710">
        <v>43137</v>
      </c>
      <c r="F226" s="710">
        <v>43139</v>
      </c>
      <c r="G226" s="194">
        <v>77.667000000000002</v>
      </c>
      <c r="H226" s="664">
        <v>580</v>
      </c>
      <c r="I226" s="194">
        <v>47.05</v>
      </c>
      <c r="J226" s="194">
        <v>4.71</v>
      </c>
      <c r="K226" s="194">
        <v>0</v>
      </c>
      <c r="L226" s="26">
        <v>44995.08</v>
      </c>
      <c r="M226" s="1"/>
      <c r="N226" s="1"/>
      <c r="O226" s="1"/>
      <c r="P226" s="1"/>
    </row>
    <row r="227" spans="2:16" s="133" customFormat="1" x14ac:dyDescent="0.2">
      <c r="B227" s="352" t="s">
        <v>30</v>
      </c>
      <c r="C227" s="664">
        <v>-114090355</v>
      </c>
      <c r="D227" s="159" t="s">
        <v>112</v>
      </c>
      <c r="E227" s="710">
        <v>43138</v>
      </c>
      <c r="F227" s="710">
        <v>43140</v>
      </c>
      <c r="G227" s="194">
        <v>77.5</v>
      </c>
      <c r="H227" s="664">
        <v>500</v>
      </c>
      <c r="I227" s="194">
        <v>40.75</v>
      </c>
      <c r="J227" s="194">
        <v>4.08</v>
      </c>
      <c r="K227" s="194">
        <v>0</v>
      </c>
      <c r="L227" s="26">
        <v>38794.83</v>
      </c>
      <c r="M227" s="1"/>
      <c r="N227" s="1"/>
      <c r="O227" s="1"/>
      <c r="P227" s="1"/>
    </row>
    <row r="228" spans="2:16" s="133" customFormat="1" x14ac:dyDescent="0.2">
      <c r="B228" s="352" t="s">
        <v>30</v>
      </c>
      <c r="C228" s="664">
        <v>-115477997</v>
      </c>
      <c r="D228" s="159" t="s">
        <v>111</v>
      </c>
      <c r="E228" s="710">
        <v>43182</v>
      </c>
      <c r="F228" s="710">
        <v>43186</v>
      </c>
      <c r="G228" s="194">
        <v>74.031300000000002</v>
      </c>
      <c r="H228" s="664">
        <v>2000</v>
      </c>
      <c r="I228" s="194">
        <v>150.06</v>
      </c>
      <c r="J228" s="194">
        <v>15.01</v>
      </c>
      <c r="K228" s="194">
        <v>0</v>
      </c>
      <c r="L228" s="26">
        <v>147897.53</v>
      </c>
      <c r="M228" s="1"/>
      <c r="N228" s="1"/>
      <c r="O228" s="1"/>
      <c r="P228" s="1"/>
    </row>
    <row r="229" spans="2:16" s="133" customFormat="1" x14ac:dyDescent="0.2">
      <c r="B229" s="352" t="s">
        <v>30</v>
      </c>
      <c r="C229" s="664">
        <v>-115751954</v>
      </c>
      <c r="D229" s="159" t="s">
        <v>112</v>
      </c>
      <c r="E229" s="710">
        <v>43195</v>
      </c>
      <c r="F229" s="710">
        <v>43199</v>
      </c>
      <c r="G229" s="194">
        <v>73.697299999999998</v>
      </c>
      <c r="H229" s="664">
        <v>2000</v>
      </c>
      <c r="I229" s="194">
        <v>149.38999999999999</v>
      </c>
      <c r="J229" s="194">
        <v>14.94</v>
      </c>
      <c r="K229" s="194">
        <v>0</v>
      </c>
      <c r="L229" s="26">
        <v>147558.95000000001</v>
      </c>
      <c r="M229" s="1"/>
      <c r="N229" s="1"/>
      <c r="O229" s="1"/>
      <c r="P229" s="1"/>
    </row>
    <row r="230" spans="2:16" s="133" customFormat="1" x14ac:dyDescent="0.2">
      <c r="B230" s="352" t="s">
        <v>30</v>
      </c>
      <c r="C230" s="664">
        <v>-116586294</v>
      </c>
      <c r="D230" s="159" t="s">
        <v>111</v>
      </c>
      <c r="E230" s="710">
        <v>43230</v>
      </c>
      <c r="F230" s="710">
        <v>43234</v>
      </c>
      <c r="G230" s="194">
        <v>71.06</v>
      </c>
      <c r="H230" s="664">
        <v>500</v>
      </c>
      <c r="I230" s="194">
        <v>37.53</v>
      </c>
      <c r="J230" s="194">
        <v>3.75</v>
      </c>
      <c r="K230" s="194">
        <v>0</v>
      </c>
      <c r="L230" s="26">
        <v>35488.720000000001</v>
      </c>
      <c r="M230" s="1"/>
      <c r="N230" s="1"/>
      <c r="O230" s="1"/>
      <c r="P230" s="1"/>
    </row>
    <row r="231" spans="2:16" s="133" customFormat="1" x14ac:dyDescent="0.2">
      <c r="B231" s="352" t="s">
        <v>25</v>
      </c>
      <c r="C231" s="664">
        <v>-111838760</v>
      </c>
      <c r="D231" s="159" t="s">
        <v>111</v>
      </c>
      <c r="E231" s="710">
        <v>43066</v>
      </c>
      <c r="F231" s="710">
        <v>43068</v>
      </c>
      <c r="G231" s="194">
        <v>19.559999999999999</v>
      </c>
      <c r="H231" s="664">
        <v>500</v>
      </c>
      <c r="I231" s="194">
        <v>24.68</v>
      </c>
      <c r="J231" s="194">
        <v>2.4700000000000002</v>
      </c>
      <c r="K231" s="194">
        <v>0</v>
      </c>
      <c r="L231" s="26">
        <v>9752.85</v>
      </c>
      <c r="M231" s="1"/>
      <c r="N231" s="1"/>
      <c r="O231" s="1"/>
      <c r="P231" s="1"/>
    </row>
    <row r="232" spans="2:16" s="133" customFormat="1" x14ac:dyDescent="0.2">
      <c r="B232" s="352" t="s">
        <v>25</v>
      </c>
      <c r="C232" s="664">
        <v>-116904905</v>
      </c>
      <c r="D232" s="159" t="s">
        <v>111</v>
      </c>
      <c r="E232" s="710">
        <v>43243</v>
      </c>
      <c r="F232" s="710">
        <v>43245</v>
      </c>
      <c r="G232" s="194">
        <v>15.9</v>
      </c>
      <c r="H232" s="664">
        <v>200</v>
      </c>
      <c r="I232" s="194">
        <v>20.14</v>
      </c>
      <c r="J232" s="194">
        <v>2.0099999999999998</v>
      </c>
      <c r="K232" s="194">
        <v>0</v>
      </c>
      <c r="L232" s="26">
        <v>3157.85</v>
      </c>
      <c r="M232" s="1"/>
      <c r="N232" s="1"/>
      <c r="O232" s="1"/>
      <c r="P232" s="1"/>
    </row>
    <row r="233" spans="2:16" s="133" customFormat="1" x14ac:dyDescent="0.2">
      <c r="B233" s="352" t="s">
        <v>7</v>
      </c>
      <c r="C233" s="664">
        <v>-116185774</v>
      </c>
      <c r="D233" s="159" t="s">
        <v>112</v>
      </c>
      <c r="E233" s="710">
        <v>43216</v>
      </c>
      <c r="F233" s="710">
        <v>43220</v>
      </c>
      <c r="G233" s="194">
        <v>28.85</v>
      </c>
      <c r="H233" s="664">
        <v>1000</v>
      </c>
      <c r="I233" s="194">
        <v>30.85</v>
      </c>
      <c r="J233" s="194">
        <v>3.09</v>
      </c>
      <c r="K233" s="194">
        <v>0</v>
      </c>
      <c r="L233" s="26">
        <v>28883.94</v>
      </c>
      <c r="M233" s="1"/>
      <c r="N233" s="1"/>
      <c r="O233" s="1"/>
      <c r="P233" s="1"/>
    </row>
    <row r="234" spans="2:16" s="133" customFormat="1" x14ac:dyDescent="0.2">
      <c r="B234" s="352" t="s">
        <v>50</v>
      </c>
      <c r="C234" s="664">
        <v>-117377943</v>
      </c>
      <c r="D234" s="159" t="s">
        <v>112</v>
      </c>
      <c r="E234" s="710">
        <v>43264</v>
      </c>
      <c r="F234" s="710">
        <v>43266</v>
      </c>
      <c r="G234" s="194">
        <v>3.42</v>
      </c>
      <c r="H234" s="664">
        <v>3000</v>
      </c>
      <c r="I234" s="194">
        <v>20.14</v>
      </c>
      <c r="J234" s="194">
        <v>2.0099999999999998</v>
      </c>
      <c r="K234" s="194">
        <v>0</v>
      </c>
      <c r="L234" s="26">
        <v>10282.15</v>
      </c>
      <c r="M234" s="1"/>
      <c r="N234" s="1"/>
      <c r="O234" s="1"/>
      <c r="P234" s="1"/>
    </row>
    <row r="235" spans="2:16" s="133" customFormat="1" x14ac:dyDescent="0.2">
      <c r="B235" s="352" t="s">
        <v>8</v>
      </c>
      <c r="C235" s="664">
        <v>-114701575</v>
      </c>
      <c r="D235" s="159" t="s">
        <v>111</v>
      </c>
      <c r="E235" s="710">
        <v>43157</v>
      </c>
      <c r="F235" s="710">
        <v>43159</v>
      </c>
      <c r="G235" s="194">
        <v>10.42</v>
      </c>
      <c r="H235" s="664">
        <v>2000</v>
      </c>
      <c r="I235" s="194">
        <v>22.84</v>
      </c>
      <c r="J235" s="194">
        <v>2.2799999999999998</v>
      </c>
      <c r="K235" s="194">
        <v>0</v>
      </c>
      <c r="L235" s="26">
        <v>20814.88</v>
      </c>
      <c r="M235" s="1"/>
      <c r="N235" s="1"/>
      <c r="O235" s="1"/>
      <c r="P235" s="1"/>
    </row>
    <row r="236" spans="2:16" s="133" customFormat="1" x14ac:dyDescent="0.2">
      <c r="B236" s="352" t="s">
        <v>35</v>
      </c>
      <c r="C236" s="664">
        <v>-117403325</v>
      </c>
      <c r="D236" s="159" t="s">
        <v>111</v>
      </c>
      <c r="E236" s="710">
        <v>43265</v>
      </c>
      <c r="F236" s="710">
        <v>43269</v>
      </c>
      <c r="G236" s="194">
        <v>46.99</v>
      </c>
      <c r="H236" s="664">
        <v>400</v>
      </c>
      <c r="I236" s="194">
        <v>20.8</v>
      </c>
      <c r="J236" s="194">
        <v>2.08</v>
      </c>
      <c r="K236" s="194">
        <v>0</v>
      </c>
      <c r="L236" s="26">
        <v>18773.12</v>
      </c>
      <c r="M236" s="1"/>
      <c r="N236" s="1"/>
      <c r="O236" s="1"/>
      <c r="P236" s="1"/>
    </row>
    <row r="237" spans="2:16" s="133" customFormat="1" x14ac:dyDescent="0.2">
      <c r="B237" s="352" t="s">
        <v>37</v>
      </c>
      <c r="C237" s="664">
        <v>-117403221</v>
      </c>
      <c r="D237" s="159" t="s">
        <v>111</v>
      </c>
      <c r="E237" s="710">
        <v>43265</v>
      </c>
      <c r="F237" s="710">
        <v>43269</v>
      </c>
      <c r="G237" s="194">
        <v>29.08</v>
      </c>
      <c r="H237" s="664">
        <v>1000</v>
      </c>
      <c r="I237" s="194">
        <v>31.08</v>
      </c>
      <c r="J237" s="194">
        <v>3.11</v>
      </c>
      <c r="K237" s="194">
        <v>0</v>
      </c>
      <c r="L237" s="26">
        <v>29045.81</v>
      </c>
      <c r="M237" s="1"/>
      <c r="N237" s="1"/>
      <c r="O237" s="1"/>
      <c r="P237" s="1"/>
    </row>
    <row r="238" spans="2:16" s="133" customFormat="1" x14ac:dyDescent="0.2">
      <c r="B238" s="352"/>
      <c r="C238" s="664"/>
      <c r="D238" s="159"/>
      <c r="E238" s="710"/>
      <c r="F238" s="710"/>
      <c r="G238" s="194"/>
      <c r="H238" s="664"/>
      <c r="I238" s="194"/>
      <c r="J238" s="194"/>
      <c r="K238" s="194"/>
      <c r="L238" s="26"/>
      <c r="M238" s="1"/>
      <c r="N238" s="1"/>
      <c r="O238" s="1"/>
      <c r="P238" s="1"/>
    </row>
  </sheetData>
  <sheetProtection sheet="1" objects="1" scenarios="1"/>
  <sortState ref="A78:U84">
    <sortCondition ref="E78:E84"/>
  </sortState>
  <mergeCells count="20">
    <mergeCell ref="N133:O133"/>
    <mergeCell ref="B210:L210"/>
    <mergeCell ref="B211:L211"/>
    <mergeCell ref="B220:L220"/>
    <mergeCell ref="B136:L136"/>
    <mergeCell ref="B135:L135"/>
    <mergeCell ref="B133:J133"/>
    <mergeCell ref="B100:D101"/>
    <mergeCell ref="E100:L101"/>
    <mergeCell ref="B58:D59"/>
    <mergeCell ref="E58:L59"/>
    <mergeCell ref="B78:J78"/>
    <mergeCell ref="B92:L92"/>
    <mergeCell ref="I66:L66"/>
    <mergeCell ref="B2:D3"/>
    <mergeCell ref="E2:L3"/>
    <mergeCell ref="O78:P78"/>
    <mergeCell ref="M78:N78"/>
    <mergeCell ref="A9:C9"/>
    <mergeCell ref="A27:C27"/>
  </mergeCells>
  <hyperlinks>
    <hyperlink ref="B142" r:id="rId1" display="https://trading.anzshareinvesting.com.au/trade/confirmation.aspx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5"/>
  <sheetViews>
    <sheetView topLeftCell="A10" workbookViewId="0">
      <selection activeCell="E42" sqref="E42"/>
    </sheetView>
  </sheetViews>
  <sheetFormatPr defaultRowHeight="11.25" x14ac:dyDescent="0.2"/>
  <cols>
    <col min="1" max="1" width="13.1640625" bestFit="1" customWidth="1"/>
    <col min="3" max="3" width="16.5" customWidth="1"/>
    <col min="5" max="5" width="11.1640625" customWidth="1"/>
    <col min="6" max="6" width="11" customWidth="1"/>
    <col min="9" max="11" width="9.33203125" style="1"/>
    <col min="12" max="12" width="12.6640625" style="1" customWidth="1"/>
    <col min="13" max="13" width="4.33203125" style="2" customWidth="1"/>
    <col min="14" max="14" width="12" style="1" customWidth="1"/>
    <col min="15" max="15" width="11.6640625" style="1" customWidth="1"/>
    <col min="16" max="16" width="13.83203125" style="1" customWidth="1"/>
    <col min="17" max="17" width="15.1640625" customWidth="1"/>
  </cols>
  <sheetData>
    <row r="1" spans="1:39" s="133" customFormat="1" x14ac:dyDescent="0.2">
      <c r="I1" s="1"/>
      <c r="J1" s="1"/>
      <c r="K1" s="1"/>
      <c r="L1" s="1"/>
      <c r="M1" s="2"/>
      <c r="N1" s="1"/>
      <c r="O1" s="1"/>
      <c r="P1" s="1"/>
    </row>
    <row r="2" spans="1:39" s="133" customFormat="1" ht="12" thickBot="1" x14ac:dyDescent="0.25">
      <c r="I2" s="1"/>
      <c r="J2" s="1"/>
      <c r="K2" s="1"/>
      <c r="L2" s="1"/>
      <c r="M2" s="2"/>
      <c r="N2" s="1"/>
      <c r="O2" s="1"/>
      <c r="P2" s="1"/>
    </row>
    <row r="3" spans="1:39" s="133" customFormat="1" ht="10.15" customHeight="1" x14ac:dyDescent="0.35">
      <c r="B3" s="1130" t="s">
        <v>559</v>
      </c>
      <c r="C3" s="1131"/>
      <c r="D3" s="1132"/>
      <c r="E3" s="1136" t="s">
        <v>55</v>
      </c>
      <c r="F3" s="1137"/>
      <c r="G3" s="1137"/>
      <c r="H3" s="1137"/>
      <c r="I3" s="1137"/>
      <c r="J3" s="1137"/>
      <c r="K3" s="1137"/>
      <c r="L3" s="1137"/>
      <c r="M3" s="418"/>
      <c r="N3" s="525"/>
      <c r="O3" s="1"/>
      <c r="P3" s="6"/>
      <c r="Q3" s="104"/>
      <c r="R3" s="1"/>
      <c r="S3" s="1"/>
      <c r="T3" s="6"/>
      <c r="U3" s="122"/>
      <c r="Y3" s="183"/>
      <c r="AL3" s="5"/>
      <c r="AM3" s="47"/>
    </row>
    <row r="4" spans="1:39" s="133" customFormat="1" ht="15.75" customHeight="1" thickBot="1" x14ac:dyDescent="0.4">
      <c r="B4" s="1133"/>
      <c r="C4" s="1134"/>
      <c r="D4" s="1135"/>
      <c r="E4" s="1139"/>
      <c r="F4" s="1140"/>
      <c r="G4" s="1140"/>
      <c r="H4" s="1140"/>
      <c r="I4" s="1140"/>
      <c r="J4" s="1140"/>
      <c r="K4" s="1140"/>
      <c r="L4" s="1140"/>
      <c r="M4" s="418"/>
      <c r="N4" s="525"/>
      <c r="O4" s="1"/>
      <c r="P4" s="6"/>
      <c r="Q4" s="104"/>
      <c r="R4" s="1"/>
      <c r="S4" s="1"/>
      <c r="T4" s="6"/>
      <c r="U4" s="122"/>
      <c r="Y4" s="183"/>
      <c r="AL4" s="5"/>
      <c r="AM4" s="47"/>
    </row>
    <row r="5" spans="1:39" s="133" customFormat="1" x14ac:dyDescent="0.2">
      <c r="I5" s="1"/>
      <c r="J5" s="1"/>
      <c r="K5" s="1"/>
      <c r="L5" s="1"/>
      <c r="M5" s="2"/>
      <c r="N5" s="1"/>
      <c r="O5" s="1"/>
      <c r="P5" s="1"/>
    </row>
    <row r="6" spans="1:39" s="133" customFormat="1" ht="12" thickBot="1" x14ac:dyDescent="0.25">
      <c r="B6" s="5"/>
      <c r="C6" s="5"/>
      <c r="D6" s="5"/>
      <c r="E6" s="86"/>
      <c r="F6" s="86"/>
      <c r="G6" s="308"/>
      <c r="I6" s="1"/>
      <c r="J6" s="1"/>
      <c r="K6" s="1"/>
      <c r="L6" s="1"/>
      <c r="M6" s="2"/>
      <c r="N6" s="1"/>
      <c r="O6" s="1"/>
      <c r="P6" s="1"/>
      <c r="Q6" s="1"/>
      <c r="R6" s="1"/>
    </row>
    <row r="7" spans="1:39" s="554" customFormat="1" ht="34.5" customHeight="1" thickBot="1" x14ac:dyDescent="0.25">
      <c r="A7" s="346" t="s">
        <v>252</v>
      </c>
      <c r="B7" s="347" t="s">
        <v>3</v>
      </c>
      <c r="C7" s="347" t="s">
        <v>253</v>
      </c>
      <c r="D7" s="347" t="s">
        <v>254</v>
      </c>
      <c r="E7" s="347" t="s">
        <v>255</v>
      </c>
      <c r="F7" s="347" t="s">
        <v>256</v>
      </c>
      <c r="G7" s="348" t="s">
        <v>257</v>
      </c>
      <c r="H7" s="347" t="s">
        <v>4</v>
      </c>
      <c r="I7" s="348" t="s">
        <v>258</v>
      </c>
      <c r="J7" s="348" t="s">
        <v>259</v>
      </c>
      <c r="K7" s="348" t="s">
        <v>260</v>
      </c>
      <c r="L7" s="529" t="s">
        <v>261</v>
      </c>
      <c r="M7" s="419"/>
      <c r="N7" s="528" t="s">
        <v>276</v>
      </c>
      <c r="O7" s="348" t="s">
        <v>277</v>
      </c>
      <c r="P7" s="529" t="s">
        <v>80</v>
      </c>
      <c r="Q7" s="344"/>
      <c r="R7" s="344"/>
    </row>
    <row r="8" spans="1:39" s="133" customFormat="1" ht="13.5" thickTop="1" x14ac:dyDescent="0.2">
      <c r="B8" s="5"/>
      <c r="C8" s="5"/>
      <c r="D8" s="5"/>
      <c r="E8" s="86"/>
      <c r="F8" s="86"/>
      <c r="G8" s="308"/>
      <c r="I8" s="1"/>
      <c r="J8" s="1"/>
      <c r="K8" s="1"/>
      <c r="L8" s="1"/>
      <c r="M8" s="2"/>
      <c r="N8" s="3">
        <f>SUM(N11:N20)</f>
        <v>-163774.26999999999</v>
      </c>
      <c r="O8" s="3">
        <f>SUM(O11:O20)</f>
        <v>152836.41999999998</v>
      </c>
      <c r="P8" s="55">
        <f>SUM(N8:O8)</f>
        <v>-10937.850000000006</v>
      </c>
      <c r="Q8" s="1"/>
      <c r="R8" s="1"/>
    </row>
    <row r="9" spans="1:39" s="133" customFormat="1" ht="19.5" thickBot="1" x14ac:dyDescent="0.35">
      <c r="A9" s="1156" t="s">
        <v>561</v>
      </c>
      <c r="B9" s="1156"/>
      <c r="C9" s="1156"/>
      <c r="D9" s="5"/>
      <c r="E9" s="86"/>
      <c r="F9" s="86"/>
      <c r="G9" s="308"/>
      <c r="I9" s="1"/>
      <c r="J9" s="1"/>
      <c r="K9" s="1"/>
      <c r="L9" s="1"/>
      <c r="M9" s="2"/>
      <c r="N9" s="3"/>
      <c r="O9" s="3"/>
      <c r="P9" s="55"/>
      <c r="Q9" s="1"/>
      <c r="R9" s="1"/>
    </row>
    <row r="10" spans="1:39" s="133" customFormat="1" ht="12.75" x14ac:dyDescent="0.2">
      <c r="A10" s="133" t="s">
        <v>250</v>
      </c>
      <c r="B10" s="5"/>
      <c r="C10" s="5"/>
      <c r="D10" s="5"/>
      <c r="E10" s="86"/>
      <c r="F10" s="86"/>
      <c r="G10" s="308"/>
      <c r="I10" s="1"/>
      <c r="J10" s="1"/>
      <c r="K10" s="1"/>
      <c r="L10" s="1"/>
      <c r="M10" s="2"/>
      <c r="N10" s="3"/>
      <c r="O10" s="3"/>
      <c r="P10" s="55"/>
      <c r="Q10" s="1"/>
      <c r="R10" s="1"/>
    </row>
    <row r="11" spans="1:39" s="133" customFormat="1" x14ac:dyDescent="0.2">
      <c r="A11" s="612"/>
      <c r="B11" s="352" t="s">
        <v>0</v>
      </c>
      <c r="C11" s="159">
        <v>13113134</v>
      </c>
      <c r="D11" s="159" t="s">
        <v>112</v>
      </c>
      <c r="E11" s="90">
        <v>44216</v>
      </c>
      <c r="F11" s="90">
        <v>44218</v>
      </c>
      <c r="G11" s="353">
        <v>24.5</v>
      </c>
      <c r="H11" s="146">
        <v>1000</v>
      </c>
      <c r="I11" s="138">
        <v>24.5</v>
      </c>
      <c r="J11" s="138">
        <v>2.67</v>
      </c>
      <c r="K11" s="138">
        <v>2.2000000000000002</v>
      </c>
      <c r="L11" s="139">
        <v>24529.37</v>
      </c>
      <c r="M11" s="2"/>
      <c r="N11" s="283">
        <f t="shared" ref="N11:N20" si="0">IF(D11="Sell","",-L11)</f>
        <v>-24529.37</v>
      </c>
      <c r="O11" s="282" t="str">
        <f t="shared" ref="O11:O20" si="1">IF(D11="Sell",L11,"")</f>
        <v/>
      </c>
      <c r="P11" s="637"/>
      <c r="Q11" s="1"/>
      <c r="R11" s="1"/>
    </row>
    <row r="12" spans="1:39" s="133" customFormat="1" x14ac:dyDescent="0.2">
      <c r="A12" s="612"/>
      <c r="B12" s="352" t="s">
        <v>0</v>
      </c>
      <c r="C12" s="159">
        <v>13294764</v>
      </c>
      <c r="D12" s="159" t="s">
        <v>112</v>
      </c>
      <c r="E12" s="90">
        <v>44228</v>
      </c>
      <c r="F12" s="90">
        <v>44230</v>
      </c>
      <c r="G12" s="353">
        <v>23.35</v>
      </c>
      <c r="H12" s="146">
        <v>1000</v>
      </c>
      <c r="I12" s="138">
        <v>27.23</v>
      </c>
      <c r="J12" s="138">
        <v>2.94</v>
      </c>
      <c r="K12" s="138">
        <v>2.2000000000000002</v>
      </c>
      <c r="L12" s="139">
        <v>23382.37</v>
      </c>
      <c r="M12" s="2"/>
      <c r="N12" s="283">
        <f t="shared" si="0"/>
        <v>-23382.37</v>
      </c>
      <c r="O12" s="282" t="str">
        <f t="shared" si="1"/>
        <v/>
      </c>
      <c r="P12" s="637"/>
      <c r="Q12" s="1"/>
      <c r="R12" s="1"/>
    </row>
    <row r="13" spans="1:39" s="133" customFormat="1" x14ac:dyDescent="0.2">
      <c r="A13" s="612"/>
      <c r="B13" s="352" t="s">
        <v>7</v>
      </c>
      <c r="C13" s="159">
        <v>10843823</v>
      </c>
      <c r="D13" s="159" t="s">
        <v>111</v>
      </c>
      <c r="E13" s="90">
        <v>44029</v>
      </c>
      <c r="F13" s="90">
        <v>44033</v>
      </c>
      <c r="G13" s="353">
        <v>18.010000000000002</v>
      </c>
      <c r="H13" s="146">
        <v>2120</v>
      </c>
      <c r="I13" s="138">
        <v>38.18</v>
      </c>
      <c r="J13" s="138">
        <v>4.04</v>
      </c>
      <c r="K13" s="138">
        <v>2.2000000000000002</v>
      </c>
      <c r="L13" s="139">
        <v>38136.78</v>
      </c>
      <c r="M13" s="2"/>
      <c r="N13" s="283" t="str">
        <f t="shared" si="0"/>
        <v/>
      </c>
      <c r="O13" s="282">
        <f t="shared" si="1"/>
        <v>38136.78</v>
      </c>
      <c r="P13" s="637"/>
      <c r="Q13" s="1"/>
      <c r="R13" s="1"/>
    </row>
    <row r="14" spans="1:39" s="133" customFormat="1" x14ac:dyDescent="0.2">
      <c r="A14" s="612"/>
      <c r="B14" s="352" t="s">
        <v>7</v>
      </c>
      <c r="C14" s="159">
        <v>14987018</v>
      </c>
      <c r="D14" s="159" t="s">
        <v>111</v>
      </c>
      <c r="E14" s="90">
        <v>44357</v>
      </c>
      <c r="F14" s="90">
        <v>44362</v>
      </c>
      <c r="G14" s="353">
        <v>26.64</v>
      </c>
      <c r="H14" s="146">
        <v>2000</v>
      </c>
      <c r="I14" s="138">
        <v>53.28</v>
      </c>
      <c r="J14" s="138">
        <v>5.55</v>
      </c>
      <c r="K14" s="138">
        <v>2.2000000000000002</v>
      </c>
      <c r="L14" s="139">
        <v>53218.97</v>
      </c>
      <c r="M14" s="2"/>
      <c r="N14" s="283" t="str">
        <f t="shared" si="0"/>
        <v/>
      </c>
      <c r="O14" s="282">
        <f t="shared" si="1"/>
        <v>53218.97</v>
      </c>
      <c r="P14" s="637"/>
      <c r="Q14" s="1"/>
      <c r="R14" s="1"/>
    </row>
    <row r="15" spans="1:39" s="133" customFormat="1" x14ac:dyDescent="0.2">
      <c r="A15" s="612"/>
      <c r="B15" s="352" t="s">
        <v>97</v>
      </c>
      <c r="C15" s="159">
        <v>10844013</v>
      </c>
      <c r="D15" s="159" t="s">
        <v>112</v>
      </c>
      <c r="E15" s="90">
        <v>44029</v>
      </c>
      <c r="F15" s="90">
        <v>44033</v>
      </c>
      <c r="G15" s="353">
        <v>63.5</v>
      </c>
      <c r="H15" s="146">
        <v>180</v>
      </c>
      <c r="I15" s="138">
        <v>18.14</v>
      </c>
      <c r="J15" s="138">
        <v>2.0299999999999998</v>
      </c>
      <c r="K15" s="138">
        <v>2.2000000000000002</v>
      </c>
      <c r="L15" s="139">
        <v>11452.37</v>
      </c>
      <c r="M15" s="2"/>
      <c r="N15" s="283">
        <f t="shared" si="0"/>
        <v>-11452.37</v>
      </c>
      <c r="O15" s="282" t="str">
        <f t="shared" si="1"/>
        <v/>
      </c>
      <c r="P15" s="637"/>
      <c r="Q15" s="1"/>
      <c r="R15" s="1"/>
    </row>
    <row r="16" spans="1:39" s="133" customFormat="1" x14ac:dyDescent="0.2">
      <c r="A16" s="612"/>
      <c r="B16" s="352" t="s">
        <v>9</v>
      </c>
      <c r="C16" s="159">
        <v>11677562</v>
      </c>
      <c r="D16" s="159" t="s">
        <v>112</v>
      </c>
      <c r="E16" s="90">
        <v>44096</v>
      </c>
      <c r="F16" s="90">
        <v>44098</v>
      </c>
      <c r="G16" s="353">
        <v>105.498</v>
      </c>
      <c r="H16" s="146">
        <v>300</v>
      </c>
      <c r="I16" s="138">
        <v>31.65</v>
      </c>
      <c r="J16" s="138">
        <v>3.39</v>
      </c>
      <c r="K16" s="138">
        <v>2.2000000000000002</v>
      </c>
      <c r="L16" s="139">
        <v>31686.65</v>
      </c>
      <c r="M16" s="2"/>
      <c r="N16" s="283">
        <f t="shared" si="0"/>
        <v>-31686.65</v>
      </c>
      <c r="O16" s="282" t="str">
        <f t="shared" si="1"/>
        <v/>
      </c>
      <c r="P16" s="637"/>
      <c r="Q16" s="1"/>
      <c r="R16" s="1"/>
    </row>
    <row r="17" spans="1:19" s="133" customFormat="1" x14ac:dyDescent="0.2">
      <c r="A17" s="612"/>
      <c r="B17" s="352" t="s">
        <v>11</v>
      </c>
      <c r="C17" s="159">
        <v>13084997</v>
      </c>
      <c r="D17" s="159" t="s">
        <v>111</v>
      </c>
      <c r="E17" s="90">
        <v>44215</v>
      </c>
      <c r="F17" s="90">
        <v>44217</v>
      </c>
      <c r="G17" s="353">
        <v>21.7</v>
      </c>
      <c r="H17" s="146">
        <v>1017</v>
      </c>
      <c r="I17" s="138">
        <v>27.23</v>
      </c>
      <c r="J17" s="138">
        <v>2.94</v>
      </c>
      <c r="K17" s="138">
        <v>2.2000000000000002</v>
      </c>
      <c r="L17" s="139">
        <v>22036.53</v>
      </c>
      <c r="M17" s="2"/>
      <c r="N17" s="283" t="str">
        <f t="shared" si="0"/>
        <v/>
      </c>
      <c r="O17" s="282">
        <f t="shared" si="1"/>
        <v>22036.53</v>
      </c>
      <c r="P17" s="637"/>
      <c r="Q17" s="1"/>
      <c r="R17" s="1"/>
    </row>
    <row r="18" spans="1:19" s="133" customFormat="1" x14ac:dyDescent="0.2">
      <c r="A18" s="612"/>
      <c r="B18" s="352" t="s">
        <v>11</v>
      </c>
      <c r="C18" s="159">
        <v>14987712</v>
      </c>
      <c r="D18" s="159" t="s">
        <v>112</v>
      </c>
      <c r="E18" s="90">
        <v>44357</v>
      </c>
      <c r="F18" s="90">
        <v>44362</v>
      </c>
      <c r="G18" s="353">
        <v>26.61</v>
      </c>
      <c r="H18" s="146">
        <v>2000</v>
      </c>
      <c r="I18" s="138">
        <v>53.22</v>
      </c>
      <c r="J18" s="138">
        <v>5.54</v>
      </c>
      <c r="K18" s="138">
        <v>2.2000000000000002</v>
      </c>
      <c r="L18" s="139">
        <v>53280.959999999999</v>
      </c>
      <c r="M18" s="2"/>
      <c r="N18" s="283">
        <f t="shared" si="0"/>
        <v>-53280.959999999999</v>
      </c>
      <c r="O18" s="282" t="str">
        <f t="shared" si="1"/>
        <v/>
      </c>
      <c r="P18" s="637"/>
      <c r="Q18" s="1"/>
      <c r="R18" s="1"/>
    </row>
    <row r="19" spans="1:19" s="133" customFormat="1" x14ac:dyDescent="0.2">
      <c r="A19" s="612"/>
      <c r="B19" s="352" t="s">
        <v>37</v>
      </c>
      <c r="C19" s="159">
        <v>10844150</v>
      </c>
      <c r="D19" s="159" t="s">
        <v>112</v>
      </c>
      <c r="E19" s="90">
        <v>44029</v>
      </c>
      <c r="F19" s="90">
        <v>44033</v>
      </c>
      <c r="G19" s="353">
        <v>38.837499999999999</v>
      </c>
      <c r="H19" s="146">
        <v>500</v>
      </c>
      <c r="I19" s="138">
        <v>19.420000000000002</v>
      </c>
      <c r="J19" s="138">
        <v>2.16</v>
      </c>
      <c r="K19" s="138">
        <v>2.2000000000000002</v>
      </c>
      <c r="L19" s="139">
        <v>19442.55</v>
      </c>
      <c r="M19" s="2"/>
      <c r="N19" s="283">
        <f t="shared" si="0"/>
        <v>-19442.55</v>
      </c>
      <c r="O19" s="282" t="str">
        <f t="shared" si="1"/>
        <v/>
      </c>
      <c r="P19" s="637"/>
      <c r="Q19" s="1"/>
      <c r="R19" s="1"/>
    </row>
    <row r="20" spans="1:19" s="133" customFormat="1" ht="12" thickBot="1" x14ac:dyDescent="0.25">
      <c r="A20" s="141"/>
      <c r="B20" s="163" t="s">
        <v>37</v>
      </c>
      <c r="C20" s="163">
        <v>11953915</v>
      </c>
      <c r="D20" s="163" t="s">
        <v>111</v>
      </c>
      <c r="E20" s="93">
        <v>44120</v>
      </c>
      <c r="F20" s="93">
        <v>44124</v>
      </c>
      <c r="G20" s="355">
        <v>39.49</v>
      </c>
      <c r="H20" s="961">
        <v>1000</v>
      </c>
      <c r="I20" s="142">
        <v>39.49</v>
      </c>
      <c r="J20" s="142">
        <v>4.17</v>
      </c>
      <c r="K20" s="142">
        <v>2.2000000000000002</v>
      </c>
      <c r="L20" s="142">
        <v>39444.14</v>
      </c>
      <c r="M20" s="213"/>
      <c r="N20" s="309" t="str">
        <f t="shared" si="0"/>
        <v/>
      </c>
      <c r="O20" s="309">
        <f t="shared" si="1"/>
        <v>39444.14</v>
      </c>
      <c r="P20" s="639"/>
      <c r="Q20" s="1"/>
      <c r="R20" s="1"/>
    </row>
    <row r="21" spans="1:19" s="133" customFormat="1" ht="18.75" x14ac:dyDescent="0.3">
      <c r="A21" s="951"/>
      <c r="B21" s="951"/>
      <c r="C21" s="951"/>
      <c r="D21" s="5"/>
      <c r="E21" s="86"/>
      <c r="F21" s="86"/>
      <c r="G21" s="308"/>
      <c r="I21" s="1"/>
      <c r="J21" s="1"/>
      <c r="K21" s="1"/>
      <c r="L21" s="1"/>
      <c r="M21" s="2"/>
      <c r="N21" s="1">
        <f>SUM(N11:N20)</f>
        <v>-163774.26999999999</v>
      </c>
      <c r="O21" s="1">
        <f>SUM(O11:O20)</f>
        <v>152836.41999999998</v>
      </c>
      <c r="P21" s="1">
        <f>SUM(N21:O21)</f>
        <v>-10937.850000000006</v>
      </c>
      <c r="Q21" s="1"/>
      <c r="R21" s="1"/>
    </row>
    <row r="22" spans="1:19" s="133" customFormat="1" ht="19.5" thickBot="1" x14ac:dyDescent="0.35">
      <c r="A22" s="951"/>
      <c r="B22" s="951"/>
      <c r="C22" s="951"/>
      <c r="D22" s="5"/>
      <c r="E22" s="86"/>
      <c r="F22" s="86"/>
      <c r="G22" s="308"/>
      <c r="I22" s="1"/>
      <c r="J22" s="1"/>
      <c r="K22" s="1"/>
      <c r="L22" s="1"/>
      <c r="M22" s="2"/>
      <c r="N22" s="1"/>
      <c r="O22" s="1"/>
      <c r="P22" s="1"/>
      <c r="Q22" s="1"/>
      <c r="R22" s="1"/>
    </row>
    <row r="23" spans="1:19" s="776" customFormat="1" ht="19.5" thickBot="1" x14ac:dyDescent="0.35">
      <c r="A23" s="1156" t="s">
        <v>554</v>
      </c>
      <c r="B23" s="1156"/>
      <c r="C23" s="1156"/>
      <c r="D23" s="933"/>
      <c r="G23" s="906"/>
      <c r="H23" s="907"/>
      <c r="I23" s="906"/>
      <c r="J23" s="906"/>
      <c r="K23" s="906"/>
      <c r="L23" s="906"/>
      <c r="M23" s="43"/>
      <c r="N23" s="912" t="s">
        <v>555</v>
      </c>
      <c r="O23" s="913" t="s">
        <v>556</v>
      </c>
      <c r="P23" s="908" t="s">
        <v>557</v>
      </c>
      <c r="R23" s="43"/>
      <c r="S23" s="43"/>
    </row>
    <row r="24" spans="1:19" s="133" customFormat="1" ht="18.75" x14ac:dyDescent="0.3">
      <c r="A24" s="951"/>
      <c r="B24" s="951"/>
      <c r="C24" s="951"/>
      <c r="D24" s="5"/>
      <c r="E24" s="86"/>
      <c r="F24" s="86"/>
      <c r="G24" s="308"/>
      <c r="I24" s="1"/>
      <c r="J24" s="1"/>
      <c r="K24" s="1"/>
      <c r="L24" s="1"/>
      <c r="M24" s="2"/>
      <c r="N24" s="3"/>
      <c r="O24" s="3"/>
      <c r="P24" s="55">
        <v>-8960.9257900000084</v>
      </c>
      <c r="Q24" s="1"/>
      <c r="R24" s="1"/>
    </row>
    <row r="25" spans="1:19" s="133" customFormat="1" x14ac:dyDescent="0.2">
      <c r="A25" s="953" t="s">
        <v>597</v>
      </c>
      <c r="B25" s="954" t="s">
        <v>7</v>
      </c>
      <c r="C25" s="954">
        <v>7961442</v>
      </c>
      <c r="D25" s="954" t="s">
        <v>112</v>
      </c>
      <c r="E25" s="955">
        <v>43731</v>
      </c>
      <c r="F25" s="955">
        <v>43733</v>
      </c>
      <c r="G25" s="956">
        <v>29.71</v>
      </c>
      <c r="H25" s="957">
        <v>4000</v>
      </c>
      <c r="I25" s="958">
        <v>118.84</v>
      </c>
      <c r="J25" s="958">
        <v>12.1</v>
      </c>
      <c r="K25" s="958">
        <v>2.2000000000000002</v>
      </c>
      <c r="L25" s="958">
        <v>118973.14</v>
      </c>
      <c r="M25" s="959"/>
      <c r="N25" s="461"/>
      <c r="O25" s="461"/>
      <c r="P25" s="636"/>
      <c r="Q25" s="1"/>
      <c r="R25" s="1"/>
    </row>
    <row r="26" spans="1:19" s="85" customFormat="1" x14ac:dyDescent="0.2">
      <c r="A26" s="220"/>
      <c r="B26" s="218"/>
      <c r="C26" s="218"/>
      <c r="D26" s="218"/>
      <c r="E26" s="444"/>
      <c r="F26" s="444"/>
      <c r="G26" s="430"/>
      <c r="H26" s="220"/>
      <c r="I26" s="219"/>
      <c r="J26" s="219"/>
      <c r="K26" s="219"/>
      <c r="L26" s="219"/>
      <c r="M26" s="960"/>
      <c r="N26" s="461"/>
      <c r="O26" s="461"/>
      <c r="P26" s="636"/>
      <c r="Q26" s="363"/>
      <c r="R26" s="363"/>
    </row>
    <row r="27" spans="1:19" s="85" customFormat="1" x14ac:dyDescent="0.2">
      <c r="A27" s="220"/>
      <c r="B27" s="218" t="s">
        <v>7</v>
      </c>
      <c r="C27" s="218">
        <v>7961442</v>
      </c>
      <c r="D27" s="218" t="s">
        <v>112</v>
      </c>
      <c r="E27" s="444">
        <v>43731</v>
      </c>
      <c r="F27" s="444">
        <v>43733</v>
      </c>
      <c r="G27" s="430">
        <v>29.71</v>
      </c>
      <c r="H27" s="220">
        <v>2000</v>
      </c>
      <c r="I27" s="219">
        <v>59.42</v>
      </c>
      <c r="J27" s="219">
        <v>6.05</v>
      </c>
      <c r="K27" s="219">
        <v>1.1000000000000001</v>
      </c>
      <c r="L27" s="219">
        <f>G27*H27+I27+J27+K27</f>
        <v>59486.57</v>
      </c>
      <c r="M27" s="960"/>
      <c r="N27" s="461">
        <f t="shared" ref="N27:N30" si="2">IF(D27="BUY",-H27,H27)</f>
        <v>-2000</v>
      </c>
      <c r="O27" s="461">
        <f t="shared" ref="O27:O30" si="3">IF(D27="BUY",-L27,L27)</f>
        <v>-59486.57</v>
      </c>
      <c r="P27" s="636"/>
      <c r="Q27" s="363"/>
      <c r="R27" s="363"/>
    </row>
    <row r="28" spans="1:19" s="133" customFormat="1" x14ac:dyDescent="0.2">
      <c r="A28" s="137">
        <v>13</v>
      </c>
      <c r="B28" s="159" t="s">
        <v>7</v>
      </c>
      <c r="C28" s="159" t="s">
        <v>332</v>
      </c>
      <c r="D28" s="159" t="s">
        <v>112</v>
      </c>
      <c r="E28" s="90">
        <v>43978</v>
      </c>
      <c r="F28" s="90">
        <v>43986</v>
      </c>
      <c r="G28" s="353">
        <v>14.15</v>
      </c>
      <c r="H28" s="146">
        <v>2120</v>
      </c>
      <c r="I28" s="138">
        <v>0</v>
      </c>
      <c r="J28" s="138">
        <v>0</v>
      </c>
      <c r="K28" s="138">
        <v>0</v>
      </c>
      <c r="L28" s="138">
        <v>29998</v>
      </c>
      <c r="M28" s="91"/>
      <c r="N28" s="461">
        <f t="shared" si="2"/>
        <v>-2120</v>
      </c>
      <c r="O28" s="461">
        <f t="shared" si="3"/>
        <v>-29998</v>
      </c>
      <c r="P28" s="636"/>
      <c r="Q28" s="1"/>
      <c r="R28" s="1"/>
    </row>
    <row r="29" spans="1:19" s="133" customFormat="1" x14ac:dyDescent="0.2">
      <c r="A29" s="137"/>
      <c r="B29" s="159" t="s">
        <v>7</v>
      </c>
      <c r="C29" s="159">
        <v>10843823</v>
      </c>
      <c r="D29" s="159" t="s">
        <v>111</v>
      </c>
      <c r="E29" s="90">
        <v>44029</v>
      </c>
      <c r="F29" s="90">
        <v>44033</v>
      </c>
      <c r="G29" s="353">
        <v>18.010000000000002</v>
      </c>
      <c r="H29" s="137">
        <v>2120</v>
      </c>
      <c r="I29" s="138">
        <v>38.18</v>
      </c>
      <c r="J29" s="138">
        <v>4.04</v>
      </c>
      <c r="K29" s="138">
        <v>2.2000000000000002</v>
      </c>
      <c r="L29" s="138">
        <v>38136.78</v>
      </c>
      <c r="M29" s="91"/>
      <c r="N29" s="461">
        <f t="shared" si="2"/>
        <v>2120</v>
      </c>
      <c r="O29" s="461">
        <f t="shared" si="3"/>
        <v>38136.78</v>
      </c>
      <c r="P29" s="636"/>
      <c r="Q29" s="1"/>
      <c r="R29" s="1"/>
    </row>
    <row r="30" spans="1:19" s="133" customFormat="1" ht="12" thickBot="1" x14ac:dyDescent="0.25">
      <c r="A30" s="141"/>
      <c r="B30" s="163" t="s">
        <v>7</v>
      </c>
      <c r="C30" s="163">
        <v>14987018</v>
      </c>
      <c r="D30" s="163" t="s">
        <v>111</v>
      </c>
      <c r="E30" s="93">
        <v>44357</v>
      </c>
      <c r="F30" s="93">
        <v>44362</v>
      </c>
      <c r="G30" s="355">
        <v>26.64</v>
      </c>
      <c r="H30" s="961">
        <v>2000</v>
      </c>
      <c r="I30" s="142">
        <v>53.28</v>
      </c>
      <c r="J30" s="142">
        <v>5.55</v>
      </c>
      <c r="K30" s="142">
        <v>2.2000000000000002</v>
      </c>
      <c r="L30" s="142">
        <v>53218.97</v>
      </c>
      <c r="M30" s="91"/>
      <c r="N30" s="309">
        <f t="shared" si="2"/>
        <v>2000</v>
      </c>
      <c r="O30" s="309">
        <f t="shared" si="3"/>
        <v>53218.97</v>
      </c>
      <c r="P30" s="639"/>
      <c r="Q30" s="1"/>
      <c r="R30" s="1"/>
    </row>
    <row r="31" spans="1:19" s="133" customFormat="1" x14ac:dyDescent="0.2">
      <c r="A31" s="2"/>
      <c r="B31" s="12"/>
      <c r="C31" s="12"/>
      <c r="D31" s="12"/>
      <c r="E31" s="182"/>
      <c r="F31" s="182"/>
      <c r="G31" s="449"/>
      <c r="H31" s="23"/>
      <c r="I31" s="3"/>
      <c r="J31" s="3"/>
      <c r="K31" s="3"/>
      <c r="L31" s="3"/>
      <c r="M31" s="2"/>
      <c r="N31" s="1">
        <f>SUM(N27:N30)</f>
        <v>0</v>
      </c>
      <c r="O31" s="1">
        <f>SUM(O27:O30)</f>
        <v>1871.179999999993</v>
      </c>
      <c r="P31" s="1">
        <f>SUM(N31:O31)</f>
        <v>1871.179999999993</v>
      </c>
      <c r="Q31" s="1"/>
      <c r="R31" s="1"/>
    </row>
    <row r="32" spans="1:19" s="133" customFormat="1" x14ac:dyDescent="0.2">
      <c r="A32" s="962" t="s">
        <v>597</v>
      </c>
      <c r="B32" s="204" t="s">
        <v>11</v>
      </c>
      <c r="C32" s="204">
        <v>7038467</v>
      </c>
      <c r="D32" s="204" t="s">
        <v>112</v>
      </c>
      <c r="E32" s="382">
        <v>43593</v>
      </c>
      <c r="F32" s="382">
        <v>43595</v>
      </c>
      <c r="G32" s="383">
        <v>26.980399999999999</v>
      </c>
      <c r="H32" s="205">
        <v>2500</v>
      </c>
      <c r="I32" s="897">
        <v>67.45</v>
      </c>
      <c r="J32" s="897">
        <v>6.97</v>
      </c>
      <c r="K32" s="897">
        <v>2.2000000000000002</v>
      </c>
      <c r="L32" s="897">
        <v>67527.740000000005</v>
      </c>
      <c r="M32" s="2"/>
      <c r="N32" s="461"/>
      <c r="O32" s="461"/>
      <c r="P32" s="636"/>
      <c r="Q32" s="1"/>
      <c r="R32" s="1"/>
    </row>
    <row r="33" spans="1:19" s="133" customFormat="1" x14ac:dyDescent="0.2">
      <c r="A33" s="137"/>
      <c r="B33" s="159"/>
      <c r="C33" s="159"/>
      <c r="D33" s="159"/>
      <c r="E33" s="90"/>
      <c r="F33" s="90"/>
      <c r="G33" s="353"/>
      <c r="H33" s="137"/>
      <c r="I33" s="138"/>
      <c r="J33" s="138"/>
      <c r="K33" s="138"/>
      <c r="L33" s="138"/>
      <c r="M33" s="2"/>
      <c r="N33" s="461"/>
      <c r="O33" s="461"/>
      <c r="P33" s="636"/>
      <c r="Q33" s="1"/>
      <c r="R33" s="1"/>
    </row>
    <row r="34" spans="1:19" s="85" customFormat="1" x14ac:dyDescent="0.2">
      <c r="A34" s="299"/>
      <c r="B34" s="218" t="s">
        <v>11</v>
      </c>
      <c r="C34" s="218">
        <v>7038467</v>
      </c>
      <c r="D34" s="218" t="s">
        <v>112</v>
      </c>
      <c r="E34" s="444">
        <v>43593</v>
      </c>
      <c r="F34" s="444">
        <v>43595</v>
      </c>
      <c r="G34" s="430">
        <v>26.980399999999999</v>
      </c>
      <c r="H34" s="220">
        <v>1017</v>
      </c>
      <c r="I34" s="138">
        <v>34.298324999999998</v>
      </c>
      <c r="J34" s="138">
        <v>3.5442449999999996</v>
      </c>
      <c r="K34" s="138">
        <v>1.1187</v>
      </c>
      <c r="L34" s="138">
        <v>34337.855790000001</v>
      </c>
      <c r="M34" s="305"/>
      <c r="N34" s="461">
        <f t="shared" ref="N34:N35" si="4">IF(D34="BUY",-H34,H34)</f>
        <v>-1017</v>
      </c>
      <c r="O34" s="461">
        <f t="shared" ref="O34:O35" si="5">IF(D34="BUY",-L34,L34)</f>
        <v>-34337.855790000001</v>
      </c>
      <c r="P34" s="636"/>
      <c r="Q34" s="363"/>
      <c r="R34" s="363"/>
    </row>
    <row r="35" spans="1:19" s="133" customFormat="1" ht="12" thickBot="1" x14ac:dyDescent="0.25">
      <c r="A35" s="141"/>
      <c r="B35" s="163" t="s">
        <v>11</v>
      </c>
      <c r="C35" s="163">
        <v>13084997</v>
      </c>
      <c r="D35" s="163" t="s">
        <v>111</v>
      </c>
      <c r="E35" s="93">
        <v>44215</v>
      </c>
      <c r="F35" s="93">
        <v>44217</v>
      </c>
      <c r="G35" s="355">
        <v>21.7</v>
      </c>
      <c r="H35" s="961">
        <v>1017</v>
      </c>
      <c r="I35" s="142">
        <v>27.23</v>
      </c>
      <c r="J35" s="142">
        <v>2.94</v>
      </c>
      <c r="K35" s="142">
        <v>2.2000000000000002</v>
      </c>
      <c r="L35" s="142">
        <v>22036.53</v>
      </c>
      <c r="M35" s="213"/>
      <c r="N35" s="309">
        <f t="shared" si="4"/>
        <v>1017</v>
      </c>
      <c r="O35" s="309">
        <f t="shared" si="5"/>
        <v>22036.53</v>
      </c>
      <c r="P35" s="639"/>
      <c r="Q35" s="1"/>
      <c r="R35" s="1"/>
    </row>
    <row r="36" spans="1:19" s="133" customFormat="1" x14ac:dyDescent="0.2">
      <c r="A36" s="2"/>
      <c r="B36" s="12"/>
      <c r="C36" s="12"/>
      <c r="D36" s="12"/>
      <c r="E36" s="182"/>
      <c r="F36" s="182"/>
      <c r="G36" s="449"/>
      <c r="H36" s="23"/>
      <c r="I36" s="3"/>
      <c r="J36" s="3"/>
      <c r="K36" s="3"/>
      <c r="L36" s="3"/>
      <c r="M36" s="2"/>
      <c r="N36" s="1">
        <f>SUM(N34:N35)</f>
        <v>0</v>
      </c>
      <c r="O36" s="1">
        <f>SUM(O34:O35)</f>
        <v>-12301.325790000003</v>
      </c>
      <c r="P36" s="1">
        <f>SUM(N36:O36)</f>
        <v>-12301.325790000003</v>
      </c>
      <c r="Q36" s="1"/>
      <c r="R36" s="1"/>
    </row>
    <row r="37" spans="1:19" s="133" customFormat="1" ht="12.75" x14ac:dyDescent="0.2">
      <c r="A37" s="2"/>
      <c r="B37" s="5"/>
      <c r="C37" s="5"/>
      <c r="D37" s="5"/>
      <c r="E37" s="86"/>
      <c r="F37" s="86"/>
      <c r="G37" s="308"/>
      <c r="M37" s="2"/>
      <c r="N37" s="3"/>
      <c r="O37" s="3"/>
      <c r="P37" s="55"/>
      <c r="Q37" s="1"/>
      <c r="R37" s="1"/>
    </row>
    <row r="38" spans="1:19" s="133" customFormat="1" x14ac:dyDescent="0.2">
      <c r="A38" s="137"/>
      <c r="B38" s="159" t="s">
        <v>37</v>
      </c>
      <c r="C38" s="159">
        <v>9265326</v>
      </c>
      <c r="D38" s="159" t="s">
        <v>112</v>
      </c>
      <c r="E38" s="90">
        <v>43910</v>
      </c>
      <c r="F38" s="90">
        <v>43914</v>
      </c>
      <c r="G38" s="353">
        <v>37</v>
      </c>
      <c r="H38" s="137">
        <v>500</v>
      </c>
      <c r="I38" s="138">
        <v>27.23</v>
      </c>
      <c r="J38" s="138">
        <v>2.94</v>
      </c>
      <c r="K38" s="138">
        <v>2.2000000000000002</v>
      </c>
      <c r="L38" s="138">
        <v>18532.37</v>
      </c>
      <c r="M38" s="2"/>
      <c r="N38" s="461">
        <f t="shared" ref="N38:N40" si="6">IF(D38="BUY",-H38,H38)</f>
        <v>-500</v>
      </c>
      <c r="O38" s="461">
        <f t="shared" ref="O38:O40" si="7">IF(D38="BUY",-L38,L38)</f>
        <v>-18532.37</v>
      </c>
      <c r="P38" s="636"/>
      <c r="Q38" s="1"/>
      <c r="R38" s="1"/>
    </row>
    <row r="39" spans="1:19" s="85" customFormat="1" x14ac:dyDescent="0.2">
      <c r="A39" s="299"/>
      <c r="B39" s="218" t="s">
        <v>37</v>
      </c>
      <c r="C39" s="218">
        <v>10844150</v>
      </c>
      <c r="D39" s="218" t="s">
        <v>112</v>
      </c>
      <c r="E39" s="444">
        <v>44029</v>
      </c>
      <c r="F39" s="444">
        <v>44033</v>
      </c>
      <c r="G39" s="430">
        <v>38.837499999999999</v>
      </c>
      <c r="H39" s="220">
        <v>500</v>
      </c>
      <c r="I39" s="138">
        <v>19.420000000000002</v>
      </c>
      <c r="J39" s="138">
        <v>2.16</v>
      </c>
      <c r="K39" s="138">
        <v>2.2000000000000002</v>
      </c>
      <c r="L39" s="138">
        <v>19442.55</v>
      </c>
      <c r="M39" s="305"/>
      <c r="N39" s="461">
        <f t="shared" si="6"/>
        <v>-500</v>
      </c>
      <c r="O39" s="461">
        <f t="shared" si="7"/>
        <v>-19442.55</v>
      </c>
      <c r="P39" s="636"/>
      <c r="Q39" s="363"/>
      <c r="R39" s="363"/>
    </row>
    <row r="40" spans="1:19" s="133" customFormat="1" ht="12" thickBot="1" x14ac:dyDescent="0.25">
      <c r="A40" s="141"/>
      <c r="B40" s="163" t="s">
        <v>37</v>
      </c>
      <c r="C40" s="163">
        <v>11953915</v>
      </c>
      <c r="D40" s="163" t="s">
        <v>111</v>
      </c>
      <c r="E40" s="93">
        <v>44120</v>
      </c>
      <c r="F40" s="93">
        <v>44124</v>
      </c>
      <c r="G40" s="355">
        <v>39.49</v>
      </c>
      <c r="H40" s="961">
        <v>1000</v>
      </c>
      <c r="I40" s="142">
        <v>39.49</v>
      </c>
      <c r="J40" s="142">
        <v>4.17</v>
      </c>
      <c r="K40" s="142">
        <v>2.2000000000000002</v>
      </c>
      <c r="L40" s="142">
        <v>39444.14</v>
      </c>
      <c r="M40" s="213"/>
      <c r="N40" s="309">
        <f t="shared" si="6"/>
        <v>1000</v>
      </c>
      <c r="O40" s="309">
        <f t="shared" si="7"/>
        <v>39444.14</v>
      </c>
      <c r="P40" s="639"/>
      <c r="Q40" s="1"/>
      <c r="R40" s="1"/>
    </row>
    <row r="41" spans="1:19" s="133" customFormat="1" x14ac:dyDescent="0.2">
      <c r="A41" s="2"/>
      <c r="B41" s="12"/>
      <c r="C41" s="12"/>
      <c r="D41" s="12"/>
      <c r="E41" s="182"/>
      <c r="F41" s="182"/>
      <c r="G41" s="449"/>
      <c r="H41" s="23"/>
      <c r="I41" s="3"/>
      <c r="J41" s="3"/>
      <c r="K41" s="3"/>
      <c r="L41" s="3"/>
      <c r="M41" s="2"/>
      <c r="N41" s="911">
        <f>SUM(N38:N40)</f>
        <v>0</v>
      </c>
      <c r="O41" s="911">
        <f>SUM(O38:O40)</f>
        <v>1469.2200000000012</v>
      </c>
      <c r="P41" s="909">
        <f>SUM(O41)</f>
        <v>1469.2200000000012</v>
      </c>
      <c r="Q41" s="1"/>
      <c r="R41" s="1"/>
    </row>
    <row r="42" spans="1:19" s="133" customFormat="1" x14ac:dyDescent="0.2">
      <c r="B42" s="5"/>
      <c r="C42" s="5"/>
      <c r="D42" s="5"/>
      <c r="E42" s="86"/>
      <c r="F42" s="86"/>
      <c r="G42" s="308"/>
      <c r="I42" s="1"/>
      <c r="J42" s="1"/>
      <c r="K42" s="1"/>
      <c r="L42" s="1"/>
      <c r="M42" s="2"/>
      <c r="N42" s="3"/>
      <c r="O42" s="3"/>
      <c r="P42" s="3"/>
      <c r="Q42" s="1"/>
      <c r="R42" s="1"/>
    </row>
    <row r="43" spans="1:19" s="133" customFormat="1" ht="15" thickBot="1" x14ac:dyDescent="0.25">
      <c r="B43" s="5"/>
      <c r="C43" s="5"/>
      <c r="D43" s="5"/>
      <c r="E43" s="86"/>
      <c r="F43" s="86"/>
      <c r="G43" s="308"/>
      <c r="I43" s="1"/>
      <c r="J43" s="1"/>
      <c r="K43" s="1"/>
      <c r="L43" s="1"/>
      <c r="M43" s="2"/>
      <c r="N43" s="1157" t="s">
        <v>558</v>
      </c>
      <c r="O43" s="1158"/>
      <c r="P43" s="952">
        <f>P31+P36+P41</f>
        <v>-8960.9257900000084</v>
      </c>
      <c r="Q43" s="1"/>
      <c r="R43" s="1"/>
    </row>
    <row r="44" spans="1:19" s="133" customFormat="1" x14ac:dyDescent="0.2">
      <c r="B44" s="5"/>
      <c r="C44" s="5"/>
      <c r="D44" s="5"/>
      <c r="E44" s="86"/>
      <c r="F44" s="86"/>
      <c r="G44" s="308"/>
      <c r="I44" s="1"/>
      <c r="J44" s="1"/>
      <c r="K44" s="1"/>
      <c r="L44" s="1"/>
      <c r="M44" s="2"/>
      <c r="N44" s="3"/>
      <c r="O44" s="3"/>
      <c r="P44" s="3"/>
      <c r="Q44" s="1"/>
      <c r="R44" s="1"/>
    </row>
    <row r="45" spans="1:19" s="133" customFormat="1" ht="12.75" x14ac:dyDescent="0.2">
      <c r="B45" s="5"/>
      <c r="C45" s="5"/>
      <c r="D45" s="5"/>
      <c r="E45" s="86"/>
      <c r="F45" s="86"/>
      <c r="G45" s="308"/>
      <c r="I45" s="1"/>
      <c r="J45" s="1"/>
      <c r="K45" s="1"/>
      <c r="L45" s="1"/>
      <c r="M45" s="2"/>
      <c r="N45" s="3"/>
      <c r="O45" s="3"/>
      <c r="P45" s="55"/>
      <c r="Q45" s="1"/>
      <c r="R45" s="1"/>
    </row>
    <row r="46" spans="1:19" s="133" customFormat="1" x14ac:dyDescent="0.2">
      <c r="A46" s="888"/>
      <c r="B46" s="889"/>
      <c r="C46" s="890"/>
      <c r="D46" s="889"/>
      <c r="E46" s="891"/>
      <c r="F46" s="891"/>
      <c r="G46" s="892"/>
      <c r="H46" s="890"/>
      <c r="I46" s="892"/>
      <c r="J46" s="892"/>
      <c r="K46" s="892"/>
      <c r="L46" s="892"/>
      <c r="M46" s="893"/>
      <c r="N46" s="893"/>
      <c r="O46" s="893"/>
      <c r="P46" s="893"/>
      <c r="Q46" s="888"/>
      <c r="R46" s="1"/>
      <c r="S46" s="1"/>
    </row>
    <row r="47" spans="1:19" s="85" customFormat="1" x14ac:dyDescent="0.2">
      <c r="B47" s="978"/>
      <c r="C47" s="914"/>
      <c r="D47" s="978"/>
      <c r="E47" s="915"/>
      <c r="F47" s="915"/>
      <c r="G47" s="977"/>
      <c r="H47" s="914"/>
      <c r="I47" s="977"/>
      <c r="J47" s="977"/>
      <c r="K47" s="977"/>
      <c r="L47" s="977"/>
      <c r="M47" s="363"/>
      <c r="N47" s="363"/>
      <c r="O47" s="363"/>
      <c r="P47" s="363"/>
      <c r="R47" s="363"/>
      <c r="S47" s="363"/>
    </row>
    <row r="48" spans="1:19" s="85" customFormat="1" ht="12" thickBot="1" x14ac:dyDescent="0.25">
      <c r="B48" s="873"/>
      <c r="C48" s="914"/>
      <c r="D48" s="873"/>
      <c r="E48" s="915"/>
      <c r="F48" s="915"/>
      <c r="G48" s="872"/>
      <c r="H48" s="914"/>
      <c r="I48" s="872"/>
      <c r="J48" s="872"/>
      <c r="K48" s="872"/>
      <c r="L48" s="872"/>
      <c r="M48" s="363"/>
      <c r="N48" s="363"/>
      <c r="O48" s="363"/>
      <c r="P48" s="363"/>
      <c r="R48" s="363"/>
      <c r="S48" s="363"/>
    </row>
    <row r="49" spans="1:18" s="855" customFormat="1" ht="34.5" customHeight="1" thickBot="1" x14ac:dyDescent="0.25">
      <c r="A49" s="346" t="s">
        <v>252</v>
      </c>
      <c r="B49" s="347" t="s">
        <v>3</v>
      </c>
      <c r="C49" s="347" t="s">
        <v>253</v>
      </c>
      <c r="D49" s="347" t="s">
        <v>254</v>
      </c>
      <c r="E49" s="347" t="s">
        <v>255</v>
      </c>
      <c r="F49" s="347" t="s">
        <v>256</v>
      </c>
      <c r="G49" s="348" t="s">
        <v>257</v>
      </c>
      <c r="H49" s="347" t="s">
        <v>4</v>
      </c>
      <c r="I49" s="348" t="s">
        <v>258</v>
      </c>
      <c r="J49" s="348" t="s">
        <v>259</v>
      </c>
      <c r="K49" s="348" t="s">
        <v>260</v>
      </c>
      <c r="L49" s="529" t="s">
        <v>261</v>
      </c>
      <c r="M49" s="419"/>
      <c r="N49" s="528" t="s">
        <v>276</v>
      </c>
      <c r="O49" s="348" t="s">
        <v>277</v>
      </c>
      <c r="P49" s="529" t="s">
        <v>80</v>
      </c>
      <c r="Q49" s="344"/>
      <c r="R49" s="344"/>
    </row>
    <row r="50" spans="1:18" s="133" customFormat="1" ht="13.5" thickTop="1" x14ac:dyDescent="0.2">
      <c r="B50" s="5"/>
      <c r="C50" s="5"/>
      <c r="D50" s="5"/>
      <c r="E50" s="86"/>
      <c r="F50" s="86"/>
      <c r="G50" s="308"/>
      <c r="I50" s="1"/>
      <c r="J50" s="1"/>
      <c r="K50" s="1"/>
      <c r="L50" s="1"/>
      <c r="M50" s="2"/>
      <c r="N50" s="3">
        <f>SUM(N53:N61)</f>
        <v>-178911.2</v>
      </c>
      <c r="O50" s="3">
        <f>SUM(O53:O61)</f>
        <v>217343.52</v>
      </c>
      <c r="P50" s="55">
        <f>SUM(N50:O50)</f>
        <v>38432.319999999978</v>
      </c>
      <c r="Q50" s="1"/>
      <c r="R50" s="1"/>
    </row>
    <row r="51" spans="1:18" s="133" customFormat="1" ht="19.5" thickBot="1" x14ac:dyDescent="0.35">
      <c r="A51" s="1156" t="s">
        <v>561</v>
      </c>
      <c r="B51" s="1156"/>
      <c r="C51" s="1156"/>
      <c r="D51" s="5"/>
      <c r="E51" s="86"/>
      <c r="F51" s="86"/>
      <c r="G51" s="308"/>
      <c r="I51" s="1"/>
      <c r="J51" s="1"/>
      <c r="K51" s="1"/>
      <c r="L51" s="1"/>
      <c r="M51" s="2"/>
      <c r="N51" s="3"/>
      <c r="O51" s="3"/>
      <c r="P51" s="55"/>
      <c r="Q51" s="1"/>
      <c r="R51" s="1"/>
    </row>
    <row r="52" spans="1:18" s="133" customFormat="1" ht="12.75" x14ac:dyDescent="0.2">
      <c r="A52" s="133" t="s">
        <v>250</v>
      </c>
      <c r="B52" s="5"/>
      <c r="C52" s="5"/>
      <c r="D52" s="5"/>
      <c r="E52" s="86"/>
      <c r="F52" s="86"/>
      <c r="G52" s="308"/>
      <c r="I52" s="1"/>
      <c r="J52" s="1"/>
      <c r="K52" s="1"/>
      <c r="L52" s="1"/>
      <c r="M52" s="2"/>
      <c r="N52" s="3"/>
      <c r="O52" s="3"/>
      <c r="P52" s="55"/>
      <c r="Q52" s="1"/>
      <c r="R52" s="1"/>
    </row>
    <row r="53" spans="1:18" s="133" customFormat="1" x14ac:dyDescent="0.2">
      <c r="A53" s="2">
        <v>1</v>
      </c>
      <c r="B53" s="352" t="s">
        <v>30</v>
      </c>
      <c r="C53" s="159">
        <v>7379379</v>
      </c>
      <c r="D53" s="159" t="s">
        <v>111</v>
      </c>
      <c r="E53" s="90">
        <v>43647</v>
      </c>
      <c r="F53" s="90">
        <v>43649</v>
      </c>
      <c r="G53" s="353">
        <v>83.5</v>
      </c>
      <c r="H53" s="146">
        <v>800</v>
      </c>
      <c r="I53" s="138">
        <v>66.8</v>
      </c>
      <c r="J53" s="138">
        <v>6.9</v>
      </c>
      <c r="K53" s="138">
        <v>2.2000000000000002</v>
      </c>
      <c r="L53" s="139">
        <v>66724.100000000006</v>
      </c>
      <c r="M53" s="2"/>
      <c r="N53" s="283" t="str">
        <f t="shared" ref="N53:N65" si="8">IF(D53="Sell","",-L53)</f>
        <v/>
      </c>
      <c r="O53" s="282">
        <f t="shared" ref="O53:O65" si="9">IF(D53="Sell",L53,"")</f>
        <v>66724.100000000006</v>
      </c>
      <c r="P53" s="637"/>
      <c r="Q53" s="1"/>
      <c r="R53" s="1"/>
    </row>
    <row r="54" spans="1:18" s="133" customFormat="1" x14ac:dyDescent="0.2">
      <c r="A54" s="612">
        <f t="shared" ref="A54:A65" si="10">1+A53</f>
        <v>2</v>
      </c>
      <c r="B54" s="352" t="s">
        <v>30</v>
      </c>
      <c r="C54" s="159">
        <v>7714584</v>
      </c>
      <c r="D54" s="159" t="s">
        <v>112</v>
      </c>
      <c r="E54" s="90">
        <v>43692</v>
      </c>
      <c r="F54" s="90">
        <v>43696</v>
      </c>
      <c r="G54" s="353">
        <v>74.5</v>
      </c>
      <c r="H54" s="146">
        <v>300</v>
      </c>
      <c r="I54" s="138">
        <v>27.23</v>
      </c>
      <c r="J54" s="138">
        <v>2.94</v>
      </c>
      <c r="K54" s="138">
        <v>2.2000000000000002</v>
      </c>
      <c r="L54" s="139">
        <v>22382.37</v>
      </c>
      <c r="M54" s="2"/>
      <c r="N54" s="283">
        <f t="shared" si="8"/>
        <v>-22382.37</v>
      </c>
      <c r="O54" s="282" t="str">
        <f t="shared" si="9"/>
        <v/>
      </c>
      <c r="P54" s="637"/>
      <c r="Q54" s="1"/>
      <c r="R54" s="1"/>
    </row>
    <row r="55" spans="1:18" s="133" customFormat="1" x14ac:dyDescent="0.2">
      <c r="A55" s="612">
        <f t="shared" si="10"/>
        <v>3</v>
      </c>
      <c r="B55" s="352" t="s">
        <v>0</v>
      </c>
      <c r="C55" s="159">
        <v>7961356</v>
      </c>
      <c r="D55" s="159" t="s">
        <v>111</v>
      </c>
      <c r="E55" s="90">
        <v>43731</v>
      </c>
      <c r="F55" s="90">
        <v>43733</v>
      </c>
      <c r="G55" s="353">
        <v>27.96</v>
      </c>
      <c r="H55" s="146">
        <v>2800</v>
      </c>
      <c r="I55" s="138">
        <v>78.290000000000006</v>
      </c>
      <c r="J55" s="138">
        <v>8.0500000000000007</v>
      </c>
      <c r="K55" s="138">
        <v>2.2000000000000002</v>
      </c>
      <c r="L55" s="139">
        <v>78199.460000000006</v>
      </c>
      <c r="M55" s="2"/>
      <c r="N55" s="283" t="str">
        <f t="shared" si="8"/>
        <v/>
      </c>
      <c r="O55" s="282">
        <f t="shared" si="9"/>
        <v>78199.460000000006</v>
      </c>
      <c r="P55" s="637"/>
      <c r="Q55" s="1"/>
      <c r="R55" s="1"/>
    </row>
    <row r="56" spans="1:18" s="133" customFormat="1" x14ac:dyDescent="0.2">
      <c r="A56" s="612">
        <f t="shared" si="10"/>
        <v>4</v>
      </c>
      <c r="B56" s="352" t="s">
        <v>96</v>
      </c>
      <c r="C56" s="159">
        <v>7961192</v>
      </c>
      <c r="D56" s="159" t="s">
        <v>111</v>
      </c>
      <c r="E56" s="90">
        <v>43731</v>
      </c>
      <c r="F56" s="90">
        <v>43733</v>
      </c>
      <c r="G56" s="353">
        <v>4.93</v>
      </c>
      <c r="H56" s="146">
        <v>8000</v>
      </c>
      <c r="I56" s="138">
        <v>39.44</v>
      </c>
      <c r="J56" s="138">
        <v>4.16</v>
      </c>
      <c r="K56" s="138">
        <v>2.2000000000000002</v>
      </c>
      <c r="L56" s="139">
        <v>39394.199999999997</v>
      </c>
      <c r="M56" s="2"/>
      <c r="N56" s="283" t="str">
        <f t="shared" si="8"/>
        <v/>
      </c>
      <c r="O56" s="282">
        <f t="shared" si="9"/>
        <v>39394.199999999997</v>
      </c>
      <c r="P56" s="637"/>
      <c r="Q56" s="1"/>
      <c r="R56" s="1"/>
    </row>
    <row r="57" spans="1:18" s="133" customFormat="1" x14ac:dyDescent="0.2">
      <c r="A57" s="612">
        <f t="shared" si="10"/>
        <v>5</v>
      </c>
      <c r="B57" s="352" t="s">
        <v>7</v>
      </c>
      <c r="C57" s="159">
        <v>7961442</v>
      </c>
      <c r="D57" s="159" t="s">
        <v>112</v>
      </c>
      <c r="E57" s="90">
        <v>43731</v>
      </c>
      <c r="F57" s="90">
        <v>43733</v>
      </c>
      <c r="G57" s="353">
        <v>29.71</v>
      </c>
      <c r="H57" s="146">
        <v>4000</v>
      </c>
      <c r="I57" s="138">
        <v>118.84</v>
      </c>
      <c r="J57" s="138">
        <v>12.1</v>
      </c>
      <c r="K57" s="138">
        <v>2.2000000000000002</v>
      </c>
      <c r="L57" s="139">
        <v>118973.14</v>
      </c>
      <c r="M57" s="2"/>
      <c r="N57" s="283">
        <f t="shared" si="8"/>
        <v>-118973.14</v>
      </c>
      <c r="O57" s="282" t="str">
        <f t="shared" si="9"/>
        <v/>
      </c>
      <c r="P57" s="637"/>
      <c r="Q57" s="1"/>
      <c r="R57" s="1"/>
    </row>
    <row r="58" spans="1:18" s="133" customFormat="1" x14ac:dyDescent="0.2">
      <c r="A58" s="612">
        <f t="shared" si="10"/>
        <v>6</v>
      </c>
      <c r="B58" s="352" t="s">
        <v>11</v>
      </c>
      <c r="C58" s="159">
        <v>8295375</v>
      </c>
      <c r="D58" s="159" t="s">
        <v>111</v>
      </c>
      <c r="E58" s="90">
        <v>43787</v>
      </c>
      <c r="F58" s="90">
        <v>43789</v>
      </c>
      <c r="G58" s="353">
        <v>26.42</v>
      </c>
      <c r="H58" s="146">
        <v>60</v>
      </c>
      <c r="I58" s="138">
        <v>18.14</v>
      </c>
      <c r="J58" s="138">
        <v>2.0299999999999998</v>
      </c>
      <c r="K58" s="138">
        <v>2.2000000000000002</v>
      </c>
      <c r="L58" s="139">
        <v>1562.83</v>
      </c>
      <c r="M58" s="2"/>
      <c r="N58" s="283" t="str">
        <f t="shared" si="8"/>
        <v/>
      </c>
      <c r="O58" s="282">
        <f t="shared" si="9"/>
        <v>1562.83</v>
      </c>
      <c r="P58" s="637"/>
      <c r="Q58" s="1"/>
      <c r="R58" s="1"/>
    </row>
    <row r="59" spans="1:18" s="133" customFormat="1" x14ac:dyDescent="0.2">
      <c r="A59" s="612">
        <f t="shared" si="10"/>
        <v>7</v>
      </c>
      <c r="B59" s="352" t="s">
        <v>37</v>
      </c>
      <c r="C59" s="159">
        <v>9265326</v>
      </c>
      <c r="D59" s="159" t="s">
        <v>112</v>
      </c>
      <c r="E59" s="90">
        <v>43910</v>
      </c>
      <c r="F59" s="90">
        <v>43914</v>
      </c>
      <c r="G59" s="353">
        <v>37</v>
      </c>
      <c r="H59" s="146">
        <v>500</v>
      </c>
      <c r="I59" s="138">
        <v>27.23</v>
      </c>
      <c r="J59" s="138">
        <v>2.94</v>
      </c>
      <c r="K59" s="138">
        <v>2.2000000000000002</v>
      </c>
      <c r="L59" s="139">
        <v>18532.37</v>
      </c>
      <c r="M59" s="2"/>
      <c r="N59" s="283">
        <f t="shared" si="8"/>
        <v>-18532.37</v>
      </c>
      <c r="O59" s="282" t="str">
        <f t="shared" si="9"/>
        <v/>
      </c>
      <c r="P59" s="637"/>
      <c r="Q59" s="1"/>
      <c r="R59" s="1"/>
    </row>
    <row r="60" spans="1:18" s="133" customFormat="1" x14ac:dyDescent="0.2">
      <c r="A60" s="612">
        <f t="shared" si="10"/>
        <v>8</v>
      </c>
      <c r="B60" s="352" t="s">
        <v>52</v>
      </c>
      <c r="C60" s="159">
        <v>9281390</v>
      </c>
      <c r="D60" s="159" t="s">
        <v>111</v>
      </c>
      <c r="E60" s="90">
        <v>43913</v>
      </c>
      <c r="F60" s="90">
        <v>43915</v>
      </c>
      <c r="G60" s="353">
        <v>1.05</v>
      </c>
      <c r="H60" s="146">
        <v>30000</v>
      </c>
      <c r="I60" s="138">
        <v>31.5</v>
      </c>
      <c r="J60" s="138">
        <v>3.37</v>
      </c>
      <c r="K60" s="138">
        <v>2.2000000000000002</v>
      </c>
      <c r="L60" s="139">
        <v>31462.93</v>
      </c>
      <c r="M60" s="2"/>
      <c r="N60" s="283" t="str">
        <f t="shared" si="8"/>
        <v/>
      </c>
      <c r="O60" s="282">
        <f t="shared" si="9"/>
        <v>31462.93</v>
      </c>
      <c r="P60" s="637"/>
      <c r="Q60" s="1"/>
      <c r="R60" s="1"/>
    </row>
    <row r="61" spans="1:18" s="133" customFormat="1" x14ac:dyDescent="0.2">
      <c r="A61" s="612">
        <f t="shared" si="10"/>
        <v>9</v>
      </c>
      <c r="B61" s="352" t="s">
        <v>9</v>
      </c>
      <c r="C61" s="159">
        <v>9317519</v>
      </c>
      <c r="D61" s="159" t="s">
        <v>112</v>
      </c>
      <c r="E61" s="90">
        <v>43915</v>
      </c>
      <c r="F61" s="90">
        <v>43917</v>
      </c>
      <c r="G61" s="353">
        <v>95</v>
      </c>
      <c r="H61" s="146">
        <v>200</v>
      </c>
      <c r="I61" s="138">
        <v>19</v>
      </c>
      <c r="J61" s="138">
        <v>2.12</v>
      </c>
      <c r="K61" s="138">
        <v>2.2000000000000002</v>
      </c>
      <c r="L61" s="139">
        <v>19023.32</v>
      </c>
      <c r="M61" s="2"/>
      <c r="N61" s="283">
        <f t="shared" si="8"/>
        <v>-19023.32</v>
      </c>
      <c r="O61" s="282" t="str">
        <f t="shared" si="9"/>
        <v/>
      </c>
      <c r="P61" s="637"/>
      <c r="Q61" s="1"/>
      <c r="R61" s="1"/>
    </row>
    <row r="62" spans="1:18" s="133" customFormat="1" x14ac:dyDescent="0.2">
      <c r="A62" s="612">
        <f t="shared" si="10"/>
        <v>10</v>
      </c>
      <c r="B62" s="352" t="s">
        <v>97</v>
      </c>
      <c r="C62" s="159">
        <v>9715007</v>
      </c>
      <c r="D62" s="159" t="s">
        <v>111</v>
      </c>
      <c r="E62" s="90">
        <v>43944</v>
      </c>
      <c r="F62" s="90">
        <v>43948</v>
      </c>
      <c r="G62" s="353">
        <v>60.973999999999997</v>
      </c>
      <c r="H62" s="146">
        <v>500</v>
      </c>
      <c r="I62" s="138">
        <v>30.49</v>
      </c>
      <c r="J62" s="138">
        <v>3.27</v>
      </c>
      <c r="K62" s="138">
        <v>2.2000000000000002</v>
      </c>
      <c r="L62" s="139">
        <v>30451.040000000001</v>
      </c>
      <c r="M62" s="2"/>
      <c r="N62" s="283" t="str">
        <f t="shared" si="8"/>
        <v/>
      </c>
      <c r="O62" s="282">
        <f t="shared" si="9"/>
        <v>30451.040000000001</v>
      </c>
      <c r="P62" s="637"/>
      <c r="Q62" s="1"/>
      <c r="R62" s="1"/>
    </row>
    <row r="63" spans="1:18" s="133" customFormat="1" x14ac:dyDescent="0.2">
      <c r="A63" s="612">
        <f t="shared" si="10"/>
        <v>11</v>
      </c>
      <c r="B63" s="352" t="s">
        <v>7</v>
      </c>
      <c r="C63" s="159">
        <v>9766492</v>
      </c>
      <c r="D63" s="159" t="s">
        <v>111</v>
      </c>
      <c r="E63" s="90">
        <v>43950</v>
      </c>
      <c r="F63" s="90">
        <v>43952</v>
      </c>
      <c r="G63" s="353">
        <v>16</v>
      </c>
      <c r="H63" s="146">
        <v>2000</v>
      </c>
      <c r="I63" s="138">
        <v>32</v>
      </c>
      <c r="J63" s="138">
        <v>3.42</v>
      </c>
      <c r="K63" s="138">
        <v>2.2000000000000002</v>
      </c>
      <c r="L63" s="139">
        <v>31962.38</v>
      </c>
      <c r="M63" s="2"/>
      <c r="N63" s="283" t="str">
        <f t="shared" si="8"/>
        <v/>
      </c>
      <c r="O63" s="282">
        <f t="shared" si="9"/>
        <v>31962.38</v>
      </c>
      <c r="P63" s="637"/>
      <c r="Q63" s="1"/>
      <c r="R63" s="1"/>
    </row>
    <row r="64" spans="1:18" s="133" customFormat="1" x14ac:dyDescent="0.2">
      <c r="A64" s="612">
        <f t="shared" si="10"/>
        <v>12</v>
      </c>
      <c r="B64" s="352" t="s">
        <v>97</v>
      </c>
      <c r="C64" s="159" t="s">
        <v>332</v>
      </c>
      <c r="D64" s="159" t="s">
        <v>112</v>
      </c>
      <c r="E64" s="90">
        <v>43976</v>
      </c>
      <c r="F64" s="90">
        <v>43979</v>
      </c>
      <c r="G64" s="353">
        <v>56</v>
      </c>
      <c r="H64" s="146">
        <v>320</v>
      </c>
      <c r="I64" s="138">
        <v>0</v>
      </c>
      <c r="J64" s="138">
        <v>0</v>
      </c>
      <c r="K64" s="138">
        <v>0</v>
      </c>
      <c r="L64" s="139">
        <f>G64*H64</f>
        <v>17920</v>
      </c>
      <c r="M64" s="2"/>
      <c r="N64" s="283">
        <f t="shared" si="8"/>
        <v>-17920</v>
      </c>
      <c r="O64" s="282" t="str">
        <f t="shared" si="9"/>
        <v/>
      </c>
      <c r="P64" s="637"/>
      <c r="Q64" s="1"/>
      <c r="R64" s="1"/>
    </row>
    <row r="65" spans="1:39" s="133" customFormat="1" x14ac:dyDescent="0.2">
      <c r="A65" s="612">
        <f t="shared" si="10"/>
        <v>13</v>
      </c>
      <c r="B65" s="605" t="s">
        <v>7</v>
      </c>
      <c r="C65" s="606" t="s">
        <v>332</v>
      </c>
      <c r="D65" s="606" t="s">
        <v>112</v>
      </c>
      <c r="E65" s="607">
        <v>43978</v>
      </c>
      <c r="F65" s="607">
        <v>43986</v>
      </c>
      <c r="G65" s="608">
        <v>14.15</v>
      </c>
      <c r="H65" s="609">
        <v>2120</v>
      </c>
      <c r="I65" s="835">
        <v>0</v>
      </c>
      <c r="J65" s="835">
        <v>0</v>
      </c>
      <c r="K65" s="835">
        <v>0</v>
      </c>
      <c r="L65" s="611">
        <f>G65*H65</f>
        <v>29998</v>
      </c>
      <c r="M65" s="2"/>
      <c r="N65" s="614">
        <f t="shared" si="8"/>
        <v>-29998</v>
      </c>
      <c r="O65" s="634" t="str">
        <f t="shared" si="9"/>
        <v/>
      </c>
      <c r="P65" s="637"/>
      <c r="Q65" s="1"/>
      <c r="R65" s="1"/>
    </row>
    <row r="66" spans="1:39" s="133" customFormat="1" x14ac:dyDescent="0.2">
      <c r="A66" s="612"/>
      <c r="B66" s="356"/>
      <c r="C66" s="166"/>
      <c r="D66" s="166"/>
      <c r="E66" s="357"/>
      <c r="F66" s="357"/>
      <c r="G66" s="358"/>
      <c r="H66" s="341"/>
      <c r="I66" s="167"/>
      <c r="J66" s="167"/>
      <c r="K66" s="167"/>
      <c r="L66" s="273"/>
      <c r="M66" s="2"/>
      <c r="N66" s="461">
        <f>SUM(N54:N65)</f>
        <v>-226829.2</v>
      </c>
      <c r="O66" s="281">
        <f>SUM(O53:O65)</f>
        <v>279756.94</v>
      </c>
      <c r="P66" s="636">
        <f>SUM(N66:O66)</f>
        <v>52927.739999999991</v>
      </c>
      <c r="Q66" s="1"/>
      <c r="R66" s="1"/>
    </row>
    <row r="67" spans="1:39" s="133" customFormat="1" x14ac:dyDescent="0.2">
      <c r="A67" s="612"/>
      <c r="B67" s="12"/>
      <c r="C67" s="12"/>
      <c r="D67" s="12"/>
      <c r="E67" s="182"/>
      <c r="F67" s="182"/>
      <c r="G67" s="449"/>
      <c r="H67" s="23"/>
      <c r="I67" s="3"/>
      <c r="J67" s="3"/>
      <c r="K67" s="3"/>
      <c r="L67" s="3"/>
      <c r="M67" s="2"/>
      <c r="N67" s="3"/>
      <c r="O67" s="3"/>
      <c r="Q67" s="1"/>
      <c r="R67" s="1"/>
    </row>
    <row r="68" spans="1:39" s="133" customFormat="1" ht="12" thickBot="1" x14ac:dyDescent="0.25">
      <c r="A68" s="612"/>
      <c r="B68" s="12"/>
      <c r="C68" s="12"/>
      <c r="D68" s="12"/>
      <c r="E68" s="182"/>
      <c r="F68" s="182"/>
      <c r="G68" s="449"/>
      <c r="H68" s="23"/>
      <c r="I68" s="3"/>
      <c r="J68" s="3"/>
      <c r="K68" s="3"/>
      <c r="L68" s="3"/>
      <c r="M68" s="2"/>
      <c r="N68" s="3"/>
      <c r="O68" s="3"/>
      <c r="Q68" s="1"/>
      <c r="R68" s="1"/>
    </row>
    <row r="69" spans="1:39" s="385" customFormat="1" ht="20.25" thickTop="1" thickBot="1" x14ac:dyDescent="0.35">
      <c r="B69" s="1145" t="s">
        <v>264</v>
      </c>
      <c r="C69" s="1145"/>
      <c r="D69" s="1145"/>
      <c r="E69" s="1145"/>
      <c r="F69" s="1145"/>
      <c r="G69" s="1145"/>
      <c r="H69" s="1145"/>
      <c r="I69" s="1145"/>
      <c r="J69" s="1145"/>
      <c r="K69" s="1145"/>
      <c r="L69" s="1145"/>
      <c r="M69" s="632"/>
      <c r="N69" s="386"/>
      <c r="O69" s="770" t="s">
        <v>272</v>
      </c>
      <c r="P69" s="771">
        <f>P115</f>
        <v>-8053.4639999999818</v>
      </c>
      <c r="R69" s="386"/>
    </row>
    <row r="70" spans="1:39" s="133" customFormat="1" ht="12.75" thickTop="1" thickBot="1" x14ac:dyDescent="0.25">
      <c r="A70" s="612"/>
      <c r="B70" s="12"/>
      <c r="C70" s="12"/>
      <c r="D70" s="12"/>
      <c r="E70" s="182"/>
      <c r="F70" s="182"/>
      <c r="G70" s="449"/>
      <c r="H70" s="23"/>
      <c r="I70" s="3"/>
      <c r="J70" s="3"/>
      <c r="K70" s="3"/>
      <c r="L70" s="3"/>
      <c r="M70" s="2"/>
      <c r="N70" s="3"/>
      <c r="O70" s="3"/>
      <c r="Q70" s="1"/>
      <c r="R70" s="1"/>
    </row>
    <row r="71" spans="1:39" s="555" customFormat="1" ht="34.5" customHeight="1" thickBot="1" x14ac:dyDescent="0.25">
      <c r="A71" s="346" t="s">
        <v>252</v>
      </c>
      <c r="B71" s="347" t="s">
        <v>3</v>
      </c>
      <c r="C71" s="347" t="s">
        <v>253</v>
      </c>
      <c r="D71" s="347" t="s">
        <v>254</v>
      </c>
      <c r="E71" s="347" t="s">
        <v>255</v>
      </c>
      <c r="F71" s="347" t="s">
        <v>256</v>
      </c>
      <c r="G71" s="348" t="s">
        <v>257</v>
      </c>
      <c r="H71" s="347" t="s">
        <v>4</v>
      </c>
      <c r="I71" s="348" t="s">
        <v>258</v>
      </c>
      <c r="J71" s="348" t="s">
        <v>259</v>
      </c>
      <c r="K71" s="348" t="s">
        <v>260</v>
      </c>
      <c r="L71" s="529" t="s">
        <v>261</v>
      </c>
      <c r="M71" s="419"/>
      <c r="N71" s="526" t="s">
        <v>45</v>
      </c>
      <c r="O71" s="438" t="s">
        <v>110</v>
      </c>
      <c r="P71" s="439" t="s">
        <v>119</v>
      </c>
      <c r="R71" s="344"/>
    </row>
    <row r="72" spans="1:39" s="133" customFormat="1" ht="12" thickTop="1" x14ac:dyDescent="0.2">
      <c r="A72" s="612"/>
      <c r="I72" s="1"/>
      <c r="J72" s="1"/>
      <c r="K72" s="1"/>
      <c r="L72" s="1"/>
      <c r="M72" s="2"/>
      <c r="N72" s="1"/>
      <c r="O72" s="1"/>
      <c r="P72" s="1"/>
    </row>
    <row r="73" spans="1:39" s="133" customFormat="1" x14ac:dyDescent="0.2">
      <c r="A73" s="621" t="s">
        <v>335</v>
      </c>
      <c r="B73" s="615" t="s">
        <v>0</v>
      </c>
      <c r="C73" s="616">
        <v>116567137</v>
      </c>
      <c r="D73" s="616" t="s">
        <v>112</v>
      </c>
      <c r="E73" s="617">
        <v>43230</v>
      </c>
      <c r="F73" s="617">
        <v>43234</v>
      </c>
      <c r="G73" s="618">
        <v>28.023499999999999</v>
      </c>
      <c r="H73" s="619">
        <v>3000</v>
      </c>
      <c r="I73" s="895">
        <v>86.07</v>
      </c>
      <c r="J73" s="895">
        <v>8.61</v>
      </c>
      <c r="K73" s="895">
        <v>0</v>
      </c>
      <c r="L73" s="620">
        <v>84165.04</v>
      </c>
      <c r="M73" s="2"/>
      <c r="N73" s="461"/>
      <c r="O73" s="281"/>
      <c r="P73" s="636"/>
      <c r="Q73" s="1"/>
      <c r="R73" s="1"/>
    </row>
    <row r="74" spans="1:39" s="133" customFormat="1" x14ac:dyDescent="0.2">
      <c r="A74" s="612"/>
      <c r="I74" s="1"/>
      <c r="J74" s="1"/>
      <c r="K74" s="1"/>
      <c r="L74" s="1"/>
      <c r="M74" s="2"/>
      <c r="N74" s="461"/>
      <c r="O74" s="281"/>
      <c r="P74" s="636"/>
    </row>
    <row r="75" spans="1:39" s="133" customFormat="1" x14ac:dyDescent="0.2">
      <c r="A75" s="622"/>
      <c r="B75" s="623" t="s">
        <v>0</v>
      </c>
      <c r="C75" s="624">
        <v>116567137</v>
      </c>
      <c r="D75" s="624" t="s">
        <v>112</v>
      </c>
      <c r="E75" s="625">
        <v>43230</v>
      </c>
      <c r="F75" s="625">
        <v>43234</v>
      </c>
      <c r="G75" s="626">
        <v>28.023499999999999</v>
      </c>
      <c r="H75" s="627">
        <v>2800</v>
      </c>
      <c r="I75" s="896">
        <v>86.07</v>
      </c>
      <c r="J75" s="896">
        <v>8.61</v>
      </c>
      <c r="K75" s="896">
        <v>0</v>
      </c>
      <c r="L75" s="628">
        <f>G75*H75</f>
        <v>78465.8</v>
      </c>
      <c r="M75" s="305"/>
      <c r="N75" s="461">
        <f>IF(D75="Sell",H75,-H75)</f>
        <v>-2800</v>
      </c>
      <c r="O75" s="281">
        <f>IF(D75="Sell",L75,-L75)</f>
        <v>-78465.8</v>
      </c>
      <c r="P75" s="638"/>
      <c r="Q75" s="363"/>
      <c r="R75" s="363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</row>
    <row r="76" spans="1:39" s="133" customFormat="1" x14ac:dyDescent="0.2">
      <c r="A76" s="612"/>
      <c r="B76" s="605" t="s">
        <v>0</v>
      </c>
      <c r="C76" s="606">
        <v>7961356</v>
      </c>
      <c r="D76" s="606" t="s">
        <v>111</v>
      </c>
      <c r="E76" s="607">
        <v>43731</v>
      </c>
      <c r="F76" s="607">
        <v>43733</v>
      </c>
      <c r="G76" s="608">
        <v>27.96</v>
      </c>
      <c r="H76" s="609">
        <v>2800</v>
      </c>
      <c r="I76" s="835">
        <v>78.290000000000006</v>
      </c>
      <c r="J76" s="835">
        <v>8.0500000000000007</v>
      </c>
      <c r="K76" s="835">
        <v>2.2000000000000002</v>
      </c>
      <c r="L76" s="611">
        <v>78199.460000000006</v>
      </c>
      <c r="M76" s="2"/>
      <c r="N76" s="614">
        <f>IF(D76="Sell",H76,-H76)</f>
        <v>2800</v>
      </c>
      <c r="O76" s="634">
        <f>IF(D76="Sell",L76,-L76)</f>
        <v>78199.460000000006</v>
      </c>
      <c r="P76" s="637"/>
      <c r="Q76" s="1"/>
      <c r="R76" s="1"/>
    </row>
    <row r="77" spans="1:39" s="133" customFormat="1" x14ac:dyDescent="0.2">
      <c r="A77" s="480"/>
      <c r="B77" s="356"/>
      <c r="C77" s="166"/>
      <c r="D77" s="166"/>
      <c r="E77" s="357"/>
      <c r="F77" s="357"/>
      <c r="G77" s="358"/>
      <c r="H77" s="341"/>
      <c r="I77" s="167"/>
      <c r="J77" s="167"/>
      <c r="K77" s="167"/>
      <c r="L77" s="273"/>
      <c r="M77" s="2"/>
      <c r="N77" s="461">
        <f>SUM(N75:N76)</f>
        <v>0</v>
      </c>
      <c r="O77" s="281">
        <f>SUM(O75:O76)</f>
        <v>-266.33999999999651</v>
      </c>
      <c r="P77" s="636">
        <f>SUM(N77:O77)</f>
        <v>-266.33999999999651</v>
      </c>
      <c r="Q77" s="1"/>
      <c r="R77" s="1"/>
    </row>
    <row r="78" spans="1:39" s="133" customFormat="1" x14ac:dyDescent="0.2">
      <c r="A78" s="612"/>
      <c r="B78" s="352"/>
      <c r="C78" s="159"/>
      <c r="D78" s="159"/>
      <c r="E78" s="90"/>
      <c r="F78" s="90"/>
      <c r="G78" s="353"/>
      <c r="H78" s="146"/>
      <c r="I78" s="138"/>
      <c r="J78" s="138"/>
      <c r="K78" s="138"/>
      <c r="L78" s="139"/>
      <c r="M78" s="2"/>
      <c r="N78" s="461"/>
      <c r="O78" s="281"/>
      <c r="P78" s="636"/>
      <c r="Q78" s="1"/>
      <c r="R78" s="1"/>
    </row>
    <row r="79" spans="1:39" s="133" customFormat="1" x14ac:dyDescent="0.2">
      <c r="A79" s="622"/>
      <c r="B79" s="630" t="s">
        <v>96</v>
      </c>
      <c r="C79" s="218">
        <v>6163180</v>
      </c>
      <c r="D79" s="218" t="s">
        <v>112</v>
      </c>
      <c r="E79" s="444">
        <v>43420</v>
      </c>
      <c r="F79" s="444">
        <v>43424</v>
      </c>
      <c r="G79" s="430">
        <v>5.35</v>
      </c>
      <c r="H79" s="433">
        <v>4000</v>
      </c>
      <c r="I79" s="219">
        <v>21.4</v>
      </c>
      <c r="J79" s="219">
        <v>2.36</v>
      </c>
      <c r="K79" s="219">
        <v>2.2000000000000002</v>
      </c>
      <c r="L79" s="431">
        <v>21425.96</v>
      </c>
      <c r="M79" s="2"/>
      <c r="N79" s="461">
        <f t="shared" ref="N79:N82" si="11">IF(D79="Sell",H79,-H79)</f>
        <v>-4000</v>
      </c>
      <c r="O79" s="281">
        <f t="shared" ref="O79:O82" si="12">IF(D79="Sell",L79,-L79)</f>
        <v>-21425.96</v>
      </c>
      <c r="P79" s="636"/>
      <c r="Q79" s="1"/>
      <c r="R79" s="1"/>
    </row>
    <row r="80" spans="1:39" s="133" customFormat="1" x14ac:dyDescent="0.2">
      <c r="A80" s="622"/>
      <c r="B80" s="630" t="s">
        <v>96</v>
      </c>
      <c r="C80" s="218">
        <v>6546156</v>
      </c>
      <c r="D80" s="218" t="s">
        <v>112</v>
      </c>
      <c r="E80" s="444">
        <v>43507</v>
      </c>
      <c r="F80" s="444">
        <v>43509</v>
      </c>
      <c r="G80" s="430">
        <v>4.83</v>
      </c>
      <c r="H80" s="433">
        <v>1300</v>
      </c>
      <c r="I80" s="219">
        <v>18.14</v>
      </c>
      <c r="J80" s="219">
        <v>2.0299999999999998</v>
      </c>
      <c r="K80" s="219">
        <v>2.2000000000000002</v>
      </c>
      <c r="L80" s="431">
        <v>6301.37</v>
      </c>
      <c r="M80" s="2"/>
      <c r="N80" s="461">
        <f t="shared" si="11"/>
        <v>-1300</v>
      </c>
      <c r="O80" s="281">
        <f t="shared" si="12"/>
        <v>-6301.37</v>
      </c>
      <c r="P80" s="636"/>
      <c r="Q80" s="1"/>
      <c r="R80" s="1"/>
    </row>
    <row r="81" spans="1:18" s="133" customFormat="1" x14ac:dyDescent="0.2">
      <c r="A81" s="622"/>
      <c r="B81" s="630" t="s">
        <v>96</v>
      </c>
      <c r="C81" s="218">
        <v>6895833</v>
      </c>
      <c r="D81" s="218" t="s">
        <v>112</v>
      </c>
      <c r="E81" s="444">
        <v>43566</v>
      </c>
      <c r="F81" s="444">
        <v>43570</v>
      </c>
      <c r="G81" s="430">
        <v>4.7</v>
      </c>
      <c r="H81" s="433">
        <v>2700</v>
      </c>
      <c r="I81" s="219">
        <v>18.14</v>
      </c>
      <c r="J81" s="219">
        <v>2.0299999999999998</v>
      </c>
      <c r="K81" s="219">
        <v>2.2000000000000002</v>
      </c>
      <c r="L81" s="431">
        <v>12712.37</v>
      </c>
      <c r="M81" s="2"/>
      <c r="N81" s="461">
        <f t="shared" si="11"/>
        <v>-2700</v>
      </c>
      <c r="O81" s="281">
        <f t="shared" si="12"/>
        <v>-12712.37</v>
      </c>
      <c r="P81" s="636"/>
      <c r="Q81" s="1"/>
      <c r="R81" s="1"/>
    </row>
    <row r="82" spans="1:18" s="133" customFormat="1" x14ac:dyDescent="0.2">
      <c r="A82" s="612"/>
      <c r="B82" s="605" t="s">
        <v>96</v>
      </c>
      <c r="C82" s="606">
        <v>7961192</v>
      </c>
      <c r="D82" s="606" t="s">
        <v>111</v>
      </c>
      <c r="E82" s="607">
        <v>43731</v>
      </c>
      <c r="F82" s="607">
        <v>43733</v>
      </c>
      <c r="G82" s="608">
        <v>4.93</v>
      </c>
      <c r="H82" s="609">
        <v>8000</v>
      </c>
      <c r="I82" s="835">
        <v>39.44</v>
      </c>
      <c r="J82" s="835">
        <v>4.16</v>
      </c>
      <c r="K82" s="835">
        <v>2.2000000000000002</v>
      </c>
      <c r="L82" s="611">
        <v>39394.199999999997</v>
      </c>
      <c r="M82" s="2"/>
      <c r="N82" s="614">
        <f t="shared" si="11"/>
        <v>8000</v>
      </c>
      <c r="O82" s="634">
        <f t="shared" si="12"/>
        <v>39394.199999999997</v>
      </c>
      <c r="P82" s="637"/>
      <c r="Q82" s="1"/>
      <c r="R82" s="1"/>
    </row>
    <row r="83" spans="1:18" s="133" customFormat="1" x14ac:dyDescent="0.2">
      <c r="A83" s="612"/>
      <c r="B83" s="356"/>
      <c r="C83" s="166"/>
      <c r="D83" s="166"/>
      <c r="E83" s="357"/>
      <c r="F83" s="357"/>
      <c r="G83" s="358"/>
      <c r="H83" s="341"/>
      <c r="I83" s="167"/>
      <c r="J83" s="167"/>
      <c r="K83" s="167"/>
      <c r="L83" s="273"/>
      <c r="M83" s="2"/>
      <c r="N83" s="461">
        <f>SUM(N79:N82)</f>
        <v>0</v>
      </c>
      <c r="O83" s="281">
        <f>SUM(O79:O82)</f>
        <v>-1045.5</v>
      </c>
      <c r="P83" s="636">
        <f>SUM(N83:O83)</f>
        <v>-1045.5</v>
      </c>
      <c r="Q83" s="1"/>
      <c r="R83" s="1"/>
    </row>
    <row r="84" spans="1:18" s="133" customFormat="1" x14ac:dyDescent="0.2">
      <c r="A84" s="612"/>
      <c r="B84" s="352"/>
      <c r="C84" s="159"/>
      <c r="D84" s="159"/>
      <c r="E84" s="90"/>
      <c r="F84" s="90"/>
      <c r="G84" s="353"/>
      <c r="H84" s="146"/>
      <c r="I84" s="138"/>
      <c r="J84" s="138"/>
      <c r="K84" s="138"/>
      <c r="L84" s="139"/>
      <c r="M84" s="2"/>
      <c r="N84" s="283"/>
      <c r="O84" s="282"/>
      <c r="P84" s="637"/>
      <c r="Q84" s="1"/>
      <c r="R84" s="1"/>
    </row>
    <row r="85" spans="1:18" s="133" customFormat="1" x14ac:dyDescent="0.2">
      <c r="A85" s="613" t="s">
        <v>334</v>
      </c>
      <c r="B85" s="380" t="s">
        <v>30</v>
      </c>
      <c r="C85" s="204">
        <v>7064744</v>
      </c>
      <c r="D85" s="204" t="s">
        <v>112</v>
      </c>
      <c r="E85" s="382">
        <v>43598</v>
      </c>
      <c r="F85" s="382">
        <v>43600</v>
      </c>
      <c r="G85" s="383">
        <v>73.3</v>
      </c>
      <c r="H85" s="597">
        <v>500</v>
      </c>
      <c r="I85" s="897">
        <v>36.65</v>
      </c>
      <c r="J85" s="897">
        <v>3.89</v>
      </c>
      <c r="K85" s="897">
        <v>2.2000000000000002</v>
      </c>
      <c r="L85" s="384">
        <v>36692.74</v>
      </c>
      <c r="M85" s="2"/>
      <c r="N85" s="283"/>
      <c r="O85" s="282"/>
      <c r="P85" s="637"/>
      <c r="Q85" s="1"/>
      <c r="R85" s="1"/>
    </row>
    <row r="86" spans="1:18" s="133" customFormat="1" x14ac:dyDescent="0.2">
      <c r="A86" s="613" t="s">
        <v>334</v>
      </c>
      <c r="B86" s="380" t="s">
        <v>30</v>
      </c>
      <c r="C86" s="204">
        <v>-118120095</v>
      </c>
      <c r="D86" s="204" t="s">
        <v>112</v>
      </c>
      <c r="E86" s="382">
        <v>43298</v>
      </c>
      <c r="F86" s="382">
        <v>43300</v>
      </c>
      <c r="G86" s="383">
        <v>74.3</v>
      </c>
      <c r="H86" s="597">
        <v>1000</v>
      </c>
      <c r="I86" s="897">
        <v>76.3</v>
      </c>
      <c r="J86" s="897">
        <v>7.63</v>
      </c>
      <c r="K86" s="897">
        <v>0</v>
      </c>
      <c r="L86" s="384">
        <v>74383.929999999993</v>
      </c>
      <c r="M86" s="2"/>
      <c r="N86" s="283"/>
      <c r="O86" s="282"/>
      <c r="P86" s="637"/>
      <c r="Q86" s="1"/>
      <c r="R86" s="1"/>
    </row>
    <row r="87" spans="1:18" s="133" customFormat="1" x14ac:dyDescent="0.2">
      <c r="A87" s="612"/>
      <c r="B87" s="352"/>
      <c r="C87" s="159"/>
      <c r="D87" s="159"/>
      <c r="E87" s="90"/>
      <c r="F87" s="90"/>
      <c r="G87" s="353"/>
      <c r="H87" s="146"/>
      <c r="I87" s="138"/>
      <c r="J87" s="138"/>
      <c r="K87" s="138"/>
      <c r="L87" s="139"/>
      <c r="M87" s="2"/>
      <c r="N87" s="283"/>
      <c r="O87" s="282"/>
      <c r="P87" s="637"/>
      <c r="Q87" s="1"/>
      <c r="R87" s="1"/>
    </row>
    <row r="88" spans="1:18" s="133" customFormat="1" x14ac:dyDescent="0.2">
      <c r="A88" s="612"/>
      <c r="B88" s="352" t="s">
        <v>30</v>
      </c>
      <c r="C88" s="159">
        <v>-118120095</v>
      </c>
      <c r="D88" s="159" t="s">
        <v>112</v>
      </c>
      <c r="E88" s="90">
        <v>43298</v>
      </c>
      <c r="F88" s="90">
        <v>43300</v>
      </c>
      <c r="G88" s="353">
        <v>74.3</v>
      </c>
      <c r="H88" s="146">
        <v>300</v>
      </c>
      <c r="I88" s="138">
        <f>I84*0.3</f>
        <v>0</v>
      </c>
      <c r="J88" s="138">
        <f>J84*0.3</f>
        <v>0</v>
      </c>
      <c r="K88" s="138">
        <f>K84*0.3</f>
        <v>0</v>
      </c>
      <c r="L88" s="139">
        <f>G88*H88+I88+J88+K88</f>
        <v>22290</v>
      </c>
      <c r="M88" s="2"/>
      <c r="N88" s="461">
        <f>IF(D88="Sell",H88,-H88)</f>
        <v>-300</v>
      </c>
      <c r="O88" s="281">
        <f>IF(D88="Sell",L88,-L88)</f>
        <v>-22290</v>
      </c>
      <c r="P88" s="637"/>
      <c r="Q88" s="1"/>
      <c r="R88" s="1"/>
    </row>
    <row r="89" spans="1:18" s="133" customFormat="1" x14ac:dyDescent="0.2">
      <c r="A89" s="612"/>
      <c r="B89" s="352" t="s">
        <v>30</v>
      </c>
      <c r="C89" s="159">
        <v>7064744</v>
      </c>
      <c r="D89" s="159" t="s">
        <v>112</v>
      </c>
      <c r="E89" s="90">
        <v>43598</v>
      </c>
      <c r="F89" s="90">
        <v>43600</v>
      </c>
      <c r="G89" s="353">
        <v>73.3</v>
      </c>
      <c r="H89" s="146">
        <v>500</v>
      </c>
      <c r="I89" s="138">
        <v>36.65</v>
      </c>
      <c r="J89" s="138">
        <v>3.89</v>
      </c>
      <c r="K89" s="138">
        <v>2.2000000000000002</v>
      </c>
      <c r="L89" s="139">
        <v>36692.74</v>
      </c>
      <c r="M89" s="2"/>
      <c r="N89" s="461">
        <f>IF(D89="Sell",H89,-H89)</f>
        <v>-500</v>
      </c>
      <c r="O89" s="281">
        <f>IF(D89="Sell",L89,-L89)</f>
        <v>-36692.74</v>
      </c>
      <c r="P89" s="637"/>
      <c r="Q89" s="1"/>
      <c r="R89" s="1"/>
    </row>
    <row r="90" spans="1:18" s="133" customFormat="1" x14ac:dyDescent="0.2">
      <c r="A90" s="612"/>
      <c r="B90" s="605" t="s">
        <v>30</v>
      </c>
      <c r="C90" s="606">
        <v>7379379</v>
      </c>
      <c r="D90" s="606" t="s">
        <v>111</v>
      </c>
      <c r="E90" s="607">
        <v>43647</v>
      </c>
      <c r="F90" s="607">
        <v>43649</v>
      </c>
      <c r="G90" s="608">
        <v>83.5</v>
      </c>
      <c r="H90" s="609">
        <v>800</v>
      </c>
      <c r="I90" s="835">
        <v>66.8</v>
      </c>
      <c r="J90" s="835">
        <v>6.9</v>
      </c>
      <c r="K90" s="835">
        <v>2.2000000000000002</v>
      </c>
      <c r="L90" s="611">
        <v>66724.100000000006</v>
      </c>
      <c r="M90" s="2"/>
      <c r="N90" s="614">
        <f>IF(D90="Sell",H90,-H90)</f>
        <v>800</v>
      </c>
      <c r="O90" s="634">
        <f>IF(D90="Sell",L90,-L90)</f>
        <v>66724.100000000006</v>
      </c>
      <c r="P90" s="637"/>
      <c r="Q90" s="1"/>
      <c r="R90" s="1"/>
    </row>
    <row r="91" spans="1:18" s="133" customFormat="1" x14ac:dyDescent="0.2">
      <c r="A91" s="612"/>
      <c r="B91" s="356"/>
      <c r="C91" s="166"/>
      <c r="D91" s="166"/>
      <c r="E91" s="357"/>
      <c r="F91" s="357"/>
      <c r="G91" s="358"/>
      <c r="H91" s="341"/>
      <c r="I91" s="167"/>
      <c r="J91" s="167"/>
      <c r="K91" s="167"/>
      <c r="L91" s="273"/>
      <c r="M91" s="2"/>
      <c r="N91" s="461">
        <f>SUM(N88:N90)</f>
        <v>0</v>
      </c>
      <c r="O91" s="281">
        <f>SUM(O88:O90)</f>
        <v>7741.3600000000079</v>
      </c>
      <c r="P91" s="636">
        <f>SUM(N91:O91)</f>
        <v>7741.3600000000079</v>
      </c>
      <c r="Q91" s="1"/>
      <c r="R91" s="1"/>
    </row>
    <row r="92" spans="1:18" s="133" customFormat="1" x14ac:dyDescent="0.2">
      <c r="A92" s="612"/>
      <c r="B92" s="352"/>
      <c r="C92" s="159"/>
      <c r="D92" s="159"/>
      <c r="E92" s="90"/>
      <c r="F92" s="90"/>
      <c r="G92" s="353"/>
      <c r="H92" s="146"/>
      <c r="I92" s="138"/>
      <c r="J92" s="138"/>
      <c r="K92" s="138"/>
      <c r="L92" s="139"/>
      <c r="M92" s="2"/>
      <c r="N92" s="283"/>
      <c r="O92" s="282"/>
      <c r="P92" s="637"/>
      <c r="Q92" s="1"/>
      <c r="R92" s="1"/>
    </row>
    <row r="93" spans="1:18" s="133" customFormat="1" x14ac:dyDescent="0.2">
      <c r="A93" s="612"/>
      <c r="B93" s="352" t="s">
        <v>52</v>
      </c>
      <c r="C93" s="159">
        <v>-117854910</v>
      </c>
      <c r="D93" s="159" t="s">
        <v>112</v>
      </c>
      <c r="E93" s="90">
        <v>43284</v>
      </c>
      <c r="F93" s="90">
        <v>43286</v>
      </c>
      <c r="G93" s="353">
        <v>0.73499999999999999</v>
      </c>
      <c r="H93" s="146">
        <v>20000</v>
      </c>
      <c r="I93" s="138">
        <v>29.23</v>
      </c>
      <c r="J93" s="138">
        <v>2.92</v>
      </c>
      <c r="K93" s="138">
        <v>0</v>
      </c>
      <c r="L93" s="139">
        <v>14732.15</v>
      </c>
      <c r="M93" s="2"/>
      <c r="N93" s="461">
        <f t="shared" ref="N93:N95" si="13">IF(D93="Sell",H93,-H93)</f>
        <v>-20000</v>
      </c>
      <c r="O93" s="281">
        <f t="shared" ref="O93:O95" si="14">IF(D93="Sell",L93,-L93)</f>
        <v>-14732.15</v>
      </c>
      <c r="P93" s="637"/>
      <c r="Q93" s="1"/>
      <c r="R93" s="1"/>
    </row>
    <row r="94" spans="1:18" s="133" customFormat="1" x14ac:dyDescent="0.2">
      <c r="A94" s="612"/>
      <c r="B94" s="352" t="s">
        <v>52</v>
      </c>
      <c r="C94" s="159">
        <v>-118383724</v>
      </c>
      <c r="D94" s="159" t="s">
        <v>112</v>
      </c>
      <c r="E94" s="90">
        <v>43313</v>
      </c>
      <c r="F94" s="90">
        <v>43315</v>
      </c>
      <c r="G94" s="353">
        <v>0.68</v>
      </c>
      <c r="H94" s="146">
        <v>10000</v>
      </c>
      <c r="I94" s="138">
        <v>24.68</v>
      </c>
      <c r="J94" s="138">
        <v>2.4700000000000002</v>
      </c>
      <c r="K94" s="138">
        <v>0</v>
      </c>
      <c r="L94" s="139">
        <v>6827.15</v>
      </c>
      <c r="M94" s="2"/>
      <c r="N94" s="461">
        <f t="shared" si="13"/>
        <v>-10000</v>
      </c>
      <c r="O94" s="281">
        <f t="shared" si="14"/>
        <v>-6827.15</v>
      </c>
      <c r="P94" s="637"/>
      <c r="Q94" s="1"/>
      <c r="R94" s="1"/>
    </row>
    <row r="95" spans="1:18" s="133" customFormat="1" x14ac:dyDescent="0.2">
      <c r="A95" s="612"/>
      <c r="B95" s="605" t="s">
        <v>52</v>
      </c>
      <c r="C95" s="606">
        <v>9281390</v>
      </c>
      <c r="D95" s="606" t="s">
        <v>111</v>
      </c>
      <c r="E95" s="607">
        <v>43913</v>
      </c>
      <c r="F95" s="607">
        <v>43915</v>
      </c>
      <c r="G95" s="608">
        <v>1.05</v>
      </c>
      <c r="H95" s="609">
        <v>30000</v>
      </c>
      <c r="I95" s="835">
        <v>31.5</v>
      </c>
      <c r="J95" s="835">
        <v>3.37</v>
      </c>
      <c r="K95" s="835">
        <v>2.2000000000000002</v>
      </c>
      <c r="L95" s="611">
        <v>31462.93</v>
      </c>
      <c r="M95" s="2"/>
      <c r="N95" s="614">
        <f t="shared" si="13"/>
        <v>30000</v>
      </c>
      <c r="O95" s="634">
        <f t="shared" si="14"/>
        <v>31462.93</v>
      </c>
      <c r="P95" s="637"/>
      <c r="Q95" s="1"/>
      <c r="R95" s="1"/>
    </row>
    <row r="96" spans="1:18" s="133" customFormat="1" x14ac:dyDescent="0.2">
      <c r="A96" s="612"/>
      <c r="B96" s="356"/>
      <c r="C96" s="166"/>
      <c r="D96" s="166"/>
      <c r="E96" s="357"/>
      <c r="F96" s="357"/>
      <c r="G96" s="358"/>
      <c r="H96" s="341"/>
      <c r="I96" s="167"/>
      <c r="J96" s="167"/>
      <c r="K96" s="167"/>
      <c r="L96" s="273"/>
      <c r="M96" s="2"/>
      <c r="N96" s="461">
        <f>SUM(N93:N95)</f>
        <v>0</v>
      </c>
      <c r="O96" s="281">
        <f>SUM(O93:O95)</f>
        <v>9903.630000000001</v>
      </c>
      <c r="P96" s="636">
        <f>SUM(N96:O96)</f>
        <v>9903.630000000001</v>
      </c>
      <c r="Q96" s="1"/>
      <c r="R96" s="1"/>
    </row>
    <row r="97" spans="1:18" s="133" customFormat="1" x14ac:dyDescent="0.2">
      <c r="A97" s="612"/>
      <c r="B97" s="352"/>
      <c r="C97" s="159"/>
      <c r="D97" s="159"/>
      <c r="E97" s="90"/>
      <c r="F97" s="90"/>
      <c r="G97" s="353"/>
      <c r="H97" s="146"/>
      <c r="I97" s="138"/>
      <c r="J97" s="138"/>
      <c r="K97" s="138"/>
      <c r="L97" s="139"/>
      <c r="M97" s="2"/>
      <c r="N97" s="283"/>
      <c r="O97" s="282"/>
      <c r="P97" s="637"/>
      <c r="Q97" s="1"/>
      <c r="R97" s="1"/>
    </row>
    <row r="98" spans="1:18" s="133" customFormat="1" x14ac:dyDescent="0.2">
      <c r="A98" s="621" t="s">
        <v>337</v>
      </c>
      <c r="B98" s="380" t="s">
        <v>7</v>
      </c>
      <c r="C98" s="204">
        <v>7961442</v>
      </c>
      <c r="D98" s="204" t="s">
        <v>112</v>
      </c>
      <c r="E98" s="382">
        <v>43731</v>
      </c>
      <c r="F98" s="382">
        <v>43733</v>
      </c>
      <c r="G98" s="383">
        <v>29.71</v>
      </c>
      <c r="H98" s="597">
        <v>4000</v>
      </c>
      <c r="I98" s="897">
        <v>118.84</v>
      </c>
      <c r="J98" s="897">
        <v>12.1</v>
      </c>
      <c r="K98" s="897">
        <v>2.2000000000000002</v>
      </c>
      <c r="L98" s="384">
        <v>118973.14</v>
      </c>
      <c r="M98" s="2"/>
      <c r="N98" s="461"/>
      <c r="O98" s="281"/>
      <c r="P98" s="637"/>
      <c r="Q98" s="1"/>
      <c r="R98" s="1"/>
    </row>
    <row r="99" spans="1:18" s="133" customFormat="1" x14ac:dyDescent="0.2">
      <c r="A99" s="612"/>
      <c r="B99" s="352"/>
      <c r="C99" s="159"/>
      <c r="D99" s="159"/>
      <c r="E99" s="90"/>
      <c r="F99" s="90"/>
      <c r="G99" s="353"/>
      <c r="H99" s="146"/>
      <c r="I99" s="138"/>
      <c r="J99" s="138"/>
      <c r="K99" s="138"/>
      <c r="L99" s="139"/>
      <c r="M99" s="2"/>
      <c r="N99" s="283"/>
      <c r="O99" s="282"/>
      <c r="P99" s="637"/>
      <c r="Q99" s="1"/>
      <c r="R99" s="1"/>
    </row>
    <row r="100" spans="1:18" s="133" customFormat="1" x14ac:dyDescent="0.2">
      <c r="A100" s="612"/>
      <c r="B100" s="352" t="s">
        <v>7</v>
      </c>
      <c r="C100" s="159">
        <v>7961442</v>
      </c>
      <c r="D100" s="159" t="s">
        <v>112</v>
      </c>
      <c r="E100" s="90">
        <v>43731</v>
      </c>
      <c r="F100" s="90">
        <v>43733</v>
      </c>
      <c r="G100" s="353">
        <v>29.71</v>
      </c>
      <c r="H100" s="146">
        <v>2000</v>
      </c>
      <c r="I100" s="138">
        <v>59.42</v>
      </c>
      <c r="J100" s="138">
        <v>6.05</v>
      </c>
      <c r="K100" s="138">
        <v>1.2</v>
      </c>
      <c r="L100" s="139">
        <f>G100*H100+I100+J100+K100</f>
        <v>59486.67</v>
      </c>
      <c r="M100" s="2"/>
      <c r="N100" s="461">
        <f>IF(D100="Sell",H100,-H100)</f>
        <v>-2000</v>
      </c>
      <c r="O100" s="281">
        <f>IF(D100="Sell",L100,-L100)</f>
        <v>-59486.67</v>
      </c>
      <c r="P100" s="637"/>
      <c r="Q100" s="1"/>
      <c r="R100" s="1"/>
    </row>
    <row r="101" spans="1:18" s="133" customFormat="1" x14ac:dyDescent="0.2">
      <c r="A101" s="612"/>
      <c r="B101" s="605" t="s">
        <v>7</v>
      </c>
      <c r="C101" s="606">
        <v>9766492</v>
      </c>
      <c r="D101" s="606" t="s">
        <v>111</v>
      </c>
      <c r="E101" s="607">
        <v>43950</v>
      </c>
      <c r="F101" s="607">
        <v>43952</v>
      </c>
      <c r="G101" s="608">
        <v>16</v>
      </c>
      <c r="H101" s="609">
        <v>2000</v>
      </c>
      <c r="I101" s="835">
        <v>32</v>
      </c>
      <c r="J101" s="835">
        <v>3.42</v>
      </c>
      <c r="K101" s="835">
        <v>2.2000000000000002</v>
      </c>
      <c r="L101" s="611">
        <v>31962.38</v>
      </c>
      <c r="M101" s="2"/>
      <c r="N101" s="614">
        <f>IF(D101="Sell",H101,-H101)</f>
        <v>2000</v>
      </c>
      <c r="O101" s="634">
        <f>IF(D101="Sell",L101,-L101)</f>
        <v>31962.38</v>
      </c>
      <c r="P101" s="637"/>
      <c r="Q101" s="1"/>
      <c r="R101" s="1"/>
    </row>
    <row r="102" spans="1:18" s="133" customFormat="1" x14ac:dyDescent="0.2">
      <c r="A102" s="612"/>
      <c r="B102" s="356"/>
      <c r="C102" s="166"/>
      <c r="D102" s="166"/>
      <c r="E102" s="357"/>
      <c r="F102" s="357"/>
      <c r="G102" s="358"/>
      <c r="H102" s="341"/>
      <c r="I102" s="167"/>
      <c r="J102" s="167"/>
      <c r="K102" s="167"/>
      <c r="L102" s="273"/>
      <c r="M102" s="2"/>
      <c r="N102" s="461">
        <f>SUM(N100:N101)</f>
        <v>0</v>
      </c>
      <c r="O102" s="281">
        <f>SUM(O100:O101)</f>
        <v>-27524.289999999997</v>
      </c>
      <c r="P102" s="636">
        <f>SUM(N102:O102)</f>
        <v>-27524.289999999997</v>
      </c>
      <c r="Q102" s="1"/>
      <c r="R102" s="1"/>
    </row>
    <row r="103" spans="1:18" s="133" customFormat="1" x14ac:dyDescent="0.2">
      <c r="A103" s="612"/>
      <c r="B103" s="352"/>
      <c r="C103" s="159"/>
      <c r="D103" s="159"/>
      <c r="E103" s="90"/>
      <c r="F103" s="90"/>
      <c r="G103" s="353"/>
      <c r="H103" s="146"/>
      <c r="I103" s="138"/>
      <c r="J103" s="138"/>
      <c r="K103" s="138"/>
      <c r="L103" s="139"/>
      <c r="M103" s="2"/>
      <c r="N103" s="283"/>
      <c r="O103" s="282"/>
      <c r="P103" s="637"/>
      <c r="Q103" s="1"/>
      <c r="R103" s="1"/>
    </row>
    <row r="104" spans="1:18" s="85" customFormat="1" x14ac:dyDescent="0.2">
      <c r="A104" s="622"/>
      <c r="B104" s="630" t="s">
        <v>97</v>
      </c>
      <c r="C104" s="218">
        <v>5952068</v>
      </c>
      <c r="D104" s="218" t="s">
        <v>112</v>
      </c>
      <c r="E104" s="444">
        <v>43384</v>
      </c>
      <c r="F104" s="444">
        <v>43388</v>
      </c>
      <c r="G104" s="430">
        <v>54.45</v>
      </c>
      <c r="H104" s="220">
        <v>500</v>
      </c>
      <c r="I104" s="219">
        <v>27.23</v>
      </c>
      <c r="J104" s="219">
        <v>2.94</v>
      </c>
      <c r="K104" s="219">
        <v>2.2000000000000002</v>
      </c>
      <c r="L104" s="431">
        <v>27257.37</v>
      </c>
      <c r="M104" s="305"/>
      <c r="N104" s="461">
        <f t="shared" ref="N104:N105" si="15">IF(D104="Sell",H104,-H104)</f>
        <v>-500</v>
      </c>
      <c r="O104" s="281">
        <f t="shared" ref="O104:O105" si="16">IF(D104="Sell",L104,-L104)</f>
        <v>-27257.37</v>
      </c>
      <c r="P104" s="638"/>
      <c r="Q104" s="363"/>
      <c r="R104" s="363"/>
    </row>
    <row r="105" spans="1:18" s="133" customFormat="1" x14ac:dyDescent="0.2">
      <c r="A105" s="612"/>
      <c r="B105" s="605" t="s">
        <v>97</v>
      </c>
      <c r="C105" s="606">
        <v>9715007</v>
      </c>
      <c r="D105" s="606" t="s">
        <v>111</v>
      </c>
      <c r="E105" s="607">
        <v>43944</v>
      </c>
      <c r="F105" s="607">
        <v>43948</v>
      </c>
      <c r="G105" s="608">
        <v>60.973999999999997</v>
      </c>
      <c r="H105" s="609">
        <v>500</v>
      </c>
      <c r="I105" s="835">
        <v>30.49</v>
      </c>
      <c r="J105" s="835">
        <v>3.27</v>
      </c>
      <c r="K105" s="835">
        <v>2.2000000000000002</v>
      </c>
      <c r="L105" s="611">
        <v>30451.040000000001</v>
      </c>
      <c r="M105" s="2"/>
      <c r="N105" s="614">
        <f t="shared" si="15"/>
        <v>500</v>
      </c>
      <c r="O105" s="634">
        <f t="shared" si="16"/>
        <v>30451.040000000001</v>
      </c>
      <c r="P105" s="637"/>
      <c r="Q105" s="1"/>
      <c r="R105" s="1"/>
    </row>
    <row r="106" spans="1:18" s="85" customFormat="1" x14ac:dyDescent="0.2">
      <c r="A106" s="622"/>
      <c r="B106" s="630"/>
      <c r="C106" s="218"/>
      <c r="D106" s="218"/>
      <c r="E106" s="444"/>
      <c r="F106" s="444"/>
      <c r="G106" s="430"/>
      <c r="H106" s="220"/>
      <c r="I106" s="219"/>
      <c r="J106" s="219"/>
      <c r="K106" s="219"/>
      <c r="L106" s="431"/>
      <c r="M106" s="305"/>
      <c r="N106" s="461">
        <f>SUM(N104:N105)</f>
        <v>0</v>
      </c>
      <c r="O106" s="281">
        <f>SUM(O104:O105)</f>
        <v>3193.6700000000019</v>
      </c>
      <c r="P106" s="636">
        <f>SUM(N106:O106)</f>
        <v>3193.6700000000019</v>
      </c>
      <c r="Q106" s="363"/>
      <c r="R106" s="363"/>
    </row>
    <row r="107" spans="1:18" s="85" customFormat="1" x14ac:dyDescent="0.2">
      <c r="A107" s="622"/>
      <c r="B107" s="630"/>
      <c r="C107" s="218"/>
      <c r="D107" s="218"/>
      <c r="E107" s="444"/>
      <c r="F107" s="444"/>
      <c r="G107" s="430"/>
      <c r="H107" s="220"/>
      <c r="I107" s="219"/>
      <c r="J107" s="219"/>
      <c r="K107" s="219"/>
      <c r="L107" s="431"/>
      <c r="M107" s="305"/>
      <c r="N107" s="461"/>
      <c r="O107" s="281"/>
      <c r="P107" s="638"/>
      <c r="Q107" s="363"/>
      <c r="R107" s="363"/>
    </row>
    <row r="108" spans="1:18" s="85" customFormat="1" x14ac:dyDescent="0.2">
      <c r="A108" s="622"/>
      <c r="B108" s="630"/>
      <c r="C108" s="218"/>
      <c r="D108" s="218"/>
      <c r="E108" s="444"/>
      <c r="F108" s="444"/>
      <c r="G108" s="430"/>
      <c r="H108" s="220"/>
      <c r="I108" s="219"/>
      <c r="J108" s="219"/>
      <c r="K108" s="219"/>
      <c r="L108" s="431"/>
      <c r="M108" s="305"/>
      <c r="N108" s="461"/>
      <c r="O108" s="281"/>
      <c r="P108" s="638"/>
      <c r="Q108" s="363"/>
      <c r="R108" s="363"/>
    </row>
    <row r="109" spans="1:18" s="85" customFormat="1" x14ac:dyDescent="0.2">
      <c r="A109" s="622"/>
      <c r="B109" s="630"/>
      <c r="C109" s="218"/>
      <c r="D109" s="218"/>
      <c r="E109" s="444"/>
      <c r="F109" s="444"/>
      <c r="G109" s="430"/>
      <c r="H109" s="220"/>
      <c r="I109" s="219"/>
      <c r="J109" s="219"/>
      <c r="K109" s="219"/>
      <c r="L109" s="431"/>
      <c r="M109" s="305"/>
      <c r="N109" s="461"/>
      <c r="O109" s="281"/>
      <c r="P109" s="638"/>
      <c r="Q109" s="363"/>
      <c r="R109" s="363"/>
    </row>
    <row r="110" spans="1:18" s="133" customFormat="1" x14ac:dyDescent="0.2">
      <c r="A110" s="613" t="s">
        <v>334</v>
      </c>
      <c r="B110" s="380" t="s">
        <v>11</v>
      </c>
      <c r="C110" s="204">
        <v>7038467</v>
      </c>
      <c r="D110" s="204" t="s">
        <v>112</v>
      </c>
      <c r="E110" s="382">
        <v>43593</v>
      </c>
      <c r="F110" s="382">
        <v>43595</v>
      </c>
      <c r="G110" s="383">
        <v>26.980399999999999</v>
      </c>
      <c r="H110" s="597">
        <v>2500</v>
      </c>
      <c r="I110" s="897">
        <v>67.45</v>
      </c>
      <c r="J110" s="897">
        <v>6.97</v>
      </c>
      <c r="K110" s="897">
        <v>2.2000000000000002</v>
      </c>
      <c r="L110" s="384">
        <v>67527.740000000005</v>
      </c>
      <c r="M110" s="2"/>
      <c r="N110" s="283"/>
      <c r="O110" s="282"/>
      <c r="P110" s="636"/>
      <c r="Q110" s="1"/>
      <c r="R110" s="1"/>
    </row>
    <row r="111" spans="1:18" s="133" customFormat="1" x14ac:dyDescent="0.2">
      <c r="A111" s="612"/>
      <c r="B111" s="352"/>
      <c r="C111" s="159"/>
      <c r="D111" s="159"/>
      <c r="E111" s="90"/>
      <c r="F111" s="90"/>
      <c r="G111" s="353"/>
      <c r="H111" s="146"/>
      <c r="I111" s="138"/>
      <c r="J111" s="138"/>
      <c r="K111" s="138"/>
      <c r="L111" s="139"/>
      <c r="M111" s="2"/>
      <c r="N111" s="283"/>
      <c r="O111" s="282"/>
      <c r="P111" s="637"/>
      <c r="Q111" s="1"/>
      <c r="R111" s="1"/>
    </row>
    <row r="112" spans="1:18" s="133" customFormat="1" x14ac:dyDescent="0.2">
      <c r="A112" s="612"/>
      <c r="B112" s="352" t="s">
        <v>11</v>
      </c>
      <c r="C112" s="159">
        <v>7038467</v>
      </c>
      <c r="D112" s="159" t="s">
        <v>112</v>
      </c>
      <c r="E112" s="90">
        <v>43593</v>
      </c>
      <c r="F112" s="90">
        <v>43595</v>
      </c>
      <c r="G112" s="353">
        <v>26.980399999999999</v>
      </c>
      <c r="H112" s="146">
        <v>60</v>
      </c>
      <c r="I112" s="138"/>
      <c r="J112" s="138"/>
      <c r="K112" s="138"/>
      <c r="L112" s="139">
        <f>G112*H112</f>
        <v>1618.8240000000001</v>
      </c>
      <c r="M112" s="2"/>
      <c r="N112" s="461">
        <f>IF(D112="Sell",H112,-H112)</f>
        <v>-60</v>
      </c>
      <c r="O112" s="281">
        <f>IF(D112="Sell",L112,-L112)</f>
        <v>-1618.8240000000001</v>
      </c>
      <c r="P112" s="637"/>
      <c r="Q112" s="1"/>
      <c r="R112" s="1"/>
    </row>
    <row r="113" spans="1:19" s="133" customFormat="1" x14ac:dyDescent="0.2">
      <c r="A113" s="612"/>
      <c r="B113" s="605" t="s">
        <v>11</v>
      </c>
      <c r="C113" s="606">
        <v>8295375</v>
      </c>
      <c r="D113" s="606" t="s">
        <v>111</v>
      </c>
      <c r="E113" s="607">
        <v>43787</v>
      </c>
      <c r="F113" s="607">
        <v>43789</v>
      </c>
      <c r="G113" s="608">
        <v>26.42</v>
      </c>
      <c r="H113" s="609">
        <v>60</v>
      </c>
      <c r="I113" s="835">
        <v>18.14</v>
      </c>
      <c r="J113" s="835">
        <v>2.0299999999999998</v>
      </c>
      <c r="K113" s="835">
        <v>2.2000000000000002</v>
      </c>
      <c r="L113" s="611">
        <v>1562.83</v>
      </c>
      <c r="M113" s="2"/>
      <c r="N113" s="614">
        <f>IF(D113="Sell",H113,-H113)</f>
        <v>60</v>
      </c>
      <c r="O113" s="634">
        <f>IF(D113="Sell",L113,-L113)</f>
        <v>1562.83</v>
      </c>
      <c r="P113" s="637"/>
      <c r="Q113" s="1"/>
      <c r="R113" s="1"/>
    </row>
    <row r="114" spans="1:19" s="133" customFormat="1" ht="12" thickBot="1" x14ac:dyDescent="0.25">
      <c r="A114" s="612"/>
      <c r="B114" s="598"/>
      <c r="C114" s="599"/>
      <c r="D114" s="599"/>
      <c r="E114" s="600"/>
      <c r="F114" s="600"/>
      <c r="G114" s="601"/>
      <c r="H114" s="602"/>
      <c r="I114" s="898"/>
      <c r="J114" s="898"/>
      <c r="K114" s="898"/>
      <c r="L114" s="604"/>
      <c r="M114" s="2"/>
      <c r="N114" s="506">
        <f>SUM(N112:N113)</f>
        <v>0</v>
      </c>
      <c r="O114" s="635">
        <f>SUM(O112:O113)</f>
        <v>-55.994000000000142</v>
      </c>
      <c r="P114" s="639">
        <f>SUM(N114:O114)</f>
        <v>-55.994000000000142</v>
      </c>
      <c r="Q114" s="1"/>
      <c r="R114" s="1"/>
    </row>
    <row r="115" spans="1:19" s="133" customFormat="1" ht="12.75" x14ac:dyDescent="0.2">
      <c r="A115" s="640"/>
      <c r="B115" s="641"/>
      <c r="C115" s="641"/>
      <c r="D115" s="641"/>
      <c r="E115" s="642"/>
      <c r="F115" s="642"/>
      <c r="G115" s="643"/>
      <c r="H115" s="644"/>
      <c r="I115" s="645"/>
      <c r="J115" s="645"/>
      <c r="K115" s="645"/>
      <c r="L115" s="645"/>
      <c r="M115" s="2"/>
      <c r="N115" s="3"/>
      <c r="O115" s="3"/>
      <c r="P115" s="653">
        <f>SUM(P114,P106,P102,P96,P91,P83,P77)</f>
        <v>-8053.4639999999818</v>
      </c>
      <c r="Q115" s="1"/>
      <c r="R115" s="1"/>
    </row>
    <row r="116" spans="1:19" s="2" customFormat="1" ht="12" thickBot="1" x14ac:dyDescent="0.25">
      <c r="B116" s="12"/>
      <c r="C116" s="12"/>
      <c r="D116" s="12"/>
      <c r="E116" s="182"/>
      <c r="F116" s="182"/>
      <c r="G116" s="449"/>
      <c r="H116" s="23"/>
      <c r="I116" s="3"/>
      <c r="J116" s="3"/>
      <c r="K116" s="3"/>
      <c r="L116" s="3"/>
      <c r="N116" s="3"/>
      <c r="O116" s="3"/>
      <c r="Q116" s="3"/>
      <c r="R116" s="3"/>
    </row>
    <row r="117" spans="1:19" s="385" customFormat="1" ht="21" customHeight="1" thickBot="1" x14ac:dyDescent="0.35">
      <c r="A117" s="652" t="s">
        <v>291</v>
      </c>
      <c r="B117" s="1160" t="s">
        <v>336</v>
      </c>
      <c r="C117" s="1160"/>
      <c r="D117" s="1160"/>
      <c r="E117" s="1160"/>
      <c r="F117" s="1160"/>
      <c r="G117" s="1160"/>
      <c r="H117" s="1160"/>
      <c r="I117" s="1160"/>
      <c r="J117" s="1160"/>
      <c r="K117" s="1160"/>
      <c r="L117" s="1161"/>
      <c r="M117" s="420"/>
      <c r="N117" s="432"/>
      <c r="P117" s="387"/>
      <c r="Q117" s="386"/>
      <c r="R117" s="386"/>
      <c r="S117" s="386"/>
    </row>
    <row r="118" spans="1:19" s="2" customFormat="1" ht="12" thickBot="1" x14ac:dyDescent="0.25">
      <c r="B118" s="12"/>
      <c r="C118" s="12"/>
      <c r="D118" s="12"/>
      <c r="E118" s="182"/>
      <c r="F118" s="182"/>
      <c r="G118" s="449"/>
      <c r="H118" s="23"/>
      <c r="I118" s="3"/>
      <c r="J118" s="3"/>
      <c r="K118" s="3"/>
      <c r="L118" s="3"/>
      <c r="N118" s="3"/>
      <c r="O118" s="3"/>
      <c r="Q118" s="3"/>
      <c r="R118" s="3"/>
    </row>
    <row r="119" spans="1:19" s="385" customFormat="1" ht="19.5" thickBot="1" x14ac:dyDescent="0.35">
      <c r="A119" s="646"/>
      <c r="B119" s="1142" t="s">
        <v>333</v>
      </c>
      <c r="C119" s="1143"/>
      <c r="D119" s="1143"/>
      <c r="E119" s="1143"/>
      <c r="F119" s="1143"/>
      <c r="G119" s="1143"/>
      <c r="H119" s="1143"/>
      <c r="I119" s="1143"/>
      <c r="J119" s="1143"/>
      <c r="K119" s="1143"/>
      <c r="L119" s="1144"/>
      <c r="M119" s="632"/>
      <c r="N119" s="386"/>
      <c r="O119" s="386"/>
      <c r="P119" s="386"/>
      <c r="Q119" s="386"/>
      <c r="R119" s="386"/>
    </row>
    <row r="120" spans="1:19" s="385" customFormat="1" ht="18.75" x14ac:dyDescent="0.3">
      <c r="A120" s="646"/>
      <c r="B120" s="647"/>
      <c r="C120" s="647"/>
      <c r="D120" s="647"/>
      <c r="E120" s="647"/>
      <c r="F120" s="647"/>
      <c r="G120" s="647"/>
      <c r="H120" s="647"/>
      <c r="I120" s="899"/>
      <c r="J120" s="899"/>
      <c r="K120" s="899"/>
      <c r="L120" s="899"/>
      <c r="M120" s="632"/>
      <c r="N120" s="386"/>
      <c r="O120" s="386"/>
      <c r="P120" s="386"/>
      <c r="Q120" s="386"/>
      <c r="R120" s="386"/>
    </row>
    <row r="121" spans="1:19" s="133" customFormat="1" x14ac:dyDescent="0.2">
      <c r="A121" s="612"/>
      <c r="B121" s="352" t="s">
        <v>30</v>
      </c>
      <c r="C121" s="159">
        <v>7714584</v>
      </c>
      <c r="D121" s="159" t="s">
        <v>112</v>
      </c>
      <c r="E121" s="90">
        <v>43692</v>
      </c>
      <c r="F121" s="90">
        <v>43696</v>
      </c>
      <c r="G121" s="353">
        <v>74.5</v>
      </c>
      <c r="H121" s="146">
        <v>300</v>
      </c>
      <c r="I121" s="138">
        <v>27.23</v>
      </c>
      <c r="J121" s="138">
        <v>2.94</v>
      </c>
      <c r="K121" s="138">
        <v>2.2000000000000002</v>
      </c>
      <c r="L121" s="139">
        <v>22382.37</v>
      </c>
      <c r="M121" s="2"/>
      <c r="N121" s="3"/>
      <c r="O121" s="3"/>
      <c r="Q121" s="1"/>
      <c r="R121" s="1"/>
    </row>
    <row r="122" spans="1:19" s="133" customFormat="1" x14ac:dyDescent="0.2">
      <c r="A122" s="612"/>
      <c r="B122" s="352" t="s">
        <v>7</v>
      </c>
      <c r="C122" s="159">
        <v>7961442</v>
      </c>
      <c r="D122" s="159" t="s">
        <v>112</v>
      </c>
      <c r="E122" s="90">
        <v>43731</v>
      </c>
      <c r="F122" s="90">
        <v>43733</v>
      </c>
      <c r="G122" s="353">
        <v>29.71</v>
      </c>
      <c r="H122" s="146">
        <v>2000</v>
      </c>
      <c r="I122" s="138">
        <v>59.42</v>
      </c>
      <c r="J122" s="138">
        <v>6.05</v>
      </c>
      <c r="K122" s="138">
        <v>1.2</v>
      </c>
      <c r="L122" s="139">
        <f>G122*H122+I122+J122+K122</f>
        <v>59486.67</v>
      </c>
      <c r="M122" s="2"/>
      <c r="N122" s="3"/>
      <c r="O122" s="3"/>
      <c r="Q122" s="1"/>
      <c r="R122" s="1"/>
    </row>
    <row r="123" spans="1:19" s="133" customFormat="1" x14ac:dyDescent="0.2">
      <c r="A123" s="612"/>
      <c r="B123" s="352" t="s">
        <v>37</v>
      </c>
      <c r="C123" s="159">
        <v>9265326</v>
      </c>
      <c r="D123" s="159" t="s">
        <v>112</v>
      </c>
      <c r="E123" s="90">
        <v>43910</v>
      </c>
      <c r="F123" s="90">
        <v>43914</v>
      </c>
      <c r="G123" s="353">
        <v>37</v>
      </c>
      <c r="H123" s="146">
        <v>500</v>
      </c>
      <c r="I123" s="138">
        <v>27.23</v>
      </c>
      <c r="J123" s="138">
        <v>2.94</v>
      </c>
      <c r="K123" s="138">
        <v>2.2000000000000002</v>
      </c>
      <c r="L123" s="139">
        <v>18532.37</v>
      </c>
      <c r="M123" s="2"/>
      <c r="N123" s="3"/>
      <c r="O123" s="3"/>
      <c r="Q123" s="1"/>
      <c r="R123" s="1"/>
    </row>
    <row r="124" spans="1:19" s="133" customFormat="1" x14ac:dyDescent="0.2">
      <c r="A124" s="612"/>
      <c r="B124" s="352" t="s">
        <v>9</v>
      </c>
      <c r="C124" s="159">
        <v>9317519</v>
      </c>
      <c r="D124" s="159" t="s">
        <v>112</v>
      </c>
      <c r="E124" s="90">
        <v>43915</v>
      </c>
      <c r="F124" s="90">
        <v>43917</v>
      </c>
      <c r="G124" s="353">
        <v>95</v>
      </c>
      <c r="H124" s="146">
        <v>200</v>
      </c>
      <c r="I124" s="138">
        <v>19</v>
      </c>
      <c r="J124" s="138">
        <v>2.12</v>
      </c>
      <c r="K124" s="138">
        <v>2.2000000000000002</v>
      </c>
      <c r="L124" s="139">
        <v>19023.32</v>
      </c>
      <c r="M124" s="2"/>
      <c r="N124" s="3"/>
      <c r="O124" s="3"/>
      <c r="Q124" s="1"/>
      <c r="R124" s="1"/>
    </row>
    <row r="125" spans="1:19" s="133" customFormat="1" x14ac:dyDescent="0.2">
      <c r="A125" s="612"/>
      <c r="B125" s="352" t="s">
        <v>97</v>
      </c>
      <c r="C125" s="159" t="s">
        <v>332</v>
      </c>
      <c r="D125" s="159" t="s">
        <v>112</v>
      </c>
      <c r="E125" s="90">
        <v>43976</v>
      </c>
      <c r="F125" s="90">
        <v>43979</v>
      </c>
      <c r="G125" s="353">
        <v>56</v>
      </c>
      <c r="H125" s="146">
        <v>320</v>
      </c>
      <c r="I125" s="138">
        <v>0</v>
      </c>
      <c r="J125" s="138">
        <v>0</v>
      </c>
      <c r="K125" s="138">
        <v>0</v>
      </c>
      <c r="L125" s="139">
        <f>G125*H125</f>
        <v>17920</v>
      </c>
      <c r="M125" s="2"/>
      <c r="N125" s="3"/>
      <c r="O125" s="3"/>
      <c r="Q125" s="1"/>
      <c r="R125" s="1"/>
    </row>
    <row r="126" spans="1:19" s="133" customFormat="1" x14ac:dyDescent="0.2">
      <c r="A126" s="612"/>
      <c r="B126" s="352" t="s">
        <v>7</v>
      </c>
      <c r="C126" s="159" t="s">
        <v>332</v>
      </c>
      <c r="D126" s="159" t="s">
        <v>112</v>
      </c>
      <c r="E126" s="90">
        <v>43978</v>
      </c>
      <c r="F126" s="90">
        <v>43986</v>
      </c>
      <c r="G126" s="353">
        <v>14.15</v>
      </c>
      <c r="H126" s="146">
        <v>2120</v>
      </c>
      <c r="I126" s="138">
        <v>0</v>
      </c>
      <c r="J126" s="138">
        <v>0</v>
      </c>
      <c r="K126" s="138">
        <v>0</v>
      </c>
      <c r="L126" s="139">
        <f>G126*H126</f>
        <v>29998</v>
      </c>
      <c r="M126" s="2"/>
      <c r="N126" s="3"/>
      <c r="O126" s="3"/>
      <c r="Q126" s="1"/>
      <c r="R126" s="1"/>
    </row>
    <row r="127" spans="1:19" s="133" customFormat="1" x14ac:dyDescent="0.2">
      <c r="A127" s="612"/>
      <c r="B127" s="352"/>
      <c r="C127" s="159"/>
      <c r="D127" s="159"/>
      <c r="E127" s="90"/>
      <c r="F127" s="90"/>
      <c r="G127" s="353"/>
      <c r="H127" s="146"/>
      <c r="I127" s="138"/>
      <c r="J127" s="138"/>
      <c r="K127" s="138"/>
      <c r="L127" s="139"/>
      <c r="M127" s="2"/>
      <c r="N127" s="3"/>
      <c r="O127" s="3"/>
      <c r="Q127" s="1"/>
      <c r="R127" s="1"/>
    </row>
    <row r="128" spans="1:19" s="133" customFormat="1" ht="12" thickBot="1" x14ac:dyDescent="0.25">
      <c r="I128" s="1"/>
      <c r="J128" s="1"/>
      <c r="K128" s="1"/>
      <c r="L128" s="1"/>
      <c r="M128" s="2"/>
      <c r="N128" s="1"/>
      <c r="O128" s="1"/>
      <c r="P128" s="1"/>
    </row>
    <row r="129" spans="1:39" s="133" customFormat="1" ht="12" thickBot="1" x14ac:dyDescent="0.25">
      <c r="A129" s="648"/>
      <c r="B129" s="649"/>
      <c r="C129" s="649"/>
      <c r="D129" s="649"/>
      <c r="E129" s="649"/>
      <c r="F129" s="649"/>
      <c r="G129" s="649"/>
      <c r="H129" s="649"/>
      <c r="I129" s="650"/>
      <c r="J129" s="650"/>
      <c r="K129" s="650"/>
      <c r="L129" s="650"/>
      <c r="M129" s="649"/>
      <c r="N129" s="650"/>
      <c r="O129" s="650"/>
      <c r="P129" s="651"/>
    </row>
    <row r="130" spans="1:39" s="133" customFormat="1" x14ac:dyDescent="0.2">
      <c r="I130" s="1"/>
      <c r="J130" s="1"/>
      <c r="K130" s="1"/>
      <c r="L130" s="1"/>
      <c r="M130" s="2"/>
      <c r="N130" s="1"/>
      <c r="O130" s="1"/>
      <c r="P130" s="1"/>
    </row>
    <row r="131" spans="1:39" s="133" customFormat="1" ht="12" thickBot="1" x14ac:dyDescent="0.25">
      <c r="I131" s="1"/>
      <c r="J131" s="1"/>
      <c r="K131" s="1"/>
      <c r="L131" s="1"/>
      <c r="M131" s="2"/>
      <c r="N131" s="1"/>
      <c r="O131" s="1"/>
      <c r="P131" s="1"/>
    </row>
    <row r="132" spans="1:39" s="133" customFormat="1" ht="10.15" customHeight="1" x14ac:dyDescent="0.35">
      <c r="B132" s="1130" t="s">
        <v>94</v>
      </c>
      <c r="C132" s="1131"/>
      <c r="D132" s="1132"/>
      <c r="E132" s="1136" t="s">
        <v>55</v>
      </c>
      <c r="F132" s="1137"/>
      <c r="G132" s="1137"/>
      <c r="H132" s="1137"/>
      <c r="I132" s="1137"/>
      <c r="J132" s="1137"/>
      <c r="K132" s="1137"/>
      <c r="L132" s="1137"/>
      <c r="M132" s="418"/>
      <c r="N132" s="525"/>
      <c r="O132" s="1"/>
      <c r="P132" s="6"/>
      <c r="Q132" s="104"/>
      <c r="R132" s="1"/>
      <c r="S132" s="1"/>
      <c r="T132" s="6"/>
      <c r="U132" s="122"/>
      <c r="Y132" s="183"/>
      <c r="AL132" s="5"/>
      <c r="AM132" s="47"/>
    </row>
    <row r="133" spans="1:39" s="133" customFormat="1" ht="15.75" customHeight="1" thickBot="1" x14ac:dyDescent="0.4">
      <c r="B133" s="1133"/>
      <c r="C133" s="1134"/>
      <c r="D133" s="1135"/>
      <c r="E133" s="1139"/>
      <c r="F133" s="1140"/>
      <c r="G133" s="1140"/>
      <c r="H133" s="1140"/>
      <c r="I133" s="1140"/>
      <c r="J133" s="1140"/>
      <c r="K133" s="1140"/>
      <c r="L133" s="1140"/>
      <c r="M133" s="418"/>
      <c r="N133" s="525"/>
      <c r="O133" s="1"/>
      <c r="P133" s="6"/>
      <c r="Q133" s="104"/>
      <c r="R133" s="1"/>
      <c r="S133" s="1"/>
      <c r="T133" s="6"/>
      <c r="U133" s="122"/>
      <c r="Y133" s="183"/>
      <c r="AL133" s="5"/>
      <c r="AM133" s="47"/>
    </row>
    <row r="134" spans="1:39" s="133" customFormat="1" x14ac:dyDescent="0.2">
      <c r="I134" s="1"/>
      <c r="J134" s="1"/>
      <c r="K134" s="1"/>
      <c r="L134" s="1"/>
      <c r="M134" s="2"/>
      <c r="N134" s="1"/>
      <c r="O134" s="1"/>
      <c r="P134" s="1"/>
    </row>
    <row r="135" spans="1:39" ht="12" thickBot="1" x14ac:dyDescent="0.25"/>
    <row r="136" spans="1:39" s="385" customFormat="1" ht="19.5" thickBot="1" x14ac:dyDescent="0.35">
      <c r="A136" s="412" t="s">
        <v>250</v>
      </c>
      <c r="B136" s="413"/>
      <c r="C136" s="413"/>
      <c r="D136" s="413"/>
      <c r="E136" s="414"/>
      <c r="F136" s="414"/>
      <c r="G136" s="415"/>
      <c r="H136" s="416"/>
      <c r="I136" s="894"/>
      <c r="J136" s="894"/>
      <c r="K136" s="894"/>
      <c r="L136" s="417"/>
      <c r="M136" s="632"/>
      <c r="N136" s="386"/>
      <c r="O136" s="386"/>
      <c r="P136" s="386"/>
      <c r="Q136" s="386"/>
      <c r="R136" s="386"/>
    </row>
    <row r="137" spans="1:39" s="133" customFormat="1" ht="12" thickBot="1" x14ac:dyDescent="0.25">
      <c r="B137" s="5"/>
      <c r="C137" s="5"/>
      <c r="D137" s="5"/>
      <c r="E137" s="86"/>
      <c r="F137" s="86"/>
      <c r="G137" s="308"/>
      <c r="I137" s="1"/>
      <c r="J137" s="1"/>
      <c r="K137" s="1"/>
      <c r="L137" s="1"/>
      <c r="M137" s="2"/>
      <c r="N137" s="1"/>
      <c r="O137" s="1"/>
      <c r="P137" s="1"/>
      <c r="Q137" s="1"/>
      <c r="R137" s="1"/>
    </row>
    <row r="138" spans="1:39" s="343" customFormat="1" ht="34.5" customHeight="1" thickBot="1" x14ac:dyDescent="0.25">
      <c r="A138" s="346" t="s">
        <v>252</v>
      </c>
      <c r="B138" s="347" t="s">
        <v>3</v>
      </c>
      <c r="C138" s="347" t="s">
        <v>253</v>
      </c>
      <c r="D138" s="347" t="s">
        <v>254</v>
      </c>
      <c r="E138" s="347" t="s">
        <v>255</v>
      </c>
      <c r="F138" s="347" t="s">
        <v>256</v>
      </c>
      <c r="G138" s="348" t="s">
        <v>257</v>
      </c>
      <c r="H138" s="347" t="s">
        <v>4</v>
      </c>
      <c r="I138" s="348" t="s">
        <v>258</v>
      </c>
      <c r="J138" s="348" t="s">
        <v>259</v>
      </c>
      <c r="K138" s="348" t="s">
        <v>260</v>
      </c>
      <c r="L138" s="529" t="s">
        <v>261</v>
      </c>
      <c r="M138" s="419"/>
      <c r="N138" s="528" t="s">
        <v>276</v>
      </c>
      <c r="O138" s="348" t="s">
        <v>277</v>
      </c>
      <c r="P138" s="529" t="s">
        <v>80</v>
      </c>
      <c r="Q138" s="344"/>
      <c r="R138" s="344"/>
    </row>
    <row r="139" spans="1:39" s="133" customFormat="1" ht="12.75" thickTop="1" thickBot="1" x14ac:dyDescent="0.25">
      <c r="B139" s="5"/>
      <c r="C139" s="5"/>
      <c r="D139" s="5"/>
      <c r="E139" s="86"/>
      <c r="F139" s="86"/>
      <c r="G139" s="308"/>
      <c r="I139" s="1"/>
      <c r="J139" s="1"/>
      <c r="K139" s="1"/>
      <c r="L139" s="1"/>
      <c r="M139" s="2"/>
      <c r="N139" s="179">
        <v>-612242.79999999993</v>
      </c>
      <c r="O139" s="179">
        <v>423954.03000000009</v>
      </c>
      <c r="P139" s="179">
        <f>SUM(N139:O139)</f>
        <v>-188288.76999999984</v>
      </c>
      <c r="Q139" s="1"/>
      <c r="R139" s="1"/>
    </row>
    <row r="140" spans="1:39" s="164" customFormat="1" ht="19.5" thickBot="1" x14ac:dyDescent="0.35">
      <c r="A140" s="345">
        <v>3074738</v>
      </c>
      <c r="B140" s="340"/>
      <c r="C140" s="340" t="s">
        <v>263</v>
      </c>
      <c r="D140" s="340"/>
      <c r="G140" s="342"/>
      <c r="I140" s="171"/>
      <c r="J140" s="171"/>
      <c r="K140" s="171"/>
      <c r="L140" s="171"/>
      <c r="M140" s="239"/>
      <c r="N140" s="171"/>
      <c r="O140" s="171"/>
      <c r="P140" s="171"/>
      <c r="Q140" s="171"/>
      <c r="R140" s="171"/>
    </row>
    <row r="141" spans="1:39" s="133" customFormat="1" x14ac:dyDescent="0.2">
      <c r="B141" s="350"/>
      <c r="C141" s="200"/>
      <c r="D141" s="200"/>
      <c r="E141" s="88"/>
      <c r="F141" s="88"/>
      <c r="G141" s="351"/>
      <c r="H141" s="88"/>
      <c r="I141" s="64"/>
      <c r="J141" s="64"/>
      <c r="K141" s="64"/>
      <c r="L141" s="132"/>
      <c r="M141" s="2"/>
      <c r="N141" s="515"/>
      <c r="O141" s="132"/>
      <c r="P141" s="1"/>
      <c r="Q141" s="1"/>
      <c r="R141" s="1"/>
    </row>
    <row r="142" spans="1:39" s="133" customFormat="1" x14ac:dyDescent="0.2">
      <c r="B142" s="352" t="s">
        <v>34</v>
      </c>
      <c r="C142" s="159">
        <v>6151106</v>
      </c>
      <c r="D142" s="159" t="s">
        <v>111</v>
      </c>
      <c r="E142" s="90">
        <v>43418</v>
      </c>
      <c r="F142" s="90">
        <v>43420</v>
      </c>
      <c r="G142" s="353">
        <v>2.52</v>
      </c>
      <c r="H142" s="146">
        <v>10000</v>
      </c>
      <c r="I142" s="138">
        <v>25.2</v>
      </c>
      <c r="J142" s="138">
        <v>2.74</v>
      </c>
      <c r="K142" s="138">
        <v>2.2000000000000002</v>
      </c>
      <c r="L142" s="139">
        <v>25169.86</v>
      </c>
      <c r="M142" s="2"/>
      <c r="N142" s="283" t="str">
        <f>IF(D142="Sell","",-L142)</f>
        <v/>
      </c>
      <c r="O142" s="139">
        <f>IF(D142="Sell",L142,"")</f>
        <v>25169.86</v>
      </c>
      <c r="Q142" s="1"/>
      <c r="R142" s="1"/>
    </row>
    <row r="143" spans="1:39" s="133" customFormat="1" x14ac:dyDescent="0.2">
      <c r="B143" s="352" t="s">
        <v>0</v>
      </c>
      <c r="C143" s="159">
        <v>7038216</v>
      </c>
      <c r="D143" s="159" t="s">
        <v>112</v>
      </c>
      <c r="E143" s="90">
        <v>43593</v>
      </c>
      <c r="F143" s="90">
        <v>43595</v>
      </c>
      <c r="G143" s="353">
        <v>27.405999999999999</v>
      </c>
      <c r="H143" s="146">
        <v>1000</v>
      </c>
      <c r="I143" s="138">
        <v>27.23</v>
      </c>
      <c r="J143" s="138">
        <v>2.94</v>
      </c>
      <c r="K143" s="138">
        <v>2.2000000000000002</v>
      </c>
      <c r="L143" s="139">
        <v>27438.400000000001</v>
      </c>
      <c r="M143" s="2"/>
      <c r="N143" s="283">
        <f t="shared" ref="N143:N184" si="17">IF(D143="Sell","",-L143)</f>
        <v>-27438.400000000001</v>
      </c>
      <c r="O143" s="139" t="str">
        <f t="shared" ref="O143:O184" si="18">IF(D143="Sell",L143,"")</f>
        <v/>
      </c>
      <c r="P143" s="1"/>
      <c r="Q143" s="1"/>
      <c r="R143" s="1"/>
    </row>
    <row r="144" spans="1:39" s="133" customFormat="1" x14ac:dyDescent="0.2">
      <c r="B144" s="352" t="s">
        <v>0</v>
      </c>
      <c r="C144" s="159">
        <v>7217968</v>
      </c>
      <c r="D144" s="159" t="s">
        <v>111</v>
      </c>
      <c r="E144" s="90">
        <v>43621</v>
      </c>
      <c r="F144" s="90">
        <v>43623</v>
      </c>
      <c r="G144" s="353">
        <v>28.16</v>
      </c>
      <c r="H144" s="146">
        <v>200</v>
      </c>
      <c r="I144" s="138">
        <v>22.68</v>
      </c>
      <c r="J144" s="138">
        <v>2.4900000000000002</v>
      </c>
      <c r="K144" s="138">
        <v>2.2000000000000002</v>
      </c>
      <c r="L144" s="139">
        <v>5604.63</v>
      </c>
      <c r="M144" s="2"/>
      <c r="N144" s="283" t="str">
        <f t="shared" si="17"/>
        <v/>
      </c>
      <c r="O144" s="139">
        <f t="shared" si="18"/>
        <v>5604.63</v>
      </c>
      <c r="P144" s="1"/>
      <c r="Q144" s="1"/>
      <c r="R144" s="1"/>
    </row>
    <row r="145" spans="2:18" s="133" customFormat="1" x14ac:dyDescent="0.2">
      <c r="B145" s="352" t="s">
        <v>39</v>
      </c>
      <c r="C145" s="159">
        <v>6885245</v>
      </c>
      <c r="D145" s="159" t="s">
        <v>111</v>
      </c>
      <c r="E145" s="90">
        <v>43564</v>
      </c>
      <c r="F145" s="90">
        <v>43566</v>
      </c>
      <c r="G145" s="353">
        <v>104.76309999999999</v>
      </c>
      <c r="H145" s="137">
        <v>816</v>
      </c>
      <c r="I145" s="138">
        <v>85.49</v>
      </c>
      <c r="J145" s="138">
        <v>8.77</v>
      </c>
      <c r="K145" s="138">
        <v>2.2000000000000002</v>
      </c>
      <c r="L145" s="139">
        <v>85390.24</v>
      </c>
      <c r="M145" s="2"/>
      <c r="N145" s="283" t="str">
        <f t="shared" si="17"/>
        <v/>
      </c>
      <c r="O145" s="139">
        <f t="shared" si="18"/>
        <v>85390.24</v>
      </c>
      <c r="P145" s="1"/>
      <c r="Q145" s="1"/>
      <c r="R145" s="1"/>
    </row>
    <row r="146" spans="2:18" s="133" customFormat="1" x14ac:dyDescent="0.2">
      <c r="B146" s="352" t="s">
        <v>39</v>
      </c>
      <c r="C146" s="159">
        <v>6888235</v>
      </c>
      <c r="D146" s="159" t="s">
        <v>111</v>
      </c>
      <c r="E146" s="90">
        <v>43565</v>
      </c>
      <c r="F146" s="90">
        <v>43567</v>
      </c>
      <c r="G146" s="353">
        <v>104.7</v>
      </c>
      <c r="H146" s="137">
        <v>184</v>
      </c>
      <c r="I146" s="138">
        <v>19.260000000000002</v>
      </c>
      <c r="J146" s="138">
        <v>2.15</v>
      </c>
      <c r="K146" s="138">
        <v>2.2000000000000002</v>
      </c>
      <c r="L146" s="139">
        <v>19241.189999999999</v>
      </c>
      <c r="M146" s="2"/>
      <c r="N146" s="283" t="str">
        <f t="shared" si="17"/>
        <v/>
      </c>
      <c r="O146" s="139">
        <f t="shared" si="18"/>
        <v>19241.189999999999</v>
      </c>
      <c r="P146" s="1"/>
      <c r="Q146" s="1"/>
      <c r="R146" s="1"/>
    </row>
    <row r="147" spans="2:18" s="133" customFormat="1" x14ac:dyDescent="0.2">
      <c r="B147" s="352" t="s">
        <v>26</v>
      </c>
      <c r="C147" s="159">
        <v>5999135</v>
      </c>
      <c r="D147" s="159" t="s">
        <v>111</v>
      </c>
      <c r="E147" s="90">
        <v>43391</v>
      </c>
      <c r="F147" s="90">
        <v>43395</v>
      </c>
      <c r="G147" s="353">
        <v>33.15</v>
      </c>
      <c r="H147" s="146">
        <v>1000</v>
      </c>
      <c r="I147" s="138">
        <v>33.15</v>
      </c>
      <c r="J147" s="138">
        <v>3.54</v>
      </c>
      <c r="K147" s="138">
        <v>2.2000000000000002</v>
      </c>
      <c r="L147" s="139">
        <v>33111.11</v>
      </c>
      <c r="M147" s="2"/>
      <c r="N147" s="283" t="str">
        <f t="shared" si="17"/>
        <v/>
      </c>
      <c r="O147" s="139">
        <f t="shared" si="18"/>
        <v>33111.11</v>
      </c>
      <c r="P147" s="1"/>
      <c r="Q147" s="1"/>
      <c r="R147" s="1"/>
    </row>
    <row r="148" spans="2:18" s="133" customFormat="1" x14ac:dyDescent="0.2">
      <c r="B148" s="352" t="s">
        <v>96</v>
      </c>
      <c r="C148" s="159">
        <v>6163180</v>
      </c>
      <c r="D148" s="159" t="s">
        <v>112</v>
      </c>
      <c r="E148" s="90">
        <v>43420</v>
      </c>
      <c r="F148" s="90">
        <v>43424</v>
      </c>
      <c r="G148" s="353">
        <v>5.35</v>
      </c>
      <c r="H148" s="146">
        <v>4000</v>
      </c>
      <c r="I148" s="138">
        <v>21.4</v>
      </c>
      <c r="J148" s="138">
        <v>2.36</v>
      </c>
      <c r="K148" s="138">
        <v>2.2000000000000002</v>
      </c>
      <c r="L148" s="139">
        <v>21425.96</v>
      </c>
      <c r="M148" s="2"/>
      <c r="N148" s="283">
        <f t="shared" si="17"/>
        <v>-21425.96</v>
      </c>
      <c r="O148" s="139" t="str">
        <f t="shared" si="18"/>
        <v/>
      </c>
      <c r="P148" s="1"/>
      <c r="Q148" s="1"/>
      <c r="R148" s="1"/>
    </row>
    <row r="149" spans="2:18" s="133" customFormat="1" x14ac:dyDescent="0.2">
      <c r="B149" s="352" t="s">
        <v>96</v>
      </c>
      <c r="C149" s="159">
        <v>6546156</v>
      </c>
      <c r="D149" s="159" t="s">
        <v>112</v>
      </c>
      <c r="E149" s="90">
        <v>43507</v>
      </c>
      <c r="F149" s="90">
        <v>43509</v>
      </c>
      <c r="G149" s="353">
        <v>4.83</v>
      </c>
      <c r="H149" s="146">
        <v>1300</v>
      </c>
      <c r="I149" s="138">
        <v>18.14</v>
      </c>
      <c r="J149" s="138">
        <v>2.0299999999999998</v>
      </c>
      <c r="K149" s="138">
        <v>2.2000000000000002</v>
      </c>
      <c r="L149" s="139">
        <v>6301.37</v>
      </c>
      <c r="M149" s="2"/>
      <c r="N149" s="283">
        <f t="shared" si="17"/>
        <v>-6301.37</v>
      </c>
      <c r="O149" s="139" t="str">
        <f t="shared" si="18"/>
        <v/>
      </c>
      <c r="P149" s="1"/>
      <c r="Q149" s="1"/>
      <c r="R149" s="1"/>
    </row>
    <row r="150" spans="2:18" s="133" customFormat="1" x14ac:dyDescent="0.2">
      <c r="B150" s="352" t="s">
        <v>96</v>
      </c>
      <c r="C150" s="159">
        <v>6895833</v>
      </c>
      <c r="D150" s="159" t="s">
        <v>112</v>
      </c>
      <c r="E150" s="90">
        <v>43566</v>
      </c>
      <c r="F150" s="90">
        <v>43570</v>
      </c>
      <c r="G150" s="353">
        <v>4.7</v>
      </c>
      <c r="H150" s="146">
        <v>2700</v>
      </c>
      <c r="I150" s="138">
        <v>18.14</v>
      </c>
      <c r="J150" s="138">
        <v>2.0299999999999998</v>
      </c>
      <c r="K150" s="138">
        <v>2.2000000000000002</v>
      </c>
      <c r="L150" s="139">
        <v>12712.37</v>
      </c>
      <c r="M150" s="2"/>
      <c r="N150" s="283">
        <f t="shared" si="17"/>
        <v>-12712.37</v>
      </c>
      <c r="O150" s="139" t="str">
        <f t="shared" si="18"/>
        <v/>
      </c>
      <c r="P150" s="1"/>
      <c r="Q150" s="1"/>
      <c r="R150" s="1"/>
    </row>
    <row r="151" spans="2:18" s="133" customFormat="1" x14ac:dyDescent="0.2">
      <c r="B151" s="352" t="s">
        <v>100</v>
      </c>
      <c r="C151" s="159">
        <v>6491800</v>
      </c>
      <c r="D151" s="159" t="s">
        <v>112</v>
      </c>
      <c r="E151" s="90">
        <v>43497</v>
      </c>
      <c r="F151" s="90">
        <v>43501</v>
      </c>
      <c r="G151" s="353">
        <v>12.58</v>
      </c>
      <c r="H151" s="146">
        <v>1000</v>
      </c>
      <c r="I151" s="138">
        <v>18.14</v>
      </c>
      <c r="J151" s="138">
        <v>2.0299999999999998</v>
      </c>
      <c r="K151" s="138">
        <v>2.2000000000000002</v>
      </c>
      <c r="L151" s="139">
        <v>12602.37</v>
      </c>
      <c r="M151" s="2"/>
      <c r="N151" s="283">
        <f t="shared" si="17"/>
        <v>-12602.37</v>
      </c>
      <c r="O151" s="139" t="str">
        <f t="shared" si="18"/>
        <v/>
      </c>
      <c r="P151" s="1"/>
      <c r="Q151" s="1"/>
      <c r="R151" s="1"/>
    </row>
    <row r="152" spans="2:18" s="133" customFormat="1" x14ac:dyDescent="0.2">
      <c r="B152" s="352" t="s">
        <v>100</v>
      </c>
      <c r="C152" s="159">
        <v>6791450</v>
      </c>
      <c r="D152" s="159" t="s">
        <v>111</v>
      </c>
      <c r="E152" s="90">
        <v>43546</v>
      </c>
      <c r="F152" s="90">
        <v>43550</v>
      </c>
      <c r="G152" s="353">
        <v>12.37</v>
      </c>
      <c r="H152" s="146">
        <v>1000</v>
      </c>
      <c r="I152" s="138">
        <v>18.14</v>
      </c>
      <c r="J152" s="138">
        <v>2.0299999999999998</v>
      </c>
      <c r="K152" s="138">
        <v>2.2000000000000002</v>
      </c>
      <c r="L152" s="139">
        <v>12347.64</v>
      </c>
      <c r="M152" s="2"/>
      <c r="N152" s="283" t="str">
        <f t="shared" si="17"/>
        <v/>
      </c>
      <c r="O152" s="139">
        <f t="shared" si="18"/>
        <v>12347.64</v>
      </c>
      <c r="P152" s="1"/>
      <c r="Q152" s="1"/>
      <c r="R152" s="1"/>
    </row>
    <row r="153" spans="2:18" s="133" customFormat="1" x14ac:dyDescent="0.2">
      <c r="B153" s="352" t="s">
        <v>30</v>
      </c>
      <c r="C153" s="159">
        <v>7064744</v>
      </c>
      <c r="D153" s="159" t="s">
        <v>112</v>
      </c>
      <c r="E153" s="90">
        <v>43598</v>
      </c>
      <c r="F153" s="90">
        <v>43600</v>
      </c>
      <c r="G153" s="353">
        <v>73.3</v>
      </c>
      <c r="H153" s="146">
        <v>500</v>
      </c>
      <c r="I153" s="138">
        <v>36.65</v>
      </c>
      <c r="J153" s="138">
        <v>3.89</v>
      </c>
      <c r="K153" s="138">
        <v>2.2000000000000002</v>
      </c>
      <c r="L153" s="139">
        <v>36692.74</v>
      </c>
      <c r="M153" s="2"/>
      <c r="N153" s="283">
        <f t="shared" si="17"/>
        <v>-36692.74</v>
      </c>
      <c r="O153" s="139" t="str">
        <f t="shared" si="18"/>
        <v/>
      </c>
      <c r="P153" s="1"/>
      <c r="Q153" s="1"/>
      <c r="R153" s="1"/>
    </row>
    <row r="154" spans="2:18" s="133" customFormat="1" x14ac:dyDescent="0.2">
      <c r="B154" s="352" t="s">
        <v>30</v>
      </c>
      <c r="C154" s="159">
        <v>-118120095</v>
      </c>
      <c r="D154" s="159" t="s">
        <v>112</v>
      </c>
      <c r="E154" s="90">
        <v>43298</v>
      </c>
      <c r="F154" s="90">
        <v>43300</v>
      </c>
      <c r="G154" s="353">
        <v>74.3</v>
      </c>
      <c r="H154" s="146">
        <v>1000</v>
      </c>
      <c r="I154" s="138">
        <v>76.3</v>
      </c>
      <c r="J154" s="138">
        <v>7.63</v>
      </c>
      <c r="K154" s="138">
        <v>0</v>
      </c>
      <c r="L154" s="139">
        <v>74383.929999999993</v>
      </c>
      <c r="M154" s="2"/>
      <c r="N154" s="283">
        <f t="shared" si="17"/>
        <v>-74383.929999999993</v>
      </c>
      <c r="O154" s="139" t="str">
        <f t="shared" si="18"/>
        <v/>
      </c>
      <c r="P154" s="1"/>
      <c r="Q154" s="1"/>
      <c r="R154" s="1"/>
    </row>
    <row r="155" spans="2:18" s="133" customFormat="1" x14ac:dyDescent="0.2">
      <c r="B155" s="352" t="s">
        <v>30</v>
      </c>
      <c r="C155" s="159">
        <v>-118441207</v>
      </c>
      <c r="D155" s="159" t="s">
        <v>112</v>
      </c>
      <c r="E155" s="90">
        <v>43315</v>
      </c>
      <c r="F155" s="90">
        <v>43319</v>
      </c>
      <c r="G155" s="353">
        <v>72.8476</v>
      </c>
      <c r="H155" s="146">
        <v>500</v>
      </c>
      <c r="I155" s="138">
        <v>38.42</v>
      </c>
      <c r="J155" s="138">
        <v>3.84</v>
      </c>
      <c r="K155" s="138">
        <v>0</v>
      </c>
      <c r="L155" s="139">
        <v>36466.06</v>
      </c>
      <c r="M155" s="2"/>
      <c r="N155" s="283">
        <f t="shared" si="17"/>
        <v>-36466.06</v>
      </c>
      <c r="O155" s="139" t="str">
        <f t="shared" si="18"/>
        <v/>
      </c>
      <c r="P155" s="1"/>
      <c r="Q155" s="1"/>
      <c r="R155" s="1"/>
    </row>
    <row r="156" spans="2:18" s="133" customFormat="1" x14ac:dyDescent="0.2">
      <c r="B156" s="352" t="s">
        <v>113</v>
      </c>
      <c r="C156" s="159">
        <v>6397037</v>
      </c>
      <c r="D156" s="159" t="s">
        <v>112</v>
      </c>
      <c r="E156" s="90">
        <v>43476</v>
      </c>
      <c r="F156" s="90">
        <v>43480</v>
      </c>
      <c r="G156" s="353">
        <v>11.6</v>
      </c>
      <c r="H156" s="146">
        <v>800</v>
      </c>
      <c r="I156" s="138">
        <v>22.68</v>
      </c>
      <c r="J156" s="138">
        <v>2.4900000000000002</v>
      </c>
      <c r="K156" s="138">
        <v>2.2000000000000002</v>
      </c>
      <c r="L156" s="139">
        <v>9307.3700000000008</v>
      </c>
      <c r="M156" s="2"/>
      <c r="N156" s="283">
        <f t="shared" si="17"/>
        <v>-9307.3700000000008</v>
      </c>
      <c r="O156" s="139" t="str">
        <f t="shared" si="18"/>
        <v/>
      </c>
      <c r="P156" s="1"/>
      <c r="Q156" s="1"/>
      <c r="R156" s="1"/>
    </row>
    <row r="157" spans="2:18" s="133" customFormat="1" x14ac:dyDescent="0.2">
      <c r="B157" s="352" t="s">
        <v>113</v>
      </c>
      <c r="C157" s="159">
        <v>6562066</v>
      </c>
      <c r="D157" s="159" t="s">
        <v>111</v>
      </c>
      <c r="E157" s="90">
        <v>43509</v>
      </c>
      <c r="F157" s="90">
        <v>43511</v>
      </c>
      <c r="G157" s="353">
        <v>12.2</v>
      </c>
      <c r="H157" s="146">
        <v>1000</v>
      </c>
      <c r="I157" s="138">
        <v>18.14</v>
      </c>
      <c r="J157" s="138">
        <v>2.0299999999999998</v>
      </c>
      <c r="K157" s="138">
        <v>2.2000000000000002</v>
      </c>
      <c r="L157" s="139">
        <v>12177.63</v>
      </c>
      <c r="M157" s="2"/>
      <c r="N157" s="283" t="str">
        <f t="shared" si="17"/>
        <v/>
      </c>
      <c r="O157" s="139">
        <f t="shared" si="18"/>
        <v>12177.63</v>
      </c>
      <c r="P157" s="1"/>
      <c r="Q157" s="1"/>
      <c r="R157" s="1"/>
    </row>
    <row r="158" spans="2:18" s="133" customFormat="1" x14ac:dyDescent="0.2">
      <c r="B158" s="352" t="s">
        <v>52</v>
      </c>
      <c r="C158" s="159">
        <v>-117854910</v>
      </c>
      <c r="D158" s="159" t="s">
        <v>112</v>
      </c>
      <c r="E158" s="90">
        <v>43284</v>
      </c>
      <c r="F158" s="90">
        <v>43286</v>
      </c>
      <c r="G158" s="353">
        <v>0.73499999999999999</v>
      </c>
      <c r="H158" s="146">
        <v>20000</v>
      </c>
      <c r="I158" s="138">
        <v>29.23</v>
      </c>
      <c r="J158" s="138">
        <v>2.92</v>
      </c>
      <c r="K158" s="138">
        <v>0</v>
      </c>
      <c r="L158" s="139">
        <v>14732.15</v>
      </c>
      <c r="M158" s="2"/>
      <c r="N158" s="283">
        <f t="shared" si="17"/>
        <v>-14732.15</v>
      </c>
      <c r="O158" s="139" t="str">
        <f t="shared" si="18"/>
        <v/>
      </c>
      <c r="P158" s="1"/>
      <c r="Q158" s="1"/>
      <c r="R158" s="1"/>
    </row>
    <row r="159" spans="2:18" s="133" customFormat="1" x14ac:dyDescent="0.2">
      <c r="B159" s="352" t="s">
        <v>52</v>
      </c>
      <c r="C159" s="159">
        <v>-118383724</v>
      </c>
      <c r="D159" s="159" t="s">
        <v>112</v>
      </c>
      <c r="E159" s="90">
        <v>43313</v>
      </c>
      <c r="F159" s="90">
        <v>43315</v>
      </c>
      <c r="G159" s="353">
        <v>0.68</v>
      </c>
      <c r="H159" s="146">
        <v>10000</v>
      </c>
      <c r="I159" s="138">
        <v>24.68</v>
      </c>
      <c r="J159" s="138">
        <v>2.4700000000000002</v>
      </c>
      <c r="K159" s="138">
        <v>0</v>
      </c>
      <c r="L159" s="139">
        <v>6827.15</v>
      </c>
      <c r="M159" s="2"/>
      <c r="N159" s="283">
        <f t="shared" si="17"/>
        <v>-6827.15</v>
      </c>
      <c r="O159" s="139" t="str">
        <f t="shared" si="18"/>
        <v/>
      </c>
      <c r="P159" s="1"/>
      <c r="Q159" s="1"/>
      <c r="R159" s="1"/>
    </row>
    <row r="160" spans="2:18" s="133" customFormat="1" x14ac:dyDescent="0.2">
      <c r="B160" s="352" t="s">
        <v>48</v>
      </c>
      <c r="C160" s="159">
        <v>5998913</v>
      </c>
      <c r="D160" s="159" t="s">
        <v>111</v>
      </c>
      <c r="E160" s="90">
        <v>43391</v>
      </c>
      <c r="F160" s="90">
        <v>43395</v>
      </c>
      <c r="G160" s="353">
        <v>27.2</v>
      </c>
      <c r="H160" s="137">
        <v>400</v>
      </c>
      <c r="I160" s="138">
        <v>18.14</v>
      </c>
      <c r="J160" s="138">
        <v>2.0299999999999998</v>
      </c>
      <c r="K160" s="138">
        <v>2.2000000000000002</v>
      </c>
      <c r="L160" s="139">
        <v>10857.63</v>
      </c>
      <c r="M160" s="2"/>
      <c r="N160" s="283" t="str">
        <f t="shared" si="17"/>
        <v/>
      </c>
      <c r="O160" s="139">
        <f t="shared" si="18"/>
        <v>10857.63</v>
      </c>
      <c r="P160" s="1"/>
      <c r="Q160" s="1"/>
      <c r="R160" s="1"/>
    </row>
    <row r="161" spans="2:18" s="133" customFormat="1" x14ac:dyDescent="0.2">
      <c r="B161" s="352" t="s">
        <v>25</v>
      </c>
      <c r="C161" s="159">
        <v>5999272</v>
      </c>
      <c r="D161" s="159" t="s">
        <v>111</v>
      </c>
      <c r="E161" s="90">
        <v>43391</v>
      </c>
      <c r="F161" s="90">
        <v>43395</v>
      </c>
      <c r="G161" s="353">
        <v>15.47</v>
      </c>
      <c r="H161" s="137">
        <v>200</v>
      </c>
      <c r="I161" s="138">
        <v>18.14</v>
      </c>
      <c r="J161" s="138">
        <v>2.0299999999999998</v>
      </c>
      <c r="K161" s="138">
        <v>2.2000000000000002</v>
      </c>
      <c r="L161" s="139">
        <v>3071.63</v>
      </c>
      <c r="M161" s="2"/>
      <c r="N161" s="283" t="str">
        <f t="shared" si="17"/>
        <v/>
      </c>
      <c r="O161" s="139">
        <f t="shared" si="18"/>
        <v>3071.63</v>
      </c>
      <c r="P161" s="1"/>
      <c r="Q161" s="1"/>
      <c r="R161" s="1"/>
    </row>
    <row r="162" spans="2:18" s="133" customFormat="1" x14ac:dyDescent="0.2">
      <c r="B162" s="352" t="s">
        <v>7</v>
      </c>
      <c r="C162" s="159">
        <v>6886542</v>
      </c>
      <c r="D162" s="159" t="s">
        <v>112</v>
      </c>
      <c r="E162" s="90">
        <v>43564</v>
      </c>
      <c r="F162" s="90">
        <v>43566</v>
      </c>
      <c r="G162" s="353">
        <v>24.53</v>
      </c>
      <c r="H162" s="146">
        <v>1000</v>
      </c>
      <c r="I162" s="138">
        <v>24.53</v>
      </c>
      <c r="J162" s="138">
        <v>2.67</v>
      </c>
      <c r="K162" s="138">
        <v>2.2000000000000002</v>
      </c>
      <c r="L162" s="139">
        <v>24559.4</v>
      </c>
      <c r="M162" s="2"/>
      <c r="N162" s="283">
        <f t="shared" si="17"/>
        <v>-24559.4</v>
      </c>
      <c r="O162" s="139" t="str">
        <f t="shared" si="18"/>
        <v/>
      </c>
      <c r="P162" s="1"/>
      <c r="Q162" s="1"/>
      <c r="R162" s="1"/>
    </row>
    <row r="163" spans="2:18" s="133" customFormat="1" x14ac:dyDescent="0.2">
      <c r="B163" s="352" t="s">
        <v>7</v>
      </c>
      <c r="C163" s="159">
        <v>7038292</v>
      </c>
      <c r="D163" s="159" t="s">
        <v>112</v>
      </c>
      <c r="E163" s="90">
        <v>43593</v>
      </c>
      <c r="F163" s="90">
        <v>43595</v>
      </c>
      <c r="G163" s="353">
        <v>25.774999999999999</v>
      </c>
      <c r="H163" s="146">
        <v>1000</v>
      </c>
      <c r="I163" s="138">
        <v>25.78</v>
      </c>
      <c r="J163" s="138">
        <v>2.8</v>
      </c>
      <c r="K163" s="138">
        <v>2.2000000000000002</v>
      </c>
      <c r="L163" s="139">
        <v>25805.78</v>
      </c>
      <c r="M163" s="2"/>
      <c r="N163" s="283">
        <f t="shared" si="17"/>
        <v>-25805.78</v>
      </c>
      <c r="O163" s="139" t="str">
        <f t="shared" si="18"/>
        <v/>
      </c>
      <c r="P163" s="1"/>
      <c r="Q163" s="1"/>
      <c r="R163" s="1"/>
    </row>
    <row r="164" spans="2:18" s="133" customFormat="1" x14ac:dyDescent="0.2">
      <c r="B164" s="352" t="s">
        <v>36</v>
      </c>
      <c r="C164" s="159">
        <v>6149670</v>
      </c>
      <c r="D164" s="159" t="s">
        <v>111</v>
      </c>
      <c r="E164" s="90">
        <v>43418</v>
      </c>
      <c r="F164" s="90">
        <v>43420</v>
      </c>
      <c r="G164" s="353">
        <v>105.6816</v>
      </c>
      <c r="H164" s="137">
        <v>500</v>
      </c>
      <c r="I164" s="138">
        <v>52.84</v>
      </c>
      <c r="J164" s="138">
        <v>5.5</v>
      </c>
      <c r="K164" s="138">
        <v>2.2000000000000002</v>
      </c>
      <c r="L164" s="139">
        <v>52780.26</v>
      </c>
      <c r="M164" s="2"/>
      <c r="N164" s="283" t="str">
        <f t="shared" si="17"/>
        <v/>
      </c>
      <c r="O164" s="139">
        <f t="shared" si="18"/>
        <v>52780.26</v>
      </c>
      <c r="P164" s="1"/>
      <c r="Q164" s="1"/>
      <c r="R164" s="1"/>
    </row>
    <row r="165" spans="2:18" s="133" customFormat="1" x14ac:dyDescent="0.2">
      <c r="B165" s="352" t="s">
        <v>114</v>
      </c>
      <c r="C165" s="159">
        <v>6885430</v>
      </c>
      <c r="D165" s="159" t="s">
        <v>111</v>
      </c>
      <c r="E165" s="90">
        <v>43564</v>
      </c>
      <c r="F165" s="90">
        <v>43566</v>
      </c>
      <c r="G165" s="353">
        <v>101.5</v>
      </c>
      <c r="H165" s="137">
        <v>380</v>
      </c>
      <c r="I165" s="138">
        <v>38.57</v>
      </c>
      <c r="J165" s="138">
        <v>4.08</v>
      </c>
      <c r="K165" s="138">
        <v>2.2000000000000002</v>
      </c>
      <c r="L165" s="139">
        <v>38525.15</v>
      </c>
      <c r="M165" s="2"/>
      <c r="N165" s="283" t="str">
        <f t="shared" si="17"/>
        <v/>
      </c>
      <c r="O165" s="139">
        <f t="shared" si="18"/>
        <v>38525.15</v>
      </c>
      <c r="P165" s="1"/>
      <c r="Q165" s="1"/>
      <c r="R165" s="1"/>
    </row>
    <row r="166" spans="2:18" s="133" customFormat="1" x14ac:dyDescent="0.2">
      <c r="B166" s="352" t="s">
        <v>115</v>
      </c>
      <c r="C166" s="159">
        <v>5940290</v>
      </c>
      <c r="D166" s="159" t="s">
        <v>112</v>
      </c>
      <c r="E166" s="90">
        <v>43383</v>
      </c>
      <c r="F166" s="90">
        <v>43385</v>
      </c>
      <c r="G166" s="353">
        <v>5.4</v>
      </c>
      <c r="H166" s="146">
        <v>1000</v>
      </c>
      <c r="I166" s="138">
        <v>22.68</v>
      </c>
      <c r="J166" s="138">
        <v>2.4900000000000002</v>
      </c>
      <c r="K166" s="138">
        <v>2.2000000000000002</v>
      </c>
      <c r="L166" s="139">
        <v>5427.37</v>
      </c>
      <c r="M166" s="2"/>
      <c r="N166" s="283">
        <f t="shared" si="17"/>
        <v>-5427.37</v>
      </c>
      <c r="O166" s="139" t="str">
        <f t="shared" si="18"/>
        <v/>
      </c>
      <c r="P166" s="1"/>
      <c r="Q166" s="1"/>
      <c r="R166" s="1"/>
    </row>
    <row r="167" spans="2:18" s="133" customFormat="1" x14ac:dyDescent="0.2">
      <c r="B167" s="352" t="s">
        <v>115</v>
      </c>
      <c r="C167" s="159">
        <v>6537214</v>
      </c>
      <c r="D167" s="159" t="s">
        <v>111</v>
      </c>
      <c r="E167" s="90">
        <v>43504</v>
      </c>
      <c r="F167" s="90">
        <v>43508</v>
      </c>
      <c r="G167" s="353">
        <v>5.63</v>
      </c>
      <c r="H167" s="146">
        <v>1000</v>
      </c>
      <c r="I167" s="138">
        <v>18.14</v>
      </c>
      <c r="J167" s="138">
        <v>2.0299999999999998</v>
      </c>
      <c r="K167" s="138">
        <v>2.2000000000000002</v>
      </c>
      <c r="L167" s="139">
        <v>5607.63</v>
      </c>
      <c r="M167" s="2"/>
      <c r="N167" s="283" t="str">
        <f t="shared" si="17"/>
        <v/>
      </c>
      <c r="O167" s="139">
        <f t="shared" si="18"/>
        <v>5607.63</v>
      </c>
      <c r="P167" s="1"/>
      <c r="Q167" s="1"/>
      <c r="R167" s="1"/>
    </row>
    <row r="168" spans="2:18" s="133" customFormat="1" x14ac:dyDescent="0.2">
      <c r="B168" s="352" t="s">
        <v>8</v>
      </c>
      <c r="C168" s="159">
        <v>6791213</v>
      </c>
      <c r="D168" s="159" t="s">
        <v>111</v>
      </c>
      <c r="E168" s="90">
        <v>43546</v>
      </c>
      <c r="F168" s="90">
        <v>43550</v>
      </c>
      <c r="G168" s="353">
        <v>12.53</v>
      </c>
      <c r="H168" s="146">
        <v>3000</v>
      </c>
      <c r="I168" s="138">
        <v>37.590000000000003</v>
      </c>
      <c r="J168" s="138">
        <v>3.98</v>
      </c>
      <c r="K168" s="138">
        <v>2.2000000000000002</v>
      </c>
      <c r="L168" s="139">
        <v>37546.230000000003</v>
      </c>
      <c r="M168" s="2"/>
      <c r="N168" s="283" t="str">
        <f t="shared" si="17"/>
        <v/>
      </c>
      <c r="O168" s="139">
        <f t="shared" si="18"/>
        <v>37546.230000000003</v>
      </c>
      <c r="P168" s="1"/>
      <c r="Q168" s="1"/>
      <c r="R168" s="1"/>
    </row>
    <row r="169" spans="2:18" s="133" customFormat="1" x14ac:dyDescent="0.2">
      <c r="B169" s="352" t="s">
        <v>8</v>
      </c>
      <c r="C169" s="159">
        <v>6893224</v>
      </c>
      <c r="D169" s="159" t="s">
        <v>112</v>
      </c>
      <c r="E169" s="90">
        <v>43565</v>
      </c>
      <c r="F169" s="90">
        <v>43567</v>
      </c>
      <c r="G169" s="353">
        <v>12.35</v>
      </c>
      <c r="H169" s="146">
        <v>2000</v>
      </c>
      <c r="I169" s="138">
        <v>24.7</v>
      </c>
      <c r="J169" s="138">
        <v>2.69</v>
      </c>
      <c r="K169" s="138">
        <v>2.2000000000000002</v>
      </c>
      <c r="L169" s="139">
        <v>24729.59</v>
      </c>
      <c r="M169" s="2"/>
      <c r="N169" s="283">
        <f t="shared" si="17"/>
        <v>-24729.59</v>
      </c>
      <c r="O169" s="139" t="str">
        <f t="shared" si="18"/>
        <v/>
      </c>
      <c r="P169" s="1"/>
      <c r="Q169" s="1"/>
      <c r="R169" s="1"/>
    </row>
    <row r="170" spans="2:18" s="133" customFormat="1" x14ac:dyDescent="0.2">
      <c r="B170" s="352" t="s">
        <v>8</v>
      </c>
      <c r="C170" s="159">
        <v>-118058729</v>
      </c>
      <c r="D170" s="159" t="s">
        <v>112</v>
      </c>
      <c r="E170" s="90">
        <v>43293</v>
      </c>
      <c r="F170" s="90">
        <v>43297</v>
      </c>
      <c r="G170" s="353">
        <v>9.8000000000000007</v>
      </c>
      <c r="H170" s="146">
        <v>3000</v>
      </c>
      <c r="I170" s="138">
        <v>31.4</v>
      </c>
      <c r="J170" s="138">
        <v>3.14</v>
      </c>
      <c r="K170" s="138">
        <v>0</v>
      </c>
      <c r="L170" s="139">
        <v>29434.54</v>
      </c>
      <c r="M170" s="2"/>
      <c r="N170" s="283">
        <f t="shared" si="17"/>
        <v>-29434.54</v>
      </c>
      <c r="O170" s="139" t="str">
        <f t="shared" si="18"/>
        <v/>
      </c>
      <c r="P170" s="1"/>
      <c r="Q170" s="1"/>
      <c r="R170" s="1"/>
    </row>
    <row r="171" spans="2:18" s="133" customFormat="1" x14ac:dyDescent="0.2">
      <c r="B171" s="352" t="s">
        <v>97</v>
      </c>
      <c r="C171" s="159">
        <v>5952068</v>
      </c>
      <c r="D171" s="159" t="s">
        <v>112</v>
      </c>
      <c r="E171" s="90">
        <v>43384</v>
      </c>
      <c r="F171" s="90">
        <v>43388</v>
      </c>
      <c r="G171" s="353">
        <v>54.45</v>
      </c>
      <c r="H171" s="137">
        <v>500</v>
      </c>
      <c r="I171" s="138">
        <v>27.23</v>
      </c>
      <c r="J171" s="138">
        <v>2.94</v>
      </c>
      <c r="K171" s="138">
        <v>2.2000000000000002</v>
      </c>
      <c r="L171" s="139">
        <v>27257.37</v>
      </c>
      <c r="M171" s="2"/>
      <c r="N171" s="283">
        <f t="shared" si="17"/>
        <v>-27257.37</v>
      </c>
      <c r="O171" s="139" t="str">
        <f t="shared" si="18"/>
        <v/>
      </c>
      <c r="P171" s="1"/>
      <c r="Q171" s="1"/>
      <c r="R171" s="1"/>
    </row>
    <row r="172" spans="2:18" s="133" customFormat="1" x14ac:dyDescent="0.2">
      <c r="B172" s="352" t="s">
        <v>97</v>
      </c>
      <c r="C172" s="159">
        <v>5999440</v>
      </c>
      <c r="D172" s="159" t="s">
        <v>112</v>
      </c>
      <c r="E172" s="90">
        <v>43391</v>
      </c>
      <c r="F172" s="90">
        <v>43395</v>
      </c>
      <c r="G172" s="353">
        <v>54.3977</v>
      </c>
      <c r="H172" s="137">
        <v>500</v>
      </c>
      <c r="I172" s="138">
        <v>27.2</v>
      </c>
      <c r="J172" s="138">
        <v>2.94</v>
      </c>
      <c r="K172" s="138">
        <v>2.2000000000000002</v>
      </c>
      <c r="L172" s="139">
        <v>27231.200000000001</v>
      </c>
      <c r="M172" s="2"/>
      <c r="N172" s="283">
        <f t="shared" si="17"/>
        <v>-27231.200000000001</v>
      </c>
      <c r="O172" s="139" t="str">
        <f t="shared" si="18"/>
        <v/>
      </c>
      <c r="P172" s="1"/>
      <c r="Q172" s="1"/>
      <c r="R172" s="1"/>
    </row>
    <row r="173" spans="2:18" s="133" customFormat="1" x14ac:dyDescent="0.2">
      <c r="B173" s="352" t="s">
        <v>49</v>
      </c>
      <c r="C173" s="159">
        <v>6548898</v>
      </c>
      <c r="D173" s="159" t="s">
        <v>111</v>
      </c>
      <c r="E173" s="90">
        <v>43508</v>
      </c>
      <c r="F173" s="90">
        <v>43510</v>
      </c>
      <c r="G173" s="353">
        <v>2.23</v>
      </c>
      <c r="H173" s="146">
        <v>4500</v>
      </c>
      <c r="I173" s="138">
        <v>18.14</v>
      </c>
      <c r="J173" s="138">
        <v>2.0299999999999998</v>
      </c>
      <c r="K173" s="138">
        <v>2.2000000000000002</v>
      </c>
      <c r="L173" s="139">
        <v>10012.629999999999</v>
      </c>
      <c r="M173" s="2"/>
      <c r="N173" s="283" t="str">
        <f t="shared" si="17"/>
        <v/>
      </c>
      <c r="O173" s="139">
        <f t="shared" si="18"/>
        <v>10012.629999999999</v>
      </c>
      <c r="P173" s="1"/>
      <c r="Q173" s="1"/>
      <c r="R173" s="1"/>
    </row>
    <row r="174" spans="2:18" s="133" customFormat="1" x14ac:dyDescent="0.2">
      <c r="B174" s="352" t="s">
        <v>10</v>
      </c>
      <c r="C174" s="159">
        <v>6001028</v>
      </c>
      <c r="D174" s="159" t="s">
        <v>112</v>
      </c>
      <c r="E174" s="90">
        <v>43391</v>
      </c>
      <c r="F174" s="90">
        <v>43395</v>
      </c>
      <c r="G174" s="353">
        <v>3.12</v>
      </c>
      <c r="H174" s="146">
        <v>10000</v>
      </c>
      <c r="I174" s="138">
        <v>31.2</v>
      </c>
      <c r="J174" s="138">
        <v>3.34</v>
      </c>
      <c r="K174" s="138">
        <v>2.2000000000000002</v>
      </c>
      <c r="L174" s="139">
        <v>31236.74</v>
      </c>
      <c r="M174" s="2"/>
      <c r="N174" s="283">
        <f t="shared" si="17"/>
        <v>-31236.74</v>
      </c>
      <c r="O174" s="139" t="str">
        <f t="shared" si="18"/>
        <v/>
      </c>
      <c r="P174" s="1"/>
      <c r="Q174" s="1"/>
      <c r="R174" s="1"/>
    </row>
    <row r="175" spans="2:18" s="133" customFormat="1" x14ac:dyDescent="0.2">
      <c r="B175" s="352" t="s">
        <v>10</v>
      </c>
      <c r="C175" s="159">
        <v>6419382</v>
      </c>
      <c r="D175" s="159" t="s">
        <v>112</v>
      </c>
      <c r="E175" s="90">
        <v>43482</v>
      </c>
      <c r="F175" s="90">
        <v>43486</v>
      </c>
      <c r="G175" s="353">
        <v>2.92</v>
      </c>
      <c r="H175" s="146">
        <v>10000</v>
      </c>
      <c r="I175" s="138">
        <v>29.2</v>
      </c>
      <c r="J175" s="138">
        <v>3.14</v>
      </c>
      <c r="K175" s="138">
        <v>2.2000000000000002</v>
      </c>
      <c r="L175" s="139">
        <v>29234.54</v>
      </c>
      <c r="M175" s="2"/>
      <c r="N175" s="283">
        <f t="shared" si="17"/>
        <v>-29234.54</v>
      </c>
      <c r="O175" s="139" t="str">
        <f t="shared" si="18"/>
        <v/>
      </c>
      <c r="P175" s="1"/>
      <c r="Q175" s="1"/>
      <c r="R175" s="1"/>
    </row>
    <row r="176" spans="2:18" s="133" customFormat="1" x14ac:dyDescent="0.2">
      <c r="B176" s="352" t="s">
        <v>116</v>
      </c>
      <c r="C176" s="159">
        <v>6199545</v>
      </c>
      <c r="D176" s="159" t="s">
        <v>112</v>
      </c>
      <c r="E176" s="90">
        <v>43427</v>
      </c>
      <c r="F176" s="90">
        <v>43431</v>
      </c>
      <c r="G176" s="353">
        <v>2.77</v>
      </c>
      <c r="H176" s="146">
        <v>3500</v>
      </c>
      <c r="I176" s="138">
        <v>18.14</v>
      </c>
      <c r="J176" s="138">
        <v>2.0299999999999998</v>
      </c>
      <c r="K176" s="138">
        <v>2.2000000000000002</v>
      </c>
      <c r="L176" s="139">
        <v>9717.3700000000008</v>
      </c>
      <c r="M176" s="2"/>
      <c r="N176" s="283">
        <f t="shared" si="17"/>
        <v>-9717.3700000000008</v>
      </c>
      <c r="O176" s="139" t="str">
        <f t="shared" si="18"/>
        <v/>
      </c>
      <c r="P176" s="1"/>
      <c r="Q176" s="1"/>
      <c r="R176" s="1"/>
    </row>
    <row r="177" spans="1:18" s="133" customFormat="1" x14ac:dyDescent="0.2">
      <c r="B177" s="352" t="s">
        <v>116</v>
      </c>
      <c r="C177" s="159">
        <v>6656085</v>
      </c>
      <c r="D177" s="159" t="s">
        <v>111</v>
      </c>
      <c r="E177" s="90">
        <v>43524</v>
      </c>
      <c r="F177" s="90">
        <v>43528</v>
      </c>
      <c r="G177" s="353">
        <v>2.7</v>
      </c>
      <c r="H177" s="146">
        <v>3500</v>
      </c>
      <c r="I177" s="138">
        <v>18.14</v>
      </c>
      <c r="J177" s="138">
        <v>2.0299999999999998</v>
      </c>
      <c r="K177" s="138">
        <v>2.2000000000000002</v>
      </c>
      <c r="L177" s="139">
        <v>9427.6299999999992</v>
      </c>
      <c r="M177" s="2"/>
      <c r="N177" s="283" t="str">
        <f t="shared" si="17"/>
        <v/>
      </c>
      <c r="O177" s="139">
        <f t="shared" si="18"/>
        <v>9427.6299999999992</v>
      </c>
      <c r="P177" s="1"/>
      <c r="Q177" s="1"/>
      <c r="R177" s="1"/>
    </row>
    <row r="178" spans="1:18" s="133" customFormat="1" x14ac:dyDescent="0.2">
      <c r="B178" s="352" t="s">
        <v>32</v>
      </c>
      <c r="C178" s="159">
        <v>6418778</v>
      </c>
      <c r="D178" s="159" t="s">
        <v>111</v>
      </c>
      <c r="E178" s="90">
        <v>43482</v>
      </c>
      <c r="F178" s="90">
        <v>43486</v>
      </c>
      <c r="G178" s="353">
        <v>3.17</v>
      </c>
      <c r="H178" s="146">
        <v>4450</v>
      </c>
      <c r="I178" s="138">
        <v>18.14</v>
      </c>
      <c r="J178" s="138">
        <v>2.0299999999999998</v>
      </c>
      <c r="K178" s="138">
        <v>2.2000000000000002</v>
      </c>
      <c r="L178" s="139">
        <v>14084.13</v>
      </c>
      <c r="M178" s="2"/>
      <c r="N178" s="283" t="str">
        <f t="shared" si="17"/>
        <v/>
      </c>
      <c r="O178" s="139">
        <f t="shared" si="18"/>
        <v>14084.13</v>
      </c>
      <c r="P178" s="1"/>
      <c r="Q178" s="1"/>
      <c r="R178" s="1"/>
    </row>
    <row r="179" spans="1:18" s="133" customFormat="1" x14ac:dyDescent="0.2">
      <c r="B179" s="352" t="s">
        <v>11</v>
      </c>
      <c r="C179" s="159">
        <v>6491739</v>
      </c>
      <c r="D179" s="159" t="s">
        <v>111</v>
      </c>
      <c r="E179" s="90">
        <v>43497</v>
      </c>
      <c r="F179" s="90">
        <v>43501</v>
      </c>
      <c r="G179" s="353">
        <v>24.51</v>
      </c>
      <c r="H179" s="137">
        <v>500</v>
      </c>
      <c r="I179" s="138">
        <v>27.23</v>
      </c>
      <c r="J179" s="138">
        <v>2.94</v>
      </c>
      <c r="K179" s="138">
        <v>2.2000000000000002</v>
      </c>
      <c r="L179" s="139">
        <v>12222.63</v>
      </c>
      <c r="M179" s="2"/>
      <c r="N179" s="283" t="str">
        <f t="shared" si="17"/>
        <v/>
      </c>
      <c r="O179" s="139">
        <f t="shared" si="18"/>
        <v>12222.63</v>
      </c>
      <c r="P179" s="1"/>
      <c r="Q179" s="1"/>
      <c r="R179" s="1"/>
    </row>
    <row r="180" spans="1:18" s="133" customFormat="1" x14ac:dyDescent="0.2">
      <c r="B180" s="352" t="s">
        <v>11</v>
      </c>
      <c r="C180" s="159">
        <v>7038467</v>
      </c>
      <c r="D180" s="159" t="s">
        <v>112</v>
      </c>
      <c r="E180" s="90">
        <v>43593</v>
      </c>
      <c r="F180" s="90">
        <v>43595</v>
      </c>
      <c r="G180" s="353">
        <v>26.980399999999999</v>
      </c>
      <c r="H180" s="146">
        <v>2500</v>
      </c>
      <c r="I180" s="138">
        <v>67.45</v>
      </c>
      <c r="J180" s="138">
        <v>6.97</v>
      </c>
      <c r="K180" s="138">
        <v>2.2000000000000002</v>
      </c>
      <c r="L180" s="139">
        <v>67527.740000000005</v>
      </c>
      <c r="M180" s="2"/>
      <c r="N180" s="283">
        <f t="shared" si="17"/>
        <v>-67527.740000000005</v>
      </c>
      <c r="O180" s="139" t="str">
        <f t="shared" si="18"/>
        <v/>
      </c>
      <c r="P180" s="1"/>
      <c r="Q180" s="1"/>
      <c r="R180" s="1"/>
    </row>
    <row r="181" spans="1:18" s="133" customFormat="1" x14ac:dyDescent="0.2">
      <c r="B181" s="352" t="s">
        <v>35</v>
      </c>
      <c r="C181" s="159">
        <v>6415535</v>
      </c>
      <c r="D181" s="159" t="s">
        <v>111</v>
      </c>
      <c r="E181" s="90">
        <v>43481</v>
      </c>
      <c r="F181" s="90">
        <v>43483</v>
      </c>
      <c r="G181" s="353">
        <v>32.1721</v>
      </c>
      <c r="H181" s="137">
        <v>200</v>
      </c>
      <c r="I181" s="138">
        <v>18.14</v>
      </c>
      <c r="J181" s="138">
        <v>2.0299999999999998</v>
      </c>
      <c r="K181" s="138">
        <v>2.2000000000000002</v>
      </c>
      <c r="L181" s="139">
        <v>6412.04</v>
      </c>
      <c r="M181" s="2"/>
      <c r="N181" s="283" t="str">
        <f t="shared" si="17"/>
        <v/>
      </c>
      <c r="O181" s="139">
        <f t="shared" si="18"/>
        <v>6412.04</v>
      </c>
      <c r="P181" s="1"/>
      <c r="Q181" s="1"/>
      <c r="R181" s="1"/>
    </row>
    <row r="182" spans="1:18" s="133" customFormat="1" x14ac:dyDescent="0.2">
      <c r="B182" s="352" t="s">
        <v>37</v>
      </c>
      <c r="C182" s="159">
        <v>6600226</v>
      </c>
      <c r="D182" s="159" t="s">
        <v>112</v>
      </c>
      <c r="E182" s="90">
        <v>43516</v>
      </c>
      <c r="F182" s="90">
        <v>43518</v>
      </c>
      <c r="G182" s="353">
        <v>28.6</v>
      </c>
      <c r="H182" s="137">
        <v>600</v>
      </c>
      <c r="I182" s="138">
        <v>18.14</v>
      </c>
      <c r="J182" s="138">
        <v>2.0299999999999998</v>
      </c>
      <c r="K182" s="138">
        <v>2.2000000000000002</v>
      </c>
      <c r="L182" s="139">
        <v>17182.37</v>
      </c>
      <c r="M182" s="2"/>
      <c r="N182" s="283">
        <f t="shared" si="17"/>
        <v>-17182.37</v>
      </c>
      <c r="O182" s="139" t="str">
        <f t="shared" si="18"/>
        <v/>
      </c>
      <c r="P182" s="1"/>
      <c r="Q182" s="1"/>
      <c r="R182" s="1"/>
    </row>
    <row r="183" spans="1:18" s="133" customFormat="1" x14ac:dyDescent="0.2">
      <c r="B183" s="352" t="s">
        <v>37</v>
      </c>
      <c r="C183" s="159">
        <v>6892718</v>
      </c>
      <c r="D183" s="159" t="s">
        <v>111</v>
      </c>
      <c r="E183" s="90">
        <v>43565</v>
      </c>
      <c r="F183" s="90">
        <v>43567</v>
      </c>
      <c r="G183" s="353">
        <v>30.4</v>
      </c>
      <c r="H183" s="146">
        <v>1000</v>
      </c>
      <c r="I183" s="138">
        <v>30.4</v>
      </c>
      <c r="J183" s="138">
        <v>3.26</v>
      </c>
      <c r="K183" s="138">
        <v>2.2000000000000002</v>
      </c>
      <c r="L183" s="139">
        <v>30364.14</v>
      </c>
      <c r="M183" s="2"/>
      <c r="N183" s="283" t="str">
        <f t="shared" si="17"/>
        <v/>
      </c>
      <c r="O183" s="139">
        <f t="shared" si="18"/>
        <v>30364.14</v>
      </c>
      <c r="P183" s="1"/>
      <c r="Q183" s="1"/>
      <c r="R183" s="1"/>
    </row>
    <row r="184" spans="1:18" s="133" customFormat="1" x14ac:dyDescent="0.2">
      <c r="B184" s="352" t="s">
        <v>33</v>
      </c>
      <c r="C184" s="159">
        <v>6435091</v>
      </c>
      <c r="D184" s="159" t="s">
        <v>112</v>
      </c>
      <c r="E184" s="90">
        <v>43486</v>
      </c>
      <c r="F184" s="90">
        <v>43488</v>
      </c>
      <c r="G184" s="353">
        <v>33.969099999999997</v>
      </c>
      <c r="H184" s="146">
        <v>1000</v>
      </c>
      <c r="I184" s="138">
        <v>33.97</v>
      </c>
      <c r="J184" s="138">
        <v>3.62</v>
      </c>
      <c r="K184" s="138">
        <v>2.2000000000000002</v>
      </c>
      <c r="L184" s="139">
        <v>34008.92</v>
      </c>
      <c r="M184" s="2"/>
      <c r="N184" s="283">
        <f t="shared" si="17"/>
        <v>-34008.92</v>
      </c>
      <c r="O184" s="139" t="str">
        <f t="shared" si="18"/>
        <v/>
      </c>
      <c r="P184" s="1"/>
      <c r="Q184" s="1"/>
      <c r="R184" s="1"/>
    </row>
    <row r="185" spans="1:18" ht="12" thickBot="1" x14ac:dyDescent="0.25">
      <c r="B185" s="92"/>
      <c r="C185" s="141"/>
      <c r="D185" s="141"/>
      <c r="E185" s="141"/>
      <c r="F185" s="141"/>
      <c r="G185" s="141"/>
      <c r="H185" s="141"/>
      <c r="I185" s="142"/>
      <c r="J185" s="142"/>
      <c r="K185" s="142"/>
      <c r="L185" s="147"/>
      <c r="N185" s="309"/>
      <c r="O185" s="147"/>
    </row>
    <row r="186" spans="1:18" x14ac:dyDescent="0.2">
      <c r="N186" s="1">
        <f>SUM(N142:N185)</f>
        <v>-612242.79999999993</v>
      </c>
      <c r="O186" s="1">
        <f>SUM(O142:O185)</f>
        <v>423954.03000000009</v>
      </c>
    </row>
    <row r="188" spans="1:18" s="385" customFormat="1" ht="18.75" x14ac:dyDescent="0.3">
      <c r="B188" s="1145" t="s">
        <v>264</v>
      </c>
      <c r="C188" s="1145"/>
      <c r="D188" s="1145"/>
      <c r="E188" s="1145"/>
      <c r="F188" s="1145"/>
      <c r="G188" s="1145"/>
      <c r="H188" s="1145"/>
      <c r="I188" s="1145"/>
      <c r="J188" s="1145"/>
      <c r="K188" s="1145"/>
      <c r="L188" s="1145"/>
      <c r="M188" s="632"/>
      <c r="N188" s="386"/>
      <c r="O188" s="386"/>
      <c r="P188" s="386" t="s">
        <v>273</v>
      </c>
      <c r="Q188" s="386">
        <v>13956.906047619059</v>
      </c>
      <c r="R188" s="386"/>
    </row>
    <row r="189" spans="1:18" s="385" customFormat="1" ht="18.75" x14ac:dyDescent="0.3">
      <c r="B189" s="196"/>
      <c r="C189" s="196"/>
      <c r="D189" s="196"/>
      <c r="E189" s="196"/>
      <c r="F189" s="196"/>
      <c r="G189" s="196"/>
      <c r="H189" s="196"/>
      <c r="I189" s="590"/>
      <c r="J189" s="590"/>
      <c r="K189" s="590"/>
      <c r="L189" s="590"/>
      <c r="M189" s="632"/>
      <c r="N189" s="386"/>
      <c r="O189" s="386"/>
      <c r="P189" s="386"/>
      <c r="Q189" s="386"/>
      <c r="R189" s="386"/>
    </row>
    <row r="190" spans="1:18" s="133" customFormat="1" ht="12" thickBot="1" x14ac:dyDescent="0.25">
      <c r="I190" s="1"/>
      <c r="J190" s="1"/>
      <c r="K190" s="1"/>
      <c r="L190" s="1"/>
      <c r="M190" s="2"/>
      <c r="N190" s="1"/>
      <c r="O190" s="1"/>
      <c r="P190" s="1"/>
    </row>
    <row r="191" spans="1:18" s="343" customFormat="1" ht="34.5" customHeight="1" thickBot="1" x14ac:dyDescent="0.25">
      <c r="A191" s="346" t="s">
        <v>252</v>
      </c>
      <c r="B191" s="347" t="s">
        <v>3</v>
      </c>
      <c r="C191" s="347" t="s">
        <v>253</v>
      </c>
      <c r="D191" s="347" t="s">
        <v>254</v>
      </c>
      <c r="E191" s="347" t="s">
        <v>255</v>
      </c>
      <c r="F191" s="347" t="s">
        <v>256</v>
      </c>
      <c r="G191" s="348" t="s">
        <v>257</v>
      </c>
      <c r="H191" s="347" t="s">
        <v>4</v>
      </c>
      <c r="I191" s="348" t="s">
        <v>258</v>
      </c>
      <c r="J191" s="348" t="s">
        <v>259</v>
      </c>
      <c r="K191" s="348" t="s">
        <v>260</v>
      </c>
      <c r="L191" s="529" t="s">
        <v>261</v>
      </c>
      <c r="M191" s="419"/>
      <c r="N191" s="344"/>
      <c r="O191" s="526" t="s">
        <v>45</v>
      </c>
      <c r="P191" s="438" t="s">
        <v>110</v>
      </c>
      <c r="Q191" s="439" t="s">
        <v>119</v>
      </c>
      <c r="R191" s="344"/>
    </row>
    <row r="192" spans="1:18" ht="12" thickTop="1" x14ac:dyDescent="0.2"/>
    <row r="193" spans="2:18" s="133" customFormat="1" x14ac:dyDescent="0.2">
      <c r="B193" s="352" t="s">
        <v>34</v>
      </c>
      <c r="C193" s="159">
        <v>6151106</v>
      </c>
      <c r="D193" s="159" t="s">
        <v>111</v>
      </c>
      <c r="E193" s="90">
        <v>43418</v>
      </c>
      <c r="F193" s="90">
        <v>43420</v>
      </c>
      <c r="G193" s="353">
        <v>2.52</v>
      </c>
      <c r="H193" s="137">
        <v>10000</v>
      </c>
      <c r="I193" s="138">
        <v>25.2</v>
      </c>
      <c r="J193" s="138">
        <v>2.74</v>
      </c>
      <c r="K193" s="138">
        <v>2.2000000000000002</v>
      </c>
      <c r="L193" s="139">
        <v>25169.86</v>
      </c>
      <c r="M193" s="2"/>
      <c r="N193" s="1"/>
      <c r="O193" s="1">
        <f>IF(D193="Sell",H193,-H193)</f>
        <v>10000</v>
      </c>
      <c r="P193" s="1">
        <f>IF(D193="Sell",L193,-L193)</f>
        <v>25169.86</v>
      </c>
      <c r="Q193" s="1"/>
      <c r="R193" s="1"/>
    </row>
    <row r="194" spans="2:18" s="133" customFormat="1" ht="12" thickBot="1" x14ac:dyDescent="0.25">
      <c r="B194" s="359" t="s">
        <v>34</v>
      </c>
      <c r="C194" s="214">
        <v>-114077424</v>
      </c>
      <c r="D194" s="214" t="s">
        <v>112</v>
      </c>
      <c r="E194" s="360">
        <v>43138</v>
      </c>
      <c r="F194" s="360">
        <v>43140</v>
      </c>
      <c r="G194" s="361">
        <v>5.1100000000000003</v>
      </c>
      <c r="H194" s="206">
        <v>10000</v>
      </c>
      <c r="I194" s="207">
        <f>I196*H194/H196</f>
        <v>52.1</v>
      </c>
      <c r="J194" s="207">
        <f>J196*H194/H196</f>
        <v>5.21</v>
      </c>
      <c r="K194" s="207">
        <f>K196*H194/H196</f>
        <v>0</v>
      </c>
      <c r="L194" s="215">
        <f>L196*H194/H196</f>
        <v>51157.31</v>
      </c>
      <c r="M194" s="633"/>
      <c r="N194" s="362"/>
      <c r="O194" s="362">
        <f>IF(D194="Sell",H194,-H194)</f>
        <v>-10000</v>
      </c>
      <c r="P194" s="362">
        <f>IF(D194="Sell",L194,-L194)</f>
        <v>-51157.31</v>
      </c>
      <c r="Q194" s="1"/>
      <c r="R194" s="1"/>
    </row>
    <row r="195" spans="2:18" s="133" customFormat="1" x14ac:dyDescent="0.2">
      <c r="B195" s="356"/>
      <c r="C195" s="166"/>
      <c r="D195" s="166"/>
      <c r="E195" s="357"/>
      <c r="F195" s="357"/>
      <c r="G195" s="358"/>
      <c r="H195" s="84"/>
      <c r="I195" s="167"/>
      <c r="J195" s="167"/>
      <c r="K195" s="167"/>
      <c r="L195" s="273"/>
      <c r="M195" s="2"/>
      <c r="N195" s="1"/>
      <c r="O195" s="1">
        <f>SUM(O193:O194)</f>
        <v>0</v>
      </c>
      <c r="P195" s="1">
        <f>SUM(P193:P194)</f>
        <v>-25987.449999999997</v>
      </c>
      <c r="Q195" s="1">
        <v>-25987.449999999997</v>
      </c>
      <c r="R195" s="1"/>
    </row>
    <row r="196" spans="2:18" s="133" customFormat="1" x14ac:dyDescent="0.2">
      <c r="B196" s="390" t="s">
        <v>34</v>
      </c>
      <c r="C196" s="391">
        <v>-114077424</v>
      </c>
      <c r="D196" s="391" t="s">
        <v>112</v>
      </c>
      <c r="E196" s="392">
        <v>43138</v>
      </c>
      <c r="F196" s="392">
        <v>43140</v>
      </c>
      <c r="G196" s="393">
        <v>5.1100000000000003</v>
      </c>
      <c r="H196" s="394">
        <v>20000</v>
      </c>
      <c r="I196" s="900">
        <v>104.2</v>
      </c>
      <c r="J196" s="900">
        <v>10.42</v>
      </c>
      <c r="K196" s="900">
        <v>0</v>
      </c>
      <c r="L196" s="395">
        <v>102314.62</v>
      </c>
      <c r="M196" s="2"/>
      <c r="N196" s="1"/>
      <c r="O196" s="1"/>
      <c r="P196" s="1"/>
      <c r="Q196" s="1"/>
      <c r="R196" s="1"/>
    </row>
    <row r="197" spans="2:18" s="133" customFormat="1" x14ac:dyDescent="0.2">
      <c r="B197" s="352"/>
      <c r="C197" s="159"/>
      <c r="D197" s="159"/>
      <c r="E197" s="90"/>
      <c r="F197" s="90"/>
      <c r="G197" s="353"/>
      <c r="H197" s="137"/>
      <c r="I197" s="138"/>
      <c r="J197" s="138"/>
      <c r="K197" s="138"/>
      <c r="L197" s="139"/>
      <c r="M197" s="2"/>
      <c r="N197" s="1"/>
      <c r="O197" s="1"/>
      <c r="P197" s="1"/>
      <c r="Q197" s="1"/>
      <c r="R197" s="1"/>
    </row>
    <row r="198" spans="2:18" s="133" customFormat="1" x14ac:dyDescent="0.2">
      <c r="B198" s="352" t="s">
        <v>0</v>
      </c>
      <c r="C198" s="159">
        <v>7217968</v>
      </c>
      <c r="D198" s="159" t="s">
        <v>111</v>
      </c>
      <c r="E198" s="90">
        <v>43621</v>
      </c>
      <c r="F198" s="90">
        <v>43623</v>
      </c>
      <c r="G198" s="353">
        <v>28.16</v>
      </c>
      <c r="H198" s="137">
        <v>200</v>
      </c>
      <c r="I198" s="138">
        <v>22.68</v>
      </c>
      <c r="J198" s="138">
        <v>2.4900000000000002</v>
      </c>
      <c r="K198" s="138">
        <v>2.2000000000000002</v>
      </c>
      <c r="L198" s="139">
        <v>5604.63</v>
      </c>
      <c r="M198" s="2"/>
      <c r="N198" s="1"/>
      <c r="O198" s="1">
        <f>IF(D198="Sell",H198,-H198)</f>
        <v>200</v>
      </c>
      <c r="P198" s="1">
        <f>IF(D198="Sell",L198,-L198)</f>
        <v>5604.63</v>
      </c>
      <c r="Q198" s="1"/>
      <c r="R198" s="1"/>
    </row>
    <row r="199" spans="2:18" s="133" customFormat="1" ht="12" thickBot="1" x14ac:dyDescent="0.25">
      <c r="B199" s="359" t="s">
        <v>0</v>
      </c>
      <c r="C199" s="214">
        <v>-116567137</v>
      </c>
      <c r="D199" s="214" t="s">
        <v>112</v>
      </c>
      <c r="E199" s="360">
        <v>43230</v>
      </c>
      <c r="F199" s="360">
        <v>43234</v>
      </c>
      <c r="G199" s="361">
        <v>28.023499999999999</v>
      </c>
      <c r="H199" s="206">
        <v>200</v>
      </c>
      <c r="I199" s="207">
        <f>I201*H199/H201</f>
        <v>5.7380000000000004</v>
      </c>
      <c r="J199" s="207">
        <f>J201*H199/H201</f>
        <v>0.57399999999999995</v>
      </c>
      <c r="K199" s="207">
        <f>K201*H199/H201</f>
        <v>0</v>
      </c>
      <c r="L199" s="215">
        <f>L201*H199/H201</f>
        <v>5611.0026666666663</v>
      </c>
      <c r="M199" s="633"/>
      <c r="N199" s="362"/>
      <c r="O199" s="362">
        <f>IF(D199="Sell",H199,-H199)</f>
        <v>-200</v>
      </c>
      <c r="P199" s="362">
        <f>IF(D199="Sell",L199,-L199)</f>
        <v>-5611.0026666666663</v>
      </c>
      <c r="Q199" s="1"/>
      <c r="R199" s="1"/>
    </row>
    <row r="200" spans="2:18" s="133" customFormat="1" x14ac:dyDescent="0.2">
      <c r="B200" s="356"/>
      <c r="C200" s="166"/>
      <c r="D200" s="166"/>
      <c r="E200" s="357"/>
      <c r="F200" s="357"/>
      <c r="G200" s="358"/>
      <c r="H200" s="84"/>
      <c r="I200" s="167"/>
      <c r="J200" s="167"/>
      <c r="K200" s="167"/>
      <c r="L200" s="273"/>
      <c r="M200" s="2"/>
      <c r="N200" s="1"/>
      <c r="O200" s="1">
        <f>SUM(O198:O199)</f>
        <v>0</v>
      </c>
      <c r="P200" s="1">
        <f>SUM(P198:P199)</f>
        <v>-6.3726666666661913</v>
      </c>
      <c r="Q200" s="1">
        <v>-6.3726666666661913</v>
      </c>
      <c r="R200" s="1"/>
    </row>
    <row r="201" spans="2:18" s="133" customFormat="1" x14ac:dyDescent="0.2">
      <c r="B201" s="390" t="s">
        <v>0</v>
      </c>
      <c r="C201" s="391">
        <v>-116567137</v>
      </c>
      <c r="D201" s="391" t="s">
        <v>112</v>
      </c>
      <c r="E201" s="392">
        <v>43230</v>
      </c>
      <c r="F201" s="392">
        <v>43234</v>
      </c>
      <c r="G201" s="393">
        <v>28.023499999999999</v>
      </c>
      <c r="H201" s="394">
        <v>3000</v>
      </c>
      <c r="I201" s="900">
        <v>86.07</v>
      </c>
      <c r="J201" s="900">
        <v>8.61</v>
      </c>
      <c r="K201" s="900">
        <v>0</v>
      </c>
      <c r="L201" s="395">
        <v>84165.04</v>
      </c>
      <c r="M201" s="2"/>
      <c r="N201" s="1"/>
      <c r="O201" s="1"/>
      <c r="P201" s="1"/>
      <c r="Q201" s="1"/>
      <c r="R201" s="1"/>
    </row>
    <row r="202" spans="2:18" s="133" customFormat="1" x14ac:dyDescent="0.2">
      <c r="B202" s="352"/>
      <c r="C202" s="159"/>
      <c r="D202" s="159"/>
      <c r="E202" s="90"/>
      <c r="F202" s="90"/>
      <c r="G202" s="353"/>
      <c r="H202" s="137"/>
      <c r="I202" s="138"/>
      <c r="J202" s="138"/>
      <c r="K202" s="138"/>
      <c r="L202" s="139"/>
      <c r="M202" s="2"/>
      <c r="N202" s="1"/>
      <c r="O202" s="1"/>
      <c r="P202" s="1"/>
      <c r="Q202" s="1"/>
      <c r="R202" s="1"/>
    </row>
    <row r="203" spans="2:18" s="133" customFormat="1" x14ac:dyDescent="0.2">
      <c r="B203" s="352" t="s">
        <v>39</v>
      </c>
      <c r="C203" s="159">
        <v>6885245</v>
      </c>
      <c r="D203" s="159" t="s">
        <v>111</v>
      </c>
      <c r="E203" s="90">
        <v>43564</v>
      </c>
      <c r="F203" s="90">
        <v>43566</v>
      </c>
      <c r="G203" s="353">
        <v>104.76309999999999</v>
      </c>
      <c r="H203" s="137">
        <v>816</v>
      </c>
      <c r="I203" s="138">
        <v>85.49</v>
      </c>
      <c r="J203" s="138">
        <v>8.77</v>
      </c>
      <c r="K203" s="138">
        <v>2.2000000000000002</v>
      </c>
      <c r="L203" s="139">
        <v>85390.24</v>
      </c>
      <c r="M203" s="2"/>
      <c r="N203" s="1"/>
      <c r="O203" s="1">
        <f>IF(D203="Sell",H203,-H203)</f>
        <v>816</v>
      </c>
      <c r="P203" s="1">
        <f>IF(D203="Sell",L203,-L203)</f>
        <v>85390.24</v>
      </c>
      <c r="Q203" s="1"/>
      <c r="R203" s="1"/>
    </row>
    <row r="204" spans="2:18" s="133" customFormat="1" x14ac:dyDescent="0.2">
      <c r="B204" s="352" t="s">
        <v>39</v>
      </c>
      <c r="C204" s="159">
        <v>6888235</v>
      </c>
      <c r="D204" s="159" t="s">
        <v>111</v>
      </c>
      <c r="E204" s="90">
        <v>43565</v>
      </c>
      <c r="F204" s="90">
        <v>43567</v>
      </c>
      <c r="G204" s="353">
        <v>104.7</v>
      </c>
      <c r="H204" s="137">
        <v>184</v>
      </c>
      <c r="I204" s="138">
        <v>19.260000000000002</v>
      </c>
      <c r="J204" s="138">
        <v>2.15</v>
      </c>
      <c r="K204" s="138">
        <v>2.2000000000000002</v>
      </c>
      <c r="L204" s="139">
        <v>19241.189999999999</v>
      </c>
      <c r="M204" s="2"/>
      <c r="N204" s="1"/>
      <c r="O204" s="1">
        <f>IF(D204="Sell",H204,-H204)</f>
        <v>184</v>
      </c>
      <c r="P204" s="1">
        <f>IF(D204="Sell",L204,-L204)</f>
        <v>19241.189999999999</v>
      </c>
      <c r="Q204" s="1"/>
      <c r="R204" s="1"/>
    </row>
    <row r="205" spans="2:18" s="133" customFormat="1" ht="12" thickBot="1" x14ac:dyDescent="0.25">
      <c r="B205" s="177" t="s">
        <v>39</v>
      </c>
      <c r="C205" s="216" t="s">
        <v>47</v>
      </c>
      <c r="D205" s="216" t="s">
        <v>112</v>
      </c>
      <c r="E205" s="93"/>
      <c r="F205" s="93"/>
      <c r="G205" s="355">
        <v>100</v>
      </c>
      <c r="H205" s="141">
        <v>1000</v>
      </c>
      <c r="I205" s="142"/>
      <c r="J205" s="142"/>
      <c r="K205" s="142"/>
      <c r="L205" s="147">
        <f>G205*H205</f>
        <v>100000</v>
      </c>
      <c r="M205" s="2"/>
      <c r="N205" s="211"/>
      <c r="O205" s="211">
        <f>IF(D205="Sell",H205,-H205)</f>
        <v>-1000</v>
      </c>
      <c r="P205" s="211">
        <f>IF(D205="Sell",L205,-L205)</f>
        <v>-100000</v>
      </c>
      <c r="Q205" s="1"/>
      <c r="R205" s="1"/>
    </row>
    <row r="206" spans="2:18" s="133" customFormat="1" x14ac:dyDescent="0.2">
      <c r="B206" s="356"/>
      <c r="C206" s="166"/>
      <c r="D206" s="166"/>
      <c r="E206" s="357"/>
      <c r="F206" s="357"/>
      <c r="G206" s="358"/>
      <c r="H206" s="84"/>
      <c r="I206" s="167"/>
      <c r="J206" s="167"/>
      <c r="K206" s="167"/>
      <c r="L206" s="273"/>
      <c r="M206" s="2"/>
      <c r="N206" s="1"/>
      <c r="O206" s="1">
        <f>SUM(O203:O205)</f>
        <v>0</v>
      </c>
      <c r="P206" s="1">
        <f>SUM(P203:P205)</f>
        <v>4631.4300000000076</v>
      </c>
      <c r="Q206" s="1">
        <v>4631.4300000000076</v>
      </c>
      <c r="R206" s="1"/>
    </row>
    <row r="207" spans="2:18" s="133" customFormat="1" x14ac:dyDescent="0.2">
      <c r="B207" s="352"/>
      <c r="C207" s="159"/>
      <c r="D207" s="159"/>
      <c r="E207" s="90"/>
      <c r="F207" s="90"/>
      <c r="G207" s="353"/>
      <c r="H207" s="137"/>
      <c r="I207" s="138"/>
      <c r="J207" s="138"/>
      <c r="K207" s="138"/>
      <c r="L207" s="139"/>
      <c r="M207" s="2"/>
      <c r="N207" s="1"/>
      <c r="O207" s="1"/>
      <c r="P207" s="1"/>
      <c r="Q207" s="1"/>
      <c r="R207" s="1"/>
    </row>
    <row r="208" spans="2:18" s="133" customFormat="1" x14ac:dyDescent="0.2">
      <c r="B208" s="352" t="s">
        <v>26</v>
      </c>
      <c r="C208" s="159">
        <v>5999135</v>
      </c>
      <c r="D208" s="159" t="s">
        <v>111</v>
      </c>
      <c r="E208" s="90">
        <v>43391</v>
      </c>
      <c r="F208" s="90">
        <v>43395</v>
      </c>
      <c r="G208" s="353">
        <v>33.15</v>
      </c>
      <c r="H208" s="137">
        <v>1000</v>
      </c>
      <c r="I208" s="138">
        <v>33.15</v>
      </c>
      <c r="J208" s="138">
        <v>3.54</v>
      </c>
      <c r="K208" s="138">
        <v>2.2000000000000002</v>
      </c>
      <c r="L208" s="139">
        <v>33111.11</v>
      </c>
      <c r="M208" s="2"/>
      <c r="N208" s="1"/>
      <c r="O208" s="1">
        <f>IF(D208="Sell",H208,-H208)</f>
        <v>1000</v>
      </c>
      <c r="P208" s="1">
        <f>IF(D208="Sell",L208,-L208)</f>
        <v>33111.11</v>
      </c>
      <c r="Q208" s="1"/>
      <c r="R208" s="1"/>
    </row>
    <row r="209" spans="2:18" s="133" customFormat="1" ht="12" thickBot="1" x14ac:dyDescent="0.25">
      <c r="B209" s="359" t="s">
        <v>26</v>
      </c>
      <c r="C209" s="214">
        <v>-84938965</v>
      </c>
      <c r="D209" s="214" t="s">
        <v>112</v>
      </c>
      <c r="E209" s="360">
        <v>42012</v>
      </c>
      <c r="F209" s="360">
        <v>42017</v>
      </c>
      <c r="G209" s="361">
        <v>28.4</v>
      </c>
      <c r="H209" s="206">
        <v>1000</v>
      </c>
      <c r="I209" s="207">
        <f>I213*H209/H213</f>
        <v>29.625</v>
      </c>
      <c r="J209" s="207">
        <f>J213*H209/H213</f>
        <v>2.9649999999999999</v>
      </c>
      <c r="K209" s="207">
        <f>K213*H209/H213</f>
        <v>0</v>
      </c>
      <c r="L209" s="215">
        <f>L213*H209/H213</f>
        <v>27659.09</v>
      </c>
      <c r="M209" s="633"/>
      <c r="N209" s="362"/>
      <c r="O209" s="362">
        <f>IF(D209="Sell",H209,-H209)</f>
        <v>-1000</v>
      </c>
      <c r="P209" s="362">
        <f>IF(D209="Sell",L209,-L209)</f>
        <v>-27659.09</v>
      </c>
      <c r="Q209" s="1"/>
      <c r="R209" s="1"/>
    </row>
    <row r="210" spans="2:18" s="133" customFormat="1" x14ac:dyDescent="0.2">
      <c r="B210" s="356"/>
      <c r="C210" s="166"/>
      <c r="D210" s="166"/>
      <c r="E210" s="357"/>
      <c r="F210" s="357"/>
      <c r="G210" s="358"/>
      <c r="H210" s="84"/>
      <c r="I210" s="167"/>
      <c r="J210" s="167"/>
      <c r="K210" s="167"/>
      <c r="L210" s="273"/>
      <c r="M210" s="2"/>
      <c r="N210" s="1"/>
      <c r="O210" s="1">
        <f>SUM(O208:O209)</f>
        <v>0</v>
      </c>
      <c r="P210" s="1">
        <f>SUM(P208:P209)</f>
        <v>5452.02</v>
      </c>
      <c r="Q210" s="1">
        <v>5452.02</v>
      </c>
      <c r="R210" s="1"/>
    </row>
    <row r="211" spans="2:18" s="133" customFormat="1" x14ac:dyDescent="0.2">
      <c r="B211" s="390" t="s">
        <v>26</v>
      </c>
      <c r="C211" s="391">
        <v>-84938965</v>
      </c>
      <c r="D211" s="391" t="s">
        <v>112</v>
      </c>
      <c r="E211" s="392">
        <v>42012</v>
      </c>
      <c r="F211" s="392">
        <v>42017</v>
      </c>
      <c r="G211" s="393">
        <v>28.4</v>
      </c>
      <c r="H211" s="394">
        <v>700</v>
      </c>
      <c r="I211" s="900">
        <v>21.88</v>
      </c>
      <c r="J211" s="900">
        <v>2.19</v>
      </c>
      <c r="K211" s="900">
        <v>0</v>
      </c>
      <c r="L211" s="395">
        <v>19904.07</v>
      </c>
      <c r="M211" s="2"/>
      <c r="N211" s="1"/>
      <c r="O211" s="1"/>
      <c r="P211" s="1"/>
      <c r="Q211" s="1"/>
      <c r="R211" s="1"/>
    </row>
    <row r="212" spans="2:18" s="133" customFormat="1" ht="12" thickBot="1" x14ac:dyDescent="0.25">
      <c r="B212" s="402" t="s">
        <v>26</v>
      </c>
      <c r="C212" s="403">
        <v>-85067556</v>
      </c>
      <c r="D212" s="403" t="s">
        <v>112</v>
      </c>
      <c r="E212" s="404">
        <v>42018</v>
      </c>
      <c r="F212" s="404">
        <v>42023</v>
      </c>
      <c r="G212" s="405">
        <v>27.21</v>
      </c>
      <c r="H212" s="406">
        <v>1300</v>
      </c>
      <c r="I212" s="901">
        <v>37.369999999999997</v>
      </c>
      <c r="J212" s="901">
        <v>3.74</v>
      </c>
      <c r="K212" s="901">
        <v>0</v>
      </c>
      <c r="L212" s="407">
        <v>35414.11</v>
      </c>
      <c r="M212" s="2"/>
      <c r="N212" s="1"/>
      <c r="O212" s="1"/>
      <c r="P212" s="1"/>
      <c r="Q212" s="1"/>
      <c r="R212" s="1"/>
    </row>
    <row r="213" spans="2:18" s="133" customFormat="1" x14ac:dyDescent="0.2">
      <c r="B213" s="396"/>
      <c r="C213" s="397"/>
      <c r="D213" s="397"/>
      <c r="E213" s="398"/>
      <c r="F213" s="398"/>
      <c r="G213" s="399"/>
      <c r="H213" s="400">
        <f>SUM(H211:H212)</f>
        <v>2000</v>
      </c>
      <c r="I213" s="902">
        <f>SUM(I211:I212)</f>
        <v>59.25</v>
      </c>
      <c r="J213" s="902">
        <f>SUM(J211:J212)</f>
        <v>5.93</v>
      </c>
      <c r="K213" s="902">
        <f>SUM(K211:K212)</f>
        <v>0</v>
      </c>
      <c r="L213" s="401">
        <f>SUM(L211:L212)</f>
        <v>55318.18</v>
      </c>
      <c r="M213" s="2"/>
      <c r="N213" s="1"/>
      <c r="O213" s="1"/>
      <c r="P213" s="1"/>
      <c r="Q213" s="1"/>
      <c r="R213" s="1"/>
    </row>
    <row r="214" spans="2:18" s="133" customFormat="1" x14ac:dyDescent="0.2">
      <c r="B214" s="352"/>
      <c r="C214" s="159"/>
      <c r="D214" s="159"/>
      <c r="E214" s="90"/>
      <c r="F214" s="90"/>
      <c r="G214" s="353"/>
      <c r="H214" s="137"/>
      <c r="I214" s="138"/>
      <c r="J214" s="138"/>
      <c r="K214" s="138"/>
      <c r="L214" s="139"/>
      <c r="M214" s="2"/>
      <c r="N214" s="1"/>
      <c r="O214" s="1"/>
      <c r="P214" s="1"/>
      <c r="Q214" s="1"/>
      <c r="R214" s="1"/>
    </row>
    <row r="215" spans="2:18" s="133" customFormat="1" x14ac:dyDescent="0.2">
      <c r="B215" s="352"/>
      <c r="C215" s="159"/>
      <c r="D215" s="159"/>
      <c r="E215" s="90"/>
      <c r="F215" s="90"/>
      <c r="G215" s="353"/>
      <c r="H215" s="137"/>
      <c r="I215" s="138"/>
      <c r="J215" s="138"/>
      <c r="K215" s="138"/>
      <c r="L215" s="139"/>
      <c r="M215" s="2"/>
      <c r="N215" s="1"/>
      <c r="O215" s="1"/>
      <c r="P215" s="1"/>
      <c r="Q215" s="1"/>
      <c r="R215" s="1"/>
    </row>
    <row r="216" spans="2:18" s="133" customFormat="1" x14ac:dyDescent="0.2">
      <c r="B216" s="352" t="s">
        <v>100</v>
      </c>
      <c r="C216" s="159">
        <v>6491800</v>
      </c>
      <c r="D216" s="159" t="s">
        <v>112</v>
      </c>
      <c r="E216" s="90">
        <v>43497</v>
      </c>
      <c r="F216" s="90">
        <v>43501</v>
      </c>
      <c r="G216" s="353">
        <v>12.58</v>
      </c>
      <c r="H216" s="137">
        <v>1000</v>
      </c>
      <c r="I216" s="138">
        <v>18.14</v>
      </c>
      <c r="J216" s="138">
        <v>2.0299999999999998</v>
      </c>
      <c r="K216" s="138">
        <v>2.2000000000000002</v>
      </c>
      <c r="L216" s="139">
        <v>12602.37</v>
      </c>
      <c r="M216" s="2"/>
      <c r="N216" s="1"/>
      <c r="O216" s="1">
        <f>IF(D216="Sell",H216,-H216)</f>
        <v>-1000</v>
      </c>
      <c r="P216" s="1">
        <f>IF(D216="Sell",L216,-L216)</f>
        <v>-12602.37</v>
      </c>
      <c r="Q216" s="1"/>
      <c r="R216" s="1"/>
    </row>
    <row r="217" spans="2:18" s="133" customFormat="1" ht="12" thickBot="1" x14ac:dyDescent="0.25">
      <c r="B217" s="354" t="s">
        <v>100</v>
      </c>
      <c r="C217" s="163">
        <v>6791450</v>
      </c>
      <c r="D217" s="163" t="s">
        <v>111</v>
      </c>
      <c r="E217" s="93">
        <v>43546</v>
      </c>
      <c r="F217" s="93">
        <v>43550</v>
      </c>
      <c r="G217" s="355">
        <v>12.37</v>
      </c>
      <c r="H217" s="141">
        <v>1000</v>
      </c>
      <c r="I217" s="142">
        <v>18.14</v>
      </c>
      <c r="J217" s="142">
        <v>2.0299999999999998</v>
      </c>
      <c r="K217" s="142">
        <v>2.2000000000000002</v>
      </c>
      <c r="L217" s="147">
        <v>12347.64</v>
      </c>
      <c r="M217" s="2"/>
      <c r="N217" s="211"/>
      <c r="O217" s="211">
        <f>IF(D217="Sell",H217,-H217)</f>
        <v>1000</v>
      </c>
      <c r="P217" s="211">
        <f>IF(D217="Sell",L217,-L217)</f>
        <v>12347.64</v>
      </c>
      <c r="Q217" s="1"/>
      <c r="R217" s="1"/>
    </row>
    <row r="218" spans="2:18" s="133" customFormat="1" x14ac:dyDescent="0.2">
      <c r="B218" s="356"/>
      <c r="C218" s="166"/>
      <c r="D218" s="166"/>
      <c r="E218" s="357"/>
      <c r="F218" s="357"/>
      <c r="G218" s="358"/>
      <c r="H218" s="84"/>
      <c r="I218" s="167"/>
      <c r="J218" s="167"/>
      <c r="K218" s="167"/>
      <c r="L218" s="273"/>
      <c r="M218" s="2"/>
      <c r="N218" s="1"/>
      <c r="O218" s="1">
        <f>SUM(O216:O217)</f>
        <v>0</v>
      </c>
      <c r="P218" s="1">
        <f>SUM(P216:P217)</f>
        <v>-254.73000000000138</v>
      </c>
      <c r="Q218" s="1">
        <v>-254.73000000000138</v>
      </c>
      <c r="R218" s="1"/>
    </row>
    <row r="219" spans="2:18" s="133" customFormat="1" x14ac:dyDescent="0.2">
      <c r="B219" s="352"/>
      <c r="C219" s="159"/>
      <c r="D219" s="159"/>
      <c r="E219" s="90"/>
      <c r="F219" s="90"/>
      <c r="G219" s="353"/>
      <c r="H219" s="137"/>
      <c r="I219" s="138"/>
      <c r="J219" s="138"/>
      <c r="K219" s="138"/>
      <c r="L219" s="139"/>
      <c r="M219" s="2"/>
      <c r="N219" s="1"/>
      <c r="O219" s="1"/>
      <c r="P219" s="1"/>
      <c r="Q219" s="1"/>
      <c r="R219" s="1"/>
    </row>
    <row r="220" spans="2:18" s="133" customFormat="1" ht="23.25" customHeight="1" x14ac:dyDescent="0.2">
      <c r="B220" s="380" t="s">
        <v>113</v>
      </c>
      <c r="C220" s="381" t="s">
        <v>262</v>
      </c>
      <c r="D220" s="204" t="s">
        <v>112</v>
      </c>
      <c r="E220" s="382">
        <v>43432</v>
      </c>
      <c r="F220" s="382">
        <v>43432</v>
      </c>
      <c r="G220" s="383">
        <v>0</v>
      </c>
      <c r="H220" s="205">
        <v>200</v>
      </c>
      <c r="I220" s="897">
        <v>0</v>
      </c>
      <c r="J220" s="897">
        <v>0</v>
      </c>
      <c r="K220" s="897">
        <v>0</v>
      </c>
      <c r="L220" s="384">
        <v>0</v>
      </c>
      <c r="M220" s="633"/>
      <c r="N220" s="454"/>
      <c r="O220" s="454">
        <f>IF(D220="Sell",H220,-H220)</f>
        <v>-200</v>
      </c>
      <c r="P220" s="454">
        <f>IF(D220="Sell",L220,-L220)</f>
        <v>0</v>
      </c>
      <c r="Q220" s="1"/>
      <c r="R220" s="1"/>
    </row>
    <row r="221" spans="2:18" s="133" customFormat="1" x14ac:dyDescent="0.2">
      <c r="B221" s="352" t="s">
        <v>113</v>
      </c>
      <c r="C221" s="159">
        <v>6397037</v>
      </c>
      <c r="D221" s="159" t="s">
        <v>112</v>
      </c>
      <c r="E221" s="90">
        <v>43476</v>
      </c>
      <c r="F221" s="90">
        <v>43480</v>
      </c>
      <c r="G221" s="353">
        <v>11.6</v>
      </c>
      <c r="H221" s="137">
        <v>800</v>
      </c>
      <c r="I221" s="138">
        <v>22.68</v>
      </c>
      <c r="J221" s="138">
        <v>2.4900000000000002</v>
      </c>
      <c r="K221" s="138">
        <v>2.2000000000000002</v>
      </c>
      <c r="L221" s="139">
        <v>9307.3700000000008</v>
      </c>
      <c r="M221" s="2"/>
      <c r="N221" s="1"/>
      <c r="O221" s="1">
        <f>IF(D221="Sell",H221,-H221)</f>
        <v>-800</v>
      </c>
      <c r="P221" s="1">
        <f>IF(D221="Sell",L221,-L221)</f>
        <v>-9307.3700000000008</v>
      </c>
      <c r="Q221" s="1"/>
      <c r="R221" s="1"/>
    </row>
    <row r="222" spans="2:18" s="85" customFormat="1" ht="12" thickBot="1" x14ac:dyDescent="0.25">
      <c r="B222" s="373" t="s">
        <v>113</v>
      </c>
      <c r="C222" s="374">
        <v>6562066</v>
      </c>
      <c r="D222" s="374" t="s">
        <v>111</v>
      </c>
      <c r="E222" s="375">
        <v>43509</v>
      </c>
      <c r="F222" s="375">
        <v>43511</v>
      </c>
      <c r="G222" s="376">
        <v>12.2</v>
      </c>
      <c r="H222" s="377">
        <v>1000</v>
      </c>
      <c r="I222" s="437">
        <v>18.14</v>
      </c>
      <c r="J222" s="437">
        <v>2.0299999999999998</v>
      </c>
      <c r="K222" s="437">
        <v>2.2000000000000002</v>
      </c>
      <c r="L222" s="378">
        <v>12177.63</v>
      </c>
      <c r="M222" s="305"/>
      <c r="N222" s="379"/>
      <c r="O222" s="379">
        <f>IF(D222="Sell",H222,-H222)</f>
        <v>1000</v>
      </c>
      <c r="P222" s="379">
        <f>IF(D222="Sell",L222,-L222)</f>
        <v>12177.63</v>
      </c>
      <c r="Q222" s="363"/>
      <c r="R222" s="363"/>
    </row>
    <row r="223" spans="2:18" s="133" customFormat="1" x14ac:dyDescent="0.2">
      <c r="B223" s="352"/>
      <c r="C223" s="159"/>
      <c r="D223" s="159"/>
      <c r="E223" s="90"/>
      <c r="F223" s="90"/>
      <c r="G223" s="353"/>
      <c r="H223" s="137"/>
      <c r="I223" s="138"/>
      <c r="J223" s="138"/>
      <c r="K223" s="138"/>
      <c r="L223" s="139"/>
      <c r="M223" s="2"/>
      <c r="N223" s="1"/>
      <c r="O223" s="1">
        <f>SUM(O220:O222)</f>
        <v>0</v>
      </c>
      <c r="P223" s="1">
        <f>SUM(P220:P222)</f>
        <v>2870.2599999999984</v>
      </c>
      <c r="Q223" s="1">
        <v>2870.2599999999984</v>
      </c>
      <c r="R223" s="1"/>
    </row>
    <row r="224" spans="2:18" s="133" customFormat="1" x14ac:dyDescent="0.2">
      <c r="B224" s="352"/>
      <c r="C224" s="159"/>
      <c r="D224" s="159"/>
      <c r="E224" s="90"/>
      <c r="F224" s="90"/>
      <c r="G224" s="353"/>
      <c r="H224" s="137"/>
      <c r="I224" s="138"/>
      <c r="J224" s="138"/>
      <c r="K224" s="138"/>
      <c r="L224" s="139"/>
      <c r="M224" s="2"/>
      <c r="N224" s="1"/>
      <c r="O224" s="1"/>
      <c r="P224" s="1"/>
      <c r="Q224" s="1"/>
      <c r="R224" s="1"/>
    </row>
    <row r="225" spans="1:18" s="133" customFormat="1" x14ac:dyDescent="0.2">
      <c r="B225" s="352" t="s">
        <v>48</v>
      </c>
      <c r="C225" s="159">
        <v>5998913</v>
      </c>
      <c r="D225" s="159" t="s">
        <v>111</v>
      </c>
      <c r="E225" s="90">
        <v>43391</v>
      </c>
      <c r="F225" s="90">
        <v>43395</v>
      </c>
      <c r="G225" s="353">
        <v>27.2</v>
      </c>
      <c r="H225" s="137">
        <v>400</v>
      </c>
      <c r="I225" s="138">
        <v>18.14</v>
      </c>
      <c r="J225" s="138">
        <v>2.0299999999999998</v>
      </c>
      <c r="K225" s="138">
        <v>2.2000000000000002</v>
      </c>
      <c r="L225" s="139">
        <v>10857.63</v>
      </c>
      <c r="M225" s="2"/>
      <c r="N225" s="1"/>
      <c r="O225" s="1">
        <f>IF(D225="Sell",H225,-H225)</f>
        <v>400</v>
      </c>
      <c r="P225" s="1">
        <f>IF(D225="Sell",L225,-L225)</f>
        <v>10857.63</v>
      </c>
      <c r="Q225" s="1"/>
      <c r="R225" s="1"/>
    </row>
    <row r="226" spans="1:18" s="133" customFormat="1" ht="12" thickBot="1" x14ac:dyDescent="0.25">
      <c r="B226" s="359" t="s">
        <v>48</v>
      </c>
      <c r="C226" s="214">
        <v>-117174308</v>
      </c>
      <c r="D226" s="214" t="s">
        <v>112</v>
      </c>
      <c r="E226" s="360">
        <v>43255</v>
      </c>
      <c r="F226" s="360">
        <v>43257</v>
      </c>
      <c r="G226" s="361">
        <v>22.81</v>
      </c>
      <c r="H226" s="206">
        <v>400</v>
      </c>
      <c r="I226" s="207">
        <v>24.68</v>
      </c>
      <c r="J226" s="207">
        <v>2.4700000000000002</v>
      </c>
      <c r="K226" s="207">
        <v>0</v>
      </c>
      <c r="L226" s="215">
        <v>9151.15</v>
      </c>
      <c r="M226" s="633"/>
      <c r="N226" s="362"/>
      <c r="O226" s="362">
        <f>IF(D226="Sell",H226,-H226)</f>
        <v>-400</v>
      </c>
      <c r="P226" s="362">
        <f>IF(D226="Sell",L226,-L226)</f>
        <v>-9151.15</v>
      </c>
      <c r="Q226" s="1"/>
      <c r="R226" s="1"/>
    </row>
    <row r="227" spans="1:18" s="133" customFormat="1" x14ac:dyDescent="0.2">
      <c r="B227" s="356"/>
      <c r="C227" s="166"/>
      <c r="D227" s="166"/>
      <c r="E227" s="357"/>
      <c r="F227" s="357"/>
      <c r="G227" s="358"/>
      <c r="H227" s="84"/>
      <c r="I227" s="167"/>
      <c r="J227" s="167"/>
      <c r="K227" s="167"/>
      <c r="L227" s="273"/>
      <c r="M227" s="2"/>
      <c r="N227" s="1"/>
      <c r="O227" s="1">
        <f>SUM(O225:O226)</f>
        <v>0</v>
      </c>
      <c r="P227" s="1">
        <f>SUM(P225:P226)</f>
        <v>1706.4799999999996</v>
      </c>
      <c r="Q227" s="1">
        <v>1706.4799999999996</v>
      </c>
      <c r="R227" s="1"/>
    </row>
    <row r="228" spans="1:18" s="133" customFormat="1" x14ac:dyDescent="0.2">
      <c r="B228" s="352"/>
      <c r="C228" s="159"/>
      <c r="D228" s="159"/>
      <c r="E228" s="90"/>
      <c r="F228" s="90"/>
      <c r="G228" s="353"/>
      <c r="H228" s="137"/>
      <c r="I228" s="138"/>
      <c r="J228" s="138"/>
      <c r="K228" s="138"/>
      <c r="L228" s="139"/>
      <c r="M228" s="2"/>
      <c r="N228" s="1"/>
      <c r="O228" s="1"/>
      <c r="P228" s="1"/>
      <c r="Q228" s="1"/>
      <c r="R228" s="1"/>
    </row>
    <row r="229" spans="1:18" s="133" customFormat="1" x14ac:dyDescent="0.2">
      <c r="B229" s="352" t="s">
        <v>25</v>
      </c>
      <c r="C229" s="159">
        <v>5999272</v>
      </c>
      <c r="D229" s="159" t="s">
        <v>111</v>
      </c>
      <c r="E229" s="90">
        <v>43391</v>
      </c>
      <c r="F229" s="90">
        <v>43395</v>
      </c>
      <c r="G229" s="353">
        <v>15.47</v>
      </c>
      <c r="H229" s="137">
        <v>200</v>
      </c>
      <c r="I229" s="138">
        <v>18.14</v>
      </c>
      <c r="J229" s="138">
        <v>2.0299999999999998</v>
      </c>
      <c r="K229" s="138">
        <v>2.2000000000000002</v>
      </c>
      <c r="L229" s="139">
        <v>3071.63</v>
      </c>
      <c r="M229" s="2"/>
      <c r="N229" s="1"/>
      <c r="O229" s="1">
        <f>IF(D229="Sell",H229,-H229)</f>
        <v>200</v>
      </c>
      <c r="P229" s="1">
        <f>IF(D229="Sell",L229,-L229)</f>
        <v>3071.63</v>
      </c>
      <c r="Q229" s="1"/>
      <c r="R229" s="1"/>
    </row>
    <row r="230" spans="1:18" s="133" customFormat="1" ht="12" thickBot="1" x14ac:dyDescent="0.25">
      <c r="B230" s="359" t="s">
        <v>25</v>
      </c>
      <c r="C230" s="214">
        <v>-90739184</v>
      </c>
      <c r="D230" s="214" t="s">
        <v>112</v>
      </c>
      <c r="E230" s="360">
        <v>42265</v>
      </c>
      <c r="F230" s="360">
        <v>42270</v>
      </c>
      <c r="G230" s="361">
        <v>6.54</v>
      </c>
      <c r="H230" s="206">
        <v>200</v>
      </c>
      <c r="I230" s="207">
        <f>I232/10</f>
        <v>2.0140000000000002</v>
      </c>
      <c r="J230" s="207">
        <f>J232/10</f>
        <v>0.20099999999999998</v>
      </c>
      <c r="K230" s="207">
        <f>K232/10</f>
        <v>0</v>
      </c>
      <c r="L230" s="215">
        <f>L232/10</f>
        <v>1310.2149999999999</v>
      </c>
      <c r="M230" s="633"/>
      <c r="N230" s="362"/>
      <c r="O230" s="362">
        <f>IF(D230="Sell",H230,-H230)</f>
        <v>-200</v>
      </c>
      <c r="P230" s="362">
        <f>IF(D230="Sell",L230,-L230)</f>
        <v>-1310.2149999999999</v>
      </c>
      <c r="Q230" s="1"/>
      <c r="R230" s="1"/>
    </row>
    <row r="231" spans="1:18" s="133" customFormat="1" x14ac:dyDescent="0.2">
      <c r="B231" s="352"/>
      <c r="C231" s="159"/>
      <c r="D231" s="159"/>
      <c r="E231" s="90"/>
      <c r="F231" s="90"/>
      <c r="G231" s="353"/>
      <c r="H231" s="137"/>
      <c r="I231" s="138"/>
      <c r="J231" s="138"/>
      <c r="K231" s="138"/>
      <c r="L231" s="139"/>
      <c r="M231" s="2"/>
      <c r="N231" s="1"/>
      <c r="O231" s="1">
        <f>SUM(O229:O230)</f>
        <v>0</v>
      </c>
      <c r="P231" s="1">
        <f>SUM(P229:P230)</f>
        <v>1761.4150000000002</v>
      </c>
      <c r="Q231" s="1">
        <v>1761.4150000000002</v>
      </c>
      <c r="R231" s="1"/>
    </row>
    <row r="232" spans="1:18" s="133" customFormat="1" x14ac:dyDescent="0.2">
      <c r="B232" s="390" t="s">
        <v>25</v>
      </c>
      <c r="C232" s="391">
        <v>-90739184</v>
      </c>
      <c r="D232" s="391" t="s">
        <v>112</v>
      </c>
      <c r="E232" s="392">
        <v>42265</v>
      </c>
      <c r="F232" s="392">
        <v>42270</v>
      </c>
      <c r="G232" s="393">
        <v>6.54</v>
      </c>
      <c r="H232" s="394">
        <v>2000</v>
      </c>
      <c r="I232" s="900">
        <v>20.14</v>
      </c>
      <c r="J232" s="900">
        <v>2.0099999999999998</v>
      </c>
      <c r="K232" s="900">
        <v>0</v>
      </c>
      <c r="L232" s="395">
        <v>13102.15</v>
      </c>
      <c r="M232" s="2"/>
      <c r="N232" s="1"/>
      <c r="O232" s="1"/>
      <c r="P232" s="1"/>
      <c r="Q232" s="1"/>
      <c r="R232" s="1"/>
    </row>
    <row r="233" spans="1:18" s="133" customFormat="1" x14ac:dyDescent="0.2">
      <c r="B233" s="352"/>
      <c r="C233" s="159"/>
      <c r="D233" s="159"/>
      <c r="E233" s="90"/>
      <c r="F233" s="90"/>
      <c r="G233" s="353"/>
      <c r="H233" s="137"/>
      <c r="I233" s="138"/>
      <c r="J233" s="138"/>
      <c r="K233" s="138"/>
      <c r="L233" s="139"/>
      <c r="M233" s="2"/>
      <c r="N233" s="1"/>
      <c r="O233" s="1"/>
      <c r="P233" s="1"/>
      <c r="Q233" s="1"/>
      <c r="R233" s="1"/>
    </row>
    <row r="234" spans="1:18" s="133" customFormat="1" x14ac:dyDescent="0.2">
      <c r="B234" s="352"/>
      <c r="C234" s="159"/>
      <c r="D234" s="159"/>
      <c r="E234" s="90"/>
      <c r="F234" s="90"/>
      <c r="G234" s="353"/>
      <c r="H234" s="137"/>
      <c r="I234" s="138"/>
      <c r="J234" s="138"/>
      <c r="K234" s="138"/>
      <c r="L234" s="139"/>
      <c r="M234" s="2"/>
      <c r="N234" s="1"/>
      <c r="O234" s="1"/>
      <c r="P234" s="1"/>
      <c r="Q234" s="1"/>
      <c r="R234" s="1"/>
    </row>
    <row r="235" spans="1:18" s="133" customFormat="1" x14ac:dyDescent="0.2">
      <c r="B235" s="352" t="s">
        <v>36</v>
      </c>
      <c r="C235" s="159">
        <v>6149670</v>
      </c>
      <c r="D235" s="159" t="s">
        <v>111</v>
      </c>
      <c r="E235" s="90">
        <v>43418</v>
      </c>
      <c r="F235" s="90">
        <v>43420</v>
      </c>
      <c r="G235" s="353">
        <v>105.6816</v>
      </c>
      <c r="H235" s="137">
        <v>500</v>
      </c>
      <c r="I235" s="138">
        <v>52.84</v>
      </c>
      <c r="J235" s="138">
        <v>5.5</v>
      </c>
      <c r="K235" s="138">
        <v>2.2000000000000002</v>
      </c>
      <c r="L235" s="139">
        <v>52780.26</v>
      </c>
      <c r="M235" s="2"/>
      <c r="N235" s="1"/>
      <c r="O235" s="1">
        <f>IF(D235="Sell",H235,-H235)</f>
        <v>500</v>
      </c>
      <c r="P235" s="1">
        <f>IF(D235="Sell",L235,-L235)</f>
        <v>52780.26</v>
      </c>
      <c r="Q235" s="1"/>
      <c r="R235" s="1"/>
    </row>
    <row r="236" spans="1:18" s="133" customFormat="1" ht="12" thickBot="1" x14ac:dyDescent="0.25">
      <c r="B236" s="359" t="s">
        <v>36</v>
      </c>
      <c r="C236" s="214" t="s">
        <v>47</v>
      </c>
      <c r="D236" s="214" t="s">
        <v>112</v>
      </c>
      <c r="E236" s="360"/>
      <c r="F236" s="360"/>
      <c r="G236" s="361">
        <v>100</v>
      </c>
      <c r="H236" s="206">
        <v>500</v>
      </c>
      <c r="I236" s="207"/>
      <c r="J236" s="207"/>
      <c r="K236" s="207"/>
      <c r="L236" s="215">
        <f>G236*H236</f>
        <v>50000</v>
      </c>
      <c r="M236" s="633"/>
      <c r="N236" s="362"/>
      <c r="O236" s="362">
        <f>IF(D236="Sell",H236,-H236)</f>
        <v>-500</v>
      </c>
      <c r="P236" s="362">
        <f>IF(D236="Sell",L236,-L236)</f>
        <v>-50000</v>
      </c>
      <c r="Q236" s="1"/>
      <c r="R236" s="1"/>
    </row>
    <row r="237" spans="1:18" s="133" customFormat="1" x14ac:dyDescent="0.2">
      <c r="B237" s="352"/>
      <c r="C237" s="159"/>
      <c r="D237" s="159"/>
      <c r="E237" s="90"/>
      <c r="F237" s="90"/>
      <c r="G237" s="353"/>
      <c r="H237" s="137"/>
      <c r="I237" s="138"/>
      <c r="J237" s="138"/>
      <c r="K237" s="138"/>
      <c r="L237" s="139"/>
      <c r="M237" s="2"/>
      <c r="N237" s="1"/>
      <c r="O237" s="1">
        <f>SUM(O235:O236)</f>
        <v>0</v>
      </c>
      <c r="P237" s="1">
        <f>SUM(P235:P236)</f>
        <v>2780.260000000002</v>
      </c>
      <c r="Q237" s="1">
        <v>2780.260000000002</v>
      </c>
      <c r="R237" s="1"/>
    </row>
    <row r="238" spans="1:18" s="133" customFormat="1" x14ac:dyDescent="0.2">
      <c r="B238" s="352"/>
      <c r="C238" s="159"/>
      <c r="D238" s="159"/>
      <c r="E238" s="90"/>
      <c r="F238" s="90"/>
      <c r="G238" s="353"/>
      <c r="H238" s="137"/>
      <c r="I238" s="138"/>
      <c r="J238" s="138"/>
      <c r="K238" s="138"/>
      <c r="L238" s="139"/>
      <c r="M238" s="2"/>
      <c r="N238" s="1"/>
      <c r="O238" s="1"/>
      <c r="P238" s="1"/>
      <c r="Q238" s="1"/>
      <c r="R238" s="1"/>
    </row>
    <row r="239" spans="1:18" s="133" customFormat="1" x14ac:dyDescent="0.2">
      <c r="B239" s="352" t="s">
        <v>114</v>
      </c>
      <c r="C239" s="159">
        <v>6885430</v>
      </c>
      <c r="D239" s="159" t="s">
        <v>111</v>
      </c>
      <c r="E239" s="90">
        <v>43564</v>
      </c>
      <c r="F239" s="90">
        <v>43566</v>
      </c>
      <c r="G239" s="353">
        <v>101.5</v>
      </c>
      <c r="H239" s="137">
        <v>380</v>
      </c>
      <c r="I239" s="138">
        <v>38.57</v>
      </c>
      <c r="J239" s="138">
        <v>4.08</v>
      </c>
      <c r="K239" s="138">
        <v>2.2000000000000002</v>
      </c>
      <c r="L239" s="139">
        <v>38525.15</v>
      </c>
      <c r="M239" s="2"/>
      <c r="N239" s="1"/>
      <c r="O239" s="1">
        <f>IF(D239="Sell",H239,-H239)</f>
        <v>380</v>
      </c>
      <c r="P239" s="1">
        <f>IF(D239="Sell",L239,-L239)</f>
        <v>38525.15</v>
      </c>
      <c r="Q239" s="1"/>
      <c r="R239" s="1"/>
    </row>
    <row r="240" spans="1:18" s="133" customFormat="1" ht="28.5" thickBot="1" x14ac:dyDescent="0.45">
      <c r="A240" s="471" t="s">
        <v>284</v>
      </c>
      <c r="B240" s="359" t="s">
        <v>114</v>
      </c>
      <c r="C240" s="214" t="s">
        <v>47</v>
      </c>
      <c r="D240" s="214" t="s">
        <v>112</v>
      </c>
      <c r="E240" s="360"/>
      <c r="F240" s="360"/>
      <c r="G240" s="361">
        <v>100</v>
      </c>
      <c r="H240" s="206">
        <v>380</v>
      </c>
      <c r="I240" s="207"/>
      <c r="J240" s="207"/>
      <c r="K240" s="207"/>
      <c r="L240" s="215">
        <f>G240*H240</f>
        <v>38000</v>
      </c>
      <c r="M240" s="633"/>
      <c r="N240" s="362"/>
      <c r="O240" s="362">
        <f>IF(D240="Sell",H240,-H240)</f>
        <v>-380</v>
      </c>
      <c r="P240" s="362">
        <f>IF(D240="Sell",L240,-L240)</f>
        <v>-38000</v>
      </c>
      <c r="Q240" s="1"/>
      <c r="R240" s="1"/>
    </row>
    <row r="241" spans="2:18" s="133" customFormat="1" x14ac:dyDescent="0.2">
      <c r="B241" s="352"/>
      <c r="C241" s="159"/>
      <c r="D241" s="159"/>
      <c r="E241" s="90"/>
      <c r="F241" s="90"/>
      <c r="G241" s="353"/>
      <c r="H241" s="137"/>
      <c r="I241" s="138"/>
      <c r="J241" s="138"/>
      <c r="K241" s="138"/>
      <c r="L241" s="139"/>
      <c r="M241" s="2"/>
      <c r="N241" s="1"/>
      <c r="O241" s="1">
        <f>SUM(O239:O240)</f>
        <v>0</v>
      </c>
      <c r="P241" s="1">
        <f>SUM(P239:P240)</f>
        <v>525.15000000000146</v>
      </c>
      <c r="Q241" s="1">
        <v>525.15000000000146</v>
      </c>
      <c r="R241" s="1"/>
    </row>
    <row r="242" spans="2:18" s="133" customFormat="1" x14ac:dyDescent="0.2">
      <c r="B242" s="352"/>
      <c r="C242" s="159"/>
      <c r="D242" s="159"/>
      <c r="E242" s="90"/>
      <c r="F242" s="90"/>
      <c r="G242" s="353"/>
      <c r="H242" s="137"/>
      <c r="I242" s="138"/>
      <c r="J242" s="138"/>
      <c r="K242" s="138"/>
      <c r="L242" s="139"/>
      <c r="M242" s="2"/>
      <c r="N242" s="1"/>
      <c r="O242" s="1"/>
      <c r="P242" s="1"/>
      <c r="Q242" s="1"/>
      <c r="R242" s="1"/>
    </row>
    <row r="243" spans="2:18" s="133" customFormat="1" x14ac:dyDescent="0.2">
      <c r="B243" s="352" t="s">
        <v>115</v>
      </c>
      <c r="C243" s="159">
        <v>5940290</v>
      </c>
      <c r="D243" s="159" t="s">
        <v>112</v>
      </c>
      <c r="E243" s="90">
        <v>43383</v>
      </c>
      <c r="F243" s="90">
        <v>43385</v>
      </c>
      <c r="G243" s="353">
        <v>5.4</v>
      </c>
      <c r="H243" s="137">
        <v>1000</v>
      </c>
      <c r="I243" s="138">
        <v>22.68</v>
      </c>
      <c r="J243" s="138">
        <v>2.4900000000000002</v>
      </c>
      <c r="K243" s="138">
        <v>2.2000000000000002</v>
      </c>
      <c r="L243" s="139">
        <v>5427.37</v>
      </c>
      <c r="M243" s="2"/>
      <c r="N243" s="1"/>
      <c r="O243" s="1">
        <f>IF(D243="Sell",H243,-H243)</f>
        <v>-1000</v>
      </c>
      <c r="P243" s="1">
        <f>IF(D243="Sell",L243,-L243)</f>
        <v>-5427.37</v>
      </c>
      <c r="Q243" s="1"/>
      <c r="R243" s="1"/>
    </row>
    <row r="244" spans="2:18" s="133" customFormat="1" ht="12" thickBot="1" x14ac:dyDescent="0.25">
      <c r="B244" s="359" t="s">
        <v>115</v>
      </c>
      <c r="C244" s="214">
        <v>6537214</v>
      </c>
      <c r="D244" s="214" t="s">
        <v>111</v>
      </c>
      <c r="E244" s="360">
        <v>43504</v>
      </c>
      <c r="F244" s="360">
        <v>43508</v>
      </c>
      <c r="G244" s="361">
        <v>5.63</v>
      </c>
      <c r="H244" s="206">
        <v>1000</v>
      </c>
      <c r="I244" s="207">
        <v>18.14</v>
      </c>
      <c r="J244" s="207">
        <v>2.0299999999999998</v>
      </c>
      <c r="K244" s="207">
        <v>2.2000000000000002</v>
      </c>
      <c r="L244" s="215">
        <v>5607.63</v>
      </c>
      <c r="M244" s="633"/>
      <c r="N244" s="362"/>
      <c r="O244" s="362">
        <f>IF(D244="Sell",H244,-H244)</f>
        <v>1000</v>
      </c>
      <c r="P244" s="362">
        <f>IF(D244="Sell",L244,-L244)</f>
        <v>5607.63</v>
      </c>
      <c r="Q244" s="1"/>
      <c r="R244" s="1"/>
    </row>
    <row r="245" spans="2:18" s="133" customFormat="1" x14ac:dyDescent="0.2">
      <c r="B245" s="352"/>
      <c r="C245" s="159"/>
      <c r="D245" s="159"/>
      <c r="E245" s="90"/>
      <c r="F245" s="90"/>
      <c r="G245" s="353"/>
      <c r="H245" s="137"/>
      <c r="I245" s="138"/>
      <c r="J245" s="138"/>
      <c r="K245" s="138"/>
      <c r="L245" s="139"/>
      <c r="M245" s="2"/>
      <c r="N245" s="1"/>
      <c r="O245" s="1">
        <f>SUM(O243:O244)</f>
        <v>0</v>
      </c>
      <c r="P245" s="1">
        <f>SUM(P243:P244)</f>
        <v>180.26000000000022</v>
      </c>
      <c r="Q245" s="1">
        <v>180.26000000000022</v>
      </c>
      <c r="R245" s="1"/>
    </row>
    <row r="246" spans="2:18" s="133" customFormat="1" x14ac:dyDescent="0.2">
      <c r="B246" s="352"/>
      <c r="C246" s="159"/>
      <c r="D246" s="159"/>
      <c r="E246" s="90"/>
      <c r="F246" s="90"/>
      <c r="G246" s="353"/>
      <c r="H246" s="137"/>
      <c r="I246" s="138"/>
      <c r="J246" s="138"/>
      <c r="K246" s="138"/>
      <c r="L246" s="139"/>
      <c r="M246" s="2"/>
      <c r="N246" s="1"/>
      <c r="O246" s="1"/>
      <c r="P246" s="1"/>
      <c r="Q246" s="1"/>
      <c r="R246" s="1"/>
    </row>
    <row r="247" spans="2:18" s="133" customFormat="1" x14ac:dyDescent="0.2">
      <c r="B247" s="352"/>
      <c r="C247" s="159"/>
      <c r="D247" s="159"/>
      <c r="E247" s="90"/>
      <c r="F247" s="90"/>
      <c r="G247" s="353"/>
      <c r="H247" s="137"/>
      <c r="I247" s="138"/>
      <c r="J247" s="138"/>
      <c r="K247" s="138"/>
      <c r="L247" s="139"/>
      <c r="M247" s="2"/>
      <c r="N247" s="1"/>
      <c r="O247" s="1"/>
      <c r="P247" s="1"/>
      <c r="Q247" s="1"/>
      <c r="R247" s="1"/>
    </row>
    <row r="248" spans="2:18" s="133" customFormat="1" x14ac:dyDescent="0.2">
      <c r="B248" s="352" t="s">
        <v>8</v>
      </c>
      <c r="C248" s="159">
        <v>6791213</v>
      </c>
      <c r="D248" s="159" t="s">
        <v>111</v>
      </c>
      <c r="E248" s="90">
        <v>43546</v>
      </c>
      <c r="F248" s="90">
        <v>43550</v>
      </c>
      <c r="G248" s="353">
        <v>12.53</v>
      </c>
      <c r="H248" s="137">
        <v>3000</v>
      </c>
      <c r="I248" s="138">
        <v>37.590000000000003</v>
      </c>
      <c r="J248" s="138">
        <v>3.98</v>
      </c>
      <c r="K248" s="138">
        <v>2.2000000000000002</v>
      </c>
      <c r="L248" s="139">
        <v>37546.230000000003</v>
      </c>
      <c r="M248" s="2"/>
      <c r="N248" s="1"/>
      <c r="O248" s="1">
        <f>IF(D248="Sell",H248,-H248)</f>
        <v>3000</v>
      </c>
      <c r="P248" s="1">
        <f>IF(D248="Sell",L248,-L248)</f>
        <v>37546.230000000003</v>
      </c>
      <c r="Q248" s="1"/>
      <c r="R248" s="1"/>
    </row>
    <row r="249" spans="2:18" s="133" customFormat="1" ht="12" thickBot="1" x14ac:dyDescent="0.25">
      <c r="B249" s="359" t="s">
        <v>8</v>
      </c>
      <c r="C249" s="214">
        <v>-118058729</v>
      </c>
      <c r="D249" s="214" t="s">
        <v>112</v>
      </c>
      <c r="E249" s="360">
        <v>43293</v>
      </c>
      <c r="F249" s="360">
        <v>43297</v>
      </c>
      <c r="G249" s="361">
        <v>9.8000000000000007</v>
      </c>
      <c r="H249" s="206">
        <v>3000</v>
      </c>
      <c r="I249" s="207">
        <v>31.4</v>
      </c>
      <c r="J249" s="207">
        <v>3.14</v>
      </c>
      <c r="K249" s="207">
        <v>0</v>
      </c>
      <c r="L249" s="215">
        <v>29434.54</v>
      </c>
      <c r="M249" s="633"/>
      <c r="N249" s="362"/>
      <c r="O249" s="362">
        <f>IF(D249="Sell",H249,-H249)</f>
        <v>-3000</v>
      </c>
      <c r="P249" s="362">
        <f>IF(D249="Sell",L249,-L249)</f>
        <v>-29434.54</v>
      </c>
      <c r="Q249" s="1"/>
      <c r="R249" s="1"/>
    </row>
    <row r="250" spans="2:18" s="133" customFormat="1" x14ac:dyDescent="0.2">
      <c r="B250" s="352"/>
      <c r="C250" s="159"/>
      <c r="D250" s="159"/>
      <c r="E250" s="90"/>
      <c r="F250" s="90"/>
      <c r="G250" s="353"/>
      <c r="H250" s="137"/>
      <c r="I250" s="138"/>
      <c r="J250" s="138"/>
      <c r="K250" s="138"/>
      <c r="L250" s="139"/>
      <c r="M250" s="2"/>
      <c r="N250" s="1"/>
      <c r="O250" s="1">
        <f>SUM(O248:O249)</f>
        <v>0</v>
      </c>
      <c r="P250" s="1">
        <f>SUM(P248:P249)</f>
        <v>8111.6900000000023</v>
      </c>
      <c r="Q250" s="1">
        <v>8111.6900000000023</v>
      </c>
      <c r="R250" s="1"/>
    </row>
    <row r="251" spans="2:18" s="133" customFormat="1" x14ac:dyDescent="0.2">
      <c r="B251" s="352"/>
      <c r="C251" s="159"/>
      <c r="D251" s="159"/>
      <c r="E251" s="90"/>
      <c r="F251" s="90"/>
      <c r="G251" s="353"/>
      <c r="H251" s="137"/>
      <c r="I251" s="138"/>
      <c r="J251" s="138"/>
      <c r="K251" s="138"/>
      <c r="L251" s="139"/>
      <c r="M251" s="2"/>
      <c r="N251" s="1"/>
      <c r="O251" s="1"/>
      <c r="P251" s="1"/>
      <c r="Q251" s="1"/>
      <c r="R251" s="1"/>
    </row>
    <row r="252" spans="2:18" s="133" customFormat="1" x14ac:dyDescent="0.2">
      <c r="B252" s="352"/>
      <c r="C252" s="159"/>
      <c r="D252" s="159"/>
      <c r="E252" s="90"/>
      <c r="F252" s="90"/>
      <c r="G252" s="353"/>
      <c r="H252" s="137"/>
      <c r="I252" s="138"/>
      <c r="J252" s="138"/>
      <c r="K252" s="138"/>
      <c r="L252" s="139"/>
      <c r="M252" s="2"/>
      <c r="N252" s="1"/>
      <c r="O252" s="1"/>
      <c r="P252" s="1"/>
      <c r="Q252" s="1"/>
      <c r="R252" s="1"/>
    </row>
    <row r="253" spans="2:18" s="133" customFormat="1" x14ac:dyDescent="0.2">
      <c r="B253" s="352" t="s">
        <v>49</v>
      </c>
      <c r="C253" s="159">
        <v>6548898</v>
      </c>
      <c r="D253" s="159" t="s">
        <v>111</v>
      </c>
      <c r="E253" s="90">
        <v>43508</v>
      </c>
      <c r="F253" s="90">
        <v>43510</v>
      </c>
      <c r="G253" s="353">
        <v>2.23</v>
      </c>
      <c r="H253" s="137">
        <v>4500</v>
      </c>
      <c r="I253" s="138">
        <v>18.14</v>
      </c>
      <c r="J253" s="138">
        <v>2.0299999999999998</v>
      </c>
      <c r="K253" s="138">
        <v>2.2000000000000002</v>
      </c>
      <c r="L253" s="139">
        <v>10012.629999999999</v>
      </c>
      <c r="M253" s="2"/>
      <c r="N253" s="1"/>
      <c r="O253" s="1">
        <f>IF(D253="Sell",H253,-H253)</f>
        <v>4500</v>
      </c>
      <c r="P253" s="1">
        <f>IF(D253="Sell",L253,-L253)</f>
        <v>10012.629999999999</v>
      </c>
      <c r="Q253" s="1"/>
      <c r="R253" s="1"/>
    </row>
    <row r="254" spans="2:18" s="133" customFormat="1" ht="12" thickBot="1" x14ac:dyDescent="0.25">
      <c r="B254" s="359" t="s">
        <v>49</v>
      </c>
      <c r="C254" s="214">
        <v>-117059376</v>
      </c>
      <c r="D254" s="214" t="s">
        <v>112</v>
      </c>
      <c r="E254" s="360">
        <v>43250</v>
      </c>
      <c r="F254" s="360">
        <v>43252</v>
      </c>
      <c r="G254" s="361">
        <v>2.2000000000000002</v>
      </c>
      <c r="H254" s="206">
        <v>4500</v>
      </c>
      <c r="I254" s="207">
        <v>20.14</v>
      </c>
      <c r="J254" s="207">
        <v>2.0099999999999998</v>
      </c>
      <c r="K254" s="207">
        <v>0</v>
      </c>
      <c r="L254" s="215">
        <v>9922.15</v>
      </c>
      <c r="M254" s="633"/>
      <c r="N254" s="362"/>
      <c r="O254" s="362">
        <f>IF(D254="Sell",H254,-H254)</f>
        <v>-4500</v>
      </c>
      <c r="P254" s="362">
        <f>IF(D254="Sell",L254,-L254)</f>
        <v>-9922.15</v>
      </c>
      <c r="Q254" s="1"/>
      <c r="R254" s="1"/>
    </row>
    <row r="255" spans="2:18" s="133" customFormat="1" x14ac:dyDescent="0.2">
      <c r="B255" s="352"/>
      <c r="C255" s="159"/>
      <c r="D255" s="159"/>
      <c r="E255" s="90"/>
      <c r="F255" s="90"/>
      <c r="G255" s="353"/>
      <c r="H255" s="137"/>
      <c r="I255" s="138"/>
      <c r="J255" s="138"/>
      <c r="K255" s="138"/>
      <c r="L255" s="139"/>
      <c r="M255" s="2"/>
      <c r="N255" s="1"/>
      <c r="O255" s="1">
        <f>SUM(O253:O254)</f>
        <v>0</v>
      </c>
      <c r="P255" s="1">
        <f>SUM(P253:P254)</f>
        <v>90.479999999999563</v>
      </c>
      <c r="Q255" s="1">
        <v>90.479999999999563</v>
      </c>
      <c r="R255" s="1"/>
    </row>
    <row r="256" spans="2:18" s="133" customFormat="1" x14ac:dyDescent="0.2">
      <c r="B256" s="352"/>
      <c r="C256" s="159"/>
      <c r="D256" s="159"/>
      <c r="E256" s="90"/>
      <c r="F256" s="90"/>
      <c r="G256" s="353"/>
      <c r="H256" s="137"/>
      <c r="I256" s="138"/>
      <c r="J256" s="138"/>
      <c r="K256" s="138"/>
      <c r="L256" s="139"/>
      <c r="M256" s="2"/>
      <c r="N256" s="1"/>
      <c r="O256" s="1"/>
      <c r="P256" s="1"/>
      <c r="Q256" s="1"/>
      <c r="R256" s="1"/>
    </row>
    <row r="257" spans="2:18" s="133" customFormat="1" x14ac:dyDescent="0.2">
      <c r="B257" s="352" t="s">
        <v>116</v>
      </c>
      <c r="C257" s="159">
        <v>6199545</v>
      </c>
      <c r="D257" s="159" t="s">
        <v>112</v>
      </c>
      <c r="E257" s="90">
        <v>43427</v>
      </c>
      <c r="F257" s="90">
        <v>43431</v>
      </c>
      <c r="G257" s="353">
        <v>2.77</v>
      </c>
      <c r="H257" s="137">
        <v>3500</v>
      </c>
      <c r="I257" s="138">
        <v>18.14</v>
      </c>
      <c r="J257" s="138">
        <v>2.0299999999999998</v>
      </c>
      <c r="K257" s="138">
        <v>2.2000000000000002</v>
      </c>
      <c r="L257" s="139">
        <v>9717.3700000000008</v>
      </c>
      <c r="M257" s="2"/>
      <c r="N257" s="1"/>
      <c r="O257" s="1">
        <f>IF(D257="Sell",H257,-H257)</f>
        <v>-3500</v>
      </c>
      <c r="P257" s="1">
        <f>IF(D257="Sell",L257,-L257)</f>
        <v>-9717.3700000000008</v>
      </c>
      <c r="Q257" s="1"/>
      <c r="R257" s="1"/>
    </row>
    <row r="258" spans="2:18" s="133" customFormat="1" ht="12" thickBot="1" x14ac:dyDescent="0.25">
      <c r="B258" s="359" t="s">
        <v>116</v>
      </c>
      <c r="C258" s="214">
        <v>6656085</v>
      </c>
      <c r="D258" s="214" t="s">
        <v>111</v>
      </c>
      <c r="E258" s="360">
        <v>43524</v>
      </c>
      <c r="F258" s="360">
        <v>43528</v>
      </c>
      <c r="G258" s="361">
        <v>2.7</v>
      </c>
      <c r="H258" s="206">
        <v>3500</v>
      </c>
      <c r="I258" s="207">
        <v>18.14</v>
      </c>
      <c r="J258" s="207">
        <v>2.0299999999999998</v>
      </c>
      <c r="K258" s="207">
        <v>2.2000000000000002</v>
      </c>
      <c r="L258" s="215">
        <v>9427.6299999999992</v>
      </c>
      <c r="M258" s="633"/>
      <c r="N258" s="362"/>
      <c r="O258" s="362">
        <f>IF(D258="Sell",H258,-H258)</f>
        <v>3500</v>
      </c>
      <c r="P258" s="362">
        <f>IF(D258="Sell",L258,-L258)</f>
        <v>9427.6299999999992</v>
      </c>
      <c r="Q258" s="1"/>
      <c r="R258" s="1"/>
    </row>
    <row r="259" spans="2:18" s="133" customFormat="1" x14ac:dyDescent="0.2">
      <c r="B259" s="352"/>
      <c r="C259" s="159"/>
      <c r="D259" s="159"/>
      <c r="E259" s="90"/>
      <c r="F259" s="90"/>
      <c r="G259" s="353"/>
      <c r="H259" s="137"/>
      <c r="I259" s="138"/>
      <c r="J259" s="138"/>
      <c r="K259" s="138"/>
      <c r="L259" s="139"/>
      <c r="M259" s="2"/>
      <c r="N259" s="1"/>
      <c r="O259" s="1">
        <f>SUM(O257:O258)</f>
        <v>0</v>
      </c>
      <c r="P259" s="1">
        <f>SUM(P257:P258)</f>
        <v>-289.7400000000016</v>
      </c>
      <c r="Q259" s="1">
        <v>-289.7400000000016</v>
      </c>
      <c r="R259" s="1"/>
    </row>
    <row r="260" spans="2:18" s="133" customFormat="1" x14ac:dyDescent="0.2">
      <c r="B260" s="352"/>
      <c r="C260" s="159"/>
      <c r="D260" s="159"/>
      <c r="E260" s="90"/>
      <c r="F260" s="90"/>
      <c r="G260" s="353"/>
      <c r="H260" s="137"/>
      <c r="I260" s="138"/>
      <c r="J260" s="138"/>
      <c r="K260" s="138"/>
      <c r="L260" s="139"/>
      <c r="M260" s="2"/>
      <c r="N260" s="1"/>
      <c r="O260" s="1"/>
      <c r="P260" s="1"/>
      <c r="Q260" s="1"/>
      <c r="R260" s="1"/>
    </row>
    <row r="261" spans="2:18" s="133" customFormat="1" x14ac:dyDescent="0.2">
      <c r="B261" s="352" t="s">
        <v>32</v>
      </c>
      <c r="C261" s="159">
        <v>6418778</v>
      </c>
      <c r="D261" s="159" t="s">
        <v>111</v>
      </c>
      <c r="E261" s="90">
        <v>43482</v>
      </c>
      <c r="F261" s="90">
        <v>43486</v>
      </c>
      <c r="G261" s="353">
        <v>3.17</v>
      </c>
      <c r="H261" s="137">
        <v>4450</v>
      </c>
      <c r="I261" s="138">
        <v>18.14</v>
      </c>
      <c r="J261" s="138">
        <v>2.0299999999999998</v>
      </c>
      <c r="K261" s="138">
        <v>2.2000000000000002</v>
      </c>
      <c r="L261" s="139">
        <v>14084.13</v>
      </c>
      <c r="M261" s="2"/>
      <c r="N261" s="1"/>
      <c r="O261" s="1">
        <f>IF(D261="Sell",H261,-H261)</f>
        <v>4450</v>
      </c>
      <c r="P261" s="1">
        <f>IF(D261="Sell",L261,-L261)</f>
        <v>14084.13</v>
      </c>
      <c r="Q261" s="1">
        <v>14084.13</v>
      </c>
      <c r="R261" s="1"/>
    </row>
    <row r="262" spans="2:18" s="133" customFormat="1" x14ac:dyDescent="0.2">
      <c r="B262" s="352"/>
      <c r="C262" s="159"/>
      <c r="D262" s="159"/>
      <c r="E262" s="90"/>
      <c r="F262" s="90"/>
      <c r="G262" s="353"/>
      <c r="H262" s="146"/>
      <c r="I262" s="138"/>
      <c r="J262" s="138"/>
      <c r="K262" s="138"/>
      <c r="L262" s="139"/>
      <c r="M262" s="2"/>
      <c r="N262" s="1"/>
      <c r="O262" s="1"/>
      <c r="P262" s="1"/>
      <c r="Q262" s="1"/>
      <c r="R262" s="1"/>
    </row>
    <row r="263" spans="2:18" s="133" customFormat="1" x14ac:dyDescent="0.2">
      <c r="B263" s="352" t="s">
        <v>11</v>
      </c>
      <c r="C263" s="159">
        <v>6491739</v>
      </c>
      <c r="D263" s="159" t="s">
        <v>111</v>
      </c>
      <c r="E263" s="90">
        <v>43497</v>
      </c>
      <c r="F263" s="90">
        <v>43501</v>
      </c>
      <c r="G263" s="353">
        <v>24.51</v>
      </c>
      <c r="H263" s="137">
        <v>500</v>
      </c>
      <c r="I263" s="138">
        <v>27.23</v>
      </c>
      <c r="J263" s="138">
        <v>2.94</v>
      </c>
      <c r="K263" s="138">
        <v>2.2000000000000002</v>
      </c>
      <c r="L263" s="139">
        <v>12222.63</v>
      </c>
      <c r="M263" s="2"/>
      <c r="N263" s="1"/>
      <c r="O263" s="1">
        <f>IF(D263="Sell",H263,-H263)</f>
        <v>500</v>
      </c>
      <c r="P263" s="1">
        <f>IF(D263="Sell",L263,-L263)</f>
        <v>12222.63</v>
      </c>
      <c r="Q263" s="1"/>
      <c r="R263" s="1"/>
    </row>
    <row r="264" spans="2:18" s="133" customFormat="1" ht="12" thickBot="1" x14ac:dyDescent="0.25">
      <c r="B264" s="359" t="s">
        <v>11</v>
      </c>
      <c r="C264" s="214">
        <v>-96071017</v>
      </c>
      <c r="D264" s="214" t="s">
        <v>112</v>
      </c>
      <c r="E264" s="360">
        <v>42492</v>
      </c>
      <c r="F264" s="360">
        <v>42494</v>
      </c>
      <c r="G264" s="361">
        <v>29.6</v>
      </c>
      <c r="H264" s="206">
        <v>500</v>
      </c>
      <c r="I264" s="207">
        <f>I267*5/35</f>
        <v>15.085714285714285</v>
      </c>
      <c r="J264" s="207">
        <f>J267*5/35</f>
        <v>1.5085714285714287</v>
      </c>
      <c r="K264" s="207">
        <f>K267*5/35</f>
        <v>0</v>
      </c>
      <c r="L264" s="215">
        <f>L267*5/35</f>
        <v>14816.594285714287</v>
      </c>
      <c r="M264" s="633"/>
      <c r="N264" s="362"/>
      <c r="O264" s="362">
        <f>IF(D264="Sell",H264,-H264)</f>
        <v>-500</v>
      </c>
      <c r="P264" s="362">
        <f>IF(D264="Sell",L264,-L264)</f>
        <v>-14816.594285714287</v>
      </c>
      <c r="Q264" s="1"/>
      <c r="R264" s="1"/>
    </row>
    <row r="265" spans="2:18" s="133" customFormat="1" x14ac:dyDescent="0.2">
      <c r="B265" s="352"/>
      <c r="C265" s="159"/>
      <c r="D265" s="159"/>
      <c r="E265" s="90"/>
      <c r="F265" s="90"/>
      <c r="G265" s="353"/>
      <c r="H265" s="146"/>
      <c r="I265" s="138"/>
      <c r="J265" s="138"/>
      <c r="K265" s="138"/>
      <c r="L265" s="139"/>
      <c r="M265" s="2"/>
      <c r="N265" s="1"/>
      <c r="O265" s="1">
        <f>SUM(O263:O264)</f>
        <v>0</v>
      </c>
      <c r="P265" s="1">
        <f>SUM(P263:P264)</f>
        <v>-2593.9642857142881</v>
      </c>
      <c r="Q265" s="1">
        <v>-2593.9642857142881</v>
      </c>
      <c r="R265" s="1"/>
    </row>
    <row r="266" spans="2:18" s="133" customFormat="1" x14ac:dyDescent="0.2">
      <c r="B266" s="352"/>
      <c r="C266" s="159"/>
      <c r="D266" s="159"/>
      <c r="E266" s="90"/>
      <c r="F266" s="90"/>
      <c r="G266" s="353"/>
      <c r="H266" s="146"/>
      <c r="I266" s="138"/>
      <c r="J266" s="138"/>
      <c r="K266" s="138"/>
      <c r="L266" s="139"/>
      <c r="M266" s="2"/>
      <c r="N266" s="1"/>
      <c r="O266" s="1"/>
      <c r="P266" s="1"/>
      <c r="Q266" s="1"/>
      <c r="R266" s="1"/>
    </row>
    <row r="267" spans="2:18" s="133" customFormat="1" x14ac:dyDescent="0.2">
      <c r="B267" s="390" t="s">
        <v>11</v>
      </c>
      <c r="C267" s="391">
        <v>-96071017</v>
      </c>
      <c r="D267" s="391" t="s">
        <v>112</v>
      </c>
      <c r="E267" s="392">
        <v>42492</v>
      </c>
      <c r="F267" s="392">
        <v>42494</v>
      </c>
      <c r="G267" s="393">
        <v>29.6</v>
      </c>
      <c r="H267" s="394">
        <v>3500</v>
      </c>
      <c r="I267" s="900">
        <v>105.6</v>
      </c>
      <c r="J267" s="900">
        <v>10.56</v>
      </c>
      <c r="K267" s="900">
        <v>0</v>
      </c>
      <c r="L267" s="395">
        <v>103716.16</v>
      </c>
      <c r="M267" s="2"/>
      <c r="N267" s="1"/>
      <c r="O267" s="1"/>
      <c r="P267" s="1"/>
      <c r="Q267" s="1"/>
      <c r="R267" s="1"/>
    </row>
    <row r="268" spans="2:18" s="133" customFormat="1" x14ac:dyDescent="0.2">
      <c r="B268" s="352"/>
      <c r="C268" s="159"/>
      <c r="D268" s="159"/>
      <c r="E268" s="90"/>
      <c r="F268" s="90"/>
      <c r="G268" s="353"/>
      <c r="H268" s="137"/>
      <c r="I268" s="138"/>
      <c r="J268" s="138"/>
      <c r="K268" s="138"/>
      <c r="L268" s="139"/>
      <c r="M268" s="2"/>
      <c r="N268" s="1"/>
      <c r="O268" s="1"/>
      <c r="P268" s="1"/>
      <c r="Q268" s="1"/>
      <c r="R268" s="1"/>
    </row>
    <row r="269" spans="2:18" s="133" customFormat="1" x14ac:dyDescent="0.2">
      <c r="B269" s="352"/>
      <c r="C269" s="159"/>
      <c r="D269" s="159"/>
      <c r="E269" s="90"/>
      <c r="F269" s="90"/>
      <c r="G269" s="353"/>
      <c r="H269" s="137"/>
      <c r="I269" s="138"/>
      <c r="J269" s="138"/>
      <c r="K269" s="138"/>
      <c r="L269" s="139"/>
      <c r="M269" s="2"/>
      <c r="N269" s="1"/>
      <c r="O269" s="1"/>
      <c r="P269" s="1"/>
      <c r="Q269" s="1"/>
      <c r="R269" s="1"/>
    </row>
    <row r="270" spans="2:18" s="133" customFormat="1" x14ac:dyDescent="0.2">
      <c r="B270" s="352" t="s">
        <v>35</v>
      </c>
      <c r="C270" s="159">
        <v>6415535</v>
      </c>
      <c r="D270" s="159" t="s">
        <v>111</v>
      </c>
      <c r="E270" s="90">
        <v>43481</v>
      </c>
      <c r="F270" s="90">
        <v>43483</v>
      </c>
      <c r="G270" s="353">
        <v>32.1721</v>
      </c>
      <c r="H270" s="137">
        <v>200</v>
      </c>
      <c r="I270" s="138">
        <v>18.14</v>
      </c>
      <c r="J270" s="138">
        <v>2.0299999999999998</v>
      </c>
      <c r="K270" s="138">
        <v>2.2000000000000002</v>
      </c>
      <c r="L270" s="139">
        <v>6412.04</v>
      </c>
      <c r="M270" s="2"/>
      <c r="N270" s="1"/>
      <c r="O270" s="1">
        <f>IF(D270="Sell",H270,-H270)</f>
        <v>200</v>
      </c>
      <c r="P270" s="1">
        <f>IF(D270="Sell",L270,-L270)</f>
        <v>6412.04</v>
      </c>
      <c r="Q270" s="1"/>
      <c r="R270" s="1"/>
    </row>
    <row r="271" spans="2:18" s="133" customFormat="1" ht="12" thickBot="1" x14ac:dyDescent="0.25">
      <c r="B271" s="359" t="s">
        <v>35</v>
      </c>
      <c r="C271" s="214">
        <v>-108925658</v>
      </c>
      <c r="D271" s="214" t="s">
        <v>112</v>
      </c>
      <c r="E271" s="360">
        <v>42975</v>
      </c>
      <c r="F271" s="360">
        <v>42977</v>
      </c>
      <c r="G271" s="361">
        <v>41.77</v>
      </c>
      <c r="H271" s="206">
        <v>200</v>
      </c>
      <c r="I271" s="207">
        <f>I274*0.4</f>
        <v>9.1560000000000006</v>
      </c>
      <c r="J271" s="207">
        <f>J274*0.4</f>
        <v>0.91600000000000004</v>
      </c>
      <c r="K271" s="207">
        <f>K274*0.4</f>
        <v>0</v>
      </c>
      <c r="L271" s="215">
        <f>L274*0.4</f>
        <v>8364.0720000000001</v>
      </c>
      <c r="M271" s="633"/>
      <c r="N271" s="362"/>
      <c r="O271" s="362">
        <f>IF(D271="Sell",H271,-H271)</f>
        <v>-200</v>
      </c>
      <c r="P271" s="362">
        <f>IF(D271="Sell",L271,-L271)</f>
        <v>-8364.0720000000001</v>
      </c>
      <c r="Q271" s="1"/>
      <c r="R271" s="1"/>
    </row>
    <row r="272" spans="2:18" s="85" customFormat="1" x14ac:dyDescent="0.2">
      <c r="B272" s="364"/>
      <c r="C272" s="365"/>
      <c r="D272" s="365"/>
      <c r="E272" s="366"/>
      <c r="F272" s="366"/>
      <c r="G272" s="367"/>
      <c r="H272" s="368"/>
      <c r="I272" s="903"/>
      <c r="J272" s="903"/>
      <c r="K272" s="903"/>
      <c r="L272" s="369"/>
      <c r="M272" s="305"/>
      <c r="N272" s="370"/>
      <c r="O272" s="370">
        <f>SUM(O270:O271)</f>
        <v>0</v>
      </c>
      <c r="P272" s="370">
        <f>SUM(P270:P271)</f>
        <v>-1952.0320000000002</v>
      </c>
      <c r="Q272" s="363">
        <v>-1952.0320000000002</v>
      </c>
      <c r="R272" s="363"/>
    </row>
    <row r="273" spans="1:18" s="133" customFormat="1" x14ac:dyDescent="0.2">
      <c r="B273" s="352"/>
      <c r="C273" s="159"/>
      <c r="D273" s="159"/>
      <c r="E273" s="90"/>
      <c r="F273" s="90"/>
      <c r="G273" s="353"/>
      <c r="H273" s="137"/>
      <c r="I273" s="138"/>
      <c r="J273" s="138"/>
      <c r="K273" s="138"/>
      <c r="L273" s="139"/>
      <c r="M273" s="2"/>
      <c r="N273" s="1"/>
      <c r="O273" s="1"/>
      <c r="P273" s="1"/>
      <c r="Q273" s="1"/>
      <c r="R273" s="1"/>
    </row>
    <row r="274" spans="1:18" s="133" customFormat="1" x14ac:dyDescent="0.2">
      <c r="B274" s="390" t="s">
        <v>35</v>
      </c>
      <c r="C274" s="391">
        <v>-108925658</v>
      </c>
      <c r="D274" s="391" t="s">
        <v>112</v>
      </c>
      <c r="E274" s="392">
        <v>42975</v>
      </c>
      <c r="F274" s="392">
        <v>42977</v>
      </c>
      <c r="G274" s="393">
        <v>41.77</v>
      </c>
      <c r="H274" s="394">
        <v>500</v>
      </c>
      <c r="I274" s="900">
        <v>22.89</v>
      </c>
      <c r="J274" s="900">
        <v>2.29</v>
      </c>
      <c r="K274" s="900">
        <v>0</v>
      </c>
      <c r="L274" s="395">
        <v>20910.18</v>
      </c>
      <c r="M274" s="2"/>
      <c r="N274" s="1"/>
      <c r="O274" s="1"/>
      <c r="P274" s="1"/>
      <c r="Q274" s="1"/>
      <c r="R274" s="1"/>
    </row>
    <row r="275" spans="1:18" s="133" customFormat="1" x14ac:dyDescent="0.2">
      <c r="B275" s="352"/>
      <c r="C275" s="159"/>
      <c r="D275" s="159"/>
      <c r="E275" s="90"/>
      <c r="F275" s="90"/>
      <c r="G275" s="353"/>
      <c r="H275" s="137"/>
      <c r="I275" s="138"/>
      <c r="J275" s="138"/>
      <c r="K275" s="138"/>
      <c r="L275" s="139"/>
      <c r="M275" s="2"/>
      <c r="N275" s="1"/>
      <c r="O275" s="1"/>
      <c r="P275" s="1"/>
      <c r="Q275" s="1"/>
      <c r="R275" s="1"/>
    </row>
    <row r="276" spans="1:18" s="133" customFormat="1" x14ac:dyDescent="0.2">
      <c r="B276" s="352"/>
      <c r="C276" s="159"/>
      <c r="D276" s="159"/>
      <c r="E276" s="90"/>
      <c r="F276" s="90"/>
      <c r="G276" s="353"/>
      <c r="H276" s="137"/>
      <c r="I276" s="138"/>
      <c r="J276" s="138"/>
      <c r="K276" s="138"/>
      <c r="L276" s="139"/>
      <c r="M276" s="2"/>
      <c r="N276" s="1"/>
      <c r="O276" s="1"/>
      <c r="P276" s="1"/>
      <c r="Q276" s="1"/>
      <c r="R276" s="1"/>
    </row>
    <row r="277" spans="1:18" s="133" customFormat="1" x14ac:dyDescent="0.2">
      <c r="B277" s="352" t="s">
        <v>37</v>
      </c>
      <c r="C277" s="159">
        <v>6600226</v>
      </c>
      <c r="D277" s="159" t="s">
        <v>112</v>
      </c>
      <c r="E277" s="90">
        <v>43516</v>
      </c>
      <c r="F277" s="90">
        <v>43518</v>
      </c>
      <c r="G277" s="353">
        <v>28.6</v>
      </c>
      <c r="H277" s="137">
        <v>600</v>
      </c>
      <c r="I277" s="138">
        <v>18.14</v>
      </c>
      <c r="J277" s="138">
        <v>2.0299999999999998</v>
      </c>
      <c r="K277" s="138">
        <v>2.2000000000000002</v>
      </c>
      <c r="L277" s="139">
        <v>17182.37</v>
      </c>
      <c r="M277" s="2"/>
      <c r="N277" s="1"/>
      <c r="O277" s="1">
        <f>IF(D277="Sell",H277,-H277)</f>
        <v>-600</v>
      </c>
      <c r="P277" s="1">
        <f>IF(D277="Sell",L277,-L277)</f>
        <v>-17182.37</v>
      </c>
      <c r="Q277" s="1"/>
      <c r="R277" s="1"/>
    </row>
    <row r="278" spans="1:18" s="133" customFormat="1" x14ac:dyDescent="0.2">
      <c r="B278" s="352" t="s">
        <v>37</v>
      </c>
      <c r="C278" s="159">
        <v>6892718</v>
      </c>
      <c r="D278" s="159" t="s">
        <v>111</v>
      </c>
      <c r="E278" s="90">
        <v>43565</v>
      </c>
      <c r="F278" s="90">
        <v>43567</v>
      </c>
      <c r="G278" s="353">
        <v>30.4</v>
      </c>
      <c r="H278" s="137">
        <v>1000</v>
      </c>
      <c r="I278" s="138">
        <v>30.4</v>
      </c>
      <c r="J278" s="138">
        <v>3.26</v>
      </c>
      <c r="K278" s="138">
        <v>2.2000000000000002</v>
      </c>
      <c r="L278" s="139">
        <v>30364.14</v>
      </c>
      <c r="M278" s="2"/>
      <c r="N278" s="1"/>
      <c r="O278" s="1">
        <f>IF(D278="Sell",H278,-H278)</f>
        <v>1000</v>
      </c>
      <c r="P278" s="1">
        <f>IF(D278="Sell",L278,-L278)</f>
        <v>30364.14</v>
      </c>
      <c r="Q278" s="1"/>
      <c r="R278" s="1"/>
    </row>
    <row r="279" spans="1:18" s="133" customFormat="1" ht="12" thickBot="1" x14ac:dyDescent="0.25">
      <c r="B279" s="359" t="s">
        <v>37</v>
      </c>
      <c r="C279" s="214">
        <v>-110539194</v>
      </c>
      <c r="D279" s="214" t="s">
        <v>112</v>
      </c>
      <c r="E279" s="360">
        <v>43028</v>
      </c>
      <c r="F279" s="360">
        <v>43032</v>
      </c>
      <c r="G279" s="361">
        <v>25.78</v>
      </c>
      <c r="H279" s="206">
        <v>400</v>
      </c>
      <c r="I279" s="207">
        <v>20.14</v>
      </c>
      <c r="J279" s="207">
        <v>2.0099999999999998</v>
      </c>
      <c r="K279" s="207">
        <v>0</v>
      </c>
      <c r="L279" s="215">
        <v>10334.15</v>
      </c>
      <c r="M279" s="633"/>
      <c r="N279" s="362"/>
      <c r="O279" s="362">
        <f>IF(D279="Sell",H279,-H279)</f>
        <v>-400</v>
      </c>
      <c r="P279" s="362">
        <f>IF(D279="Sell",L279,-L279)</f>
        <v>-10334.15</v>
      </c>
      <c r="Q279" s="1"/>
      <c r="R279" s="1"/>
    </row>
    <row r="280" spans="1:18" s="133" customFormat="1" x14ac:dyDescent="0.2">
      <c r="B280" s="352"/>
      <c r="C280" s="159"/>
      <c r="D280" s="159"/>
      <c r="E280" s="90"/>
      <c r="F280" s="90"/>
      <c r="G280" s="353"/>
      <c r="H280" s="137"/>
      <c r="I280" s="138"/>
      <c r="J280" s="138"/>
      <c r="K280" s="138"/>
      <c r="L280" s="139"/>
      <c r="M280" s="2"/>
      <c r="N280" s="1"/>
      <c r="O280" s="1">
        <f>SUM(O277:O279)</f>
        <v>0</v>
      </c>
      <c r="P280" s="1">
        <f>SUM(P277:P279)</f>
        <v>2847.6200000000008</v>
      </c>
      <c r="Q280" s="1">
        <v>2847.6200000000008</v>
      </c>
      <c r="R280" s="1"/>
    </row>
    <row r="281" spans="1:18" s="133" customFormat="1" ht="12" thickBot="1" x14ac:dyDescent="0.25">
      <c r="B281" s="408"/>
      <c r="C281" s="202"/>
      <c r="D281" s="202"/>
      <c r="E281" s="409"/>
      <c r="F281" s="409"/>
      <c r="G281" s="410"/>
      <c r="H281" s="203"/>
      <c r="I281" s="904"/>
      <c r="J281" s="904"/>
      <c r="K281" s="904"/>
      <c r="L281" s="411"/>
      <c r="M281" s="2"/>
      <c r="N281" s="319"/>
      <c r="O281" s="319"/>
      <c r="P281" s="319"/>
      <c r="Q281" s="319"/>
      <c r="R281" s="1"/>
    </row>
    <row r="282" spans="1:18" ht="29.25" thickTop="1" thickBot="1" x14ac:dyDescent="0.45">
      <c r="A282" s="472" t="s">
        <v>284</v>
      </c>
      <c r="B282" s="1159" t="s">
        <v>285</v>
      </c>
      <c r="C282" s="1159"/>
      <c r="D282" s="1159"/>
      <c r="E282" s="1159"/>
      <c r="F282" s="1159"/>
      <c r="G282" s="1159"/>
      <c r="P282" s="1">
        <f>P280+P272+P265+P259+P255+P250+P245+P241+P237+P227+P231+P223+P218+P210+P206+P200+P195+P261</f>
        <v>13956.906047619055</v>
      </c>
      <c r="Q282" s="1">
        <f>SUM(Q195:Q281)</f>
        <v>13956.906047619059</v>
      </c>
    </row>
    <row r="283" spans="1:18" s="133" customFormat="1" ht="27.75" x14ac:dyDescent="0.4">
      <c r="A283" s="473"/>
      <c r="B283" s="474"/>
      <c r="C283" s="474"/>
      <c r="D283" s="474"/>
      <c r="E283" s="474"/>
      <c r="F283" s="474"/>
      <c r="G283" s="474"/>
      <c r="I283" s="1"/>
      <c r="J283" s="1"/>
      <c r="K283" s="1"/>
      <c r="L283" s="1"/>
      <c r="M283" s="2"/>
      <c r="N283" s="1"/>
      <c r="O283" s="1"/>
      <c r="P283" s="1"/>
      <c r="Q283" s="1"/>
    </row>
    <row r="284" spans="1:18" s="385" customFormat="1" ht="18.75" x14ac:dyDescent="0.3">
      <c r="B284" s="1145" t="s">
        <v>267</v>
      </c>
      <c r="C284" s="1145"/>
      <c r="D284" s="1145"/>
      <c r="E284" s="1145"/>
      <c r="F284" s="1145"/>
      <c r="G284" s="1145"/>
      <c r="H284" s="1145"/>
      <c r="I284" s="1145"/>
      <c r="J284" s="1145"/>
      <c r="K284" s="1145"/>
      <c r="L284" s="1145"/>
      <c r="M284" s="632"/>
      <c r="N284" s="386"/>
      <c r="O284" s="386"/>
      <c r="P284" s="386"/>
      <c r="Q284" s="386"/>
      <c r="R284" s="386"/>
    </row>
    <row r="285" spans="1:18" s="133" customFormat="1" x14ac:dyDescent="0.2">
      <c r="B285" s="352"/>
      <c r="C285" s="159"/>
      <c r="D285" s="159"/>
      <c r="E285" s="90"/>
      <c r="F285" s="90"/>
      <c r="G285" s="353"/>
      <c r="H285" s="137"/>
      <c r="I285" s="138"/>
      <c r="J285" s="138"/>
      <c r="K285" s="138"/>
      <c r="L285" s="139"/>
      <c r="M285" s="2"/>
      <c r="N285" s="1"/>
      <c r="O285" s="1"/>
      <c r="P285" s="1"/>
      <c r="Q285" s="1"/>
      <c r="R285" s="1"/>
    </row>
    <row r="286" spans="1:18" s="133" customFormat="1" x14ac:dyDescent="0.2">
      <c r="B286" s="352" t="s">
        <v>0</v>
      </c>
      <c r="C286" s="159">
        <v>7038216</v>
      </c>
      <c r="D286" s="159" t="s">
        <v>112</v>
      </c>
      <c r="E286" s="90">
        <v>43593</v>
      </c>
      <c r="F286" s="90">
        <v>43595</v>
      </c>
      <c r="G286" s="353">
        <v>27.405999999999999</v>
      </c>
      <c r="H286" s="137">
        <v>1000</v>
      </c>
      <c r="I286" s="138">
        <v>27.23</v>
      </c>
      <c r="J286" s="138">
        <v>2.94</v>
      </c>
      <c r="K286" s="138">
        <v>2.2000000000000002</v>
      </c>
      <c r="L286" s="139">
        <v>27438.400000000001</v>
      </c>
      <c r="M286" s="2"/>
      <c r="N286" s="1"/>
      <c r="O286" s="1"/>
      <c r="P286" s="1"/>
      <c r="Q286" s="1"/>
      <c r="R286" s="1"/>
    </row>
    <row r="287" spans="1:18" s="133" customFormat="1" x14ac:dyDescent="0.2">
      <c r="B287" s="352" t="s">
        <v>96</v>
      </c>
      <c r="C287" s="159">
        <v>6163180</v>
      </c>
      <c r="D287" s="159" t="s">
        <v>112</v>
      </c>
      <c r="E287" s="90">
        <v>43420</v>
      </c>
      <c r="F287" s="90">
        <v>43424</v>
      </c>
      <c r="G287" s="353">
        <v>5.35</v>
      </c>
      <c r="H287" s="137">
        <v>4000</v>
      </c>
      <c r="I287" s="138">
        <v>21.4</v>
      </c>
      <c r="J287" s="138">
        <v>2.36</v>
      </c>
      <c r="K287" s="138">
        <v>2.2000000000000002</v>
      </c>
      <c r="L287" s="139">
        <v>21425.96</v>
      </c>
      <c r="M287" s="2"/>
      <c r="N287" s="1"/>
      <c r="O287" s="1"/>
      <c r="P287" s="1"/>
      <c r="Q287" s="1"/>
      <c r="R287" s="1"/>
    </row>
    <row r="288" spans="1:18" s="133" customFormat="1" x14ac:dyDescent="0.2">
      <c r="B288" s="352" t="s">
        <v>96</v>
      </c>
      <c r="C288" s="159">
        <v>6546156</v>
      </c>
      <c r="D288" s="159" t="s">
        <v>112</v>
      </c>
      <c r="E288" s="90">
        <v>43507</v>
      </c>
      <c r="F288" s="90">
        <v>43509</v>
      </c>
      <c r="G288" s="353">
        <v>4.83</v>
      </c>
      <c r="H288" s="137">
        <v>1300</v>
      </c>
      <c r="I288" s="138">
        <v>18.14</v>
      </c>
      <c r="J288" s="138">
        <v>2.0299999999999998</v>
      </c>
      <c r="K288" s="138">
        <v>2.2000000000000002</v>
      </c>
      <c r="L288" s="139">
        <v>6301.37</v>
      </c>
      <c r="M288" s="2"/>
      <c r="N288" s="1"/>
      <c r="O288" s="1"/>
      <c r="P288" s="1"/>
      <c r="Q288" s="1"/>
      <c r="R288" s="1"/>
    </row>
    <row r="289" spans="2:18" s="133" customFormat="1" x14ac:dyDescent="0.2">
      <c r="B289" s="352" t="s">
        <v>96</v>
      </c>
      <c r="C289" s="159">
        <v>6895833</v>
      </c>
      <c r="D289" s="159" t="s">
        <v>112</v>
      </c>
      <c r="E289" s="90">
        <v>43566</v>
      </c>
      <c r="F289" s="90">
        <v>43570</v>
      </c>
      <c r="G289" s="353">
        <v>4.7</v>
      </c>
      <c r="H289" s="137">
        <v>2700</v>
      </c>
      <c r="I289" s="138">
        <v>18.14</v>
      </c>
      <c r="J289" s="138">
        <v>2.0299999999999998</v>
      </c>
      <c r="K289" s="138">
        <v>2.2000000000000002</v>
      </c>
      <c r="L289" s="139">
        <v>12712.37</v>
      </c>
      <c r="M289" s="2"/>
      <c r="N289" s="1"/>
      <c r="O289" s="1"/>
      <c r="P289" s="1"/>
      <c r="Q289" s="1"/>
      <c r="R289" s="1"/>
    </row>
    <row r="290" spans="2:18" s="133" customFormat="1" x14ac:dyDescent="0.2">
      <c r="B290" s="352" t="s">
        <v>30</v>
      </c>
      <c r="C290" s="159">
        <v>7064744</v>
      </c>
      <c r="D290" s="159" t="s">
        <v>112</v>
      </c>
      <c r="E290" s="90">
        <v>43598</v>
      </c>
      <c r="F290" s="90">
        <v>43600</v>
      </c>
      <c r="G290" s="353">
        <v>73.3</v>
      </c>
      <c r="H290" s="137">
        <v>500</v>
      </c>
      <c r="I290" s="138">
        <v>36.65</v>
      </c>
      <c r="J290" s="138">
        <v>3.89</v>
      </c>
      <c r="K290" s="138">
        <v>2.2000000000000002</v>
      </c>
      <c r="L290" s="139">
        <v>36692.74</v>
      </c>
      <c r="M290" s="2"/>
      <c r="N290" s="1"/>
      <c r="O290" s="1"/>
      <c r="P290" s="1"/>
      <c r="Q290" s="1"/>
      <c r="R290" s="1"/>
    </row>
    <row r="291" spans="2:18" s="133" customFormat="1" x14ac:dyDescent="0.2">
      <c r="B291" s="352" t="s">
        <v>30</v>
      </c>
      <c r="C291" s="159">
        <v>-118120095</v>
      </c>
      <c r="D291" s="159" t="s">
        <v>112</v>
      </c>
      <c r="E291" s="90">
        <v>43298</v>
      </c>
      <c r="F291" s="90">
        <v>43300</v>
      </c>
      <c r="G291" s="353">
        <v>74.3</v>
      </c>
      <c r="H291" s="137">
        <v>1000</v>
      </c>
      <c r="I291" s="138">
        <v>76.3</v>
      </c>
      <c r="J291" s="138">
        <v>7.63</v>
      </c>
      <c r="K291" s="138">
        <v>0</v>
      </c>
      <c r="L291" s="139">
        <v>74383.929999999993</v>
      </c>
      <c r="M291" s="2"/>
      <c r="N291" s="1"/>
      <c r="O291" s="1"/>
      <c r="P291" s="1"/>
      <c r="Q291" s="1"/>
      <c r="R291" s="1"/>
    </row>
    <row r="292" spans="2:18" s="133" customFormat="1" x14ac:dyDescent="0.2">
      <c r="B292" s="352" t="s">
        <v>30</v>
      </c>
      <c r="C292" s="159">
        <v>-118441207</v>
      </c>
      <c r="D292" s="159" t="s">
        <v>112</v>
      </c>
      <c r="E292" s="90">
        <v>43315</v>
      </c>
      <c r="F292" s="90">
        <v>43319</v>
      </c>
      <c r="G292" s="353">
        <v>72.8476</v>
      </c>
      <c r="H292" s="137">
        <v>500</v>
      </c>
      <c r="I292" s="138">
        <v>38.42</v>
      </c>
      <c r="J292" s="138">
        <v>3.84</v>
      </c>
      <c r="K292" s="138">
        <v>0</v>
      </c>
      <c r="L292" s="139">
        <v>36466.06</v>
      </c>
      <c r="M292" s="2"/>
      <c r="N292" s="1"/>
      <c r="O292" s="1"/>
      <c r="P292" s="1"/>
      <c r="Q292" s="1"/>
      <c r="R292" s="1"/>
    </row>
    <row r="293" spans="2:18" s="133" customFormat="1" x14ac:dyDescent="0.2">
      <c r="B293" s="352" t="s">
        <v>52</v>
      </c>
      <c r="C293" s="159">
        <v>-117854910</v>
      </c>
      <c r="D293" s="159" t="s">
        <v>112</v>
      </c>
      <c r="E293" s="90">
        <v>43284</v>
      </c>
      <c r="F293" s="90">
        <v>43286</v>
      </c>
      <c r="G293" s="353">
        <v>0.73499999999999999</v>
      </c>
      <c r="H293" s="137">
        <v>20000</v>
      </c>
      <c r="I293" s="138">
        <v>29.23</v>
      </c>
      <c r="J293" s="138">
        <v>2.92</v>
      </c>
      <c r="K293" s="138">
        <v>0</v>
      </c>
      <c r="L293" s="139">
        <v>14732.15</v>
      </c>
      <c r="M293" s="2"/>
      <c r="N293" s="1"/>
      <c r="O293" s="1"/>
      <c r="P293" s="1"/>
      <c r="Q293" s="1"/>
      <c r="R293" s="1"/>
    </row>
    <row r="294" spans="2:18" s="133" customFormat="1" x14ac:dyDescent="0.2">
      <c r="B294" s="352" t="s">
        <v>52</v>
      </c>
      <c r="C294" s="159">
        <v>-118383724</v>
      </c>
      <c r="D294" s="159" t="s">
        <v>112</v>
      </c>
      <c r="E294" s="90">
        <v>43313</v>
      </c>
      <c r="F294" s="90">
        <v>43315</v>
      </c>
      <c r="G294" s="353">
        <v>0.68</v>
      </c>
      <c r="H294" s="137">
        <v>10000</v>
      </c>
      <c r="I294" s="138">
        <v>24.68</v>
      </c>
      <c r="J294" s="138">
        <v>2.4700000000000002</v>
      </c>
      <c r="K294" s="138">
        <v>0</v>
      </c>
      <c r="L294" s="139">
        <v>6827.15</v>
      </c>
      <c r="M294" s="2"/>
      <c r="N294" s="1"/>
      <c r="O294" s="1"/>
      <c r="P294" s="1"/>
      <c r="Q294" s="1"/>
      <c r="R294" s="1"/>
    </row>
    <row r="295" spans="2:18" s="133" customFormat="1" x14ac:dyDescent="0.2">
      <c r="B295" s="352" t="s">
        <v>7</v>
      </c>
      <c r="C295" s="159">
        <v>6886542</v>
      </c>
      <c r="D295" s="159" t="s">
        <v>112</v>
      </c>
      <c r="E295" s="90">
        <v>43564</v>
      </c>
      <c r="F295" s="90">
        <v>43566</v>
      </c>
      <c r="G295" s="353">
        <v>24.53</v>
      </c>
      <c r="H295" s="137">
        <v>1000</v>
      </c>
      <c r="I295" s="138">
        <v>24.53</v>
      </c>
      <c r="J295" s="138">
        <v>2.67</v>
      </c>
      <c r="K295" s="138">
        <v>2.2000000000000002</v>
      </c>
      <c r="L295" s="139">
        <v>24559.4</v>
      </c>
      <c r="M295" s="2"/>
      <c r="N295" s="1"/>
      <c r="O295" s="1"/>
      <c r="P295" s="1"/>
      <c r="Q295" s="1"/>
      <c r="R295" s="1"/>
    </row>
    <row r="296" spans="2:18" s="133" customFormat="1" x14ac:dyDescent="0.2">
      <c r="B296" s="352" t="s">
        <v>7</v>
      </c>
      <c r="C296" s="159">
        <v>7038292</v>
      </c>
      <c r="D296" s="159" t="s">
        <v>112</v>
      </c>
      <c r="E296" s="90">
        <v>43593</v>
      </c>
      <c r="F296" s="90">
        <v>43595</v>
      </c>
      <c r="G296" s="353">
        <v>25.774999999999999</v>
      </c>
      <c r="H296" s="137">
        <v>1000</v>
      </c>
      <c r="I296" s="138">
        <v>25.78</v>
      </c>
      <c r="J296" s="138">
        <v>2.8</v>
      </c>
      <c r="K296" s="138">
        <v>2.2000000000000002</v>
      </c>
      <c r="L296" s="139">
        <v>25805.78</v>
      </c>
      <c r="M296" s="2"/>
      <c r="N296" s="1"/>
      <c r="O296" s="1"/>
      <c r="P296" s="1"/>
      <c r="Q296" s="1"/>
      <c r="R296" s="1"/>
    </row>
    <row r="297" spans="2:18" s="133" customFormat="1" x14ac:dyDescent="0.2">
      <c r="B297" s="352" t="s">
        <v>97</v>
      </c>
      <c r="C297" s="159">
        <v>5952068</v>
      </c>
      <c r="D297" s="159" t="s">
        <v>112</v>
      </c>
      <c r="E297" s="90">
        <v>43384</v>
      </c>
      <c r="F297" s="90">
        <v>43388</v>
      </c>
      <c r="G297" s="353">
        <v>54.45</v>
      </c>
      <c r="H297" s="137">
        <v>500</v>
      </c>
      <c r="I297" s="138">
        <v>27.23</v>
      </c>
      <c r="J297" s="138">
        <v>2.94</v>
      </c>
      <c r="K297" s="138">
        <v>2.2000000000000002</v>
      </c>
      <c r="L297" s="139">
        <v>27257.37</v>
      </c>
      <c r="M297" s="2"/>
      <c r="N297" s="1"/>
      <c r="O297" s="1"/>
      <c r="P297" s="1"/>
      <c r="Q297" s="1"/>
      <c r="R297" s="1"/>
    </row>
    <row r="298" spans="2:18" s="133" customFormat="1" x14ac:dyDescent="0.2">
      <c r="B298" s="352" t="s">
        <v>97</v>
      </c>
      <c r="C298" s="159">
        <v>5999440</v>
      </c>
      <c r="D298" s="159" t="s">
        <v>112</v>
      </c>
      <c r="E298" s="90">
        <v>43391</v>
      </c>
      <c r="F298" s="90">
        <v>43395</v>
      </c>
      <c r="G298" s="353">
        <v>54.3977</v>
      </c>
      <c r="H298" s="137">
        <v>500</v>
      </c>
      <c r="I298" s="138">
        <v>27.2</v>
      </c>
      <c r="J298" s="138">
        <v>2.94</v>
      </c>
      <c r="K298" s="138">
        <v>2.2000000000000002</v>
      </c>
      <c r="L298" s="139">
        <v>27231.200000000001</v>
      </c>
      <c r="M298" s="2"/>
      <c r="N298" s="1"/>
      <c r="O298" s="1"/>
      <c r="P298" s="1"/>
      <c r="Q298" s="1"/>
      <c r="R298" s="1"/>
    </row>
    <row r="299" spans="2:18" s="133" customFormat="1" x14ac:dyDescent="0.2">
      <c r="B299" s="352" t="s">
        <v>10</v>
      </c>
      <c r="C299" s="159">
        <v>6001028</v>
      </c>
      <c r="D299" s="159" t="s">
        <v>112</v>
      </c>
      <c r="E299" s="90">
        <v>43391</v>
      </c>
      <c r="F299" s="90">
        <v>43395</v>
      </c>
      <c r="G299" s="353">
        <v>3.12</v>
      </c>
      <c r="H299" s="137">
        <v>10000</v>
      </c>
      <c r="I299" s="138">
        <v>31.2</v>
      </c>
      <c r="J299" s="138">
        <v>3.34</v>
      </c>
      <c r="K299" s="138">
        <v>2.2000000000000002</v>
      </c>
      <c r="L299" s="139">
        <v>31236.74</v>
      </c>
      <c r="M299" s="2"/>
      <c r="N299" s="1"/>
      <c r="O299" s="1"/>
      <c r="P299" s="1"/>
      <c r="Q299" s="1"/>
      <c r="R299" s="1"/>
    </row>
    <row r="300" spans="2:18" s="133" customFormat="1" x14ac:dyDescent="0.2">
      <c r="B300" s="352" t="s">
        <v>10</v>
      </c>
      <c r="C300" s="159">
        <v>6419382</v>
      </c>
      <c r="D300" s="159" t="s">
        <v>112</v>
      </c>
      <c r="E300" s="90">
        <v>43482</v>
      </c>
      <c r="F300" s="90">
        <v>43486</v>
      </c>
      <c r="G300" s="353">
        <v>2.92</v>
      </c>
      <c r="H300" s="137">
        <v>10000</v>
      </c>
      <c r="I300" s="138">
        <v>29.2</v>
      </c>
      <c r="J300" s="138">
        <v>3.14</v>
      </c>
      <c r="K300" s="138">
        <v>2.2000000000000002</v>
      </c>
      <c r="L300" s="139">
        <v>29234.54</v>
      </c>
      <c r="M300" s="2"/>
      <c r="N300" s="1"/>
      <c r="O300" s="1"/>
      <c r="P300" s="1"/>
      <c r="Q300" s="1"/>
      <c r="R300" s="1"/>
    </row>
    <row r="301" spans="2:18" s="133" customFormat="1" ht="12" thickBot="1" x14ac:dyDescent="0.25">
      <c r="B301" s="354" t="s">
        <v>33</v>
      </c>
      <c r="C301" s="163">
        <v>6435091</v>
      </c>
      <c r="D301" s="163" t="s">
        <v>112</v>
      </c>
      <c r="E301" s="93">
        <v>43486</v>
      </c>
      <c r="F301" s="93">
        <v>43488</v>
      </c>
      <c r="G301" s="355">
        <v>33.969099999999997</v>
      </c>
      <c r="H301" s="141">
        <v>1000</v>
      </c>
      <c r="I301" s="142">
        <v>33.97</v>
      </c>
      <c r="J301" s="142">
        <v>3.62</v>
      </c>
      <c r="K301" s="142">
        <v>2.2000000000000002</v>
      </c>
      <c r="L301" s="147">
        <v>34008.92</v>
      </c>
      <c r="M301" s="2"/>
      <c r="N301" s="1"/>
      <c r="O301" s="1"/>
      <c r="P301" s="1"/>
      <c r="Q301" s="1"/>
      <c r="R301" s="1"/>
    </row>
    <row r="302" spans="2:18" s="133" customFormat="1" x14ac:dyDescent="0.2">
      <c r="B302" s="352"/>
      <c r="C302" s="159"/>
      <c r="D302" s="159"/>
      <c r="E302" s="90"/>
      <c r="F302" s="90"/>
      <c r="G302" s="353"/>
      <c r="H302" s="137"/>
      <c r="I302" s="138"/>
      <c r="J302" s="138"/>
      <c r="K302" s="138"/>
      <c r="L302" s="139"/>
      <c r="M302" s="2"/>
      <c r="N302" s="1"/>
      <c r="O302" s="1"/>
      <c r="P302" s="1"/>
      <c r="Q302" s="1"/>
      <c r="R302" s="1"/>
    </row>
    <row r="303" spans="2:18" s="385" customFormat="1" ht="18.75" x14ac:dyDescent="0.3">
      <c r="B303" s="1145" t="s">
        <v>271</v>
      </c>
      <c r="C303" s="1145"/>
      <c r="D303" s="1145"/>
      <c r="E303" s="1145"/>
      <c r="F303" s="1145"/>
      <c r="G303" s="1145"/>
      <c r="H303" s="1145"/>
      <c r="I303" s="1145"/>
      <c r="J303" s="1145"/>
      <c r="K303" s="1145"/>
      <c r="L303" s="1145"/>
      <c r="M303" s="632"/>
      <c r="N303" s="386"/>
      <c r="O303" s="386"/>
      <c r="P303" s="386"/>
      <c r="Q303" s="386"/>
      <c r="R303" s="386"/>
    </row>
    <row r="304" spans="2:18" s="133" customFormat="1" x14ac:dyDescent="0.2">
      <c r="B304" s="352"/>
      <c r="C304" s="159"/>
      <c r="D304" s="159"/>
      <c r="E304" s="90"/>
      <c r="F304" s="90"/>
      <c r="G304" s="353"/>
      <c r="H304" s="137"/>
      <c r="I304" s="138"/>
      <c r="J304" s="138"/>
      <c r="K304" s="138"/>
      <c r="L304" s="139"/>
      <c r="M304" s="2"/>
      <c r="N304" s="1"/>
      <c r="O304" s="1"/>
      <c r="P304" s="1"/>
      <c r="Q304" s="1"/>
      <c r="R304" s="1"/>
    </row>
    <row r="305" spans="1:18" s="133" customFormat="1" x14ac:dyDescent="0.2">
      <c r="A305" s="133" t="s">
        <v>252</v>
      </c>
      <c r="B305" s="352" t="s">
        <v>3</v>
      </c>
      <c r="C305" s="159" t="s">
        <v>253</v>
      </c>
      <c r="D305" s="159" t="s">
        <v>254</v>
      </c>
      <c r="E305" s="90" t="s">
        <v>255</v>
      </c>
      <c r="F305" s="90" t="s">
        <v>256</v>
      </c>
      <c r="G305" s="353" t="s">
        <v>257</v>
      </c>
      <c r="H305" s="137" t="s">
        <v>4</v>
      </c>
      <c r="I305" s="138" t="s">
        <v>258</v>
      </c>
      <c r="J305" s="138" t="s">
        <v>259</v>
      </c>
      <c r="K305" s="138" t="s">
        <v>260</v>
      </c>
      <c r="L305" s="139" t="s">
        <v>261</v>
      </c>
      <c r="M305" s="2"/>
      <c r="N305" s="1"/>
      <c r="O305" s="1"/>
      <c r="P305" s="1"/>
      <c r="Q305" s="1"/>
      <c r="R305" s="1"/>
    </row>
    <row r="306" spans="1:18" s="133" customFormat="1" x14ac:dyDescent="0.2">
      <c r="A306" s="133" t="s">
        <v>250</v>
      </c>
      <c r="B306" s="352"/>
      <c r="C306" s="159"/>
      <c r="D306" s="159"/>
      <c r="E306" s="90"/>
      <c r="F306" s="90"/>
      <c r="G306" s="353"/>
      <c r="H306" s="137"/>
      <c r="I306" s="138"/>
      <c r="J306" s="138"/>
      <c r="K306" s="138"/>
      <c r="L306" s="139"/>
      <c r="M306" s="2"/>
      <c r="N306" s="1"/>
      <c r="O306" s="1"/>
      <c r="P306" s="1"/>
      <c r="Q306" s="1"/>
      <c r="R306" s="1"/>
    </row>
    <row r="307" spans="1:18" s="133" customFormat="1" x14ac:dyDescent="0.2">
      <c r="B307" s="352" t="s">
        <v>46</v>
      </c>
      <c r="C307" s="159">
        <v>-107650573</v>
      </c>
      <c r="D307" s="159" t="s">
        <v>112</v>
      </c>
      <c r="E307" s="90">
        <v>42926</v>
      </c>
      <c r="F307" s="90">
        <v>42928</v>
      </c>
      <c r="G307" s="353">
        <v>0.16</v>
      </c>
      <c r="H307" s="146">
        <v>50000</v>
      </c>
      <c r="I307" s="138">
        <v>24.68</v>
      </c>
      <c r="J307" s="138">
        <v>2.4700000000000002</v>
      </c>
      <c r="K307" s="138">
        <v>0</v>
      </c>
      <c r="L307" s="139">
        <v>8027.15</v>
      </c>
      <c r="M307" s="2"/>
      <c r="N307" s="1"/>
      <c r="O307" s="1"/>
      <c r="P307" s="1"/>
      <c r="Q307" s="1"/>
      <c r="R307" s="1"/>
    </row>
    <row r="308" spans="1:18" s="133" customFormat="1" x14ac:dyDescent="0.2">
      <c r="B308" s="352" t="s">
        <v>46</v>
      </c>
      <c r="C308" s="159">
        <v>-108420567</v>
      </c>
      <c r="D308" s="159" t="s">
        <v>112</v>
      </c>
      <c r="E308" s="90">
        <v>42956</v>
      </c>
      <c r="F308" s="90">
        <v>42958</v>
      </c>
      <c r="G308" s="353">
        <v>0.18</v>
      </c>
      <c r="H308" s="146">
        <v>50000</v>
      </c>
      <c r="I308" s="138">
        <v>24.68</v>
      </c>
      <c r="J308" s="138">
        <v>2.4700000000000002</v>
      </c>
      <c r="K308" s="138">
        <v>0</v>
      </c>
      <c r="L308" s="139">
        <v>9027.15</v>
      </c>
      <c r="M308" s="2"/>
      <c r="N308" s="1"/>
      <c r="O308" s="1"/>
      <c r="P308" s="1"/>
      <c r="Q308" s="1"/>
      <c r="R308" s="1"/>
    </row>
    <row r="309" spans="1:18" s="133" customFormat="1" x14ac:dyDescent="0.2">
      <c r="B309" s="352" t="s">
        <v>34</v>
      </c>
      <c r="C309" s="159">
        <v>-100296020</v>
      </c>
      <c r="D309" s="159" t="s">
        <v>111</v>
      </c>
      <c r="E309" s="90">
        <v>42642</v>
      </c>
      <c r="F309" s="90">
        <v>42647</v>
      </c>
      <c r="G309" s="353">
        <v>5.28</v>
      </c>
      <c r="H309" s="146">
        <v>10000</v>
      </c>
      <c r="I309" s="138">
        <v>54.8</v>
      </c>
      <c r="J309" s="138">
        <v>5.48</v>
      </c>
      <c r="K309" s="138">
        <v>0</v>
      </c>
      <c r="L309" s="139">
        <v>52739.72</v>
      </c>
      <c r="M309" s="2"/>
      <c r="N309" s="1"/>
      <c r="O309" s="1"/>
      <c r="P309" s="1"/>
      <c r="Q309" s="1"/>
      <c r="R309" s="1"/>
    </row>
    <row r="310" spans="1:18" s="133" customFormat="1" x14ac:dyDescent="0.2">
      <c r="B310" s="352" t="s">
        <v>34</v>
      </c>
      <c r="C310" s="159">
        <v>-114011291</v>
      </c>
      <c r="D310" s="159" t="s">
        <v>111</v>
      </c>
      <c r="E310" s="90">
        <v>43137</v>
      </c>
      <c r="F310" s="90">
        <v>43139</v>
      </c>
      <c r="G310" s="353">
        <v>5.09</v>
      </c>
      <c r="H310" s="146">
        <v>10000</v>
      </c>
      <c r="I310" s="138">
        <v>52.9</v>
      </c>
      <c r="J310" s="138">
        <v>5.29</v>
      </c>
      <c r="K310" s="138">
        <v>0</v>
      </c>
      <c r="L310" s="139">
        <v>50841.81</v>
      </c>
      <c r="M310" s="2"/>
      <c r="N310" s="1"/>
      <c r="O310" s="1"/>
      <c r="P310" s="1"/>
      <c r="Q310" s="1"/>
      <c r="R310" s="1"/>
    </row>
    <row r="311" spans="1:18" s="133" customFormat="1" x14ac:dyDescent="0.2">
      <c r="B311" s="352" t="s">
        <v>34</v>
      </c>
      <c r="C311" s="159">
        <v>-114077424</v>
      </c>
      <c r="D311" s="159" t="s">
        <v>112</v>
      </c>
      <c r="E311" s="90">
        <v>43138</v>
      </c>
      <c r="F311" s="90">
        <v>43140</v>
      </c>
      <c r="G311" s="353">
        <v>5.1100000000000003</v>
      </c>
      <c r="H311" s="146">
        <v>20000</v>
      </c>
      <c r="I311" s="138">
        <v>104.2</v>
      </c>
      <c r="J311" s="138">
        <v>10.42</v>
      </c>
      <c r="K311" s="138">
        <v>0</v>
      </c>
      <c r="L311" s="139">
        <v>102314.62</v>
      </c>
      <c r="M311" s="2"/>
      <c r="N311" s="1"/>
      <c r="O311" s="1"/>
      <c r="P311" s="1"/>
      <c r="Q311" s="1"/>
      <c r="R311" s="1"/>
    </row>
    <row r="312" spans="1:18" s="133" customFormat="1" x14ac:dyDescent="0.2">
      <c r="B312" s="352" t="s">
        <v>34</v>
      </c>
      <c r="C312" s="159">
        <v>-115475400</v>
      </c>
      <c r="D312" s="159" t="s">
        <v>111</v>
      </c>
      <c r="E312" s="90">
        <v>43182</v>
      </c>
      <c r="F312" s="90">
        <v>43186</v>
      </c>
      <c r="G312" s="353">
        <v>5.2134</v>
      </c>
      <c r="H312" s="146">
        <v>20000</v>
      </c>
      <c r="I312" s="138">
        <v>106.27</v>
      </c>
      <c r="J312" s="138">
        <v>10.63</v>
      </c>
      <c r="K312" s="138">
        <v>0</v>
      </c>
      <c r="L312" s="139">
        <v>104151.62</v>
      </c>
      <c r="M312" s="2"/>
      <c r="N312" s="1"/>
      <c r="O312" s="1"/>
      <c r="P312" s="1"/>
      <c r="Q312" s="1"/>
      <c r="R312" s="1"/>
    </row>
    <row r="313" spans="1:18" s="133" customFormat="1" x14ac:dyDescent="0.2">
      <c r="B313" s="352" t="s">
        <v>34</v>
      </c>
      <c r="C313" s="159">
        <v>-115756820</v>
      </c>
      <c r="D313" s="159" t="s">
        <v>112</v>
      </c>
      <c r="E313" s="90">
        <v>43195</v>
      </c>
      <c r="F313" s="90">
        <v>43199</v>
      </c>
      <c r="G313" s="353">
        <v>4.9028999999999998</v>
      </c>
      <c r="H313" s="146">
        <v>15000</v>
      </c>
      <c r="I313" s="138">
        <v>75.540000000000006</v>
      </c>
      <c r="J313" s="138">
        <v>7.55</v>
      </c>
      <c r="K313" s="138">
        <v>0</v>
      </c>
      <c r="L313" s="139">
        <v>73626.460000000006</v>
      </c>
      <c r="M313" s="2"/>
      <c r="N313" s="1"/>
      <c r="O313" s="1"/>
      <c r="P313" s="1"/>
      <c r="Q313" s="1"/>
      <c r="R313" s="1"/>
    </row>
    <row r="314" spans="1:18" s="133" customFormat="1" x14ac:dyDescent="0.2">
      <c r="B314" s="352" t="s">
        <v>34</v>
      </c>
      <c r="C314" s="159">
        <v>-116389842</v>
      </c>
      <c r="D314" s="159" t="s">
        <v>111</v>
      </c>
      <c r="E314" s="90">
        <v>43223</v>
      </c>
      <c r="F314" s="90">
        <v>43227</v>
      </c>
      <c r="G314" s="353">
        <v>4.125</v>
      </c>
      <c r="H314" s="146">
        <v>10000</v>
      </c>
      <c r="I314" s="138">
        <v>43.25</v>
      </c>
      <c r="J314" s="138">
        <v>4.33</v>
      </c>
      <c r="K314" s="138">
        <v>0</v>
      </c>
      <c r="L314" s="139">
        <v>41202.42</v>
      </c>
      <c r="M314" s="2"/>
      <c r="N314" s="1"/>
      <c r="O314" s="1"/>
      <c r="P314" s="1"/>
      <c r="Q314" s="1"/>
      <c r="R314" s="1"/>
    </row>
    <row r="315" spans="1:18" s="133" customFormat="1" x14ac:dyDescent="0.2">
      <c r="B315" s="352" t="s">
        <v>0</v>
      </c>
      <c r="C315" s="159">
        <v>-100295796</v>
      </c>
      <c r="D315" s="159" t="s">
        <v>111</v>
      </c>
      <c r="E315" s="90">
        <v>42642</v>
      </c>
      <c r="F315" s="90">
        <v>42647</v>
      </c>
      <c r="G315" s="353">
        <v>27.771000000000001</v>
      </c>
      <c r="H315" s="146">
        <v>2000</v>
      </c>
      <c r="I315" s="138">
        <v>57.54</v>
      </c>
      <c r="J315" s="138">
        <v>5.75</v>
      </c>
      <c r="K315" s="138">
        <v>0</v>
      </c>
      <c r="L315" s="139">
        <v>55478.61</v>
      </c>
      <c r="M315" s="2"/>
      <c r="N315" s="1"/>
      <c r="O315" s="1"/>
      <c r="P315" s="1"/>
      <c r="Q315" s="1"/>
      <c r="R315" s="1"/>
    </row>
    <row r="316" spans="1:18" s="133" customFormat="1" x14ac:dyDescent="0.2">
      <c r="B316" s="352" t="s">
        <v>0</v>
      </c>
      <c r="C316" s="159">
        <v>-114013439</v>
      </c>
      <c r="D316" s="159" t="s">
        <v>111</v>
      </c>
      <c r="E316" s="90">
        <v>43137</v>
      </c>
      <c r="F316" s="90">
        <v>43139</v>
      </c>
      <c r="G316" s="353">
        <v>28.007999999999999</v>
      </c>
      <c r="H316" s="146">
        <v>2000</v>
      </c>
      <c r="I316" s="138">
        <v>58.02</v>
      </c>
      <c r="J316" s="138">
        <v>5.8</v>
      </c>
      <c r="K316" s="138">
        <v>0</v>
      </c>
      <c r="L316" s="139">
        <v>55952.18</v>
      </c>
      <c r="M316" s="2"/>
      <c r="N316" s="1"/>
      <c r="O316" s="1"/>
      <c r="P316" s="1"/>
      <c r="Q316" s="1"/>
      <c r="R316" s="1"/>
    </row>
    <row r="317" spans="1:18" s="133" customFormat="1" x14ac:dyDescent="0.2">
      <c r="B317" s="352" t="s">
        <v>0</v>
      </c>
      <c r="C317" s="159">
        <v>-116567137</v>
      </c>
      <c r="D317" s="159" t="s">
        <v>112</v>
      </c>
      <c r="E317" s="90">
        <v>43230</v>
      </c>
      <c r="F317" s="90">
        <v>43234</v>
      </c>
      <c r="G317" s="353">
        <v>28.023499999999999</v>
      </c>
      <c r="H317" s="146">
        <v>3000</v>
      </c>
      <c r="I317" s="138">
        <v>86.07</v>
      </c>
      <c r="J317" s="138">
        <v>8.61</v>
      </c>
      <c r="K317" s="138">
        <v>0</v>
      </c>
      <c r="L317" s="139">
        <v>84165.04</v>
      </c>
      <c r="M317" s="2"/>
      <c r="N317" s="1"/>
      <c r="O317" s="1"/>
      <c r="P317" s="1"/>
      <c r="Q317" s="1"/>
      <c r="R317" s="1"/>
    </row>
    <row r="318" spans="1:18" s="133" customFormat="1" x14ac:dyDescent="0.2">
      <c r="B318" s="352" t="s">
        <v>26</v>
      </c>
      <c r="C318" s="159">
        <v>-116167787</v>
      </c>
      <c r="D318" s="159" t="s">
        <v>111</v>
      </c>
      <c r="E318" s="90">
        <v>43214</v>
      </c>
      <c r="F318" s="90">
        <v>43217</v>
      </c>
      <c r="G318" s="353">
        <v>31.17</v>
      </c>
      <c r="H318" s="146">
        <v>1000</v>
      </c>
      <c r="I318" s="138">
        <v>33.17</v>
      </c>
      <c r="J318" s="138">
        <v>3.32</v>
      </c>
      <c r="K318" s="138">
        <v>0</v>
      </c>
      <c r="L318" s="139">
        <v>31133.51</v>
      </c>
      <c r="M318" s="2"/>
      <c r="N318" s="1"/>
      <c r="O318" s="1"/>
      <c r="P318" s="1"/>
      <c r="Q318" s="1"/>
      <c r="R318" s="1"/>
    </row>
    <row r="319" spans="1:18" s="133" customFormat="1" x14ac:dyDescent="0.2">
      <c r="B319" s="352" t="s">
        <v>28</v>
      </c>
      <c r="C319" s="159">
        <v>-98710646</v>
      </c>
      <c r="D319" s="159" t="s">
        <v>111</v>
      </c>
      <c r="E319" s="90">
        <v>42585</v>
      </c>
      <c r="F319" s="90">
        <v>42587</v>
      </c>
      <c r="G319" s="353">
        <v>8.6578999999999997</v>
      </c>
      <c r="H319" s="146">
        <v>2000</v>
      </c>
      <c r="I319" s="138">
        <v>20.14</v>
      </c>
      <c r="J319" s="138">
        <v>2.0099999999999998</v>
      </c>
      <c r="K319" s="138">
        <v>0</v>
      </c>
      <c r="L319" s="139">
        <v>17293.560000000001</v>
      </c>
      <c r="M319" s="2"/>
      <c r="N319" s="1"/>
      <c r="O319" s="1"/>
      <c r="P319" s="1"/>
      <c r="Q319" s="1"/>
      <c r="R319" s="1"/>
    </row>
    <row r="320" spans="1:18" s="133" customFormat="1" x14ac:dyDescent="0.2">
      <c r="B320" s="352" t="s">
        <v>30</v>
      </c>
      <c r="C320" s="159">
        <v>-101485137</v>
      </c>
      <c r="D320" s="159" t="s">
        <v>112</v>
      </c>
      <c r="E320" s="90">
        <v>42685</v>
      </c>
      <c r="F320" s="90">
        <v>42689</v>
      </c>
      <c r="G320" s="353">
        <v>75.02</v>
      </c>
      <c r="H320" s="146">
        <v>900</v>
      </c>
      <c r="I320" s="138">
        <v>69.52</v>
      </c>
      <c r="J320" s="138">
        <v>6.95</v>
      </c>
      <c r="K320" s="138">
        <v>0</v>
      </c>
      <c r="L320" s="139">
        <v>67594.47</v>
      </c>
      <c r="M320" s="2"/>
      <c r="N320" s="1"/>
      <c r="O320" s="1"/>
      <c r="P320" s="1"/>
      <c r="Q320" s="1"/>
      <c r="R320" s="1"/>
    </row>
    <row r="321" spans="2:18" s="133" customFormat="1" x14ac:dyDescent="0.2">
      <c r="B321" s="352" t="s">
        <v>30</v>
      </c>
      <c r="C321" s="159">
        <v>-110455585</v>
      </c>
      <c r="D321" s="159" t="s">
        <v>112</v>
      </c>
      <c r="E321" s="90">
        <v>43026</v>
      </c>
      <c r="F321" s="90">
        <v>43028</v>
      </c>
      <c r="G321" s="353">
        <v>78.349999999999994</v>
      </c>
      <c r="H321" s="146">
        <v>80</v>
      </c>
      <c r="I321" s="138">
        <v>24.68</v>
      </c>
      <c r="J321" s="138">
        <v>2.4700000000000002</v>
      </c>
      <c r="K321" s="138">
        <v>0</v>
      </c>
      <c r="L321" s="139">
        <v>6295.15</v>
      </c>
      <c r="M321" s="2"/>
      <c r="N321" s="1"/>
      <c r="O321" s="1"/>
      <c r="P321" s="1"/>
      <c r="Q321" s="1"/>
      <c r="R321" s="1"/>
    </row>
    <row r="322" spans="2:18" s="133" customFormat="1" x14ac:dyDescent="0.2">
      <c r="B322" s="352" t="s">
        <v>30</v>
      </c>
      <c r="C322" s="159">
        <v>-115476552</v>
      </c>
      <c r="D322" s="159" t="s">
        <v>111</v>
      </c>
      <c r="E322" s="90">
        <v>43182</v>
      </c>
      <c r="F322" s="90">
        <v>43186</v>
      </c>
      <c r="G322" s="353">
        <v>74.000100000000003</v>
      </c>
      <c r="H322" s="146">
        <v>800</v>
      </c>
      <c r="I322" s="138">
        <v>61.2</v>
      </c>
      <c r="J322" s="138">
        <v>6.12</v>
      </c>
      <c r="K322" s="138">
        <v>0</v>
      </c>
      <c r="L322" s="139">
        <v>59132.74</v>
      </c>
      <c r="M322" s="2"/>
      <c r="N322" s="1"/>
      <c r="O322" s="1"/>
      <c r="P322" s="1"/>
      <c r="Q322" s="1"/>
      <c r="R322" s="1"/>
    </row>
    <row r="323" spans="2:18" s="133" customFormat="1" x14ac:dyDescent="0.2">
      <c r="B323" s="352" t="s">
        <v>30</v>
      </c>
      <c r="C323" s="159">
        <v>-115751633</v>
      </c>
      <c r="D323" s="159" t="s">
        <v>112</v>
      </c>
      <c r="E323" s="90">
        <v>43195</v>
      </c>
      <c r="F323" s="90">
        <v>43199</v>
      </c>
      <c r="G323" s="353">
        <v>73.691900000000004</v>
      </c>
      <c r="H323" s="146">
        <v>1800</v>
      </c>
      <c r="I323" s="138">
        <v>134.65</v>
      </c>
      <c r="J323" s="138">
        <v>13.47</v>
      </c>
      <c r="K323" s="138">
        <v>0</v>
      </c>
      <c r="L323" s="139">
        <v>132793.60000000001</v>
      </c>
      <c r="M323" s="2"/>
      <c r="N323" s="1"/>
      <c r="O323" s="1"/>
      <c r="P323" s="1"/>
      <c r="Q323" s="1"/>
      <c r="R323" s="1"/>
    </row>
    <row r="324" spans="2:18" s="133" customFormat="1" x14ac:dyDescent="0.2">
      <c r="B324" s="352" t="s">
        <v>30</v>
      </c>
      <c r="C324" s="159">
        <v>-116566713</v>
      </c>
      <c r="D324" s="159" t="s">
        <v>111</v>
      </c>
      <c r="E324" s="90">
        <v>43230</v>
      </c>
      <c r="F324" s="90">
        <v>43234</v>
      </c>
      <c r="G324" s="353">
        <v>71.5</v>
      </c>
      <c r="H324" s="146">
        <v>1000</v>
      </c>
      <c r="I324" s="138">
        <v>73.5</v>
      </c>
      <c r="J324" s="138">
        <v>7.35</v>
      </c>
      <c r="K324" s="138">
        <v>0</v>
      </c>
      <c r="L324" s="139">
        <v>71419.149999999994</v>
      </c>
      <c r="M324" s="2"/>
      <c r="N324" s="1"/>
      <c r="O324" s="1"/>
      <c r="P324" s="1"/>
      <c r="Q324" s="1"/>
      <c r="R324" s="1"/>
    </row>
    <row r="325" spans="2:18" s="133" customFormat="1" x14ac:dyDescent="0.2">
      <c r="B325" s="352" t="s">
        <v>52</v>
      </c>
      <c r="C325" s="159">
        <v>-117567985</v>
      </c>
      <c r="D325" s="159" t="s">
        <v>112</v>
      </c>
      <c r="E325" s="90">
        <v>43272</v>
      </c>
      <c r="F325" s="90">
        <v>43276</v>
      </c>
      <c r="G325" s="353">
        <v>0.745</v>
      </c>
      <c r="H325" s="146">
        <v>20000</v>
      </c>
      <c r="I325" s="138">
        <v>20.14</v>
      </c>
      <c r="J325" s="138">
        <v>2.0099999999999998</v>
      </c>
      <c r="K325" s="138">
        <v>0</v>
      </c>
      <c r="L325" s="139">
        <v>14922.15</v>
      </c>
      <c r="M325" s="2"/>
      <c r="N325" s="1"/>
      <c r="O325" s="1"/>
      <c r="P325" s="1"/>
      <c r="Q325" s="1"/>
      <c r="R325" s="1"/>
    </row>
    <row r="326" spans="2:18" s="133" customFormat="1" x14ac:dyDescent="0.2">
      <c r="B326" s="352" t="s">
        <v>52</v>
      </c>
      <c r="C326" s="159">
        <v>-117735884</v>
      </c>
      <c r="D326" s="159" t="s">
        <v>111</v>
      </c>
      <c r="E326" s="90">
        <v>43278</v>
      </c>
      <c r="F326" s="90">
        <v>43280</v>
      </c>
      <c r="G326" s="353">
        <v>0.74</v>
      </c>
      <c r="H326" s="146">
        <v>20000</v>
      </c>
      <c r="I326" s="138">
        <v>20.14</v>
      </c>
      <c r="J326" s="138">
        <v>2.0099999999999998</v>
      </c>
      <c r="K326" s="138">
        <v>0</v>
      </c>
      <c r="L326" s="139">
        <v>14777.85</v>
      </c>
      <c r="M326" s="2"/>
      <c r="N326" s="1"/>
      <c r="O326" s="1"/>
      <c r="P326" s="1"/>
      <c r="Q326" s="1"/>
      <c r="R326" s="1"/>
    </row>
    <row r="327" spans="2:18" s="133" customFormat="1" x14ac:dyDescent="0.2">
      <c r="B327" s="352" t="s">
        <v>53</v>
      </c>
      <c r="C327" s="159">
        <v>-116350862</v>
      </c>
      <c r="D327" s="159" t="s">
        <v>112</v>
      </c>
      <c r="E327" s="90">
        <v>43222</v>
      </c>
      <c r="F327" s="90">
        <v>43224</v>
      </c>
      <c r="G327" s="353">
        <v>5</v>
      </c>
      <c r="H327" s="146">
        <v>2000</v>
      </c>
      <c r="I327" s="138">
        <v>20.14</v>
      </c>
      <c r="J327" s="138">
        <v>2.0099999999999998</v>
      </c>
      <c r="K327" s="138">
        <v>0</v>
      </c>
      <c r="L327" s="139">
        <v>10022.15</v>
      </c>
      <c r="M327" s="2"/>
      <c r="N327" s="1"/>
      <c r="O327" s="1"/>
      <c r="P327" s="1"/>
      <c r="Q327" s="1"/>
      <c r="R327" s="1"/>
    </row>
    <row r="328" spans="2:18" s="133" customFormat="1" x14ac:dyDescent="0.2">
      <c r="B328" s="352" t="s">
        <v>53</v>
      </c>
      <c r="C328" s="159">
        <v>-116557134</v>
      </c>
      <c r="D328" s="159" t="s">
        <v>111</v>
      </c>
      <c r="E328" s="90">
        <v>43230</v>
      </c>
      <c r="F328" s="90">
        <v>43234</v>
      </c>
      <c r="G328" s="353">
        <v>5.0526</v>
      </c>
      <c r="H328" s="146">
        <v>2000</v>
      </c>
      <c r="I328" s="138">
        <v>20.14</v>
      </c>
      <c r="J328" s="138">
        <v>2.0099999999999998</v>
      </c>
      <c r="K328" s="138">
        <v>0</v>
      </c>
      <c r="L328" s="139">
        <v>10082.969999999999</v>
      </c>
      <c r="M328" s="2"/>
      <c r="N328" s="1"/>
      <c r="O328" s="1"/>
      <c r="P328" s="1"/>
      <c r="Q328" s="1"/>
      <c r="R328" s="1"/>
    </row>
    <row r="329" spans="2:18" s="133" customFormat="1" x14ac:dyDescent="0.2">
      <c r="B329" s="352" t="s">
        <v>48</v>
      </c>
      <c r="C329" s="159">
        <v>-117174308</v>
      </c>
      <c r="D329" s="159" t="s">
        <v>112</v>
      </c>
      <c r="E329" s="90">
        <v>43255</v>
      </c>
      <c r="F329" s="90">
        <v>43257</v>
      </c>
      <c r="G329" s="353">
        <v>22.81</v>
      </c>
      <c r="H329" s="146">
        <v>400</v>
      </c>
      <c r="I329" s="138">
        <v>24.68</v>
      </c>
      <c r="J329" s="138">
        <v>2.4700000000000002</v>
      </c>
      <c r="K329" s="138">
        <v>0</v>
      </c>
      <c r="L329" s="139">
        <v>9151.15</v>
      </c>
      <c r="M329" s="2"/>
      <c r="N329" s="1"/>
      <c r="O329" s="1"/>
      <c r="P329" s="1"/>
      <c r="Q329" s="1"/>
      <c r="R329" s="1"/>
    </row>
    <row r="330" spans="2:18" s="133" customFormat="1" x14ac:dyDescent="0.2">
      <c r="B330" s="352" t="s">
        <v>25</v>
      </c>
      <c r="C330" s="159">
        <v>-107011004</v>
      </c>
      <c r="D330" s="159" t="s">
        <v>111</v>
      </c>
      <c r="E330" s="90">
        <v>42901</v>
      </c>
      <c r="F330" s="90">
        <v>42905</v>
      </c>
      <c r="G330" s="353">
        <v>14.1</v>
      </c>
      <c r="H330" s="146">
        <v>1000</v>
      </c>
      <c r="I330" s="138">
        <v>29.23</v>
      </c>
      <c r="J330" s="138">
        <v>2.92</v>
      </c>
      <c r="K330" s="138">
        <v>0</v>
      </c>
      <c r="L330" s="139">
        <v>14067.85</v>
      </c>
      <c r="M330" s="2"/>
      <c r="N330" s="1"/>
      <c r="O330" s="1"/>
      <c r="P330" s="1"/>
      <c r="Q330" s="1"/>
      <c r="R330" s="1"/>
    </row>
    <row r="331" spans="2:18" s="133" customFormat="1" x14ac:dyDescent="0.2">
      <c r="B331" s="352" t="s">
        <v>25</v>
      </c>
      <c r="C331" s="159">
        <v>-111838741</v>
      </c>
      <c r="D331" s="159" t="s">
        <v>111</v>
      </c>
      <c r="E331" s="90">
        <v>43066</v>
      </c>
      <c r="F331" s="90">
        <v>43068</v>
      </c>
      <c r="G331" s="353">
        <v>19.55</v>
      </c>
      <c r="H331" s="146">
        <v>500</v>
      </c>
      <c r="I331" s="138">
        <v>24.68</v>
      </c>
      <c r="J331" s="138">
        <v>2.4700000000000002</v>
      </c>
      <c r="K331" s="138">
        <v>0</v>
      </c>
      <c r="L331" s="139">
        <v>9747.85</v>
      </c>
      <c r="M331" s="2"/>
      <c r="N331" s="1"/>
      <c r="O331" s="1"/>
      <c r="P331" s="1"/>
      <c r="Q331" s="1"/>
      <c r="R331" s="1"/>
    </row>
    <row r="332" spans="2:18" s="133" customFormat="1" x14ac:dyDescent="0.2">
      <c r="B332" s="352" t="s">
        <v>25</v>
      </c>
      <c r="C332" s="159">
        <v>-116904147</v>
      </c>
      <c r="D332" s="159" t="s">
        <v>111</v>
      </c>
      <c r="E332" s="90">
        <v>43243</v>
      </c>
      <c r="F332" s="90">
        <v>43245</v>
      </c>
      <c r="G332" s="353">
        <v>15.82</v>
      </c>
      <c r="H332" s="146">
        <v>300</v>
      </c>
      <c r="I332" s="138">
        <v>20.14</v>
      </c>
      <c r="J332" s="138">
        <v>2.0099999999999998</v>
      </c>
      <c r="K332" s="138">
        <v>0</v>
      </c>
      <c r="L332" s="139">
        <v>4723.8500000000004</v>
      </c>
      <c r="M332" s="2"/>
      <c r="N332" s="1"/>
      <c r="O332" s="1"/>
      <c r="P332" s="1"/>
      <c r="Q332" s="1"/>
      <c r="R332" s="1"/>
    </row>
    <row r="333" spans="2:18" s="133" customFormat="1" x14ac:dyDescent="0.2">
      <c r="B333" s="352" t="s">
        <v>31</v>
      </c>
      <c r="C333" s="159">
        <v>-116350271</v>
      </c>
      <c r="D333" s="159" t="s">
        <v>111</v>
      </c>
      <c r="E333" s="90">
        <v>43222</v>
      </c>
      <c r="F333" s="90">
        <v>43224</v>
      </c>
      <c r="G333" s="353">
        <v>106.9055</v>
      </c>
      <c r="H333" s="146">
        <v>1000</v>
      </c>
      <c r="I333" s="138">
        <v>108.91</v>
      </c>
      <c r="J333" s="138">
        <v>10.89</v>
      </c>
      <c r="K333" s="138">
        <v>0</v>
      </c>
      <c r="L333" s="139">
        <v>106785.73</v>
      </c>
      <c r="M333" s="2"/>
      <c r="N333" s="1"/>
      <c r="O333" s="1"/>
      <c r="P333" s="1"/>
      <c r="Q333" s="1"/>
      <c r="R333" s="1"/>
    </row>
    <row r="334" spans="2:18" s="133" customFormat="1" x14ac:dyDescent="0.2">
      <c r="B334" s="352" t="s">
        <v>31</v>
      </c>
      <c r="C334" s="159">
        <v>-116395502</v>
      </c>
      <c r="D334" s="159" t="s">
        <v>112</v>
      </c>
      <c r="E334" s="90">
        <v>43223</v>
      </c>
      <c r="F334" s="90">
        <v>43227</v>
      </c>
      <c r="G334" s="353">
        <v>107.6949</v>
      </c>
      <c r="H334" s="146">
        <v>1000</v>
      </c>
      <c r="I334" s="138">
        <v>109.69</v>
      </c>
      <c r="J334" s="138">
        <v>10.97</v>
      </c>
      <c r="K334" s="138">
        <v>0</v>
      </c>
      <c r="L334" s="139">
        <v>107815.52</v>
      </c>
      <c r="M334" s="2"/>
      <c r="N334" s="1"/>
      <c r="O334" s="1"/>
      <c r="P334" s="1"/>
      <c r="Q334" s="1"/>
      <c r="R334" s="1"/>
    </row>
    <row r="335" spans="2:18" s="133" customFormat="1" x14ac:dyDescent="0.2">
      <c r="B335" s="352" t="s">
        <v>31</v>
      </c>
      <c r="C335" s="159">
        <v>-117402596</v>
      </c>
      <c r="D335" s="159" t="s">
        <v>111</v>
      </c>
      <c r="E335" s="90">
        <v>43265</v>
      </c>
      <c r="F335" s="90">
        <v>43269</v>
      </c>
      <c r="G335" s="353">
        <v>113.29649999999999</v>
      </c>
      <c r="H335" s="146">
        <v>500</v>
      </c>
      <c r="I335" s="138">
        <v>58.65</v>
      </c>
      <c r="J335" s="138">
        <v>5.87</v>
      </c>
      <c r="K335" s="138">
        <v>0</v>
      </c>
      <c r="L335" s="139">
        <v>56583.74</v>
      </c>
      <c r="M335" s="2"/>
      <c r="N335" s="1"/>
      <c r="O335" s="1"/>
      <c r="P335" s="1"/>
      <c r="Q335" s="1"/>
      <c r="R335" s="1"/>
    </row>
    <row r="336" spans="2:18" s="133" customFormat="1" x14ac:dyDescent="0.2">
      <c r="B336" s="352" t="s">
        <v>7</v>
      </c>
      <c r="C336" s="159">
        <v>-100296524</v>
      </c>
      <c r="D336" s="159" t="s">
        <v>111</v>
      </c>
      <c r="E336" s="90">
        <v>42642</v>
      </c>
      <c r="F336" s="90">
        <v>42647</v>
      </c>
      <c r="G336" s="353">
        <v>28.08</v>
      </c>
      <c r="H336" s="146">
        <v>1400</v>
      </c>
      <c r="I336" s="138">
        <v>41.31</v>
      </c>
      <c r="J336" s="138">
        <v>4.13</v>
      </c>
      <c r="K336" s="138">
        <v>0</v>
      </c>
      <c r="L336" s="139">
        <v>39266.559999999998</v>
      </c>
      <c r="M336" s="2"/>
      <c r="N336" s="1"/>
      <c r="O336" s="1"/>
      <c r="P336" s="1"/>
      <c r="Q336" s="1"/>
      <c r="R336" s="1"/>
    </row>
    <row r="337" spans="2:18" s="133" customFormat="1" x14ac:dyDescent="0.2">
      <c r="B337" s="352" t="s">
        <v>7</v>
      </c>
      <c r="C337" s="159">
        <v>-114689367</v>
      </c>
      <c r="D337" s="159" t="s">
        <v>112</v>
      </c>
      <c r="E337" s="90">
        <v>43157</v>
      </c>
      <c r="F337" s="90">
        <v>43159</v>
      </c>
      <c r="G337" s="353">
        <v>29.99</v>
      </c>
      <c r="H337" s="146">
        <v>1000</v>
      </c>
      <c r="I337" s="138">
        <v>31.99</v>
      </c>
      <c r="J337" s="138">
        <v>3.2</v>
      </c>
      <c r="K337" s="138">
        <v>0</v>
      </c>
      <c r="L337" s="139">
        <v>30025.19</v>
      </c>
      <c r="M337" s="2"/>
      <c r="N337" s="1"/>
      <c r="O337" s="1"/>
      <c r="P337" s="1"/>
      <c r="Q337" s="1"/>
      <c r="R337" s="1"/>
    </row>
    <row r="338" spans="2:18" s="133" customFormat="1" x14ac:dyDescent="0.2">
      <c r="B338" s="352" t="s">
        <v>7</v>
      </c>
      <c r="C338" s="159">
        <v>-115475679</v>
      </c>
      <c r="D338" s="159" t="s">
        <v>111</v>
      </c>
      <c r="E338" s="90">
        <v>43182</v>
      </c>
      <c r="F338" s="90">
        <v>43186</v>
      </c>
      <c r="G338" s="353">
        <v>29.100300000000001</v>
      </c>
      <c r="H338" s="146">
        <v>3000</v>
      </c>
      <c r="I338" s="138">
        <v>89.3</v>
      </c>
      <c r="J338" s="138">
        <v>8.93</v>
      </c>
      <c r="K338" s="138">
        <v>0</v>
      </c>
      <c r="L338" s="139">
        <v>87202.66</v>
      </c>
      <c r="M338" s="2"/>
      <c r="N338" s="1"/>
      <c r="O338" s="1"/>
      <c r="P338" s="1"/>
      <c r="Q338" s="1"/>
      <c r="R338" s="1"/>
    </row>
    <row r="339" spans="2:18" s="133" customFormat="1" x14ac:dyDescent="0.2">
      <c r="B339" s="352" t="s">
        <v>7</v>
      </c>
      <c r="C339" s="159">
        <v>-115748819</v>
      </c>
      <c r="D339" s="159" t="s">
        <v>112</v>
      </c>
      <c r="E339" s="90">
        <v>43195</v>
      </c>
      <c r="F339" s="90">
        <v>43199</v>
      </c>
      <c r="G339" s="353">
        <v>28.8</v>
      </c>
      <c r="H339" s="146">
        <v>3000</v>
      </c>
      <c r="I339" s="138">
        <v>88.4</v>
      </c>
      <c r="J339" s="138">
        <v>8.84</v>
      </c>
      <c r="K339" s="138">
        <v>0</v>
      </c>
      <c r="L339" s="139">
        <v>86497.24</v>
      </c>
      <c r="M339" s="2"/>
      <c r="N339" s="1"/>
      <c r="O339" s="1"/>
      <c r="P339" s="1"/>
      <c r="Q339" s="1"/>
      <c r="R339" s="1"/>
    </row>
    <row r="340" spans="2:18" s="133" customFormat="1" x14ac:dyDescent="0.2">
      <c r="B340" s="352" t="s">
        <v>7</v>
      </c>
      <c r="C340" s="159">
        <v>-116205147</v>
      </c>
      <c r="D340" s="159" t="s">
        <v>112</v>
      </c>
      <c r="E340" s="90">
        <v>43216</v>
      </c>
      <c r="F340" s="90">
        <v>43220</v>
      </c>
      <c r="G340" s="353">
        <v>28.535</v>
      </c>
      <c r="H340" s="146">
        <v>1000</v>
      </c>
      <c r="I340" s="138">
        <v>30.54</v>
      </c>
      <c r="J340" s="138">
        <v>3.05</v>
      </c>
      <c r="K340" s="138">
        <v>0</v>
      </c>
      <c r="L340" s="139">
        <v>28568.59</v>
      </c>
      <c r="M340" s="2"/>
      <c r="N340" s="1"/>
      <c r="O340" s="1"/>
      <c r="P340" s="1"/>
      <c r="Q340" s="1"/>
      <c r="R340" s="1"/>
    </row>
    <row r="341" spans="2:18" s="133" customFormat="1" x14ac:dyDescent="0.2">
      <c r="B341" s="352" t="s">
        <v>7</v>
      </c>
      <c r="C341" s="159">
        <v>-117253178</v>
      </c>
      <c r="D341" s="159" t="s">
        <v>111</v>
      </c>
      <c r="E341" s="90">
        <v>43258</v>
      </c>
      <c r="F341" s="90">
        <v>43263</v>
      </c>
      <c r="G341" s="353">
        <v>26.53</v>
      </c>
      <c r="H341" s="146">
        <v>2000</v>
      </c>
      <c r="I341" s="138">
        <v>55.06</v>
      </c>
      <c r="J341" s="138">
        <v>5.51</v>
      </c>
      <c r="K341" s="138">
        <v>0</v>
      </c>
      <c r="L341" s="139">
        <v>52999.43</v>
      </c>
      <c r="M341" s="2"/>
      <c r="N341" s="1"/>
      <c r="O341" s="1"/>
      <c r="P341" s="1"/>
      <c r="Q341" s="1"/>
      <c r="R341" s="1"/>
    </row>
    <row r="342" spans="2:18" s="133" customFormat="1" x14ac:dyDescent="0.2">
      <c r="B342" s="352" t="s">
        <v>36</v>
      </c>
      <c r="C342" s="159">
        <v>-98085145</v>
      </c>
      <c r="D342" s="159" t="s">
        <v>111</v>
      </c>
      <c r="E342" s="90">
        <v>42563</v>
      </c>
      <c r="F342" s="90">
        <v>42565</v>
      </c>
      <c r="G342" s="353">
        <v>100.6</v>
      </c>
      <c r="H342" s="146">
        <v>350</v>
      </c>
      <c r="I342" s="138">
        <v>37.21</v>
      </c>
      <c r="J342" s="138">
        <v>3.72</v>
      </c>
      <c r="K342" s="138">
        <v>0</v>
      </c>
      <c r="L342" s="139">
        <v>35169.07</v>
      </c>
      <c r="M342" s="2"/>
      <c r="N342" s="1"/>
      <c r="O342" s="1"/>
      <c r="P342" s="1"/>
      <c r="Q342" s="1"/>
      <c r="R342" s="1"/>
    </row>
    <row r="343" spans="2:18" s="133" customFormat="1" x14ac:dyDescent="0.2">
      <c r="B343" s="352" t="s">
        <v>36</v>
      </c>
      <c r="C343" s="159">
        <v>-98157596</v>
      </c>
      <c r="D343" s="159" t="s">
        <v>111</v>
      </c>
      <c r="E343" s="90">
        <v>42565</v>
      </c>
      <c r="F343" s="90">
        <v>42569</v>
      </c>
      <c r="G343" s="353">
        <v>100.497</v>
      </c>
      <c r="H343" s="146">
        <v>500</v>
      </c>
      <c r="I343" s="138">
        <v>52.25</v>
      </c>
      <c r="J343" s="138">
        <v>5.23</v>
      </c>
      <c r="K343" s="138">
        <v>0</v>
      </c>
      <c r="L343" s="139">
        <v>50191.02</v>
      </c>
      <c r="M343" s="2"/>
      <c r="N343" s="1"/>
      <c r="O343" s="1"/>
      <c r="P343" s="1"/>
      <c r="Q343" s="1"/>
      <c r="R343" s="1"/>
    </row>
    <row r="344" spans="2:18" s="133" customFormat="1" x14ac:dyDescent="0.2">
      <c r="B344" s="352" t="s">
        <v>36</v>
      </c>
      <c r="C344" s="159">
        <v>-98146556</v>
      </c>
      <c r="D344" s="159" t="s">
        <v>111</v>
      </c>
      <c r="E344" s="90">
        <v>42565</v>
      </c>
      <c r="F344" s="90">
        <v>42569</v>
      </c>
      <c r="G344" s="353">
        <v>100.46</v>
      </c>
      <c r="H344" s="146">
        <v>150</v>
      </c>
      <c r="I344" s="138">
        <v>15.07</v>
      </c>
      <c r="J344" s="138">
        <v>1.51</v>
      </c>
      <c r="K344" s="138">
        <v>0</v>
      </c>
      <c r="L344" s="139">
        <v>15052.42</v>
      </c>
      <c r="M344" s="2"/>
      <c r="N344" s="1"/>
      <c r="O344" s="1"/>
      <c r="P344" s="1"/>
      <c r="Q344" s="1"/>
      <c r="R344" s="1"/>
    </row>
    <row r="345" spans="2:18" s="133" customFormat="1" x14ac:dyDescent="0.2">
      <c r="B345" s="352" t="s">
        <v>36</v>
      </c>
      <c r="C345" s="159">
        <v>-98225050</v>
      </c>
      <c r="D345" s="159" t="s">
        <v>111</v>
      </c>
      <c r="E345" s="90">
        <v>42569</v>
      </c>
      <c r="F345" s="90">
        <v>42571</v>
      </c>
      <c r="G345" s="353">
        <v>100.827</v>
      </c>
      <c r="H345" s="146">
        <v>100</v>
      </c>
      <c r="I345" s="138">
        <v>20.14</v>
      </c>
      <c r="J345" s="138">
        <v>2.0099999999999998</v>
      </c>
      <c r="K345" s="138">
        <v>0</v>
      </c>
      <c r="L345" s="139">
        <v>10060.549999999999</v>
      </c>
      <c r="M345" s="2"/>
      <c r="N345" s="1"/>
      <c r="O345" s="1"/>
      <c r="P345" s="1"/>
      <c r="Q345" s="1"/>
      <c r="R345" s="1"/>
    </row>
    <row r="346" spans="2:18" s="133" customFormat="1" x14ac:dyDescent="0.2">
      <c r="B346" s="352" t="s">
        <v>36</v>
      </c>
      <c r="C346" s="159">
        <v>-98291373</v>
      </c>
      <c r="D346" s="159" t="s">
        <v>111</v>
      </c>
      <c r="E346" s="90">
        <v>42571</v>
      </c>
      <c r="F346" s="90">
        <v>42573</v>
      </c>
      <c r="G346" s="353">
        <v>100.901</v>
      </c>
      <c r="H346" s="146">
        <v>400</v>
      </c>
      <c r="I346" s="138">
        <v>42.36</v>
      </c>
      <c r="J346" s="138">
        <v>4.24</v>
      </c>
      <c r="K346" s="138">
        <v>0</v>
      </c>
      <c r="L346" s="139">
        <v>40313.800000000003</v>
      </c>
      <c r="M346" s="2"/>
      <c r="N346" s="1"/>
      <c r="O346" s="1"/>
      <c r="P346" s="1"/>
      <c r="Q346" s="1"/>
      <c r="R346" s="1"/>
    </row>
    <row r="347" spans="2:18" s="133" customFormat="1" x14ac:dyDescent="0.2">
      <c r="B347" s="352" t="s">
        <v>8</v>
      </c>
      <c r="C347" s="159">
        <v>-98306981</v>
      </c>
      <c r="D347" s="159" t="s">
        <v>111</v>
      </c>
      <c r="E347" s="90">
        <v>42571</v>
      </c>
      <c r="F347" s="90">
        <v>42573</v>
      </c>
      <c r="G347" s="353">
        <v>10.97</v>
      </c>
      <c r="H347" s="146">
        <v>1000</v>
      </c>
      <c r="I347" s="138">
        <v>20.14</v>
      </c>
      <c r="J347" s="138">
        <v>2.0099999999999998</v>
      </c>
      <c r="K347" s="138">
        <v>0</v>
      </c>
      <c r="L347" s="139">
        <v>10947.85</v>
      </c>
      <c r="M347" s="2"/>
      <c r="N347" s="1"/>
      <c r="O347" s="1"/>
      <c r="P347" s="1"/>
      <c r="Q347" s="1"/>
      <c r="R347" s="1"/>
    </row>
    <row r="348" spans="2:18" s="133" customFormat="1" x14ac:dyDescent="0.2">
      <c r="B348" s="352" t="s">
        <v>8</v>
      </c>
      <c r="C348" s="159">
        <v>-114701823</v>
      </c>
      <c r="D348" s="159" t="s">
        <v>111</v>
      </c>
      <c r="E348" s="90">
        <v>43157</v>
      </c>
      <c r="F348" s="90">
        <v>43159</v>
      </c>
      <c r="G348" s="353">
        <v>10.44</v>
      </c>
      <c r="H348" s="146">
        <v>2000</v>
      </c>
      <c r="I348" s="138">
        <v>22.88</v>
      </c>
      <c r="J348" s="138">
        <v>2.29</v>
      </c>
      <c r="K348" s="138">
        <v>0</v>
      </c>
      <c r="L348" s="139">
        <v>20854.830000000002</v>
      </c>
      <c r="M348" s="2"/>
      <c r="N348" s="1"/>
      <c r="O348" s="1"/>
      <c r="P348" s="1"/>
      <c r="Q348" s="1"/>
      <c r="R348" s="1"/>
    </row>
    <row r="349" spans="2:18" s="133" customFormat="1" x14ac:dyDescent="0.2">
      <c r="B349" s="352" t="s">
        <v>20</v>
      </c>
      <c r="C349" s="159">
        <v>-101484867</v>
      </c>
      <c r="D349" s="159" t="s">
        <v>111</v>
      </c>
      <c r="E349" s="90">
        <v>42685</v>
      </c>
      <c r="F349" s="90">
        <v>42689</v>
      </c>
      <c r="G349" s="353">
        <v>59.68</v>
      </c>
      <c r="H349" s="146">
        <v>1000</v>
      </c>
      <c r="I349" s="138">
        <v>61.68</v>
      </c>
      <c r="J349" s="138">
        <v>6.17</v>
      </c>
      <c r="K349" s="138">
        <v>0</v>
      </c>
      <c r="L349" s="139">
        <v>59612.15</v>
      </c>
      <c r="M349" s="2"/>
      <c r="N349" s="1"/>
      <c r="O349" s="1"/>
      <c r="P349" s="1"/>
      <c r="Q349" s="1"/>
      <c r="R349" s="1"/>
    </row>
    <row r="350" spans="2:18" s="133" customFormat="1" x14ac:dyDescent="0.2">
      <c r="B350" s="352" t="s">
        <v>20</v>
      </c>
      <c r="C350" s="159">
        <v>-101484073</v>
      </c>
      <c r="D350" s="159" t="s">
        <v>112</v>
      </c>
      <c r="E350" s="90">
        <v>42685</v>
      </c>
      <c r="F350" s="90">
        <v>42689</v>
      </c>
      <c r="G350" s="353">
        <v>59.570799999999998</v>
      </c>
      <c r="H350" s="146">
        <v>500</v>
      </c>
      <c r="I350" s="138">
        <v>31.79</v>
      </c>
      <c r="J350" s="138">
        <v>3.18</v>
      </c>
      <c r="K350" s="138">
        <v>0</v>
      </c>
      <c r="L350" s="139">
        <v>29820.38</v>
      </c>
      <c r="M350" s="2"/>
      <c r="N350" s="1"/>
      <c r="O350" s="1"/>
      <c r="P350" s="1"/>
      <c r="Q350" s="1"/>
      <c r="R350" s="1"/>
    </row>
    <row r="351" spans="2:18" s="133" customFormat="1" x14ac:dyDescent="0.2">
      <c r="B351" s="352" t="s">
        <v>29</v>
      </c>
      <c r="C351" s="159">
        <v>-98709517</v>
      </c>
      <c r="D351" s="159" t="s">
        <v>111</v>
      </c>
      <c r="E351" s="90">
        <v>42585</v>
      </c>
      <c r="F351" s="90">
        <v>42587</v>
      </c>
      <c r="G351" s="353">
        <v>1.9125000000000001</v>
      </c>
      <c r="H351" s="146">
        <v>3500</v>
      </c>
      <c r="I351" s="138">
        <v>24.68</v>
      </c>
      <c r="J351" s="138">
        <v>2.4700000000000002</v>
      </c>
      <c r="K351" s="138">
        <v>0</v>
      </c>
      <c r="L351" s="139">
        <v>6666.6</v>
      </c>
      <c r="M351" s="2"/>
      <c r="N351" s="1"/>
      <c r="O351" s="1"/>
      <c r="P351" s="1"/>
      <c r="Q351" s="1"/>
      <c r="R351" s="1"/>
    </row>
    <row r="352" spans="2:18" s="133" customFormat="1" x14ac:dyDescent="0.2">
      <c r="B352" s="352" t="s">
        <v>49</v>
      </c>
      <c r="C352" s="159">
        <v>-117059376</v>
      </c>
      <c r="D352" s="159" t="s">
        <v>112</v>
      </c>
      <c r="E352" s="90">
        <v>43250</v>
      </c>
      <c r="F352" s="90">
        <v>43252</v>
      </c>
      <c r="G352" s="353">
        <v>2.2000000000000002</v>
      </c>
      <c r="H352" s="146">
        <v>4500</v>
      </c>
      <c r="I352" s="138">
        <v>20.14</v>
      </c>
      <c r="J352" s="138">
        <v>2.0099999999999998</v>
      </c>
      <c r="K352" s="138">
        <v>0</v>
      </c>
      <c r="L352" s="139">
        <v>9922.15</v>
      </c>
      <c r="M352" s="2"/>
      <c r="N352" s="1"/>
      <c r="O352" s="1"/>
      <c r="P352" s="1"/>
      <c r="Q352" s="1"/>
      <c r="R352" s="1"/>
    </row>
    <row r="353" spans="2:18" s="133" customFormat="1" x14ac:dyDescent="0.2">
      <c r="B353" s="352" t="s">
        <v>10</v>
      </c>
      <c r="C353" s="159">
        <v>-101486394</v>
      </c>
      <c r="D353" s="159" t="s">
        <v>112</v>
      </c>
      <c r="E353" s="90">
        <v>42685</v>
      </c>
      <c r="F353" s="90">
        <v>42689</v>
      </c>
      <c r="G353" s="353">
        <v>4.7350000000000003</v>
      </c>
      <c r="H353" s="146">
        <v>4500</v>
      </c>
      <c r="I353" s="138">
        <v>23.31</v>
      </c>
      <c r="J353" s="138">
        <v>2.33</v>
      </c>
      <c r="K353" s="138">
        <v>0</v>
      </c>
      <c r="L353" s="139">
        <v>21333.14</v>
      </c>
      <c r="M353" s="2"/>
      <c r="N353" s="1"/>
      <c r="O353" s="1"/>
      <c r="P353" s="1"/>
      <c r="Q353" s="1"/>
      <c r="R353" s="1"/>
    </row>
    <row r="354" spans="2:18" s="133" customFormat="1" x14ac:dyDescent="0.2">
      <c r="B354" s="352" t="s">
        <v>10</v>
      </c>
      <c r="C354" s="159">
        <v>-116390137</v>
      </c>
      <c r="D354" s="159" t="s">
        <v>112</v>
      </c>
      <c r="E354" s="90">
        <v>43223</v>
      </c>
      <c r="F354" s="90">
        <v>43227</v>
      </c>
      <c r="G354" s="353">
        <v>3.1949999999999998</v>
      </c>
      <c r="H354" s="146">
        <v>12000</v>
      </c>
      <c r="I354" s="138">
        <v>40.340000000000003</v>
      </c>
      <c r="J354" s="138">
        <v>4.03</v>
      </c>
      <c r="K354" s="138">
        <v>0</v>
      </c>
      <c r="L354" s="139">
        <v>38384.370000000003</v>
      </c>
      <c r="M354" s="2"/>
      <c r="N354" s="1"/>
      <c r="O354" s="1"/>
      <c r="P354" s="1"/>
      <c r="Q354" s="1"/>
      <c r="R354" s="1"/>
    </row>
    <row r="355" spans="2:18" s="133" customFormat="1" x14ac:dyDescent="0.2">
      <c r="B355" s="352" t="s">
        <v>10</v>
      </c>
      <c r="C355" s="159">
        <v>-116977288</v>
      </c>
      <c r="D355" s="159" t="s">
        <v>111</v>
      </c>
      <c r="E355" s="90">
        <v>43245</v>
      </c>
      <c r="F355" s="90">
        <v>43249</v>
      </c>
      <c r="G355" s="353">
        <v>2.87</v>
      </c>
      <c r="H355" s="146">
        <v>20000</v>
      </c>
      <c r="I355" s="138">
        <v>59.4</v>
      </c>
      <c r="J355" s="138">
        <v>5.94</v>
      </c>
      <c r="K355" s="138">
        <v>0</v>
      </c>
      <c r="L355" s="139">
        <v>57334.66</v>
      </c>
      <c r="M355" s="2"/>
      <c r="N355" s="1"/>
      <c r="O355" s="1"/>
      <c r="P355" s="1"/>
      <c r="Q355" s="1"/>
      <c r="R355" s="1"/>
    </row>
    <row r="356" spans="2:18" s="133" customFormat="1" x14ac:dyDescent="0.2">
      <c r="B356" s="352" t="s">
        <v>11</v>
      </c>
      <c r="C356" s="159">
        <v>-105070851</v>
      </c>
      <c r="D356" s="159" t="s">
        <v>111</v>
      </c>
      <c r="E356" s="90">
        <v>42823</v>
      </c>
      <c r="F356" s="90">
        <v>42825</v>
      </c>
      <c r="G356" s="353">
        <v>35.1</v>
      </c>
      <c r="H356" s="146">
        <v>1000</v>
      </c>
      <c r="I356" s="138">
        <v>37.1</v>
      </c>
      <c r="J356" s="138">
        <v>3.71</v>
      </c>
      <c r="K356" s="138">
        <v>0</v>
      </c>
      <c r="L356" s="139">
        <v>35059.19</v>
      </c>
      <c r="M356" s="2"/>
      <c r="N356" s="1"/>
      <c r="O356" s="1"/>
      <c r="P356" s="1"/>
      <c r="Q356" s="1"/>
      <c r="R356" s="1"/>
    </row>
    <row r="357" spans="2:18" s="133" customFormat="1" x14ac:dyDescent="0.2">
      <c r="B357" s="352" t="s">
        <v>11</v>
      </c>
      <c r="C357" s="159">
        <v>-114012743</v>
      </c>
      <c r="D357" s="159" t="s">
        <v>111</v>
      </c>
      <c r="E357" s="90">
        <v>43137</v>
      </c>
      <c r="F357" s="90">
        <v>43139</v>
      </c>
      <c r="G357" s="353">
        <v>30.33</v>
      </c>
      <c r="H357" s="146">
        <v>3000</v>
      </c>
      <c r="I357" s="138">
        <v>92.99</v>
      </c>
      <c r="J357" s="138">
        <v>9.3000000000000007</v>
      </c>
      <c r="K357" s="138">
        <v>0</v>
      </c>
      <c r="L357" s="139">
        <v>90887.71</v>
      </c>
      <c r="M357" s="2"/>
      <c r="N357" s="1"/>
      <c r="O357" s="1"/>
      <c r="P357" s="1"/>
      <c r="Q357" s="1"/>
      <c r="R357" s="1"/>
    </row>
    <row r="358" spans="2:18" s="133" customFormat="1" x14ac:dyDescent="0.2">
      <c r="B358" s="352" t="s">
        <v>35</v>
      </c>
      <c r="C358" s="159">
        <v>-108925658</v>
      </c>
      <c r="D358" s="159" t="s">
        <v>112</v>
      </c>
      <c r="E358" s="90">
        <v>42975</v>
      </c>
      <c r="F358" s="90">
        <v>42977</v>
      </c>
      <c r="G358" s="353">
        <v>41.77</v>
      </c>
      <c r="H358" s="146">
        <v>500</v>
      </c>
      <c r="I358" s="138">
        <v>22.89</v>
      </c>
      <c r="J358" s="138">
        <v>2.29</v>
      </c>
      <c r="K358" s="138">
        <v>0</v>
      </c>
      <c r="L358" s="139">
        <v>20910.18</v>
      </c>
      <c r="M358" s="2"/>
      <c r="N358" s="1"/>
      <c r="O358" s="1"/>
      <c r="P358" s="1"/>
      <c r="Q358" s="1"/>
      <c r="R358" s="1"/>
    </row>
    <row r="359" spans="2:18" s="133" customFormat="1" x14ac:dyDescent="0.2">
      <c r="B359" s="352" t="s">
        <v>35</v>
      </c>
      <c r="C359" s="159">
        <v>-117404081</v>
      </c>
      <c r="D359" s="159" t="s">
        <v>111</v>
      </c>
      <c r="E359" s="90">
        <v>43265</v>
      </c>
      <c r="F359" s="90">
        <v>43269</v>
      </c>
      <c r="G359" s="353">
        <v>47.06</v>
      </c>
      <c r="H359" s="146">
        <v>300</v>
      </c>
      <c r="I359" s="138">
        <v>20.14</v>
      </c>
      <c r="J359" s="138">
        <v>2.0099999999999998</v>
      </c>
      <c r="K359" s="138">
        <v>0</v>
      </c>
      <c r="L359" s="139">
        <v>14095.85</v>
      </c>
      <c r="M359" s="2"/>
      <c r="N359" s="1"/>
      <c r="O359" s="1"/>
      <c r="P359" s="1"/>
      <c r="Q359" s="1"/>
      <c r="R359" s="1"/>
    </row>
    <row r="360" spans="2:18" s="133" customFormat="1" x14ac:dyDescent="0.2">
      <c r="B360" s="352" t="s">
        <v>37</v>
      </c>
      <c r="C360" s="159">
        <v>-108860180</v>
      </c>
      <c r="D360" s="159" t="s">
        <v>112</v>
      </c>
      <c r="E360" s="90">
        <v>42971</v>
      </c>
      <c r="F360" s="90">
        <v>42975</v>
      </c>
      <c r="G360" s="353">
        <v>26.1</v>
      </c>
      <c r="H360" s="146">
        <v>500</v>
      </c>
      <c r="I360" s="138">
        <v>20.14</v>
      </c>
      <c r="J360" s="138">
        <v>2.0099999999999998</v>
      </c>
      <c r="K360" s="138">
        <v>0</v>
      </c>
      <c r="L360" s="139">
        <v>13072.15</v>
      </c>
      <c r="M360" s="2"/>
      <c r="N360" s="1"/>
      <c r="O360" s="1"/>
      <c r="P360" s="1"/>
      <c r="Q360" s="1"/>
      <c r="R360" s="1"/>
    </row>
    <row r="361" spans="2:18" s="133" customFormat="1" x14ac:dyDescent="0.2">
      <c r="B361" s="352" t="s">
        <v>37</v>
      </c>
      <c r="C361" s="159">
        <v>-110539194</v>
      </c>
      <c r="D361" s="159" t="s">
        <v>112</v>
      </c>
      <c r="E361" s="90">
        <v>43028</v>
      </c>
      <c r="F361" s="90">
        <v>43032</v>
      </c>
      <c r="G361" s="353">
        <v>25.78</v>
      </c>
      <c r="H361" s="146">
        <v>400</v>
      </c>
      <c r="I361" s="138">
        <v>20.14</v>
      </c>
      <c r="J361" s="138">
        <v>2.0099999999999998</v>
      </c>
      <c r="K361" s="138">
        <v>0</v>
      </c>
      <c r="L361" s="139">
        <v>10334.15</v>
      </c>
      <c r="M361" s="2"/>
      <c r="N361" s="1"/>
      <c r="O361" s="1"/>
      <c r="P361" s="1"/>
      <c r="Q361" s="1"/>
      <c r="R361" s="1"/>
    </row>
    <row r="362" spans="2:18" s="133" customFormat="1" x14ac:dyDescent="0.2">
      <c r="B362" s="352" t="s">
        <v>37</v>
      </c>
      <c r="C362" s="159">
        <v>-117404006</v>
      </c>
      <c r="D362" s="159" t="s">
        <v>111</v>
      </c>
      <c r="E362" s="90">
        <v>43265</v>
      </c>
      <c r="F362" s="90">
        <v>43269</v>
      </c>
      <c r="G362" s="353">
        <v>29.03</v>
      </c>
      <c r="H362" s="146">
        <v>500</v>
      </c>
      <c r="I362" s="138">
        <v>20.14</v>
      </c>
      <c r="J362" s="138">
        <v>2.0099999999999998</v>
      </c>
      <c r="K362" s="138">
        <v>0</v>
      </c>
      <c r="L362" s="139">
        <v>14492.85</v>
      </c>
      <c r="M362" s="2"/>
      <c r="N362" s="1"/>
      <c r="O362" s="1"/>
      <c r="P362" s="1"/>
      <c r="Q362" s="1"/>
      <c r="R362" s="1"/>
    </row>
    <row r="363" spans="2:18" s="133" customFormat="1" x14ac:dyDescent="0.2">
      <c r="B363" s="352" t="s">
        <v>33</v>
      </c>
      <c r="C363" s="159">
        <v>-114616590</v>
      </c>
      <c r="D363" s="159" t="s">
        <v>112</v>
      </c>
      <c r="E363" s="90">
        <v>43153</v>
      </c>
      <c r="F363" s="90">
        <v>43157</v>
      </c>
      <c r="G363" s="353">
        <v>28.51</v>
      </c>
      <c r="H363" s="146">
        <v>1000</v>
      </c>
      <c r="I363" s="138">
        <v>30.51</v>
      </c>
      <c r="J363" s="138">
        <v>3.05</v>
      </c>
      <c r="K363" s="138">
        <v>0</v>
      </c>
      <c r="L363" s="139">
        <v>28543.56</v>
      </c>
      <c r="M363" s="2"/>
      <c r="N363" s="1"/>
      <c r="O363" s="1"/>
      <c r="P363" s="1"/>
      <c r="Q363" s="1"/>
      <c r="R363" s="1"/>
    </row>
    <row r="364" spans="2:18" s="133" customFormat="1" x14ac:dyDescent="0.2">
      <c r="B364" s="352" t="s">
        <v>33</v>
      </c>
      <c r="C364" s="159">
        <v>-114916447</v>
      </c>
      <c r="D364" s="159" t="s">
        <v>112</v>
      </c>
      <c r="E364" s="90">
        <v>43161</v>
      </c>
      <c r="F364" s="90">
        <v>43165</v>
      </c>
      <c r="G364" s="353">
        <v>28.5</v>
      </c>
      <c r="H364" s="146">
        <v>1000</v>
      </c>
      <c r="I364" s="138">
        <v>30.5</v>
      </c>
      <c r="J364" s="138">
        <v>3.05</v>
      </c>
      <c r="K364" s="138">
        <v>0</v>
      </c>
      <c r="L364" s="139">
        <v>28533.55</v>
      </c>
      <c r="M364" s="2"/>
      <c r="N364" s="1"/>
      <c r="O364" s="1"/>
      <c r="P364" s="1"/>
      <c r="Q364" s="1"/>
      <c r="R364" s="1"/>
    </row>
    <row r="365" spans="2:18" s="133" customFormat="1" x14ac:dyDescent="0.2">
      <c r="B365" s="352"/>
      <c r="C365" s="159"/>
      <c r="D365" s="159"/>
      <c r="E365" s="90"/>
      <c r="F365" s="90"/>
      <c r="G365" s="353"/>
      <c r="H365" s="146"/>
      <c r="I365" s="138"/>
      <c r="J365" s="138"/>
      <c r="K365" s="138"/>
      <c r="L365" s="139"/>
      <c r="M365" s="2"/>
      <c r="N365" s="1"/>
      <c r="O365" s="1"/>
      <c r="P365" s="1"/>
      <c r="Q365" s="1"/>
      <c r="R365" s="1"/>
    </row>
  </sheetData>
  <sheetProtection sheet="1" objects="1" scenarios="1"/>
  <sortState ref="A12:AM22">
    <sortCondition ref="E12:E24"/>
  </sortState>
  <mergeCells count="15">
    <mergeCell ref="N43:O43"/>
    <mergeCell ref="A9:C9"/>
    <mergeCell ref="B303:L303"/>
    <mergeCell ref="B188:L188"/>
    <mergeCell ref="B284:L284"/>
    <mergeCell ref="B282:G282"/>
    <mergeCell ref="B69:L69"/>
    <mergeCell ref="B117:L117"/>
    <mergeCell ref="A23:C23"/>
    <mergeCell ref="B3:D4"/>
    <mergeCell ref="E3:L4"/>
    <mergeCell ref="B119:L119"/>
    <mergeCell ref="B132:D133"/>
    <mergeCell ref="E132:L133"/>
    <mergeCell ref="A51:C5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PORTFOLIOS</vt:lpstr>
      <vt:lpstr>ZSF_Main</vt:lpstr>
      <vt:lpstr>ZSF E-TR</vt:lpstr>
      <vt:lpstr>ILANA_Main</vt:lpstr>
      <vt:lpstr>ILANA E-TR</vt:lpstr>
      <vt:lpstr>DIVIDENDS</vt:lpstr>
      <vt:lpstr>Trades_ILANA</vt:lpstr>
      <vt:lpstr>Trades_ZSF</vt:lpstr>
      <vt:lpstr>ACTIVITIES</vt:lpstr>
      <vt:lpstr>Sheet1</vt:lpstr>
      <vt:lpstr>SUMMARY!Print_Area</vt:lpstr>
    </vt:vector>
  </TitlesOfParts>
  <Company>ILANA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Gilka</cp:lastModifiedBy>
  <cp:lastPrinted>2021-07-01T05:06:38Z</cp:lastPrinted>
  <dcterms:created xsi:type="dcterms:W3CDTF">2010-10-01T02:08:32Z</dcterms:created>
  <dcterms:modified xsi:type="dcterms:W3CDTF">2021-07-02T01:50:31Z</dcterms:modified>
</cp:coreProperties>
</file>