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3.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SHOST\HSoft\DOC\DocBase\Clients\NICO0024\2022\Year End\"/>
    </mc:Choice>
  </mc:AlternateContent>
  <xr:revisionPtr revIDLastSave="0" documentId="13_ncr:1_{DCD4028E-9173-40B4-BBE8-5FC5157D9A23}" xr6:coauthVersionLast="47" xr6:coauthVersionMax="47" xr10:uidLastSave="{00000000-0000-0000-0000-000000000000}"/>
  <bookViews>
    <workbookView xWindow="-120" yWindow="-120" windowWidth="29040" windowHeight="15840" tabRatio="922" activeTab="9" xr2:uid="{00000000-000D-0000-FFFF-FFFF00000000}"/>
  </bookViews>
  <sheets>
    <sheet name="Index and Structure" sheetId="80" r:id="rId1"/>
    <sheet name="Allocation of Firm's Profits" sheetId="264" state="hidden" r:id="rId2"/>
    <sheet name="Queries &amp; Review Points" sheetId="259" r:id="rId3"/>
    <sheet name="Tax Reconciliation - Company" sheetId="157" state="hidden" r:id="rId4"/>
    <sheet name="Tax Reconciliation -Strader" sheetId="190" state="hidden" r:id="rId5"/>
    <sheet name="Tax Reconciliation -Trust" sheetId="189" state="hidden" r:id="rId6"/>
    <sheet name="P&amp;L Reconciliation" sheetId="154" state="hidden" r:id="rId7"/>
    <sheet name="Cash at Bank" sheetId="81" state="hidden" r:id="rId8"/>
    <sheet name="Prepayments" sheetId="127" state="hidden" r:id="rId9"/>
    <sheet name="Crypto Held" sheetId="195" r:id="rId10"/>
    <sheet name="Acquisition Costs" sheetId="206" state="hidden" r:id="rId11"/>
    <sheet name="Deposits" sheetId="205" state="hidden" r:id="rId12"/>
    <sheet name="Other Assets - 1" sheetId="207" state="hidden" r:id="rId13"/>
    <sheet name="Loss Carry Back Tax Offset " sheetId="263" state="hidden" r:id="rId14"/>
    <sheet name="Corporate Tax Rate" sheetId="260" state="hidden" r:id="rId15"/>
    <sheet name="Corporate Imputation Rate" sheetId="261" state="hidden" r:id="rId16"/>
    <sheet name="Employee Loan - FBT" sheetId="151" state="hidden" r:id="rId17"/>
    <sheet name="Shareholder loan Credit Balance" sheetId="215" state="hidden" r:id="rId18"/>
    <sheet name="Shareholder Loan - Div 7A 2019" sheetId="140" state="hidden" r:id="rId19"/>
    <sheet name="Distributable Surplus" sheetId="266" state="hidden" r:id="rId20"/>
    <sheet name="Shareholder Loan - Div 7A 2020" sheetId="262" state="hidden" r:id="rId21"/>
    <sheet name="Shareholder Loan - Div 7A 2021" sheetId="265" state="hidden" r:id="rId22"/>
    <sheet name="GST Rec" sheetId="149" state="hidden" r:id="rId23"/>
    <sheet name="BAS reconciliation" sheetId="192" state="hidden" r:id="rId24"/>
    <sheet name="Superannuation Payable" sheetId="219" state="hidden" r:id="rId25"/>
    <sheet name="Loans - Bank" sheetId="143" state="hidden" r:id="rId26"/>
    <sheet name="Bill Facilities" sheetId="251" state="hidden" r:id="rId27"/>
    <sheet name="Tax Payable" sheetId="148" state="hidden" r:id="rId28"/>
    <sheet name="Capital Gains" sheetId="227" state="hidden" r:id="rId29"/>
    <sheet name="Capital Gains- Shares" sheetId="229" state="hidden" r:id="rId30"/>
    <sheet name="Managed Funds" sheetId="255" r:id="rId31"/>
    <sheet name="Salary and Wages" sheetId="176" state="hidden" r:id="rId32"/>
    <sheet name="Dividends Received" sheetId="228" state="hidden" r:id="rId33"/>
    <sheet name="FBT Contributions" sheetId="237" state="hidden" r:id="rId34"/>
    <sheet name="Disposal Lux Car - Pooled" sheetId="250" state="hidden" r:id="rId35"/>
    <sheet name="Disposal Lux Car - Not Pooled" sheetId="249" state="hidden" r:id="rId36"/>
    <sheet name="Rental Income - Unit 1" sheetId="254" state="hidden" r:id="rId37"/>
    <sheet name="Rental Income - Unit 2" sheetId="257" state="hidden" r:id="rId38"/>
    <sheet name="Rental Income - Unit 3" sheetId="258" state="hidden" r:id="rId39"/>
    <sheet name="Other Income" sheetId="232" state="hidden" r:id="rId40"/>
    <sheet name="Goods for own use" sheetId="238" state="hidden" r:id="rId41"/>
    <sheet name="Insurance" sheetId="239" state="hidden" r:id="rId42"/>
    <sheet name="Motor Vehicle" sheetId="174" state="hidden" r:id="rId43"/>
    <sheet name="Motor Vehicle (Multiple)" sheetId="194" state="hidden" r:id="rId44"/>
    <sheet name="Car purchase worksheet" sheetId="183" state="hidden" r:id="rId45"/>
  </sheets>
  <externalReferences>
    <externalReference r:id="rId46"/>
    <externalReference r:id="rId47"/>
  </externalReferences>
  <definedNames>
    <definedName name="area" localSheetId="23">#REF!</definedName>
    <definedName name="area" localSheetId="15">#REF!</definedName>
    <definedName name="area" localSheetId="19">#REF!</definedName>
    <definedName name="area" localSheetId="43">#REF!</definedName>
    <definedName name="area" localSheetId="37">#REF!</definedName>
    <definedName name="area" localSheetId="38">#REF!</definedName>
    <definedName name="area" localSheetId="20">#REF!</definedName>
    <definedName name="area" localSheetId="21">#REF!</definedName>
    <definedName name="area">#REF!</definedName>
    <definedName name="BCACR" localSheetId="10">#REF!</definedName>
    <definedName name="BCACR" localSheetId="26">#REF!</definedName>
    <definedName name="BCACR" localSheetId="44">#REF!</definedName>
    <definedName name="BCACR" localSheetId="15">#REF!</definedName>
    <definedName name="BCACR" localSheetId="14">#REF!</definedName>
    <definedName name="BCACR" localSheetId="11">#REF!</definedName>
    <definedName name="BCACR" localSheetId="35">#REF!</definedName>
    <definedName name="BCACR" localSheetId="34">#REF!</definedName>
    <definedName name="BCACR" localSheetId="19">#REF!</definedName>
    <definedName name="BCACR" localSheetId="33">#REF!</definedName>
    <definedName name="BCACR" localSheetId="40">#REF!</definedName>
    <definedName name="BCACR" localSheetId="41">#REF!</definedName>
    <definedName name="BCACR" localSheetId="12">#REF!</definedName>
    <definedName name="BCACR" localSheetId="39">#REF!</definedName>
    <definedName name="BCACR" localSheetId="37">#REF!</definedName>
    <definedName name="BCACR" localSheetId="38">#REF!</definedName>
    <definedName name="BCACR" localSheetId="20">#REF!</definedName>
    <definedName name="BCACR" localSheetId="21">#REF!</definedName>
    <definedName name="BCACR" localSheetId="17">#REF!</definedName>
    <definedName name="BCACR" localSheetId="24">#REF!</definedName>
    <definedName name="BCACR" localSheetId="4">#REF!</definedName>
    <definedName name="BCACR" localSheetId="5">#REF!</definedName>
    <definedName name="BCACR">#REF!</definedName>
    <definedName name="BCACRC" localSheetId="10">#REF!</definedName>
    <definedName name="BCACRC" localSheetId="26">#REF!</definedName>
    <definedName name="BCACRC" localSheetId="44">#REF!</definedName>
    <definedName name="BCACRC" localSheetId="15">#REF!</definedName>
    <definedName name="BCACRC" localSheetId="14">#REF!</definedName>
    <definedName name="BCACRC" localSheetId="11">#REF!</definedName>
    <definedName name="BCACRC" localSheetId="35">#REF!</definedName>
    <definedName name="BCACRC" localSheetId="34">#REF!</definedName>
    <definedName name="BCACRC" localSheetId="19">#REF!</definedName>
    <definedName name="BCACRC" localSheetId="33">#REF!</definedName>
    <definedName name="BCACRC" localSheetId="40">#REF!</definedName>
    <definedName name="BCACRC" localSheetId="41">#REF!</definedName>
    <definedName name="BCACRC" localSheetId="12">#REF!</definedName>
    <definedName name="BCACRC" localSheetId="39">#REF!</definedName>
    <definedName name="BCACRC" localSheetId="37">#REF!</definedName>
    <definedName name="BCACRC" localSheetId="38">#REF!</definedName>
    <definedName name="BCACRC" localSheetId="20">#REF!</definedName>
    <definedName name="BCACRC" localSheetId="21">#REF!</definedName>
    <definedName name="BCACRC" localSheetId="17">#REF!</definedName>
    <definedName name="BCACRC" localSheetId="24">#REF!</definedName>
    <definedName name="BCACRC" localSheetId="4">#REF!</definedName>
    <definedName name="BCACRC" localSheetId="5">#REF!</definedName>
    <definedName name="BCACRC">#REF!</definedName>
    <definedName name="BCADR" localSheetId="10">#REF!</definedName>
    <definedName name="BCADR" localSheetId="26">#REF!</definedName>
    <definedName name="BCADR" localSheetId="44">#REF!</definedName>
    <definedName name="BCADR" localSheetId="15">#REF!</definedName>
    <definedName name="BCADR" localSheetId="14">#REF!</definedName>
    <definedName name="BCADR" localSheetId="11">#REF!</definedName>
    <definedName name="BCADR" localSheetId="35">#REF!</definedName>
    <definedName name="BCADR" localSheetId="34">#REF!</definedName>
    <definedName name="BCADR" localSheetId="19">#REF!</definedName>
    <definedName name="BCADR" localSheetId="33">#REF!</definedName>
    <definedName name="BCADR" localSheetId="40">#REF!</definedName>
    <definedName name="BCADR" localSheetId="41">#REF!</definedName>
    <definedName name="BCADR" localSheetId="12">#REF!</definedName>
    <definedName name="BCADR" localSheetId="39">#REF!</definedName>
    <definedName name="BCADR" localSheetId="37">#REF!</definedName>
    <definedName name="BCADR" localSheetId="38">#REF!</definedName>
    <definedName name="BCADR" localSheetId="20">#REF!</definedName>
    <definedName name="BCADR" localSheetId="21">#REF!</definedName>
    <definedName name="BCADR" localSheetId="17">#REF!</definedName>
    <definedName name="BCADR" localSheetId="24">#REF!</definedName>
    <definedName name="BCADR" localSheetId="4">#REF!</definedName>
    <definedName name="BCADR" localSheetId="5">#REF!</definedName>
    <definedName name="BCADR">#REF!</definedName>
    <definedName name="BCADRC" localSheetId="10">#REF!</definedName>
    <definedName name="BCADRC" localSheetId="26">#REF!</definedName>
    <definedName name="BCADRC" localSheetId="44">#REF!</definedName>
    <definedName name="BCADRC" localSheetId="15">#REF!</definedName>
    <definedName name="BCADRC" localSheetId="14">#REF!</definedName>
    <definedName name="BCADRC" localSheetId="11">#REF!</definedName>
    <definedName name="BCADRC" localSheetId="35">#REF!</definedName>
    <definedName name="BCADRC" localSheetId="34">#REF!</definedName>
    <definedName name="BCADRC" localSheetId="19">#REF!</definedName>
    <definedName name="BCADRC" localSheetId="33">#REF!</definedName>
    <definedName name="BCADRC" localSheetId="40">#REF!</definedName>
    <definedName name="BCADRC" localSheetId="41">#REF!</definedName>
    <definedName name="BCADRC" localSheetId="12">#REF!</definedName>
    <definedName name="BCADRC" localSheetId="39">#REF!</definedName>
    <definedName name="BCADRC" localSheetId="37">#REF!</definedName>
    <definedName name="BCADRC" localSheetId="38">#REF!</definedName>
    <definedName name="BCADRC" localSheetId="20">#REF!</definedName>
    <definedName name="BCADRC" localSheetId="21">#REF!</definedName>
    <definedName name="BCADRC" localSheetId="17">#REF!</definedName>
    <definedName name="BCADRC" localSheetId="24">#REF!</definedName>
    <definedName name="BCADRC" localSheetId="4">#REF!</definedName>
    <definedName name="BCADRC" localSheetId="5">#REF!</definedName>
    <definedName name="BCADRC">#REF!</definedName>
    <definedName name="BeefNumbers" localSheetId="23">#REF!,#REF!,#REF!</definedName>
    <definedName name="BeefNumbers" localSheetId="15">#REF!,#REF!,#REF!</definedName>
    <definedName name="BeefNumbers" localSheetId="19">#REF!,#REF!,#REF!</definedName>
    <definedName name="BeefNumbers" localSheetId="43">#REF!,#REF!,#REF!</definedName>
    <definedName name="BeefNumbers" localSheetId="37">#REF!,#REF!,#REF!</definedName>
    <definedName name="BeefNumbers" localSheetId="38">#REF!,#REF!,#REF!</definedName>
    <definedName name="BeefNumbers" localSheetId="20">#REF!,#REF!,#REF!</definedName>
    <definedName name="BeefNumbers" localSheetId="21">#REF!,#REF!,#REF!</definedName>
    <definedName name="BeefNumbers">#REF!,#REF!,#REF!</definedName>
    <definedName name="CentreContent" localSheetId="40">'Goods for own use'!$M$17</definedName>
    <definedName name="ChangeInNumbersCurrent" localSheetId="23">#REF!,#REF!,#REF!,#REF!,#REF!,#REF!,#REF!,#REF!,#REF!,#REF!</definedName>
    <definedName name="ChangeInNumbersCurrent" localSheetId="15">#REF!,#REF!,#REF!,#REF!,#REF!,#REF!,#REF!,#REF!,#REF!,#REF!</definedName>
    <definedName name="ChangeInNumbersCurrent" localSheetId="19">#REF!,#REF!,#REF!,#REF!,#REF!,#REF!,#REF!,#REF!,#REF!,#REF!</definedName>
    <definedName name="ChangeInNumbersCurrent" localSheetId="43">#REF!,#REF!,#REF!,#REF!,#REF!,#REF!,#REF!,#REF!,#REF!,#REF!</definedName>
    <definedName name="ChangeInNumbersCurrent" localSheetId="37">#REF!,#REF!,#REF!,#REF!,#REF!,#REF!,#REF!,#REF!,#REF!,#REF!</definedName>
    <definedName name="ChangeInNumbersCurrent" localSheetId="38">#REF!,#REF!,#REF!,#REF!,#REF!,#REF!,#REF!,#REF!,#REF!,#REF!</definedName>
    <definedName name="ChangeInNumbersCurrent" localSheetId="20">#REF!,#REF!,#REF!,#REF!,#REF!,#REF!,#REF!,#REF!,#REF!,#REF!</definedName>
    <definedName name="ChangeInNumbersCurrent" localSheetId="21">#REF!,#REF!,#REF!,#REF!,#REF!,#REF!,#REF!,#REF!,#REF!,#REF!</definedName>
    <definedName name="ChangeInNumbersCurrent">#REF!,#REF!,#REF!,#REF!,#REF!,#REF!,#REF!,#REF!,#REF!,#REF!</definedName>
    <definedName name="ChangeInNumbersLastYear" localSheetId="23">#REF!,#REF!,#REF!,#REF!,#REF!,#REF!,#REF!,#REF!,#REF!,#REF!</definedName>
    <definedName name="ChangeInNumbersLastYear" localSheetId="15">#REF!,#REF!,#REF!,#REF!,#REF!,#REF!,#REF!,#REF!,#REF!,#REF!</definedName>
    <definedName name="ChangeInNumbersLastYear" localSheetId="19">#REF!,#REF!,#REF!,#REF!,#REF!,#REF!,#REF!,#REF!,#REF!,#REF!</definedName>
    <definedName name="ChangeInNumbersLastYear" localSheetId="43">#REF!,#REF!,#REF!,#REF!,#REF!,#REF!,#REF!,#REF!,#REF!,#REF!</definedName>
    <definedName name="ChangeInNumbersLastYear" localSheetId="37">#REF!,#REF!,#REF!,#REF!,#REF!,#REF!,#REF!,#REF!,#REF!,#REF!</definedName>
    <definedName name="ChangeInNumbersLastYear" localSheetId="38">#REF!,#REF!,#REF!,#REF!,#REF!,#REF!,#REF!,#REF!,#REF!,#REF!</definedName>
    <definedName name="ChangeInNumbersLastYear" localSheetId="20">#REF!,#REF!,#REF!,#REF!,#REF!,#REF!,#REF!,#REF!,#REF!,#REF!</definedName>
    <definedName name="ChangeInNumbersLastYear" localSheetId="21">#REF!,#REF!,#REF!,#REF!,#REF!,#REF!,#REF!,#REF!,#REF!,#REF!</definedName>
    <definedName name="ChangeInNumbersLastYear">#REF!,#REF!,#REF!,#REF!,#REF!,#REF!,#REF!,#REF!,#REF!,#REF!</definedName>
    <definedName name="Content" localSheetId="40">'Goods for own use'!$M$17</definedName>
    <definedName name="d" localSheetId="26">#REF!</definedName>
    <definedName name="d" localSheetId="15">#REF!</definedName>
    <definedName name="d" localSheetId="14">#REF!</definedName>
    <definedName name="d" localSheetId="35">#REF!</definedName>
    <definedName name="d" localSheetId="34">#REF!</definedName>
    <definedName name="d" localSheetId="19">#REF!</definedName>
    <definedName name="d" localSheetId="33">#REF!</definedName>
    <definedName name="d" localSheetId="40">#REF!</definedName>
    <definedName name="d" localSheetId="41">#REF!</definedName>
    <definedName name="d" localSheetId="39">#REF!</definedName>
    <definedName name="d" localSheetId="37">#REF!</definedName>
    <definedName name="d" localSheetId="38">#REF!</definedName>
    <definedName name="d" localSheetId="20">#REF!</definedName>
    <definedName name="d" localSheetId="21">#REF!</definedName>
    <definedName name="d" localSheetId="17">#REF!</definedName>
    <definedName name="d" localSheetId="24">#REF!</definedName>
    <definedName name="d">#REF!</definedName>
    <definedName name="Date" localSheetId="23">#REF!</definedName>
    <definedName name="Date" localSheetId="15">#REF!</definedName>
    <definedName name="Date" localSheetId="19">#REF!</definedName>
    <definedName name="Date" localSheetId="43">#REF!</definedName>
    <definedName name="Date" localSheetId="37">#REF!</definedName>
    <definedName name="Date" localSheetId="38">#REF!</definedName>
    <definedName name="Date" localSheetId="20">#REF!</definedName>
    <definedName name="Date" localSheetId="21">#REF!</definedName>
    <definedName name="Date">#REF!</definedName>
    <definedName name="DeerNumbers" localSheetId="23">#REF!,#REF!,#REF!</definedName>
    <definedName name="DeerNumbers" localSheetId="15">#REF!,#REF!,#REF!</definedName>
    <definedName name="DeerNumbers" localSheetId="19">#REF!,#REF!,#REF!</definedName>
    <definedName name="DeerNumbers" localSheetId="43">#REF!,#REF!,#REF!</definedName>
    <definedName name="DeerNumbers" localSheetId="37">#REF!,#REF!,#REF!</definedName>
    <definedName name="DeerNumbers" localSheetId="38">#REF!,#REF!,#REF!</definedName>
    <definedName name="DeerNumbers" localSheetId="20">#REF!,#REF!,#REF!</definedName>
    <definedName name="DeerNumbers" localSheetId="21">#REF!,#REF!,#REF!</definedName>
    <definedName name="DeerNumbers">#REF!,#REF!,#REF!</definedName>
    <definedName name="edp" localSheetId="10">[1]AMORT!#REF!</definedName>
    <definedName name="edp" localSheetId="26">[1]AMORT!#REF!</definedName>
    <definedName name="edp" localSheetId="44">[1]AMORT!#REF!</definedName>
    <definedName name="edp" localSheetId="15">[1]AMORT!#REF!</definedName>
    <definedName name="edp" localSheetId="14">[1]AMORT!#REF!</definedName>
    <definedName name="edp" localSheetId="11">[1]AMORT!#REF!</definedName>
    <definedName name="edp" localSheetId="35">[1]AMORT!#REF!</definedName>
    <definedName name="edp" localSheetId="34">[1]AMORT!#REF!</definedName>
    <definedName name="edp" localSheetId="19">[1]AMORT!#REF!</definedName>
    <definedName name="edp" localSheetId="16">[1]AMORT!#REF!</definedName>
    <definedName name="edp" localSheetId="33">[1]AMORT!#REF!</definedName>
    <definedName name="edp" localSheetId="40">[1]AMORT!#REF!</definedName>
    <definedName name="edp" localSheetId="22">[1]AMORT!#REF!</definedName>
    <definedName name="edp" localSheetId="41">[1]AMORT!#REF!</definedName>
    <definedName name="edp" localSheetId="25">[1]AMORT!#REF!</definedName>
    <definedName name="edp" localSheetId="42">[1]AMORT!#REF!</definedName>
    <definedName name="edp" localSheetId="43">[1]AMORT!#REF!</definedName>
    <definedName name="edp" localSheetId="12">[1]AMORT!#REF!</definedName>
    <definedName name="edp" localSheetId="39">[1]AMORT!#REF!</definedName>
    <definedName name="edp" localSheetId="6">[1]AMORT!#REF!</definedName>
    <definedName name="edp" localSheetId="8">[1]AMORT!#REF!</definedName>
    <definedName name="edp" localSheetId="36">[1]AMORT!#REF!</definedName>
    <definedName name="edp" localSheetId="37">[1]AMORT!#REF!</definedName>
    <definedName name="edp" localSheetId="38">[1]AMORT!#REF!</definedName>
    <definedName name="edp" localSheetId="31">[1]AMORT!#REF!</definedName>
    <definedName name="edp" localSheetId="18">[1]AMORT!#REF!</definedName>
    <definedName name="edp" localSheetId="20">[1]AMORT!#REF!</definedName>
    <definedName name="edp" localSheetId="21">[1]AMORT!#REF!</definedName>
    <definedName name="edp" localSheetId="17">[1]AMORT!#REF!</definedName>
    <definedName name="edp" localSheetId="24">[1]AMORT!#REF!</definedName>
    <definedName name="edp" localSheetId="27">[1]AMORT!#REF!</definedName>
    <definedName name="edp" localSheetId="3">[1]AMORT!#REF!</definedName>
    <definedName name="edp" localSheetId="4">[1]AMORT!#REF!</definedName>
    <definedName name="edp" localSheetId="5">[1]AMORT!#REF!</definedName>
    <definedName name="edp">[1]AMORT!#REF!</definedName>
    <definedName name="FresianNumbers" localSheetId="23">#REF!,#REF!,#REF!,#REF!</definedName>
    <definedName name="FresianNumbers" localSheetId="15">#REF!,#REF!,#REF!,#REF!</definedName>
    <definedName name="FresianNumbers" localSheetId="19">#REF!,#REF!,#REF!,#REF!</definedName>
    <definedName name="FresianNumbers" localSheetId="43">#REF!,#REF!,#REF!,#REF!</definedName>
    <definedName name="FresianNumbers" localSheetId="37">#REF!,#REF!,#REF!,#REF!</definedName>
    <definedName name="FresianNumbers" localSheetId="38">#REF!,#REF!,#REF!,#REF!</definedName>
    <definedName name="FresianNumbers" localSheetId="20">#REF!,#REF!,#REF!,#REF!</definedName>
    <definedName name="FresianNumbers" localSheetId="21">#REF!,#REF!,#REF!,#REF!</definedName>
    <definedName name="FresianNumbers">#REF!,#REF!,#REF!,#REF!</definedName>
    <definedName name="GoatNumbers" localSheetId="23">#REF!,#REF!,#REF!,#REF!</definedName>
    <definedName name="GoatNumbers" localSheetId="15">#REF!,#REF!,#REF!,#REF!</definedName>
    <definedName name="GoatNumbers" localSheetId="19">#REF!,#REF!,#REF!,#REF!</definedName>
    <definedName name="GoatNumbers" localSheetId="43">#REF!,#REF!,#REF!,#REF!</definedName>
    <definedName name="GoatNumbers" localSheetId="37">#REF!,#REF!,#REF!,#REF!</definedName>
    <definedName name="GoatNumbers" localSheetId="38">#REF!,#REF!,#REF!,#REF!</definedName>
    <definedName name="GoatNumbers" localSheetId="20">#REF!,#REF!,#REF!,#REF!</definedName>
    <definedName name="GoatNumbers" localSheetId="21">#REF!,#REF!,#REF!,#REF!</definedName>
    <definedName name="GoatNumbers">#REF!,#REF!,#REF!,#REF!</definedName>
    <definedName name="HerdTotalCurrent" localSheetId="23">#REF!,#REF!,#REF!,#REF!,#REF!,#REF!,#REF!,#REF!,#REF!,#REF!</definedName>
    <definedName name="HerdTotalCurrent" localSheetId="15">#REF!,#REF!,#REF!,#REF!,#REF!,#REF!,#REF!,#REF!,#REF!,#REF!</definedName>
    <definedName name="HerdTotalCurrent" localSheetId="19">#REF!,#REF!,#REF!,#REF!,#REF!,#REF!,#REF!,#REF!,#REF!,#REF!</definedName>
    <definedName name="HerdTotalCurrent" localSheetId="43">#REF!,#REF!,#REF!,#REF!,#REF!,#REF!,#REF!,#REF!,#REF!,#REF!</definedName>
    <definedName name="HerdTotalCurrent" localSheetId="37">#REF!,#REF!,#REF!,#REF!,#REF!,#REF!,#REF!,#REF!,#REF!,#REF!</definedName>
    <definedName name="HerdTotalCurrent" localSheetId="38">#REF!,#REF!,#REF!,#REF!,#REF!,#REF!,#REF!,#REF!,#REF!,#REF!</definedName>
    <definedName name="HerdTotalCurrent" localSheetId="20">#REF!,#REF!,#REF!,#REF!,#REF!,#REF!,#REF!,#REF!,#REF!,#REF!</definedName>
    <definedName name="HerdTotalCurrent" localSheetId="21">#REF!,#REF!,#REF!,#REF!,#REF!,#REF!,#REF!,#REF!,#REF!,#REF!</definedName>
    <definedName name="HerdTotalCurrent">#REF!,#REF!,#REF!,#REF!,#REF!,#REF!,#REF!,#REF!,#REF!,#REF!</definedName>
    <definedName name="HerdTotalLastYear" localSheetId="23">#REF!,#REF!,#REF!,#REF!,#REF!,#REF!,#REF!,#REF!,#REF!,#REF!</definedName>
    <definedName name="HerdTotalLastYear" localSheetId="15">#REF!,#REF!,#REF!,#REF!,#REF!,#REF!,#REF!,#REF!,#REF!,#REF!</definedName>
    <definedName name="HerdTotalLastYear" localSheetId="19">#REF!,#REF!,#REF!,#REF!,#REF!,#REF!,#REF!,#REF!,#REF!,#REF!</definedName>
    <definedName name="HerdTotalLastYear" localSheetId="43">#REF!,#REF!,#REF!,#REF!,#REF!,#REF!,#REF!,#REF!,#REF!,#REF!</definedName>
    <definedName name="HerdTotalLastYear" localSheetId="37">#REF!,#REF!,#REF!,#REF!,#REF!,#REF!,#REF!,#REF!,#REF!,#REF!</definedName>
    <definedName name="HerdTotalLastYear" localSheetId="38">#REF!,#REF!,#REF!,#REF!,#REF!,#REF!,#REF!,#REF!,#REF!,#REF!</definedName>
    <definedName name="HerdTotalLastYear" localSheetId="20">#REF!,#REF!,#REF!,#REF!,#REF!,#REF!,#REF!,#REF!,#REF!,#REF!</definedName>
    <definedName name="HerdTotalLastYear" localSheetId="21">#REF!,#REF!,#REF!,#REF!,#REF!,#REF!,#REF!,#REF!,#REF!,#REF!</definedName>
    <definedName name="HerdTotalLastYear">#REF!,#REF!,#REF!,#REF!,#REF!,#REF!,#REF!,#REF!,#REF!,#REF!</definedName>
    <definedName name="HPBeefNumbers" localSheetId="23">#REF!,#REF!,#REF!,#REF!</definedName>
    <definedName name="HPBeefNumbers" localSheetId="15">#REF!,#REF!,#REF!,#REF!</definedName>
    <definedName name="HPBeefNumbers" localSheetId="19">#REF!,#REF!,#REF!,#REF!</definedName>
    <definedName name="HPBeefNumbers" localSheetId="43">#REF!,#REF!,#REF!,#REF!</definedName>
    <definedName name="HPBeefNumbers" localSheetId="37">#REF!,#REF!,#REF!,#REF!</definedName>
    <definedName name="HPBeefNumbers" localSheetId="38">#REF!,#REF!,#REF!,#REF!</definedName>
    <definedName name="HPBeefNumbers" localSheetId="20">#REF!,#REF!,#REF!,#REF!</definedName>
    <definedName name="HPBeefNumbers" localSheetId="21">#REF!,#REF!,#REF!,#REF!</definedName>
    <definedName name="HPBeefNumbers">#REF!,#REF!,#REF!,#REF!</definedName>
    <definedName name="HPDeerNumbers" localSheetId="23">#REF!,#REF!,#REF!,#REF!</definedName>
    <definedName name="HPDeerNumbers" localSheetId="15">#REF!,#REF!,#REF!,#REF!</definedName>
    <definedName name="HPDeerNumbers" localSheetId="19">#REF!,#REF!,#REF!,#REF!</definedName>
    <definedName name="HPDeerNumbers" localSheetId="43">#REF!,#REF!,#REF!,#REF!</definedName>
    <definedName name="HPDeerNumbers" localSheetId="37">#REF!,#REF!,#REF!,#REF!</definedName>
    <definedName name="HPDeerNumbers" localSheetId="38">#REF!,#REF!,#REF!,#REF!</definedName>
    <definedName name="HPDeerNumbers" localSheetId="20">#REF!,#REF!,#REF!,#REF!</definedName>
    <definedName name="HPDeerNumbers" localSheetId="21">#REF!,#REF!,#REF!,#REF!</definedName>
    <definedName name="HPDeerNumbers">#REF!,#REF!,#REF!,#REF!</definedName>
    <definedName name="HPSheepNumbers" localSheetId="23">#REF!,#REF!,#REF!</definedName>
    <definedName name="HPSheepNumbers" localSheetId="15">#REF!,#REF!,#REF!</definedName>
    <definedName name="HPSheepNumbers" localSheetId="19">#REF!,#REF!,#REF!</definedName>
    <definedName name="HPSheepNumbers" localSheetId="43">#REF!,#REF!,#REF!</definedName>
    <definedName name="HPSheepNumbers" localSheetId="37">#REF!,#REF!,#REF!</definedName>
    <definedName name="HPSheepNumbers" localSheetId="38">#REF!,#REF!,#REF!</definedName>
    <definedName name="HPSheepNumbers" localSheetId="20">#REF!,#REF!,#REF!</definedName>
    <definedName name="HPSheepNumbers" localSheetId="21">#REF!,#REF!,#REF!</definedName>
    <definedName name="HPSheepNumbers">#REF!,#REF!,#REF!</definedName>
    <definedName name="JerseyNumbers" localSheetId="23">#REF!,#REF!,#REF!,#REF!</definedName>
    <definedName name="JerseyNumbers" localSheetId="15">#REF!,#REF!,#REF!,#REF!</definedName>
    <definedName name="JerseyNumbers" localSheetId="19">#REF!,#REF!,#REF!,#REF!</definedName>
    <definedName name="JerseyNumbers" localSheetId="43">#REF!,#REF!,#REF!,#REF!</definedName>
    <definedName name="JerseyNumbers" localSheetId="37">#REF!,#REF!,#REF!,#REF!</definedName>
    <definedName name="JerseyNumbers" localSheetId="38">#REF!,#REF!,#REF!,#REF!</definedName>
    <definedName name="JerseyNumbers" localSheetId="20">#REF!,#REF!,#REF!,#REF!</definedName>
    <definedName name="JerseyNumbers" localSheetId="21">#REF!,#REF!,#REF!,#REF!</definedName>
    <definedName name="JerseyNumbers">#REF!,#REF!,#REF!,#REF!</definedName>
    <definedName name="ly" localSheetId="10">[1]DATA!#REF!</definedName>
    <definedName name="ly" localSheetId="26">[1]DATA!#REF!</definedName>
    <definedName name="ly" localSheetId="44">[1]DATA!#REF!</definedName>
    <definedName name="ly" localSheetId="15">[1]DATA!#REF!</definedName>
    <definedName name="ly" localSheetId="14">[1]DATA!#REF!</definedName>
    <definedName name="ly" localSheetId="11">[1]DATA!#REF!</definedName>
    <definedName name="ly" localSheetId="35">[1]DATA!#REF!</definedName>
    <definedName name="ly" localSheetId="34">[1]DATA!#REF!</definedName>
    <definedName name="ly" localSheetId="19">[1]DATA!#REF!</definedName>
    <definedName name="ly" localSheetId="16">[1]DATA!#REF!</definedName>
    <definedName name="ly" localSheetId="33">[1]DATA!#REF!</definedName>
    <definedName name="ly" localSheetId="40">[1]DATA!#REF!</definedName>
    <definedName name="ly" localSheetId="22">[1]DATA!#REF!</definedName>
    <definedName name="ly" localSheetId="41">[1]DATA!#REF!</definedName>
    <definedName name="ly" localSheetId="25">[1]DATA!#REF!</definedName>
    <definedName name="ly" localSheetId="42">[1]DATA!#REF!</definedName>
    <definedName name="ly" localSheetId="43">[1]DATA!#REF!</definedName>
    <definedName name="ly" localSheetId="12">[1]DATA!#REF!</definedName>
    <definedName name="ly" localSheetId="39">[1]DATA!#REF!</definedName>
    <definedName name="ly" localSheetId="6">[1]DATA!#REF!</definedName>
    <definedName name="ly" localSheetId="8">[1]DATA!#REF!</definedName>
    <definedName name="ly" localSheetId="36">[1]DATA!#REF!</definedName>
    <definedName name="ly" localSheetId="37">[1]DATA!#REF!</definedName>
    <definedName name="ly" localSheetId="38">[1]DATA!#REF!</definedName>
    <definedName name="ly" localSheetId="31">[1]DATA!#REF!</definedName>
    <definedName name="ly" localSheetId="18">[1]DATA!#REF!</definedName>
    <definedName name="ly" localSheetId="20">[1]DATA!#REF!</definedName>
    <definedName name="ly" localSheetId="21">[1]DATA!#REF!</definedName>
    <definedName name="ly" localSheetId="17">[1]DATA!#REF!</definedName>
    <definedName name="ly" localSheetId="24">[1]DATA!#REF!</definedName>
    <definedName name="ly" localSheetId="27">[1]DATA!#REF!</definedName>
    <definedName name="ly" localSheetId="3">[1]DATA!#REF!</definedName>
    <definedName name="ly" localSheetId="4">[1]DATA!#REF!</definedName>
    <definedName name="ly" localSheetId="5">[1]DATA!#REF!</definedName>
    <definedName name="ly">[1]DATA!#REF!</definedName>
    <definedName name="NSCTotalCurrentYear" localSheetId="23">#REF!,#REF!,#REF!,#REF!,#REF!,#REF!,#REF!,#REF!,#REF!,#REF!</definedName>
    <definedName name="NSCTotalCurrentYear" localSheetId="15">#REF!,#REF!,#REF!,#REF!,#REF!,#REF!,#REF!,#REF!,#REF!,#REF!</definedName>
    <definedName name="NSCTotalCurrentYear" localSheetId="19">#REF!,#REF!,#REF!,#REF!,#REF!,#REF!,#REF!,#REF!,#REF!,#REF!</definedName>
    <definedName name="NSCTotalCurrentYear" localSheetId="43">#REF!,#REF!,#REF!,#REF!,#REF!,#REF!,#REF!,#REF!,#REF!,#REF!</definedName>
    <definedName name="NSCTotalCurrentYear" localSheetId="37">#REF!,#REF!,#REF!,#REF!,#REF!,#REF!,#REF!,#REF!,#REF!,#REF!</definedName>
    <definedName name="NSCTotalCurrentYear" localSheetId="38">#REF!,#REF!,#REF!,#REF!,#REF!,#REF!,#REF!,#REF!,#REF!,#REF!</definedName>
    <definedName name="NSCTotalCurrentYear" localSheetId="20">#REF!,#REF!,#REF!,#REF!,#REF!,#REF!,#REF!,#REF!,#REF!,#REF!</definedName>
    <definedName name="NSCTotalCurrentYear" localSheetId="21">#REF!,#REF!,#REF!,#REF!,#REF!,#REF!,#REF!,#REF!,#REF!,#REF!</definedName>
    <definedName name="NSCTotalCurrentYear">#REF!,#REF!,#REF!,#REF!,#REF!,#REF!,#REF!,#REF!,#REF!,#REF!</definedName>
    <definedName name="NSCTotalLastYear" localSheetId="23">#REF!,#REF!,#REF!,#REF!,#REF!,#REF!,#REF!,#REF!,#REF!,#REF!</definedName>
    <definedName name="NSCTotalLastYear" localSheetId="15">#REF!,#REF!,#REF!,#REF!,#REF!,#REF!,#REF!,#REF!,#REF!,#REF!</definedName>
    <definedName name="NSCTotalLastYear" localSheetId="19">#REF!,#REF!,#REF!,#REF!,#REF!,#REF!,#REF!,#REF!,#REF!,#REF!</definedName>
    <definedName name="NSCTotalLastYear" localSheetId="43">#REF!,#REF!,#REF!,#REF!,#REF!,#REF!,#REF!,#REF!,#REF!,#REF!</definedName>
    <definedName name="NSCTotalLastYear" localSheetId="37">#REF!,#REF!,#REF!,#REF!,#REF!,#REF!,#REF!,#REF!,#REF!,#REF!</definedName>
    <definedName name="NSCTotalLastYear" localSheetId="38">#REF!,#REF!,#REF!,#REF!,#REF!,#REF!,#REF!,#REF!,#REF!,#REF!</definedName>
    <definedName name="NSCTotalLastYear" localSheetId="20">#REF!,#REF!,#REF!,#REF!,#REF!,#REF!,#REF!,#REF!,#REF!,#REF!</definedName>
    <definedName name="NSCTotalLastYear" localSheetId="21">#REF!,#REF!,#REF!,#REF!,#REF!,#REF!,#REF!,#REF!,#REF!,#REF!</definedName>
    <definedName name="NSCTotalLastYear">#REF!,#REF!,#REF!,#REF!,#REF!,#REF!,#REF!,#REF!,#REF!,#REF!</definedName>
    <definedName name="_xlnm.Print_Area" localSheetId="10">'Acquisition Costs'!$A$1:$H$51</definedName>
    <definedName name="_xlnm.Print_Area" localSheetId="23">'BAS reconciliation'!$A$1:$P$67</definedName>
    <definedName name="_xlnm.Print_Area" localSheetId="26">'Bill Facilities'!$A$1:$H$56</definedName>
    <definedName name="_xlnm.Print_Area" localSheetId="28">'Capital Gains'!$A$1:$H$61</definedName>
    <definedName name="_xlnm.Print_Area" localSheetId="44">'Car purchase worksheet'!$A$1:$I$91</definedName>
    <definedName name="_xlnm.Print_Area" localSheetId="7">'Cash at Bank'!$A$1:$H$54</definedName>
    <definedName name="_xlnm.Print_Area" localSheetId="15">'Corporate Imputation Rate'!$A$1:$K$64</definedName>
    <definedName name="_xlnm.Print_Area" localSheetId="14">'Corporate Tax Rate'!$A$1:$K$63</definedName>
    <definedName name="_xlnm.Print_Area" localSheetId="11">Deposits!$A$1:$H$51</definedName>
    <definedName name="_xlnm.Print_Area" localSheetId="35">'Disposal Lux Car - Not Pooled'!$A$1:$H$59</definedName>
    <definedName name="_xlnm.Print_Area" localSheetId="34">'Disposal Lux Car - Pooled'!$A$1:$H$52</definedName>
    <definedName name="_xlnm.Print_Area" localSheetId="19">'Distributable Surplus'!$A$1:$H$38</definedName>
    <definedName name="_xlnm.Print_Area" localSheetId="32">'Dividends Received'!$A$1:$J$71</definedName>
    <definedName name="_xlnm.Print_Area" localSheetId="16">'Employee Loan - FBT'!$A$1:$H$60</definedName>
    <definedName name="_xlnm.Print_Area" localSheetId="33">'FBT Contributions'!$A$1:$H$46</definedName>
    <definedName name="_xlnm.Print_Area" localSheetId="40">'Goods for own use'!$A$1:$I$34</definedName>
    <definedName name="_xlnm.Print_Area" localSheetId="22">'GST Rec'!$A$1:$H$66</definedName>
    <definedName name="_xlnm.Print_Area" localSheetId="0">'Index and Structure'!$A$2:$J$45</definedName>
    <definedName name="_xlnm.Print_Area" localSheetId="41">Insurance!$A$1:$I$34</definedName>
    <definedName name="_xlnm.Print_Area" localSheetId="25">'Loans - Bank'!$A$1:$H$65</definedName>
    <definedName name="_xlnm.Print_Area" localSheetId="13">'Loss Carry Back Tax Offset '!$A$1:$L$65</definedName>
    <definedName name="_xlnm.Print_Area" localSheetId="30">'Managed Funds'!$A$1:$U$26</definedName>
    <definedName name="_xlnm.Print_Area" localSheetId="42">'Motor Vehicle'!$A$1:$H$55</definedName>
    <definedName name="_xlnm.Print_Area" localSheetId="43">'Motor Vehicle (Multiple)'!$A$1:$L$45</definedName>
    <definedName name="_xlnm.Print_Area" localSheetId="12">'Other Assets - 1'!$A$1:$H$51</definedName>
    <definedName name="_xlnm.Print_Area" localSheetId="39">'Other Income'!$A$1:$H$48</definedName>
    <definedName name="_xlnm.Print_Area" localSheetId="6">'P&amp;L Reconciliation'!$A$1:$H$58</definedName>
    <definedName name="_xlnm.Print_Area" localSheetId="8">Prepayments!$A$1:$H$62</definedName>
    <definedName name="_xlnm.Print_Area" localSheetId="36">'Rental Income - Unit 1'!$A$1:$S$84</definedName>
    <definedName name="_xlnm.Print_Area" localSheetId="37">'Rental Income - Unit 2'!$A$1:$S$84</definedName>
    <definedName name="_xlnm.Print_Area" localSheetId="38">'Rental Income - Unit 3'!$A$1:$S$84</definedName>
    <definedName name="_xlnm.Print_Area" localSheetId="31">'Salary and Wages'!$A$1:$I$83</definedName>
    <definedName name="_xlnm.Print_Area" localSheetId="18">'Shareholder Loan - Div 7A 2019'!$A$1:$I$85</definedName>
    <definedName name="_xlnm.Print_Area" localSheetId="20">'Shareholder Loan - Div 7A 2020'!$A$1:$I$86</definedName>
    <definedName name="_xlnm.Print_Area" localSheetId="21">'Shareholder Loan - Div 7A 2021'!$A$1:$I$86</definedName>
    <definedName name="_xlnm.Print_Area" localSheetId="17">'Shareholder loan Credit Balance'!$A$1:$H$54</definedName>
    <definedName name="_xlnm.Print_Area" localSheetId="24">'Superannuation Payable'!$A$1:$H$66</definedName>
    <definedName name="_xlnm.Print_Area" localSheetId="27">'Tax Payable'!$A$1:$H$88</definedName>
    <definedName name="_xlnm.Print_Area" localSheetId="4">'Tax Reconciliation -Strader'!$A$1:$H$86</definedName>
    <definedName name="_xlnm.Print_Area" localSheetId="5">'Tax Reconciliation -Trust'!$A$1:$H$97</definedName>
    <definedName name="Print_Area_MI" localSheetId="23">#REF!</definedName>
    <definedName name="Print_Area_MI" localSheetId="15">#REF!</definedName>
    <definedName name="Print_Area_MI" localSheetId="19">#REF!</definedName>
    <definedName name="Print_Area_MI" localSheetId="43">#REF!</definedName>
    <definedName name="Print_Area_MI" localSheetId="37">#REF!</definedName>
    <definedName name="Print_Area_MI" localSheetId="38">#REF!</definedName>
    <definedName name="Print_Area_MI" localSheetId="20">#REF!</definedName>
    <definedName name="Print_Area_MI" localSheetId="21">#REF!</definedName>
    <definedName name="Print_Area_MI">#REF!</definedName>
    <definedName name="_xlnm.Print_Titles" localSheetId="18">'Shareholder Loan - Div 7A 2019'!$4:$10</definedName>
    <definedName name="_xlnm.Print_Titles" localSheetId="20">'Shareholder Loan - Div 7A 2020'!$4:$10</definedName>
    <definedName name="_xlnm.Print_Titles" localSheetId="21">'Shareholder Loan - Div 7A 2021'!$4:$10</definedName>
    <definedName name="ProfitLoss" localSheetId="10">#REF!</definedName>
    <definedName name="ProfitLoss" localSheetId="26">#REF!</definedName>
    <definedName name="ProfitLoss" localSheetId="44">#REF!</definedName>
    <definedName name="ProfitLoss" localSheetId="15">#REF!</definedName>
    <definedName name="ProfitLoss" localSheetId="14">#REF!</definedName>
    <definedName name="ProfitLoss" localSheetId="11">#REF!</definedName>
    <definedName name="ProfitLoss" localSheetId="35">#REF!</definedName>
    <definedName name="ProfitLoss" localSheetId="34">#REF!</definedName>
    <definedName name="ProfitLoss" localSheetId="19">#REF!</definedName>
    <definedName name="ProfitLoss" localSheetId="33">#REF!</definedName>
    <definedName name="ProfitLoss" localSheetId="40">#REF!</definedName>
    <definedName name="ProfitLoss" localSheetId="41">#REF!</definedName>
    <definedName name="ProfitLoss" localSheetId="12">#REF!</definedName>
    <definedName name="ProfitLoss" localSheetId="39">#REF!</definedName>
    <definedName name="ProfitLoss" localSheetId="37">#REF!</definedName>
    <definedName name="ProfitLoss" localSheetId="38">#REF!</definedName>
    <definedName name="ProfitLoss" localSheetId="20">#REF!</definedName>
    <definedName name="ProfitLoss" localSheetId="21">#REF!</definedName>
    <definedName name="ProfitLoss" localSheetId="17">#REF!</definedName>
    <definedName name="ProfitLoss" localSheetId="24">#REF!</definedName>
    <definedName name="ProfitLoss" localSheetId="4">#REF!</definedName>
    <definedName name="ProfitLoss" localSheetId="5">#REF!</definedName>
    <definedName name="ProfitLoss">#REF!</definedName>
    <definedName name="Ref" localSheetId="23">#REF!</definedName>
    <definedName name="Ref" localSheetId="15">#REF!</definedName>
    <definedName name="Ref" localSheetId="19">#REF!</definedName>
    <definedName name="Ref" localSheetId="43">#REF!</definedName>
    <definedName name="Ref" localSheetId="37">#REF!</definedName>
    <definedName name="Ref" localSheetId="38">#REF!</definedName>
    <definedName name="Ref" localSheetId="20">#REF!</definedName>
    <definedName name="Ref" localSheetId="21">#REF!</definedName>
    <definedName name="Ref">#REF!</definedName>
    <definedName name="Review">'[2]Information Sheet'!$H$24</definedName>
    <definedName name="sdp" localSheetId="10">[1]AMORT!#REF!</definedName>
    <definedName name="sdp" localSheetId="26">[1]AMORT!#REF!</definedName>
    <definedName name="sdp" localSheetId="44">[1]AMORT!#REF!</definedName>
    <definedName name="sdp" localSheetId="15">[1]AMORT!#REF!</definedName>
    <definedName name="sdp" localSheetId="14">[1]AMORT!#REF!</definedName>
    <definedName name="sdp" localSheetId="11">[1]AMORT!#REF!</definedName>
    <definedName name="sdp" localSheetId="35">[1]AMORT!#REF!</definedName>
    <definedName name="sdp" localSheetId="34">[1]AMORT!#REF!</definedName>
    <definedName name="sdp" localSheetId="19">[1]AMORT!#REF!</definedName>
    <definedName name="sdp" localSheetId="16">[1]AMORT!#REF!</definedName>
    <definedName name="sdp" localSheetId="33">[1]AMORT!#REF!</definedName>
    <definedName name="sdp" localSheetId="40">[1]AMORT!#REF!</definedName>
    <definedName name="sdp" localSheetId="22">[1]AMORT!#REF!</definedName>
    <definedName name="sdp" localSheetId="41">[1]AMORT!#REF!</definedName>
    <definedName name="sdp" localSheetId="25">[1]AMORT!#REF!</definedName>
    <definedName name="sdp" localSheetId="42">[1]AMORT!#REF!</definedName>
    <definedName name="sdp" localSheetId="43">[1]AMORT!#REF!</definedName>
    <definedName name="sdp" localSheetId="12">[1]AMORT!#REF!</definedName>
    <definedName name="sdp" localSheetId="39">[1]AMORT!#REF!</definedName>
    <definedName name="sdp" localSheetId="6">[1]AMORT!#REF!</definedName>
    <definedName name="sdp" localSheetId="8">[1]AMORT!#REF!</definedName>
    <definedName name="sdp" localSheetId="36">[1]AMORT!#REF!</definedName>
    <definedName name="sdp" localSheetId="37">[1]AMORT!#REF!</definedName>
    <definedName name="sdp" localSheetId="38">[1]AMORT!#REF!</definedName>
    <definedName name="sdp" localSheetId="31">[1]AMORT!#REF!</definedName>
    <definedName name="sdp" localSheetId="18">[1]AMORT!#REF!</definedName>
    <definedName name="sdp" localSheetId="20">[1]AMORT!#REF!</definedName>
    <definedName name="sdp" localSheetId="21">[1]AMORT!#REF!</definedName>
    <definedName name="sdp" localSheetId="17">[1]AMORT!#REF!</definedName>
    <definedName name="sdp" localSheetId="24">[1]AMORT!#REF!</definedName>
    <definedName name="sdp" localSheetId="27">[1]AMORT!#REF!</definedName>
    <definedName name="sdp" localSheetId="3">[1]AMORT!#REF!</definedName>
    <definedName name="sdp" localSheetId="4">[1]AMORT!#REF!</definedName>
    <definedName name="sdp" localSheetId="5">[1]AMORT!#REF!</definedName>
    <definedName name="sdp">[1]AMORT!#REF!</definedName>
    <definedName name="SheepNumbers" localSheetId="23">#REF!,#REF!,#REF!</definedName>
    <definedName name="SheepNumbers" localSheetId="15">#REF!,#REF!,#REF!</definedName>
    <definedName name="SheepNumbers" localSheetId="19">#REF!,#REF!,#REF!</definedName>
    <definedName name="SheepNumbers" localSheetId="43">#REF!,#REF!,#REF!</definedName>
    <definedName name="SheepNumbers" localSheetId="37">#REF!,#REF!,#REF!</definedName>
    <definedName name="SheepNumbers" localSheetId="38">#REF!,#REF!,#REF!</definedName>
    <definedName name="SheepNumbers" localSheetId="20">#REF!,#REF!,#REF!</definedName>
    <definedName name="SheepNumbers" localSheetId="21">#REF!,#REF!,#REF!</definedName>
    <definedName name="SheepNumbers">#REF!,#REF!,#REF!</definedName>
    <definedName name="top" localSheetId="40">'Goods for own use'!$M$17</definedName>
    <definedName name="TotalHPNumbers" localSheetId="23">#REF!,#REF!,#REF!,#REF!,#REF!,#REF!,#REF!,#REF!,#REF!,#REF!,#REF!,#REF!</definedName>
    <definedName name="TotalHPNumbers" localSheetId="15">#REF!,#REF!,#REF!,#REF!,#REF!,#REF!,#REF!,#REF!,#REF!,#REF!,#REF!,#REF!</definedName>
    <definedName name="TotalHPNumbers" localSheetId="19">#REF!,#REF!,#REF!,#REF!,#REF!,#REF!,#REF!,#REF!,#REF!,#REF!,#REF!,#REF!</definedName>
    <definedName name="TotalHPNumbers" localSheetId="43">#REF!,#REF!,#REF!,#REF!,#REF!,#REF!,#REF!,#REF!,#REF!,#REF!,#REF!,#REF!</definedName>
    <definedName name="TotalHPNumbers" localSheetId="37">#REF!,#REF!,#REF!,#REF!,#REF!,#REF!,#REF!,#REF!,#REF!,#REF!,#REF!,#REF!</definedName>
    <definedName name="TotalHPNumbers" localSheetId="38">#REF!,#REF!,#REF!,#REF!,#REF!,#REF!,#REF!,#REF!,#REF!,#REF!,#REF!,#REF!</definedName>
    <definedName name="TotalHPNumbers" localSheetId="20">#REF!,#REF!,#REF!,#REF!,#REF!,#REF!,#REF!,#REF!,#REF!,#REF!,#REF!,#REF!</definedName>
    <definedName name="TotalHPNumbers" localSheetId="21">#REF!,#REF!,#REF!,#REF!,#REF!,#REF!,#REF!,#REF!,#REF!,#REF!,#REF!,#REF!</definedName>
    <definedName name="TotalHPNumbers">#REF!,#REF!,#REF!,#REF!,#REF!,#REF!,#REF!,#REF!,#REF!,#REF!,#REF!,#REF!</definedName>
    <definedName name="TotalNormalNumbers" localSheetId="23">#REF!,#REF!,#REF!,#REF!,#REF!,#REF!,#REF!,#REF!,#REF!,#REF!,#REF!,#REF!,#REF!,#REF!,#REF!,#REF!,#REF!,#REF!,#REF!,#REF!,#REF!</definedName>
    <definedName name="TotalNormalNumbers" localSheetId="15">#REF!,#REF!,#REF!,#REF!,#REF!,#REF!,#REF!,#REF!,#REF!,#REF!,#REF!,#REF!,#REF!,#REF!,#REF!,#REF!,#REF!,#REF!,#REF!,#REF!,#REF!</definedName>
    <definedName name="TotalNormalNumbers" localSheetId="19">#REF!,#REF!,#REF!,#REF!,#REF!,#REF!,#REF!,#REF!,#REF!,#REF!,#REF!,#REF!,#REF!,#REF!,#REF!,#REF!,#REF!,#REF!,#REF!,#REF!,#REF!</definedName>
    <definedName name="TotalNormalNumbers" localSheetId="43">#REF!,#REF!,#REF!,#REF!,#REF!,#REF!,#REF!,#REF!,#REF!,#REF!,#REF!,#REF!,#REF!,#REF!,#REF!,#REF!,#REF!,#REF!,#REF!,#REF!,#REF!</definedName>
    <definedName name="TotalNormalNumbers" localSheetId="37">#REF!,#REF!,#REF!,#REF!,#REF!,#REF!,#REF!,#REF!,#REF!,#REF!,#REF!,#REF!,#REF!,#REF!,#REF!,#REF!,#REF!,#REF!,#REF!,#REF!,#REF!</definedName>
    <definedName name="TotalNormalNumbers" localSheetId="38">#REF!,#REF!,#REF!,#REF!,#REF!,#REF!,#REF!,#REF!,#REF!,#REF!,#REF!,#REF!,#REF!,#REF!,#REF!,#REF!,#REF!,#REF!,#REF!,#REF!,#REF!</definedName>
    <definedName name="TotalNormalNumbers" localSheetId="20">#REF!,#REF!,#REF!,#REF!,#REF!,#REF!,#REF!,#REF!,#REF!,#REF!,#REF!,#REF!,#REF!,#REF!,#REF!,#REF!,#REF!,#REF!,#REF!,#REF!,#REF!</definedName>
    <definedName name="TotalNormalNumbers" localSheetId="21">#REF!,#REF!,#REF!,#REF!,#REF!,#REF!,#REF!,#REF!,#REF!,#REF!,#REF!,#REF!,#REF!,#REF!,#REF!,#REF!,#REF!,#REF!,#REF!,#REF!,#REF!</definedName>
    <definedName name="TotalNormalNumbers">#REF!,#REF!,#REF!,#REF!,#REF!,#REF!,#REF!,#REF!,#REF!,#REF!,#REF!,#REF!,#REF!,#REF!,#REF!,#REF!,#REF!,#REF!,#REF!,#REF!,#REF!</definedName>
    <definedName name="WapitiNumbers" localSheetId="23">#REF!,#REF!,#REF!</definedName>
    <definedName name="WapitiNumbers" localSheetId="15">#REF!,#REF!,#REF!</definedName>
    <definedName name="WapitiNumbers" localSheetId="19">#REF!,#REF!,#REF!</definedName>
    <definedName name="WapitiNumbers" localSheetId="43">#REF!,#REF!,#REF!</definedName>
    <definedName name="WapitiNumbers" localSheetId="37">#REF!,#REF!,#REF!</definedName>
    <definedName name="WapitiNumbers" localSheetId="38">#REF!,#REF!,#REF!</definedName>
    <definedName name="WapitiNumbers" localSheetId="20">#REF!,#REF!,#REF!</definedName>
    <definedName name="WapitiNumbers" localSheetId="21">#REF!,#REF!,#REF!</definedName>
    <definedName name="WapitiNumbers">#REF!,#REF!,#REF!</definedName>
    <definedName name="Z_F72FE543_F911_423C_A34B_9CA018DFE603_.wvu.PrintArea" localSheetId="10" hidden="1">'Acquisition Costs'!$A$1:$H$51</definedName>
    <definedName name="Z_F72FE543_F911_423C_A34B_9CA018DFE603_.wvu.PrintArea" localSheetId="23" hidden="1">'BAS reconciliation'!$A$1:$Q$64</definedName>
    <definedName name="Z_F72FE543_F911_423C_A34B_9CA018DFE603_.wvu.PrintArea" localSheetId="26" hidden="1">'Bill Facilities'!$A$1:$H$56</definedName>
    <definedName name="Z_F72FE543_F911_423C_A34B_9CA018DFE603_.wvu.PrintArea" localSheetId="44" hidden="1">'Car purchase worksheet'!$A$1:$I$91</definedName>
    <definedName name="Z_F72FE543_F911_423C_A34B_9CA018DFE603_.wvu.PrintArea" localSheetId="7" hidden="1">'Cash at Bank'!$A$1:$H$54</definedName>
    <definedName name="Z_F72FE543_F911_423C_A34B_9CA018DFE603_.wvu.PrintArea" localSheetId="15" hidden="1">'Corporate Imputation Rate'!$A$1:$K$64</definedName>
    <definedName name="Z_F72FE543_F911_423C_A34B_9CA018DFE603_.wvu.PrintArea" localSheetId="14" hidden="1">'Corporate Tax Rate'!$A$1:$K$63</definedName>
    <definedName name="Z_F72FE543_F911_423C_A34B_9CA018DFE603_.wvu.PrintArea" localSheetId="11" hidden="1">Deposits!$A$1:$H$51</definedName>
    <definedName name="Z_F72FE543_F911_423C_A34B_9CA018DFE603_.wvu.PrintArea" localSheetId="35" hidden="1">'Disposal Lux Car - Not Pooled'!$A$1:$H$59</definedName>
    <definedName name="Z_F72FE543_F911_423C_A34B_9CA018DFE603_.wvu.PrintArea" localSheetId="34" hidden="1">'Disposal Lux Car - Pooled'!$A$1:$H$42</definedName>
    <definedName name="Z_F72FE543_F911_423C_A34B_9CA018DFE603_.wvu.PrintArea" localSheetId="19" hidden="1">'Distributable Surplus'!$A$1:$H$38</definedName>
    <definedName name="Z_F72FE543_F911_423C_A34B_9CA018DFE603_.wvu.PrintArea" localSheetId="16" hidden="1">'Employee Loan - FBT'!$A$1:$H$60</definedName>
    <definedName name="Z_F72FE543_F911_423C_A34B_9CA018DFE603_.wvu.PrintArea" localSheetId="33" hidden="1">'FBT Contributions'!$A$1:$H$46</definedName>
    <definedName name="Z_F72FE543_F911_423C_A34B_9CA018DFE603_.wvu.PrintArea" localSheetId="40" hidden="1">'Goods for own use'!$A$1:$I$34</definedName>
    <definedName name="Z_F72FE543_F911_423C_A34B_9CA018DFE603_.wvu.PrintArea" localSheetId="22" hidden="1">'GST Rec'!$A$1:$H$66</definedName>
    <definedName name="Z_F72FE543_F911_423C_A34B_9CA018DFE603_.wvu.PrintArea" localSheetId="0" hidden="1">'Index and Structure'!$A$2:$J$45</definedName>
    <definedName name="Z_F72FE543_F911_423C_A34B_9CA018DFE603_.wvu.PrintArea" localSheetId="41" hidden="1">Insurance!$A$1:$I$34</definedName>
    <definedName name="Z_F72FE543_F911_423C_A34B_9CA018DFE603_.wvu.PrintArea" localSheetId="25" hidden="1">'Loans - Bank'!$A$1:$H$65</definedName>
    <definedName name="Z_F72FE543_F911_423C_A34B_9CA018DFE603_.wvu.PrintArea" localSheetId="42" hidden="1">'Motor Vehicle'!$A$1:$H$55</definedName>
    <definedName name="Z_F72FE543_F911_423C_A34B_9CA018DFE603_.wvu.PrintArea" localSheetId="43" hidden="1">'Motor Vehicle (Multiple)'!$A$1:$H$71</definedName>
    <definedName name="Z_F72FE543_F911_423C_A34B_9CA018DFE603_.wvu.PrintArea" localSheetId="12" hidden="1">'Other Assets - 1'!$A$1:$H$51</definedName>
    <definedName name="Z_F72FE543_F911_423C_A34B_9CA018DFE603_.wvu.PrintArea" localSheetId="39" hidden="1">'Other Income'!$A$1:$H$48</definedName>
    <definedName name="Z_F72FE543_F911_423C_A34B_9CA018DFE603_.wvu.PrintArea" localSheetId="6" hidden="1">'P&amp;L Reconciliation'!$A$1:$H$58</definedName>
    <definedName name="Z_F72FE543_F911_423C_A34B_9CA018DFE603_.wvu.PrintArea" localSheetId="8" hidden="1">Prepayments!$A$1:$H$62</definedName>
    <definedName name="Z_F72FE543_F911_423C_A34B_9CA018DFE603_.wvu.PrintArea" localSheetId="31" hidden="1">'Salary and Wages'!$A$1:$I$52</definedName>
    <definedName name="Z_F72FE543_F911_423C_A34B_9CA018DFE603_.wvu.PrintArea" localSheetId="18" hidden="1">'Shareholder Loan - Div 7A 2019'!$A$1:$I$85</definedName>
    <definedName name="Z_F72FE543_F911_423C_A34B_9CA018DFE603_.wvu.PrintArea" localSheetId="20" hidden="1">'Shareholder Loan - Div 7A 2020'!$A$1:$I$86</definedName>
    <definedName name="Z_F72FE543_F911_423C_A34B_9CA018DFE603_.wvu.PrintArea" localSheetId="21" hidden="1">'Shareholder Loan - Div 7A 2021'!$A$1:$I$86</definedName>
    <definedName name="Z_F72FE543_F911_423C_A34B_9CA018DFE603_.wvu.PrintArea" localSheetId="17" hidden="1">'Shareholder loan Credit Balance'!$A$1:$H$54</definedName>
    <definedName name="Z_F72FE543_F911_423C_A34B_9CA018DFE603_.wvu.PrintArea" localSheetId="24" hidden="1">'Superannuation Payable'!$A$1:$H$66</definedName>
    <definedName name="Z_F72FE543_F911_423C_A34B_9CA018DFE603_.wvu.PrintArea" localSheetId="27" hidden="1">'Tax Payable'!$A$1:$H$78</definedName>
    <definedName name="Z_F72FE543_F911_423C_A34B_9CA018DFE603_.wvu.PrintArea" localSheetId="3" hidden="1">'Tax Reconciliation - Company'!$A$1:$H$115</definedName>
    <definedName name="Z_F72FE543_F911_423C_A34B_9CA018DFE603_.wvu.PrintArea" localSheetId="4" hidden="1">'Tax Reconciliation -Strader'!$A$1:$H$86</definedName>
    <definedName name="Z_F72FE543_F911_423C_A34B_9CA018DFE603_.wvu.PrintArea" localSheetId="5" hidden="1">'Tax Reconciliation -Trust'!$A$1:$H$97</definedName>
    <definedName name="Z_F72FE543_F911_423C_A34B_9CA018DFE603_.wvu.PrintTitles" localSheetId="18" hidden="1">'Shareholder Loan - Div 7A 2019'!$4:$10</definedName>
    <definedName name="Z_F72FE543_F911_423C_A34B_9CA018DFE603_.wvu.PrintTitles" localSheetId="20" hidden="1">'Shareholder Loan - Div 7A 2020'!$4:$10</definedName>
    <definedName name="Z_F72FE543_F911_423C_A34B_9CA018DFE603_.wvu.PrintTitles" localSheetId="21" hidden="1">'Shareholder Loan - Div 7A 2021'!$4:$10</definedName>
  </definedNames>
  <calcPr calcId="191029"/>
  <customWorkbookViews>
    <customWorkbookView name="Print Preview" guid="{F72FE543-F911-423C-A34B-9CA018DFE603}" maximized="1" xWindow="1" yWindow="1" windowWidth="1276" windowHeight="538" tabRatio="966" activeSheetId="15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13" i="195" l="1"/>
  <c r="V13" i="195"/>
  <c r="D7" i="195"/>
  <c r="D19" i="195" s="1"/>
  <c r="E7" i="195"/>
  <c r="E19" i="195" s="1"/>
  <c r="C7" i="195"/>
  <c r="C19" i="195" s="1"/>
  <c r="G24" i="195"/>
  <c r="G18" i="195"/>
  <c r="B19" i="195"/>
  <c r="B25" i="195"/>
  <c r="D14" i="195"/>
  <c r="D25" i="195" s="1"/>
  <c r="E14" i="195"/>
  <c r="E25" i="195" s="1"/>
  <c r="C14" i="195"/>
  <c r="C25" i="195" s="1"/>
  <c r="F8" i="195"/>
  <c r="F9" i="195"/>
  <c r="F10" i="195"/>
  <c r="J38" i="255"/>
  <c r="J39" i="255" s="1"/>
  <c r="I38" i="255"/>
  <c r="I39" i="255"/>
  <c r="K38" i="255"/>
  <c r="I33" i="255"/>
  <c r="I36" i="255"/>
  <c r="I34" i="255"/>
  <c r="I32" i="255"/>
  <c r="I31" i="255"/>
  <c r="N8" i="255"/>
  <c r="I8" i="255"/>
  <c r="F7" i="195" l="1"/>
  <c r="K39" i="255"/>
  <c r="H9" i="255"/>
  <c r="R8" i="255"/>
  <c r="T8" i="255" s="1"/>
  <c r="B12" i="266"/>
  <c r="F10" i="266"/>
  <c r="F7" i="266"/>
  <c r="F8" i="266"/>
  <c r="F6" i="266"/>
  <c r="B8" i="266"/>
  <c r="B6" i="266"/>
  <c r="F35" i="266"/>
  <c r="F12" i="266" s="1"/>
  <c r="R9" i="255"/>
  <c r="T9" i="255" s="1"/>
  <c r="R10" i="255"/>
  <c r="T10" i="255" s="1"/>
  <c r="R11" i="255"/>
  <c r="T11" i="255" s="1"/>
  <c r="R12" i="255"/>
  <c r="T12" i="255" s="1"/>
  <c r="R13" i="255"/>
  <c r="T13" i="255" s="1"/>
  <c r="R14" i="255"/>
  <c r="T14" i="255" s="1"/>
  <c r="R15" i="255"/>
  <c r="T15" i="255" s="1"/>
  <c r="R16" i="255"/>
  <c r="T16" i="255" s="1"/>
  <c r="R17" i="255"/>
  <c r="T17" i="255" s="1"/>
  <c r="R18" i="255"/>
  <c r="T18" i="255" s="1"/>
  <c r="R19" i="255"/>
  <c r="T19" i="255" s="1"/>
  <c r="R20" i="255"/>
  <c r="T20" i="255" s="1"/>
  <c r="R21" i="255"/>
  <c r="T21" i="255" s="1"/>
  <c r="S13" i="255"/>
  <c r="S8" i="255" l="1"/>
  <c r="E54" i="261" l="1"/>
  <c r="F72" i="148"/>
  <c r="F64" i="148"/>
  <c r="C83" i="148"/>
  <c r="F57" i="148"/>
  <c r="S9" i="255"/>
  <c r="S10" i="255"/>
  <c r="S11" i="255"/>
  <c r="S12" i="255"/>
  <c r="S14" i="255"/>
  <c r="S15" i="255"/>
  <c r="S16" i="255"/>
  <c r="S17" i="255"/>
  <c r="S18" i="255"/>
  <c r="S19" i="255"/>
  <c r="S20" i="255"/>
  <c r="S21" i="255"/>
  <c r="F22" i="255"/>
  <c r="D22" i="255"/>
  <c r="C22" i="255"/>
  <c r="E60" i="265" l="1"/>
  <c r="E59" i="265"/>
  <c r="E59" i="262"/>
  <c r="E60" i="140"/>
  <c r="F95" i="157"/>
  <c r="E14" i="183"/>
  <c r="A63" i="265"/>
  <c r="A62" i="265"/>
  <c r="A61" i="265"/>
  <c r="A60" i="265"/>
  <c r="A59" i="265"/>
  <c r="A58" i="265"/>
  <c r="A57" i="265"/>
  <c r="A56" i="265"/>
  <c r="A55" i="265"/>
  <c r="A54" i="265"/>
  <c r="A53" i="265"/>
  <c r="A52" i="265"/>
  <c r="A51" i="265"/>
  <c r="A50" i="265"/>
  <c r="C73" i="265"/>
  <c r="D41" i="265"/>
  <c r="C73" i="262"/>
  <c r="D41" i="262"/>
  <c r="C72" i="140"/>
  <c r="D41" i="140"/>
  <c r="G38" i="189"/>
  <c r="F38" i="189"/>
  <c r="F80" i="189" s="1"/>
  <c r="G50" i="189"/>
  <c r="F50" i="189"/>
  <c r="G65" i="189"/>
  <c r="F65" i="189"/>
  <c r="G79" i="189"/>
  <c r="F79" i="189"/>
  <c r="G80" i="190"/>
  <c r="F80" i="190"/>
  <c r="G66" i="190"/>
  <c r="F66" i="190"/>
  <c r="G51" i="190"/>
  <c r="F51" i="190"/>
  <c r="G37" i="190"/>
  <c r="F37" i="190"/>
  <c r="G81" i="157"/>
  <c r="F81" i="157"/>
  <c r="G67" i="157"/>
  <c r="F67" i="157"/>
  <c r="G40" i="157"/>
  <c r="F40" i="157"/>
  <c r="E53" i="260"/>
  <c r="F48" i="219"/>
  <c r="C69" i="265"/>
  <c r="C69" i="262"/>
  <c r="H53" i="263"/>
  <c r="G53" i="263"/>
  <c r="F53" i="263"/>
  <c r="E53" i="263"/>
  <c r="G54" i="263"/>
  <c r="G55" i="263"/>
  <c r="G57" i="263" s="1"/>
  <c r="G59" i="263" s="1"/>
  <c r="B6" i="264"/>
  <c r="F108" i="157" l="1"/>
  <c r="B4" i="263"/>
  <c r="G3" i="228"/>
  <c r="E23" i="183"/>
  <c r="E24" i="183"/>
  <c r="D47" i="265" l="1"/>
  <c r="C71" i="265" s="1"/>
  <c r="G24" i="265"/>
  <c r="G10" i="265"/>
  <c r="G8" i="265"/>
  <c r="G7" i="265"/>
  <c r="B7" i="265"/>
  <c r="A12" i="265" s="1"/>
  <c r="G6" i="265"/>
  <c r="B6" i="265"/>
  <c r="C68" i="140"/>
  <c r="G24" i="140"/>
  <c r="A63" i="262"/>
  <c r="A62" i="262"/>
  <c r="A61" i="262"/>
  <c r="A60" i="262"/>
  <c r="A59" i="262"/>
  <c r="A58" i="262"/>
  <c r="A57" i="262"/>
  <c r="A56" i="262"/>
  <c r="A55" i="262"/>
  <c r="A54" i="262"/>
  <c r="A53" i="262"/>
  <c r="A52" i="262"/>
  <c r="A51" i="262"/>
  <c r="A50" i="262"/>
  <c r="G24" i="262"/>
  <c r="G5" i="228"/>
  <c r="G4" i="228"/>
  <c r="F54" i="263"/>
  <c r="H54" i="263"/>
  <c r="E54" i="263"/>
  <c r="B4" i="80"/>
  <c r="B6" i="263" s="1"/>
  <c r="J83" i="264"/>
  <c r="J78" i="264"/>
  <c r="I83" i="264"/>
  <c r="I75" i="264"/>
  <c r="J75" i="264" s="1"/>
  <c r="I78" i="264"/>
  <c r="B8" i="265" l="1"/>
  <c r="E54" i="265"/>
  <c r="E56" i="265"/>
  <c r="E63" i="265"/>
  <c r="E51" i="265"/>
  <c r="E53" i="265"/>
  <c r="E55" i="265"/>
  <c r="E57" i="265"/>
  <c r="E61" i="265"/>
  <c r="E62" i="265"/>
  <c r="E52" i="265"/>
  <c r="E58" i="265"/>
  <c r="D69" i="265"/>
  <c r="C75" i="265"/>
  <c r="C77" i="265" s="1"/>
  <c r="D71" i="265" s="1"/>
  <c r="D48" i="265"/>
  <c r="D49" i="265" s="1"/>
  <c r="D50" i="265" s="1"/>
  <c r="D51" i="265" s="1"/>
  <c r="D52" i="265" s="1"/>
  <c r="D53" i="265" s="1"/>
  <c r="D54" i="265" s="1"/>
  <c r="D55" i="265" s="1"/>
  <c r="D56" i="265" s="1"/>
  <c r="D57" i="265" s="1"/>
  <c r="D58" i="265" s="1"/>
  <c r="D59" i="265" s="1"/>
  <c r="D60" i="265" s="1"/>
  <c r="D61" i="265" s="1"/>
  <c r="D62" i="265" s="1"/>
  <c r="E48" i="265"/>
  <c r="J86" i="264"/>
  <c r="J81" i="264"/>
  <c r="D75" i="265" l="1"/>
  <c r="D73" i="265"/>
  <c r="D77" i="265" s="1"/>
  <c r="E71" i="265" s="1"/>
  <c r="E69" i="265"/>
  <c r="E50" i="265"/>
  <c r="E49" i="265"/>
  <c r="B7" i="148"/>
  <c r="J6" i="263"/>
  <c r="J5" i="263"/>
  <c r="J4" i="263"/>
  <c r="E65" i="265" l="1"/>
  <c r="C63" i="265" s="1"/>
  <c r="D63" i="265" s="1"/>
  <c r="E73" i="265"/>
  <c r="E75" i="265"/>
  <c r="F69" i="265"/>
  <c r="J6" i="264"/>
  <c r="J5" i="264"/>
  <c r="J4" i="264"/>
  <c r="B4" i="264"/>
  <c r="E51" i="260"/>
  <c r="E55" i="263"/>
  <c r="F55" i="263"/>
  <c r="F57" i="263" s="1"/>
  <c r="F59" i="263" s="1"/>
  <c r="H55" i="263"/>
  <c r="H57" i="263" s="1"/>
  <c r="H59" i="263" s="1"/>
  <c r="D47" i="262"/>
  <c r="D48" i="262" s="1"/>
  <c r="E37" i="151"/>
  <c r="P1" i="258"/>
  <c r="D14" i="183"/>
  <c r="G20" i="265" l="1"/>
  <c r="G28" i="265" s="1"/>
  <c r="G12" i="265" s="1"/>
  <c r="E77" i="265"/>
  <c r="F71" i="265" s="1"/>
  <c r="G69" i="265"/>
  <c r="F75" i="265"/>
  <c r="F73" i="265"/>
  <c r="F77" i="265" s="1"/>
  <c r="G71" i="265" s="1"/>
  <c r="C55" i="263"/>
  <c r="E57" i="263"/>
  <c r="H69" i="265" l="1"/>
  <c r="G75" i="265"/>
  <c r="G73" i="265"/>
  <c r="G77" i="265" s="1"/>
  <c r="H71" i="265" s="1"/>
  <c r="E59" i="263"/>
  <c r="C57" i="263"/>
  <c r="C75" i="262"/>
  <c r="F109" i="157" l="1"/>
  <c r="H75" i="265"/>
  <c r="I69" i="265"/>
  <c r="H73" i="265"/>
  <c r="H77" i="265" s="1"/>
  <c r="I71" i="265" s="1"/>
  <c r="L3" i="258"/>
  <c r="L2" i="258"/>
  <c r="O1" i="258"/>
  <c r="L1" i="258"/>
  <c r="G1" i="258"/>
  <c r="P1" i="257"/>
  <c r="O1" i="257"/>
  <c r="O1" i="254"/>
  <c r="L3" i="257"/>
  <c r="L2" i="257"/>
  <c r="L1" i="257"/>
  <c r="G1" i="257"/>
  <c r="P1" i="254"/>
  <c r="L3" i="254"/>
  <c r="L2" i="254"/>
  <c r="L1" i="254"/>
  <c r="G1" i="254"/>
  <c r="I73" i="265" l="1"/>
  <c r="I75" i="265"/>
  <c r="D69" i="262"/>
  <c r="D73" i="262" s="1"/>
  <c r="G10" i="262"/>
  <c r="G8" i="262"/>
  <c r="G7" i="262"/>
  <c r="B7" i="262"/>
  <c r="A12" i="262" s="1"/>
  <c r="G6" i="262"/>
  <c r="B6" i="262"/>
  <c r="I77" i="265" l="1"/>
  <c r="E69" i="262"/>
  <c r="E73" i="262" s="1"/>
  <c r="D75" i="262"/>
  <c r="F69" i="262" l="1"/>
  <c r="F73" i="262" s="1"/>
  <c r="E75" i="262"/>
  <c r="G69" i="262" l="1"/>
  <c r="G73" i="262" s="1"/>
  <c r="F75" i="262"/>
  <c r="H69" i="262" l="1"/>
  <c r="H73" i="262" s="1"/>
  <c r="G75" i="262"/>
  <c r="I6" i="261"/>
  <c r="I7" i="261"/>
  <c r="I5" i="261"/>
  <c r="B5" i="261"/>
  <c r="I6" i="260"/>
  <c r="I7" i="260"/>
  <c r="I5" i="260"/>
  <c r="B5" i="260"/>
  <c r="F26" i="151"/>
  <c r="F94" i="189"/>
  <c r="G81" i="190" l="1"/>
  <c r="G85" i="190" s="1"/>
  <c r="I69" i="262"/>
  <c r="I75" i="262" s="1"/>
  <c r="H75" i="262"/>
  <c r="B8" i="262"/>
  <c r="G3" i="254"/>
  <c r="G3" i="258"/>
  <c r="G3" i="257"/>
  <c r="B7" i="260"/>
  <c r="B7" i="261"/>
  <c r="F81" i="190"/>
  <c r="F85" i="190" s="1"/>
  <c r="H35" i="149"/>
  <c r="H50" i="149" s="1"/>
  <c r="I35" i="149"/>
  <c r="J35" i="149"/>
  <c r="J50" i="149" s="1"/>
  <c r="K35" i="149"/>
  <c r="K50" i="149" s="1"/>
  <c r="L35" i="149"/>
  <c r="L50" i="149" s="1"/>
  <c r="M35" i="149"/>
  <c r="M50" i="149" s="1"/>
  <c r="N35" i="149"/>
  <c r="N50" i="149" s="1"/>
  <c r="O35" i="149"/>
  <c r="O50" i="149" s="1"/>
  <c r="P35" i="149"/>
  <c r="P50" i="149" s="1"/>
  <c r="Q35" i="149"/>
  <c r="Q50" i="149" s="1"/>
  <c r="J55" i="219"/>
  <c r="H29" i="219"/>
  <c r="E49" i="261"/>
  <c r="E32" i="261"/>
  <c r="E24" i="261"/>
  <c r="A11" i="261"/>
  <c r="E48" i="260"/>
  <c r="E31" i="260"/>
  <c r="E24" i="260"/>
  <c r="A11" i="260"/>
  <c r="F6" i="259"/>
  <c r="F5" i="259"/>
  <c r="F4" i="259"/>
  <c r="B6" i="259"/>
  <c r="B4" i="259"/>
  <c r="C81" i="258"/>
  <c r="E80" i="258"/>
  <c r="E79" i="258"/>
  <c r="E78" i="258"/>
  <c r="E77" i="258"/>
  <c r="E76" i="258"/>
  <c r="E75" i="258"/>
  <c r="E74" i="258"/>
  <c r="K69" i="258"/>
  <c r="J69" i="258"/>
  <c r="O40" i="258"/>
  <c r="P40" i="258" s="1"/>
  <c r="I69" i="258"/>
  <c r="O39" i="258" s="1"/>
  <c r="P39" i="258" s="1"/>
  <c r="H69" i="258"/>
  <c r="O36" i="258"/>
  <c r="P36" i="258" s="1"/>
  <c r="G69" i="258"/>
  <c r="O30" i="258" s="1"/>
  <c r="P30" i="258" s="1"/>
  <c r="F69" i="258"/>
  <c r="O29" i="258" s="1"/>
  <c r="P29" i="258" s="1"/>
  <c r="E69" i="258"/>
  <c r="O28" i="258" s="1"/>
  <c r="P28" i="258" s="1"/>
  <c r="D69" i="258"/>
  <c r="O27" i="258" s="1"/>
  <c r="P27" i="258" s="1"/>
  <c r="C69" i="258"/>
  <c r="B69" i="258"/>
  <c r="O21" i="258" s="1"/>
  <c r="P47" i="258"/>
  <c r="N32" i="258"/>
  <c r="N41" i="258"/>
  <c r="N45" i="258" s="1"/>
  <c r="M32" i="258"/>
  <c r="M41" i="258"/>
  <c r="M12" i="258"/>
  <c r="G32" i="258"/>
  <c r="G41" i="258"/>
  <c r="G45" i="258"/>
  <c r="F32" i="258"/>
  <c r="F41" i="258"/>
  <c r="F45" i="258"/>
  <c r="E32" i="258"/>
  <c r="E45" i="258" s="1"/>
  <c r="E46" i="258" s="1"/>
  <c r="E48" i="258" s="1"/>
  <c r="E41" i="258"/>
  <c r="D32" i="258"/>
  <c r="D41" i="258"/>
  <c r="C32" i="258"/>
  <c r="C45" i="258" s="1"/>
  <c r="C46" i="258" s="1"/>
  <c r="C48" i="258" s="1"/>
  <c r="C41" i="258"/>
  <c r="C12" i="258"/>
  <c r="P44" i="258"/>
  <c r="P43" i="258"/>
  <c r="P42" i="258"/>
  <c r="P41" i="258" s="1"/>
  <c r="O41" i="258"/>
  <c r="L41" i="258"/>
  <c r="L45" i="258" s="1"/>
  <c r="L46" i="258" s="1"/>
  <c r="L48" i="258" s="1"/>
  <c r="K41" i="258"/>
  <c r="J41" i="258"/>
  <c r="J45" i="258" s="1"/>
  <c r="I41" i="258"/>
  <c r="H41" i="258"/>
  <c r="H45" i="258" s="1"/>
  <c r="B41" i="258"/>
  <c r="P38" i="258"/>
  <c r="O37" i="258"/>
  <c r="P37" i="258" s="1"/>
  <c r="P35" i="258"/>
  <c r="P34" i="258"/>
  <c r="P33" i="258"/>
  <c r="P32" i="258" s="1"/>
  <c r="O32" i="258"/>
  <c r="L32" i="258"/>
  <c r="L12" i="258"/>
  <c r="K32" i="258"/>
  <c r="K45" i="258" s="1"/>
  <c r="K12" i="258"/>
  <c r="K46" i="258" s="1"/>
  <c r="K48" i="258" s="1"/>
  <c r="J32" i="258"/>
  <c r="J12" i="258"/>
  <c r="I32" i="258"/>
  <c r="I12" i="258"/>
  <c r="H32" i="258"/>
  <c r="H12" i="258"/>
  <c r="B32" i="258"/>
  <c r="B45" i="258" s="1"/>
  <c r="B12" i="258"/>
  <c r="P31" i="258"/>
  <c r="P26" i="258"/>
  <c r="O25" i="258"/>
  <c r="P25" i="258"/>
  <c r="O24" i="258"/>
  <c r="P24" i="258" s="1"/>
  <c r="P23" i="258"/>
  <c r="O22" i="258"/>
  <c r="P22" i="258"/>
  <c r="P20" i="258"/>
  <c r="P16" i="258"/>
  <c r="P15" i="258"/>
  <c r="P10" i="258"/>
  <c r="P11" i="258"/>
  <c r="P12" i="258"/>
  <c r="P71" i="258" s="1"/>
  <c r="O12" i="258"/>
  <c r="N12" i="258"/>
  <c r="N46" i="258" s="1"/>
  <c r="N48" i="258" s="1"/>
  <c r="G12" i="258"/>
  <c r="G46" i="258" s="1"/>
  <c r="G48" i="258" s="1"/>
  <c r="F12" i="258"/>
  <c r="E12" i="258"/>
  <c r="D12" i="258"/>
  <c r="C81" i="257"/>
  <c r="E80" i="257"/>
  <c r="E79" i="257"/>
  <c r="E78" i="257"/>
  <c r="E77" i="257"/>
  <c r="E76" i="257"/>
  <c r="E75" i="257"/>
  <c r="E74" i="257"/>
  <c r="K69" i="257"/>
  <c r="J69" i="257"/>
  <c r="O40" i="257" s="1"/>
  <c r="P40" i="257" s="1"/>
  <c r="I69" i="257"/>
  <c r="O39" i="257" s="1"/>
  <c r="P39" i="257" s="1"/>
  <c r="H69" i="257"/>
  <c r="O36" i="257" s="1"/>
  <c r="P36" i="257" s="1"/>
  <c r="G69" i="257"/>
  <c r="O30" i="257" s="1"/>
  <c r="P30" i="257" s="1"/>
  <c r="F69" i="257"/>
  <c r="O29" i="257" s="1"/>
  <c r="P29" i="257" s="1"/>
  <c r="E69" i="257"/>
  <c r="O28" i="257" s="1"/>
  <c r="P28" i="257" s="1"/>
  <c r="D69" i="257"/>
  <c r="O27" i="257" s="1"/>
  <c r="P27" i="257" s="1"/>
  <c r="C69" i="257"/>
  <c r="O24" i="257" s="1"/>
  <c r="P24" i="257" s="1"/>
  <c r="B69" i="257"/>
  <c r="O21" i="257" s="1"/>
  <c r="P47" i="257"/>
  <c r="N32" i="257"/>
  <c r="N41" i="257"/>
  <c r="M32" i="257"/>
  <c r="M45" i="257" s="1"/>
  <c r="M41" i="257"/>
  <c r="M12" i="257"/>
  <c r="L32" i="257"/>
  <c r="L41" i="257"/>
  <c r="L45" i="257"/>
  <c r="I32" i="257"/>
  <c r="I45" i="257" s="1"/>
  <c r="I46" i="257" s="1"/>
  <c r="I48" i="257" s="1"/>
  <c r="I41" i="257"/>
  <c r="I12" i="257"/>
  <c r="F32" i="257"/>
  <c r="F45" i="257" s="1"/>
  <c r="F46" i="257" s="1"/>
  <c r="F48" i="257" s="1"/>
  <c r="F41" i="257"/>
  <c r="E32" i="257"/>
  <c r="E45" i="257" s="1"/>
  <c r="E46" i="257" s="1"/>
  <c r="E48" i="257" s="1"/>
  <c r="E41" i="257"/>
  <c r="D32" i="257"/>
  <c r="D41" i="257"/>
  <c r="D45" i="257"/>
  <c r="C32" i="257"/>
  <c r="C41" i="257"/>
  <c r="C45" i="257"/>
  <c r="C12" i="257"/>
  <c r="B32" i="257"/>
  <c r="B41" i="257"/>
  <c r="P44" i="257"/>
  <c r="P43" i="257"/>
  <c r="P42" i="257"/>
  <c r="O41" i="257"/>
  <c r="K41" i="257"/>
  <c r="J41" i="257"/>
  <c r="H41" i="257"/>
  <c r="G41" i="257"/>
  <c r="P38" i="257"/>
  <c r="O37" i="257"/>
  <c r="P37" i="257" s="1"/>
  <c r="P35" i="257"/>
  <c r="P34" i="257"/>
  <c r="P33" i="257"/>
  <c r="O32" i="257"/>
  <c r="K32" i="257"/>
  <c r="K45" i="257" s="1"/>
  <c r="K12" i="257"/>
  <c r="J32" i="257"/>
  <c r="J45" i="257" s="1"/>
  <c r="H32" i="257"/>
  <c r="H45" i="257"/>
  <c r="H46" i="257" s="1"/>
  <c r="H48" i="257" s="1"/>
  <c r="H12" i="257"/>
  <c r="G32" i="257"/>
  <c r="G45" i="257" s="1"/>
  <c r="G12" i="257"/>
  <c r="P31" i="257"/>
  <c r="P26" i="257"/>
  <c r="O25" i="257"/>
  <c r="P25" i="257" s="1"/>
  <c r="P23" i="257"/>
  <c r="O22" i="257"/>
  <c r="P22" i="257"/>
  <c r="P20" i="257"/>
  <c r="P16" i="257"/>
  <c r="P15" i="257"/>
  <c r="P10" i="257"/>
  <c r="P11" i="257"/>
  <c r="O12" i="257"/>
  <c r="N12" i="257"/>
  <c r="L12" i="257"/>
  <c r="J12" i="257"/>
  <c r="F12" i="257"/>
  <c r="E12" i="257"/>
  <c r="D12" i="257"/>
  <c r="B12" i="257"/>
  <c r="R77" i="149"/>
  <c r="G52" i="157"/>
  <c r="F52" i="157"/>
  <c r="A48" i="140"/>
  <c r="R56" i="149"/>
  <c r="A46" i="140"/>
  <c r="F35" i="149"/>
  <c r="F50" i="149" s="1"/>
  <c r="R16" i="149"/>
  <c r="R57" i="149"/>
  <c r="Q51" i="149"/>
  <c r="P51" i="149"/>
  <c r="O51" i="149"/>
  <c r="N51" i="149"/>
  <c r="M51" i="149"/>
  <c r="L51" i="149"/>
  <c r="K51" i="149"/>
  <c r="J51" i="149"/>
  <c r="I51" i="149"/>
  <c r="H51" i="149"/>
  <c r="G51" i="149"/>
  <c r="F51" i="149"/>
  <c r="I50" i="149"/>
  <c r="G35" i="149"/>
  <c r="G50" i="149" s="1"/>
  <c r="R47" i="149"/>
  <c r="R46" i="149"/>
  <c r="R45" i="149"/>
  <c r="R44" i="149"/>
  <c r="R43" i="149"/>
  <c r="R42" i="149"/>
  <c r="R41" i="149"/>
  <c r="R40" i="149"/>
  <c r="R39" i="149"/>
  <c r="R38" i="149"/>
  <c r="R37" i="149"/>
  <c r="R36" i="149"/>
  <c r="L48" i="149"/>
  <c r="K48" i="149"/>
  <c r="I48" i="149"/>
  <c r="R34" i="149"/>
  <c r="R33" i="149"/>
  <c r="R26" i="149"/>
  <c r="R25" i="149"/>
  <c r="R23" i="149"/>
  <c r="R22" i="149"/>
  <c r="R21" i="149"/>
  <c r="R19" i="149"/>
  <c r="R18" i="149"/>
  <c r="R17" i="149"/>
  <c r="B6" i="229"/>
  <c r="G66" i="228"/>
  <c r="H66" i="228"/>
  <c r="G65" i="228"/>
  <c r="H65" i="228"/>
  <c r="G64" i="228"/>
  <c r="G60" i="228"/>
  <c r="H60" i="228"/>
  <c r="G59" i="228"/>
  <c r="G58" i="228"/>
  <c r="H58" i="228"/>
  <c r="G54" i="228"/>
  <c r="H54" i="228" s="1"/>
  <c r="G53" i="228"/>
  <c r="H53" i="228" s="1"/>
  <c r="G52" i="228"/>
  <c r="G55" i="228" s="1"/>
  <c r="G48" i="228"/>
  <c r="H48" i="228" s="1"/>
  <c r="G47" i="228"/>
  <c r="H47" i="228" s="1"/>
  <c r="G46" i="228"/>
  <c r="G42" i="228"/>
  <c r="G41" i="228"/>
  <c r="G43" i="228" s="1"/>
  <c r="G40" i="228"/>
  <c r="H40" i="228" s="1"/>
  <c r="G36" i="228"/>
  <c r="G35" i="228"/>
  <c r="H35" i="228"/>
  <c r="G34" i="228"/>
  <c r="H34" i="228"/>
  <c r="G30" i="228"/>
  <c r="H30" i="228" s="1"/>
  <c r="G29" i="228"/>
  <c r="H29" i="228"/>
  <c r="G28" i="228"/>
  <c r="G31" i="228" s="1"/>
  <c r="G24" i="228"/>
  <c r="H24" i="228" s="1"/>
  <c r="G23" i="228"/>
  <c r="H23" i="228"/>
  <c r="G22" i="228"/>
  <c r="H22" i="228" s="1"/>
  <c r="G18" i="228"/>
  <c r="H18" i="228" s="1"/>
  <c r="G17" i="228"/>
  <c r="H17" i="228" s="1"/>
  <c r="G16" i="228"/>
  <c r="H16" i="228" s="1"/>
  <c r="G11" i="228"/>
  <c r="H11" i="228"/>
  <c r="G12" i="228"/>
  <c r="H12" i="228" s="1"/>
  <c r="G10" i="228"/>
  <c r="H10" i="228" s="1"/>
  <c r="AC13" i="255"/>
  <c r="M22" i="255"/>
  <c r="B8" i="148"/>
  <c r="E48" i="151"/>
  <c r="A56" i="140"/>
  <c r="F63" i="183"/>
  <c r="F83" i="183"/>
  <c r="G81" i="183"/>
  <c r="G61" i="183"/>
  <c r="E74" i="183"/>
  <c r="F74" i="183"/>
  <c r="F75" i="183" s="1"/>
  <c r="F54" i="183"/>
  <c r="F55" i="183" s="1"/>
  <c r="F73" i="183"/>
  <c r="E85" i="183"/>
  <c r="E80" i="183"/>
  <c r="E70" i="183"/>
  <c r="E65" i="183"/>
  <c r="E60" i="183"/>
  <c r="E54" i="183"/>
  <c r="E50" i="183"/>
  <c r="E15" i="183"/>
  <c r="F82" i="183"/>
  <c r="F85" i="183"/>
  <c r="F84" i="183"/>
  <c r="G80" i="183"/>
  <c r="F79" i="183"/>
  <c r="G78" i="183"/>
  <c r="F77" i="183"/>
  <c r="G76" i="183"/>
  <c r="F59" i="183"/>
  <c r="G58" i="183"/>
  <c r="F57" i="183"/>
  <c r="G56" i="183"/>
  <c r="F65" i="183"/>
  <c r="G66" i="183"/>
  <c r="F64" i="183"/>
  <c r="F62" i="183"/>
  <c r="G60" i="183"/>
  <c r="O40" i="195"/>
  <c r="R40" i="195" s="1"/>
  <c r="O39" i="195"/>
  <c r="P39" i="195" s="1"/>
  <c r="O34" i="195"/>
  <c r="Q34" i="195" s="1"/>
  <c r="O26" i="195"/>
  <c r="R26" i="195" s="1"/>
  <c r="O6" i="195"/>
  <c r="P6" i="195" s="1"/>
  <c r="AC12" i="255"/>
  <c r="AD12" i="255" s="1"/>
  <c r="AC9" i="255"/>
  <c r="AC10" i="255"/>
  <c r="AC11" i="255"/>
  <c r="AC14" i="255"/>
  <c r="AC15" i="255"/>
  <c r="AC16" i="255"/>
  <c r="AC17" i="255"/>
  <c r="AC18" i="255"/>
  <c r="AC19" i="255"/>
  <c r="AC20" i="255"/>
  <c r="AD20" i="255" s="1"/>
  <c r="AC21" i="255"/>
  <c r="AC8" i="255"/>
  <c r="F31" i="249"/>
  <c r="F40" i="195"/>
  <c r="F39" i="195"/>
  <c r="O38" i="195"/>
  <c r="P38" i="195" s="1"/>
  <c r="F38" i="195"/>
  <c r="O37" i="195"/>
  <c r="R37" i="195"/>
  <c r="F37" i="195"/>
  <c r="F34" i="195"/>
  <c r="O33" i="195"/>
  <c r="R33" i="195" s="1"/>
  <c r="F33" i="195"/>
  <c r="O32" i="195"/>
  <c r="Q32" i="195" s="1"/>
  <c r="F32" i="195"/>
  <c r="O31" i="195"/>
  <c r="Q31" i="195" s="1"/>
  <c r="F31" i="195"/>
  <c r="O28" i="195"/>
  <c r="Q28" i="195" s="1"/>
  <c r="F28" i="195"/>
  <c r="O27" i="195"/>
  <c r="R27" i="195" s="1"/>
  <c r="F27" i="195"/>
  <c r="F26" i="195"/>
  <c r="O25" i="195"/>
  <c r="Q25" i="195" s="1"/>
  <c r="F25" i="195"/>
  <c r="O22" i="195"/>
  <c r="Q22" i="195" s="1"/>
  <c r="F22" i="195"/>
  <c r="O21" i="195"/>
  <c r="Q21" i="195" s="1"/>
  <c r="F21" i="195"/>
  <c r="O20" i="195"/>
  <c r="R20" i="195" s="1"/>
  <c r="F20" i="195"/>
  <c r="F19" i="195"/>
  <c r="O19" i="195"/>
  <c r="R19" i="195" s="1"/>
  <c r="O16" i="195"/>
  <c r="P16" i="195" s="1"/>
  <c r="F16" i="195"/>
  <c r="O15" i="195"/>
  <c r="P15" i="195" s="1"/>
  <c r="F15" i="195"/>
  <c r="O14" i="195"/>
  <c r="R14" i="195" s="1"/>
  <c r="F14" i="195"/>
  <c r="O13" i="195"/>
  <c r="R13" i="195" s="1"/>
  <c r="F13" i="195"/>
  <c r="C41" i="195"/>
  <c r="N41" i="195"/>
  <c r="M41" i="195"/>
  <c r="L41" i="195"/>
  <c r="K41" i="195"/>
  <c r="E41" i="195"/>
  <c r="D41" i="195"/>
  <c r="N35" i="195"/>
  <c r="N11" i="195"/>
  <c r="N17" i="195"/>
  <c r="N23" i="195"/>
  <c r="N29" i="195"/>
  <c r="M35" i="195"/>
  <c r="L35" i="195"/>
  <c r="K35" i="195"/>
  <c r="E35" i="195"/>
  <c r="D35" i="195"/>
  <c r="C35" i="195"/>
  <c r="M29" i="195"/>
  <c r="L29" i="195"/>
  <c r="K29" i="195"/>
  <c r="E29" i="195"/>
  <c r="D29" i="195"/>
  <c r="C29" i="195"/>
  <c r="G29" i="195" s="1"/>
  <c r="M23" i="195"/>
  <c r="L23" i="195"/>
  <c r="K23" i="195"/>
  <c r="E23" i="195"/>
  <c r="D23" i="195"/>
  <c r="C23" i="195"/>
  <c r="G23" i="195" s="1"/>
  <c r="M17" i="195"/>
  <c r="L17" i="195"/>
  <c r="K17" i="195"/>
  <c r="E17" i="195"/>
  <c r="E11" i="195"/>
  <c r="D17" i="195"/>
  <c r="C17" i="195"/>
  <c r="U6" i="195" s="1"/>
  <c r="O8" i="195"/>
  <c r="R8" i="195" s="1"/>
  <c r="F6" i="195"/>
  <c r="C11" i="195"/>
  <c r="AB22" i="255"/>
  <c r="AD14" i="255"/>
  <c r="Q4" i="255"/>
  <c r="Q3" i="255"/>
  <c r="Q2" i="255"/>
  <c r="J2" i="255"/>
  <c r="Q22" i="255"/>
  <c r="P22" i="255"/>
  <c r="O22" i="255"/>
  <c r="N22" i="255"/>
  <c r="K22" i="255"/>
  <c r="J22" i="255"/>
  <c r="I22" i="255"/>
  <c r="H22" i="255"/>
  <c r="G22" i="255"/>
  <c r="E22" i="255"/>
  <c r="L22" i="255"/>
  <c r="A88" i="81"/>
  <c r="D36" i="151"/>
  <c r="E49" i="151"/>
  <c r="E50" i="151"/>
  <c r="E51" i="151"/>
  <c r="E52" i="151"/>
  <c r="E38" i="151"/>
  <c r="E39" i="151"/>
  <c r="E40" i="151"/>
  <c r="E41" i="151"/>
  <c r="E42" i="151"/>
  <c r="E43" i="151"/>
  <c r="E44" i="151"/>
  <c r="E45" i="151"/>
  <c r="E46" i="151"/>
  <c r="E47" i="151"/>
  <c r="A52" i="151"/>
  <c r="A51" i="151"/>
  <c r="A50" i="151"/>
  <c r="A49" i="151"/>
  <c r="A48" i="151"/>
  <c r="A47" i="151"/>
  <c r="A46" i="151"/>
  <c r="A45" i="151"/>
  <c r="A44" i="151"/>
  <c r="A43" i="151"/>
  <c r="A42" i="151"/>
  <c r="A41" i="151"/>
  <c r="A40" i="151"/>
  <c r="A39" i="151"/>
  <c r="A38" i="151"/>
  <c r="A37" i="151"/>
  <c r="A36" i="151"/>
  <c r="F44" i="148"/>
  <c r="F45" i="148"/>
  <c r="F66" i="148"/>
  <c r="E66" i="148"/>
  <c r="E72" i="148" s="1"/>
  <c r="E70" i="148"/>
  <c r="F28" i="148"/>
  <c r="F34" i="148"/>
  <c r="F35" i="148"/>
  <c r="B7" i="237"/>
  <c r="A12" i="237" s="1"/>
  <c r="F53" i="183"/>
  <c r="E9" i="183"/>
  <c r="G82" i="176"/>
  <c r="F82" i="176"/>
  <c r="E82" i="176"/>
  <c r="D82" i="176"/>
  <c r="C82" i="176"/>
  <c r="D65" i="176"/>
  <c r="C65" i="176"/>
  <c r="E50" i="176"/>
  <c r="E42" i="176"/>
  <c r="E47" i="176" s="1"/>
  <c r="E52" i="176" s="1"/>
  <c r="D37" i="176"/>
  <c r="C37" i="176"/>
  <c r="F36" i="176"/>
  <c r="E19" i="176" s="1"/>
  <c r="E36" i="176"/>
  <c r="E18" i="176" s="1"/>
  <c r="E20" i="176" s="1"/>
  <c r="F33" i="176"/>
  <c r="D19" i="176" s="1"/>
  <c r="E33" i="176"/>
  <c r="E37" i="176" s="1"/>
  <c r="D18" i="176"/>
  <c r="F30" i="176"/>
  <c r="F37" i="176" s="1"/>
  <c r="E30" i="176"/>
  <c r="C18" i="176" s="1"/>
  <c r="F18" i="176" s="1"/>
  <c r="F27" i="176"/>
  <c r="B19" i="176" s="1"/>
  <c r="E27" i="176"/>
  <c r="B18" i="176" s="1"/>
  <c r="A11" i="194"/>
  <c r="F10" i="227"/>
  <c r="F10" i="237"/>
  <c r="F19" i="237"/>
  <c r="A50" i="140"/>
  <c r="A62" i="140"/>
  <c r="A61" i="140"/>
  <c r="A60" i="140"/>
  <c r="A59" i="140"/>
  <c r="A58" i="140"/>
  <c r="A57" i="140"/>
  <c r="A55" i="140"/>
  <c r="A54" i="140"/>
  <c r="A53" i="140"/>
  <c r="A52" i="140"/>
  <c r="A51" i="140"/>
  <c r="A49" i="140"/>
  <c r="A47" i="140"/>
  <c r="D46" i="140"/>
  <c r="D47" i="140" s="1"/>
  <c r="O41" i="254"/>
  <c r="O37" i="254"/>
  <c r="P37" i="254" s="1"/>
  <c r="O32" i="254"/>
  <c r="F27" i="237"/>
  <c r="F23" i="237"/>
  <c r="F30" i="237" s="1"/>
  <c r="F12" i="237" s="1"/>
  <c r="G19" i="238"/>
  <c r="G20" i="238"/>
  <c r="G21" i="238"/>
  <c r="G22" i="238"/>
  <c r="G23" i="238"/>
  <c r="G24" i="238"/>
  <c r="G25" i="238"/>
  <c r="G26" i="238"/>
  <c r="G18" i="238"/>
  <c r="C81" i="254"/>
  <c r="E80" i="254"/>
  <c r="E79" i="254"/>
  <c r="E78" i="254"/>
  <c r="E77" i="254"/>
  <c r="E76" i="254"/>
  <c r="E75" i="254"/>
  <c r="E74" i="254"/>
  <c r="K69" i="254"/>
  <c r="J69" i="254"/>
  <c r="O40" i="254" s="1"/>
  <c r="P40" i="254" s="1"/>
  <c r="I69" i="254"/>
  <c r="O39" i="254"/>
  <c r="P39" i="254" s="1"/>
  <c r="H69" i="254"/>
  <c r="O36" i="254"/>
  <c r="P36" i="254" s="1"/>
  <c r="G69" i="254"/>
  <c r="O30" i="254" s="1"/>
  <c r="P30" i="254" s="1"/>
  <c r="F69" i="254"/>
  <c r="O29" i="254" s="1"/>
  <c r="P29" i="254" s="1"/>
  <c r="E69" i="254"/>
  <c r="O28" i="254" s="1"/>
  <c r="P28" i="254" s="1"/>
  <c r="D69" i="254"/>
  <c r="O27" i="254" s="1"/>
  <c r="C69" i="254"/>
  <c r="O24" i="254"/>
  <c r="P24" i="254" s="1"/>
  <c r="B69" i="254"/>
  <c r="O21" i="254"/>
  <c r="P47" i="254"/>
  <c r="P44" i="254"/>
  <c r="P43" i="254"/>
  <c r="P42" i="254"/>
  <c r="N41" i="254"/>
  <c r="N32" i="254"/>
  <c r="N45" i="254"/>
  <c r="N12" i="254"/>
  <c r="N46" i="254" s="1"/>
  <c r="N48" i="254" s="1"/>
  <c r="M41" i="254"/>
  <c r="M45" i="254" s="1"/>
  <c r="L41" i="254"/>
  <c r="L32" i="254"/>
  <c r="L45" i="254"/>
  <c r="L12" i="254"/>
  <c r="L46" i="254" s="1"/>
  <c r="L48" i="254" s="1"/>
  <c r="K41" i="254"/>
  <c r="K45" i="254" s="1"/>
  <c r="K32" i="254"/>
  <c r="J41" i="254"/>
  <c r="I41" i="254"/>
  <c r="H41" i="254"/>
  <c r="G41" i="254"/>
  <c r="G45" i="254" s="1"/>
  <c r="G46" i="254" s="1"/>
  <c r="G48" i="254" s="1"/>
  <c r="F41" i="254"/>
  <c r="E41" i="254"/>
  <c r="D41" i="254"/>
  <c r="C41" i="254"/>
  <c r="C45" i="254" s="1"/>
  <c r="C46" i="254" s="1"/>
  <c r="C48" i="254" s="1"/>
  <c r="B41" i="254"/>
  <c r="B32" i="254"/>
  <c r="B45" i="254"/>
  <c r="B12" i="254"/>
  <c r="B46" i="254" s="1"/>
  <c r="B48" i="254" s="1"/>
  <c r="P38" i="254"/>
  <c r="P35" i="254"/>
  <c r="P33" i="254"/>
  <c r="P34" i="254"/>
  <c r="M32" i="254"/>
  <c r="J32" i="254"/>
  <c r="J45" i="254"/>
  <c r="J12" i="254"/>
  <c r="J46" i="254" s="1"/>
  <c r="J48" i="254" s="1"/>
  <c r="I32" i="254"/>
  <c r="I45" i="254" s="1"/>
  <c r="H32" i="254"/>
  <c r="G32" i="254"/>
  <c r="F32" i="254"/>
  <c r="F12" i="254"/>
  <c r="E32" i="254"/>
  <c r="E45" i="254"/>
  <c r="E12" i="254"/>
  <c r="E46" i="254"/>
  <c r="E48" i="254" s="1"/>
  <c r="D32" i="254"/>
  <c r="C32" i="254"/>
  <c r="C12" i="254"/>
  <c r="P31" i="254"/>
  <c r="P26" i="254"/>
  <c r="O25" i="254"/>
  <c r="P25" i="254" s="1"/>
  <c r="P23" i="254"/>
  <c r="O22" i="254"/>
  <c r="P22" i="254"/>
  <c r="P20" i="254"/>
  <c r="P16" i="254"/>
  <c r="P15" i="254"/>
  <c r="O12" i="254"/>
  <c r="M12" i="254"/>
  <c r="K12" i="254"/>
  <c r="I12" i="254"/>
  <c r="I46" i="254" s="1"/>
  <c r="I48" i="254" s="1"/>
  <c r="H12" i="254"/>
  <c r="G12" i="254"/>
  <c r="D12" i="254"/>
  <c r="P11" i="254"/>
  <c r="P10" i="254"/>
  <c r="P12" i="254" s="1"/>
  <c r="P71" i="254" s="1"/>
  <c r="F35" i="207"/>
  <c r="F12" i="207"/>
  <c r="P15" i="192"/>
  <c r="P12" i="192"/>
  <c r="G52" i="251"/>
  <c r="F8" i="251"/>
  <c r="F7" i="251"/>
  <c r="F6" i="251"/>
  <c r="B6" i="251"/>
  <c r="H52" i="251"/>
  <c r="F52" i="251"/>
  <c r="E52" i="251"/>
  <c r="C52" i="251"/>
  <c r="B52" i="251"/>
  <c r="D51" i="251"/>
  <c r="D50" i="251"/>
  <c r="D49" i="251"/>
  <c r="D48" i="251"/>
  <c r="D47" i="251"/>
  <c r="D46" i="251"/>
  <c r="D40" i="251"/>
  <c r="D41" i="251"/>
  <c r="D42" i="251"/>
  <c r="D43" i="251"/>
  <c r="D44" i="251"/>
  <c r="D45" i="251"/>
  <c r="F25" i="251"/>
  <c r="F12" i="251"/>
  <c r="F10" i="251"/>
  <c r="B7" i="251"/>
  <c r="A12" i="251" s="1"/>
  <c r="F20" i="239"/>
  <c r="E20" i="239"/>
  <c r="F21" i="239"/>
  <c r="F22" i="239"/>
  <c r="E22" i="239" s="1"/>
  <c r="F23" i="239"/>
  <c r="E23" i="239" s="1"/>
  <c r="F19" i="239"/>
  <c r="E19" i="239" s="1"/>
  <c r="B4" i="250"/>
  <c r="F42" i="250"/>
  <c r="F40" i="250"/>
  <c r="F32" i="250"/>
  <c r="F19" i="250"/>
  <c r="F41" i="250" s="1"/>
  <c r="F43" i="250" s="1"/>
  <c r="F44" i="250" s="1"/>
  <c r="F20" i="250"/>
  <c r="F26" i="250"/>
  <c r="F31" i="250" s="1"/>
  <c r="F34" i="250" s="1"/>
  <c r="B5" i="250"/>
  <c r="F8" i="250"/>
  <c r="F6" i="250"/>
  <c r="F5" i="250"/>
  <c r="F4" i="250"/>
  <c r="B5" i="249"/>
  <c r="F52" i="249"/>
  <c r="F50" i="249"/>
  <c r="F17" i="249"/>
  <c r="F51" i="249" s="1"/>
  <c r="F8" i="249"/>
  <c r="F6" i="249"/>
  <c r="F5" i="249"/>
  <c r="F4" i="249"/>
  <c r="B4" i="249"/>
  <c r="B6" i="237"/>
  <c r="F6" i="237"/>
  <c r="F7" i="237"/>
  <c r="H7" i="237"/>
  <c r="F8" i="237"/>
  <c r="B6" i="238"/>
  <c r="G6" i="238"/>
  <c r="B7" i="238"/>
  <c r="A12" i="238" s="1"/>
  <c r="G7" i="238"/>
  <c r="G8" i="238"/>
  <c r="E38" i="127"/>
  <c r="F38" i="127" s="1"/>
  <c r="G38" i="127" s="1"/>
  <c r="L60" i="192"/>
  <c r="F24" i="81"/>
  <c r="B24" i="239"/>
  <c r="B6" i="239"/>
  <c r="A11" i="239" s="1"/>
  <c r="F9" i="239"/>
  <c r="F7" i="239"/>
  <c r="F6" i="239"/>
  <c r="F5" i="239"/>
  <c r="B5" i="239"/>
  <c r="G10" i="238"/>
  <c r="B6" i="232"/>
  <c r="B7" i="232"/>
  <c r="A12" i="232" s="1"/>
  <c r="F32" i="232"/>
  <c r="F12" i="232"/>
  <c r="F10" i="232"/>
  <c r="F8" i="232"/>
  <c r="F7" i="232"/>
  <c r="F6" i="232"/>
  <c r="G6" i="229"/>
  <c r="G5" i="229"/>
  <c r="G4" i="229"/>
  <c r="B5" i="229"/>
  <c r="B4" i="229"/>
  <c r="G51" i="229"/>
  <c r="F51" i="229"/>
  <c r="E51" i="229"/>
  <c r="D51" i="229"/>
  <c r="H50" i="229"/>
  <c r="K50" i="229" s="1"/>
  <c r="H49" i="229"/>
  <c r="H48" i="229"/>
  <c r="K48" i="229"/>
  <c r="H47" i="229"/>
  <c r="I47" i="229" s="1"/>
  <c r="H46" i="229"/>
  <c r="J46" i="229" s="1"/>
  <c r="H45" i="229"/>
  <c r="K45" i="229"/>
  <c r="H44" i="229"/>
  <c r="J44" i="229" s="1"/>
  <c r="H43" i="229"/>
  <c r="K43" i="229" s="1"/>
  <c r="I43" i="229"/>
  <c r="H42" i="229"/>
  <c r="I42" i="229" s="1"/>
  <c r="J42" i="229"/>
  <c r="H41" i="229"/>
  <c r="J41" i="229" s="1"/>
  <c r="I41" i="229"/>
  <c r="H40" i="229"/>
  <c r="I40" i="229" s="1"/>
  <c r="H39" i="229"/>
  <c r="I39" i="229" s="1"/>
  <c r="H38" i="229"/>
  <c r="I38" i="229" s="1"/>
  <c r="J38" i="229"/>
  <c r="H37" i="229"/>
  <c r="H36" i="229"/>
  <c r="H35" i="229"/>
  <c r="J35" i="229" s="1"/>
  <c r="H34" i="229"/>
  <c r="K34" i="229" s="1"/>
  <c r="I34" i="229"/>
  <c r="H33" i="229"/>
  <c r="I33" i="229" s="1"/>
  <c r="H32" i="229"/>
  <c r="I32" i="229" s="1"/>
  <c r="J32" i="229"/>
  <c r="H31" i="229"/>
  <c r="J31" i="229" s="1"/>
  <c r="H30" i="229"/>
  <c r="K30" i="229" s="1"/>
  <c r="I30" i="229"/>
  <c r="H29" i="229"/>
  <c r="I29" i="229" s="1"/>
  <c r="H28" i="229"/>
  <c r="J28" i="229"/>
  <c r="H27" i="229"/>
  <c r="K27" i="229" s="1"/>
  <c r="H26" i="229"/>
  <c r="I26" i="229" s="1"/>
  <c r="H25" i="229"/>
  <c r="I25" i="229" s="1"/>
  <c r="H24" i="229"/>
  <c r="I24" i="229" s="1"/>
  <c r="H23" i="229"/>
  <c r="H22" i="229"/>
  <c r="I22" i="229" s="1"/>
  <c r="J22" i="229"/>
  <c r="H21" i="229"/>
  <c r="J21" i="229" s="1"/>
  <c r="H20" i="229"/>
  <c r="K20" i="229" s="1"/>
  <c r="H19" i="229"/>
  <c r="K19" i="229" s="1"/>
  <c r="H18" i="229"/>
  <c r="H17" i="229"/>
  <c r="K17" i="229" s="1"/>
  <c r="I17" i="229"/>
  <c r="H16" i="229"/>
  <c r="K16" i="229" s="1"/>
  <c r="H15" i="229"/>
  <c r="I15" i="229"/>
  <c r="H14" i="229"/>
  <c r="I14" i="229"/>
  <c r="J14" i="229"/>
  <c r="H13" i="229"/>
  <c r="K13" i="229" s="1"/>
  <c r="H12" i="229"/>
  <c r="K12" i="229" s="1"/>
  <c r="I12" i="229"/>
  <c r="H11" i="229"/>
  <c r="K11" i="229" s="1"/>
  <c r="H10" i="229"/>
  <c r="I5" i="229"/>
  <c r="B4" i="228"/>
  <c r="A7" i="228" s="1"/>
  <c r="B3" i="228"/>
  <c r="E67" i="228"/>
  <c r="D67" i="228"/>
  <c r="C67" i="228"/>
  <c r="E61" i="228"/>
  <c r="D61" i="228"/>
  <c r="C61" i="228"/>
  <c r="C55" i="228"/>
  <c r="C70" i="228" s="1"/>
  <c r="E55" i="228"/>
  <c r="D55" i="228"/>
  <c r="E49" i="228"/>
  <c r="D49" i="228"/>
  <c r="E43" i="228"/>
  <c r="D43" i="228"/>
  <c r="E37" i="228"/>
  <c r="D37" i="228"/>
  <c r="E31" i="228"/>
  <c r="D31" i="228"/>
  <c r="E25" i="228"/>
  <c r="E13" i="228"/>
  <c r="E19" i="228"/>
  <c r="D25" i="228"/>
  <c r="D19" i="228"/>
  <c r="D13" i="228"/>
  <c r="F6" i="227"/>
  <c r="F7" i="227"/>
  <c r="F8" i="227"/>
  <c r="B7" i="227"/>
  <c r="B6" i="227"/>
  <c r="F22" i="227"/>
  <c r="F46" i="227" s="1"/>
  <c r="F12" i="227" s="1"/>
  <c r="D65" i="219"/>
  <c r="B7" i="219"/>
  <c r="A12" i="219"/>
  <c r="F35" i="219"/>
  <c r="F12" i="219" s="1"/>
  <c r="F10" i="219"/>
  <c r="F8" i="219"/>
  <c r="F7" i="219"/>
  <c r="F6" i="219"/>
  <c r="B6" i="219"/>
  <c r="O37" i="192"/>
  <c r="O41" i="192"/>
  <c r="O46" i="192"/>
  <c r="H22" i="192"/>
  <c r="D22" i="192"/>
  <c r="B7" i="215"/>
  <c r="A12" i="215" s="1"/>
  <c r="F35" i="215"/>
  <c r="F12" i="215" s="1"/>
  <c r="F10" i="215"/>
  <c r="F8" i="215"/>
  <c r="F7" i="215"/>
  <c r="F6" i="215"/>
  <c r="B6" i="215"/>
  <c r="E39" i="127"/>
  <c r="F39" i="127" s="1"/>
  <c r="G39" i="127" s="1"/>
  <c r="B7" i="207"/>
  <c r="A12" i="207" s="1"/>
  <c r="F10" i="207"/>
  <c r="F8" i="207"/>
  <c r="F7" i="207"/>
  <c r="F6" i="207"/>
  <c r="B6" i="207"/>
  <c r="B7" i="206"/>
  <c r="A12" i="206" s="1"/>
  <c r="F35" i="206"/>
  <c r="F12" i="206" s="1"/>
  <c r="F10" i="206"/>
  <c r="F8" i="206"/>
  <c r="F7" i="206"/>
  <c r="F6" i="206"/>
  <c r="B6" i="206"/>
  <c r="B7" i="205"/>
  <c r="A12" i="205" s="1"/>
  <c r="F35" i="205"/>
  <c r="F12" i="205"/>
  <c r="F10" i="205"/>
  <c r="F8" i="205"/>
  <c r="F7" i="205"/>
  <c r="F6" i="205"/>
  <c r="B6" i="205"/>
  <c r="M11" i="195"/>
  <c r="L11" i="195"/>
  <c r="K11" i="195"/>
  <c r="D11" i="195"/>
  <c r="O10" i="195"/>
  <c r="Q10" i="195" s="1"/>
  <c r="O9" i="195"/>
  <c r="P9" i="195" s="1"/>
  <c r="J45" i="229"/>
  <c r="I49" i="229"/>
  <c r="G6" i="140"/>
  <c r="B6" i="140"/>
  <c r="F7" i="194"/>
  <c r="F6" i="194"/>
  <c r="F5" i="194"/>
  <c r="B5" i="194"/>
  <c r="J33" i="194"/>
  <c r="I35" i="194" s="1"/>
  <c r="H33" i="194"/>
  <c r="F33" i="194"/>
  <c r="D33" i="194"/>
  <c r="D35" i="194" s="1"/>
  <c r="D37" i="194" s="1"/>
  <c r="K26" i="194"/>
  <c r="K27" i="194" s="1"/>
  <c r="J26" i="194"/>
  <c r="J27" i="194" s="1"/>
  <c r="J35" i="194" s="1"/>
  <c r="L26" i="194"/>
  <c r="H27" i="194"/>
  <c r="L25" i="194"/>
  <c r="K25" i="194"/>
  <c r="K21" i="194"/>
  <c r="K22" i="194"/>
  <c r="K23" i="194"/>
  <c r="K24" i="194"/>
  <c r="L24" i="194"/>
  <c r="L23" i="194"/>
  <c r="F27" i="194"/>
  <c r="D27" i="194"/>
  <c r="L21" i="194"/>
  <c r="L22" i="194"/>
  <c r="I27" i="194"/>
  <c r="G27" i="194"/>
  <c r="C27" i="194"/>
  <c r="I6" i="192"/>
  <c r="I5" i="192"/>
  <c r="I4" i="192"/>
  <c r="B6" i="192"/>
  <c r="B4" i="192"/>
  <c r="L61" i="192"/>
  <c r="L59" i="192"/>
  <c r="L58" i="192"/>
  <c r="L57" i="192"/>
  <c r="O52" i="192"/>
  <c r="O22" i="192"/>
  <c r="F28" i="192" s="1"/>
  <c r="N22" i="192"/>
  <c r="M22" i="192"/>
  <c r="L22" i="192"/>
  <c r="F30" i="192" s="1"/>
  <c r="K22" i="192"/>
  <c r="K24" i="192" s="1"/>
  <c r="J22" i="192"/>
  <c r="F32" i="192" s="1"/>
  <c r="I22" i="192"/>
  <c r="G22" i="192"/>
  <c r="F22" i="192"/>
  <c r="E22" i="192"/>
  <c r="C22" i="192"/>
  <c r="C30" i="192" s="1"/>
  <c r="P21" i="192"/>
  <c r="P64" i="192" s="1"/>
  <c r="P20" i="192"/>
  <c r="P19" i="192"/>
  <c r="P18" i="192"/>
  <c r="P17" i="192"/>
  <c r="P16" i="192"/>
  <c r="P14" i="192"/>
  <c r="P13" i="192"/>
  <c r="P11" i="192"/>
  <c r="P10" i="192"/>
  <c r="F48" i="154"/>
  <c r="F9" i="154"/>
  <c r="F12" i="148"/>
  <c r="F26" i="127"/>
  <c r="F9" i="174"/>
  <c r="F12" i="151"/>
  <c r="E50" i="81"/>
  <c r="B7" i="190"/>
  <c r="A12" i="190" s="1"/>
  <c r="F8" i="190"/>
  <c r="F7" i="190"/>
  <c r="F6" i="190"/>
  <c r="B6" i="190"/>
  <c r="B7" i="189"/>
  <c r="A12" i="189" s="1"/>
  <c r="F8" i="189"/>
  <c r="F7" i="189"/>
  <c r="F6" i="189"/>
  <c r="B6" i="189"/>
  <c r="B6" i="183"/>
  <c r="A11" i="183" s="1"/>
  <c r="F7" i="183"/>
  <c r="F6" i="183"/>
  <c r="F5" i="183"/>
  <c r="B5" i="183"/>
  <c r="B6" i="176"/>
  <c r="B7" i="176"/>
  <c r="A12" i="176" s="1"/>
  <c r="G8" i="176"/>
  <c r="G7" i="176"/>
  <c r="G6" i="176"/>
  <c r="D53" i="174"/>
  <c r="D37" i="174"/>
  <c r="F25" i="174" s="1"/>
  <c r="E28" i="174"/>
  <c r="D28" i="174"/>
  <c r="B6" i="174"/>
  <c r="A11" i="174" s="1"/>
  <c r="F7" i="174"/>
  <c r="F6" i="174"/>
  <c r="F5" i="174"/>
  <c r="B5" i="174"/>
  <c r="B6" i="148"/>
  <c r="F6" i="148"/>
  <c r="A12" i="148"/>
  <c r="F7" i="148"/>
  <c r="F8" i="148"/>
  <c r="F10" i="148"/>
  <c r="G43" i="148" s="1"/>
  <c r="B6" i="143"/>
  <c r="F6" i="143"/>
  <c r="B7" i="143"/>
  <c r="A12" i="143"/>
  <c r="F7" i="143"/>
  <c r="F8" i="143"/>
  <c r="F10" i="143"/>
  <c r="D39" i="143"/>
  <c r="D44" i="143" s="1"/>
  <c r="D43" i="143" s="1"/>
  <c r="B59" i="143"/>
  <c r="F22" i="143" s="1"/>
  <c r="C59" i="143"/>
  <c r="F21" i="143"/>
  <c r="D59" i="143"/>
  <c r="B6" i="149"/>
  <c r="F6" i="149"/>
  <c r="B7" i="149"/>
  <c r="F7" i="149"/>
  <c r="F8" i="149"/>
  <c r="B6" i="151"/>
  <c r="F6" i="151"/>
  <c r="B7" i="151"/>
  <c r="A12" i="151" s="1"/>
  <c r="F7" i="151"/>
  <c r="F8" i="151"/>
  <c r="F10" i="151"/>
  <c r="B7" i="140"/>
  <c r="A12" i="140" s="1"/>
  <c r="G7" i="140"/>
  <c r="G8" i="140"/>
  <c r="G10" i="140"/>
  <c r="B6" i="127"/>
  <c r="F6" i="127"/>
  <c r="B7" i="127"/>
  <c r="A12" i="127" s="1"/>
  <c r="F7" i="127"/>
  <c r="F8" i="127"/>
  <c r="F10" i="127"/>
  <c r="E34" i="127"/>
  <c r="F34" i="127" s="1"/>
  <c r="E35" i="127"/>
  <c r="F35" i="127" s="1"/>
  <c r="G35" i="127" s="1"/>
  <c r="E36" i="127"/>
  <c r="F36" i="127" s="1"/>
  <c r="G36" i="127" s="1"/>
  <c r="E37" i="127"/>
  <c r="F37" i="127" s="1"/>
  <c r="G37" i="127" s="1"/>
  <c r="E40" i="127"/>
  <c r="F40" i="127" s="1"/>
  <c r="G40" i="127" s="1"/>
  <c r="E41" i="127"/>
  <c r="F41" i="127"/>
  <c r="G41" i="127"/>
  <c r="E42" i="127"/>
  <c r="F42" i="127"/>
  <c r="G42" i="127" s="1"/>
  <c r="B44" i="127"/>
  <c r="B6" i="81"/>
  <c r="F6" i="81"/>
  <c r="B7" i="81"/>
  <c r="A12" i="81" s="1"/>
  <c r="F7" i="81"/>
  <c r="F8" i="81"/>
  <c r="F10" i="81"/>
  <c r="F12" i="81"/>
  <c r="E39" i="81"/>
  <c r="B3" i="154"/>
  <c r="F3" i="154"/>
  <c r="B4" i="154"/>
  <c r="B9" i="154"/>
  <c r="F4" i="154"/>
  <c r="F5" i="154"/>
  <c r="B6" i="157"/>
  <c r="F6" i="157"/>
  <c r="B7" i="157"/>
  <c r="A12" i="157" s="1"/>
  <c r="F7" i="157"/>
  <c r="F8" i="157"/>
  <c r="F12" i="127"/>
  <c r="E27" i="194"/>
  <c r="F28" i="249"/>
  <c r="F32" i="249" s="1"/>
  <c r="J48" i="229"/>
  <c r="I48" i="229"/>
  <c r="J49" i="229"/>
  <c r="K49" i="229"/>
  <c r="K47" i="229"/>
  <c r="K14" i="229"/>
  <c r="K23" i="229"/>
  <c r="K25" i="229"/>
  <c r="K28" i="229"/>
  <c r="K39" i="229"/>
  <c r="J19" i="229"/>
  <c r="J23" i="229"/>
  <c r="I23" i="229"/>
  <c r="J17" i="229"/>
  <c r="J25" i="229"/>
  <c r="F52" i="154"/>
  <c r="F70" i="183"/>
  <c r="G86" i="183"/>
  <c r="B8" i="238"/>
  <c r="B8" i="237"/>
  <c r="B8" i="232"/>
  <c r="J4" i="255"/>
  <c r="B8" i="81"/>
  <c r="B6" i="249"/>
  <c r="B8" i="143"/>
  <c r="B8" i="140"/>
  <c r="B8" i="127"/>
  <c r="B8" i="215"/>
  <c r="B8" i="251"/>
  <c r="F32" i="251" s="1"/>
  <c r="G32" i="251" s="1"/>
  <c r="B7" i="183"/>
  <c r="B8" i="151"/>
  <c r="B8" i="189"/>
  <c r="B8" i="157"/>
  <c r="F15" i="157" s="1"/>
  <c r="G15" i="157" s="1"/>
  <c r="B8" i="227"/>
  <c r="B7" i="174"/>
  <c r="H64" i="228"/>
  <c r="B7" i="194"/>
  <c r="K21" i="229"/>
  <c r="B8" i="176"/>
  <c r="K32" i="229"/>
  <c r="I50" i="229"/>
  <c r="J12" i="229"/>
  <c r="K38" i="229"/>
  <c r="I28" i="229"/>
  <c r="P37" i="195"/>
  <c r="B8" i="206"/>
  <c r="B8" i="219"/>
  <c r="B8" i="207"/>
  <c r="B5" i="228"/>
  <c r="B8" i="190"/>
  <c r="Q13" i="195"/>
  <c r="B6" i="250"/>
  <c r="J13" i="229"/>
  <c r="P41" i="254"/>
  <c r="B8" i="205"/>
  <c r="B5" i="154"/>
  <c r="B7" i="239"/>
  <c r="B8" i="149"/>
  <c r="P8" i="195"/>
  <c r="I45" i="229"/>
  <c r="J50" i="229"/>
  <c r="J20" i="229"/>
  <c r="D45" i="254"/>
  <c r="D46" i="254" s="1"/>
  <c r="D48" i="254" s="1"/>
  <c r="K15" i="229"/>
  <c r="J15" i="229"/>
  <c r="D20" i="239"/>
  <c r="C20" i="239"/>
  <c r="H20" i="239" s="1"/>
  <c r="H42" i="228"/>
  <c r="E58" i="176"/>
  <c r="H46" i="228"/>
  <c r="H49" i="228" s="1"/>
  <c r="P21" i="254"/>
  <c r="I27" i="229"/>
  <c r="K18" i="229"/>
  <c r="I18" i="229"/>
  <c r="J18" i="229"/>
  <c r="K36" i="229"/>
  <c r="I36" i="229"/>
  <c r="J36" i="229"/>
  <c r="I10" i="229"/>
  <c r="H35" i="194"/>
  <c r="H37" i="194"/>
  <c r="J37" i="229"/>
  <c r="K37" i="229"/>
  <c r="I37" i="229"/>
  <c r="E39" i="174"/>
  <c r="E41" i="174"/>
  <c r="E45" i="174" s="1"/>
  <c r="G46" i="174" s="1"/>
  <c r="F26" i="174"/>
  <c r="R16" i="195"/>
  <c r="I46" i="229"/>
  <c r="K42" i="229"/>
  <c r="E21" i="239"/>
  <c r="D21" i="239" s="1"/>
  <c r="C21" i="239" s="1"/>
  <c r="H21" i="239" s="1"/>
  <c r="Q37" i="195"/>
  <c r="P32" i="195"/>
  <c r="R32" i="195"/>
  <c r="G11" i="195" l="1"/>
  <c r="U5" i="195"/>
  <c r="Q20" i="195"/>
  <c r="F41" i="195"/>
  <c r="P14" i="195"/>
  <c r="P20" i="195"/>
  <c r="Q16" i="195"/>
  <c r="Q14" i="195"/>
  <c r="F23" i="195"/>
  <c r="P33" i="195"/>
  <c r="Q33" i="195"/>
  <c r="Q35" i="195" s="1"/>
  <c r="R38" i="195"/>
  <c r="R22" i="195"/>
  <c r="P34" i="195"/>
  <c r="R10" i="195"/>
  <c r="Q9" i="195"/>
  <c r="P22" i="195"/>
  <c r="R9" i="195"/>
  <c r="R21" i="195"/>
  <c r="P13" i="195"/>
  <c r="P17" i="195" s="1"/>
  <c r="Q8" i="195"/>
  <c r="O11" i="195"/>
  <c r="O41" i="195"/>
  <c r="Q38" i="195"/>
  <c r="M44" i="195"/>
  <c r="Q27" i="195"/>
  <c r="P27" i="195"/>
  <c r="P26" i="195"/>
  <c r="F29" i="195"/>
  <c r="Q26" i="195"/>
  <c r="D44" i="195"/>
  <c r="AD19" i="255"/>
  <c r="AD8" i="255"/>
  <c r="AD11" i="255"/>
  <c r="AD21" i="255"/>
  <c r="AD18" i="255"/>
  <c r="AD17" i="255"/>
  <c r="AD15" i="255"/>
  <c r="G80" i="189"/>
  <c r="G84" i="189" s="1"/>
  <c r="G49" i="228"/>
  <c r="H25" i="228"/>
  <c r="H52" i="228"/>
  <c r="H28" i="228"/>
  <c r="H31" i="228" s="1"/>
  <c r="H67" i="228"/>
  <c r="G67" i="228"/>
  <c r="F84" i="189"/>
  <c r="F31" i="251"/>
  <c r="G31" i="251" s="1"/>
  <c r="F82" i="157"/>
  <c r="I73" i="262"/>
  <c r="D68" i="140"/>
  <c r="D74" i="140" s="1"/>
  <c r="C74" i="140"/>
  <c r="E48" i="140"/>
  <c r="E47" i="140"/>
  <c r="H13" i="228"/>
  <c r="D23" i="239"/>
  <c r="C23" i="239"/>
  <c r="G61" i="228"/>
  <c r="M46" i="254"/>
  <c r="M48" i="254" s="1"/>
  <c r="AD13" i="255"/>
  <c r="P19" i="195"/>
  <c r="O24" i="192"/>
  <c r="D20" i="176"/>
  <c r="E44" i="195"/>
  <c r="AC22" i="255"/>
  <c r="I46" i="258"/>
  <c r="I48" i="258" s="1"/>
  <c r="H46" i="258"/>
  <c r="H48" i="258" s="1"/>
  <c r="O23" i="195"/>
  <c r="F18" i="249"/>
  <c r="F36" i="249" s="1"/>
  <c r="F10" i="249" s="1"/>
  <c r="F35" i="194"/>
  <c r="F37" i="194" s="1"/>
  <c r="L37" i="194" s="1"/>
  <c r="L41" i="194" s="1"/>
  <c r="K43" i="194" s="1"/>
  <c r="D52" i="251"/>
  <c r="F46" i="254"/>
  <c r="F48" i="254" s="1"/>
  <c r="G37" i="228"/>
  <c r="C46" i="257"/>
  <c r="C48" i="257" s="1"/>
  <c r="I45" i="258"/>
  <c r="P31" i="195"/>
  <c r="R31" i="195"/>
  <c r="K41" i="229"/>
  <c r="F45" i="254"/>
  <c r="H43" i="228"/>
  <c r="P32" i="257"/>
  <c r="M46" i="257"/>
  <c r="M48" i="257" s="1"/>
  <c r="B45" i="257"/>
  <c r="B46" i="257" s="1"/>
  <c r="B48" i="257" s="1"/>
  <c r="J30" i="229"/>
  <c r="Q19" i="195"/>
  <c r="K40" i="229"/>
  <c r="H51" i="229"/>
  <c r="J33" i="229"/>
  <c r="H41" i="228"/>
  <c r="O35" i="195"/>
  <c r="E26" i="183"/>
  <c r="F51" i="183" s="1"/>
  <c r="D46" i="257"/>
  <c r="D48" i="257" s="1"/>
  <c r="M45" i="258"/>
  <c r="M46" i="258" s="1"/>
  <c r="M48" i="258" s="1"/>
  <c r="H23" i="239"/>
  <c r="K29" i="229"/>
  <c r="H45" i="254"/>
  <c r="F35" i="195"/>
  <c r="P28" i="195"/>
  <c r="D42" i="143"/>
  <c r="D41" i="143" s="1"/>
  <c r="I13" i="229"/>
  <c r="K46" i="229"/>
  <c r="F60" i="148"/>
  <c r="F70" i="148" s="1"/>
  <c r="R25" i="195"/>
  <c r="G48" i="149"/>
  <c r="G46" i="257"/>
  <c r="G48" i="257" s="1"/>
  <c r="N45" i="257"/>
  <c r="N46" i="257" s="1"/>
  <c r="N48" i="257" s="1"/>
  <c r="D70" i="228"/>
  <c r="J26" i="229"/>
  <c r="R22" i="255"/>
  <c r="H55" i="228"/>
  <c r="J46" i="257"/>
  <c r="J48" i="257" s="1"/>
  <c r="K46" i="254"/>
  <c r="K48" i="254" s="1"/>
  <c r="J48" i="149"/>
  <c r="L46" i="257"/>
  <c r="L48" i="257" s="1"/>
  <c r="D45" i="258"/>
  <c r="D46" i="258" s="1"/>
  <c r="D48" i="258" s="1"/>
  <c r="E52" i="261"/>
  <c r="L62" i="192"/>
  <c r="L27" i="194"/>
  <c r="P32" i="254"/>
  <c r="R15" i="195"/>
  <c r="R17" i="195" s="1"/>
  <c r="F46" i="258"/>
  <c r="F48" i="258" s="1"/>
  <c r="C35" i="194"/>
  <c r="E70" i="228"/>
  <c r="AD16" i="255"/>
  <c r="S22" i="255"/>
  <c r="G13" i="228"/>
  <c r="R28" i="195"/>
  <c r="K22" i="229"/>
  <c r="F24" i="239"/>
  <c r="J40" i="229"/>
  <c r="N44" i="195"/>
  <c r="F17" i="195"/>
  <c r="V6" i="195" s="1"/>
  <c r="P12" i="257"/>
  <c r="B46" i="258"/>
  <c r="B48" i="258" s="1"/>
  <c r="H48" i="149"/>
  <c r="P40" i="195"/>
  <c r="P41" i="195" s="1"/>
  <c r="J29" i="229"/>
  <c r="I37" i="194"/>
  <c r="I16" i="229"/>
  <c r="F28" i="250"/>
  <c r="H46" i="254"/>
  <c r="H48" i="254" s="1"/>
  <c r="L44" i="195"/>
  <c r="P41" i="257"/>
  <c r="P48" i="149"/>
  <c r="M48" i="149"/>
  <c r="F37" i="151"/>
  <c r="D48" i="140"/>
  <c r="E49" i="140" s="1"/>
  <c r="C70" i="140"/>
  <c r="N48" i="149"/>
  <c r="R35" i="149"/>
  <c r="R48" i="149" s="1"/>
  <c r="I56" i="149"/>
  <c r="I58" i="149" s="1"/>
  <c r="Q48" i="149"/>
  <c r="O48" i="149"/>
  <c r="R79" i="149"/>
  <c r="R81" i="149" s="1"/>
  <c r="R51" i="149"/>
  <c r="F48" i="149"/>
  <c r="G28" i="238"/>
  <c r="G12" i="238" s="1"/>
  <c r="G82" i="157"/>
  <c r="G86" i="157" s="1"/>
  <c r="F33" i="251"/>
  <c r="G33" i="251" s="1"/>
  <c r="P21" i="258"/>
  <c r="P45" i="258" s="1"/>
  <c r="O50" i="258"/>
  <c r="O45" i="258"/>
  <c r="O46" i="258" s="1"/>
  <c r="F26" i="143"/>
  <c r="F12" i="143" s="1"/>
  <c r="Q23" i="195"/>
  <c r="K46" i="257"/>
  <c r="K48" i="257" s="1"/>
  <c r="H19" i="228"/>
  <c r="B20" i="176"/>
  <c r="H18" i="176"/>
  <c r="E43" i="176"/>
  <c r="E44" i="176" s="1"/>
  <c r="T22" i="255"/>
  <c r="J46" i="258"/>
  <c r="J48" i="258" s="1"/>
  <c r="F33" i="249"/>
  <c r="F36" i="250"/>
  <c r="F37" i="250" s="1"/>
  <c r="F10" i="250" s="1"/>
  <c r="O45" i="257"/>
  <c r="O46" i="257" s="1"/>
  <c r="O50" i="257"/>
  <c r="P21" i="257"/>
  <c r="P45" i="257" s="1"/>
  <c r="P72" i="257" s="1"/>
  <c r="F44" i="127"/>
  <c r="G34" i="127"/>
  <c r="G44" i="127" s="1"/>
  <c r="D19" i="239"/>
  <c r="E24" i="239"/>
  <c r="O50" i="254"/>
  <c r="P27" i="254"/>
  <c r="P45" i="254" s="1"/>
  <c r="F53" i="249"/>
  <c r="F54" i="249"/>
  <c r="O45" i="254"/>
  <c r="O46" i="254" s="1"/>
  <c r="E37" i="194"/>
  <c r="D22" i="239"/>
  <c r="C22" i="239"/>
  <c r="H22" i="239" s="1"/>
  <c r="P71" i="257"/>
  <c r="F24" i="174"/>
  <c r="J27" i="229"/>
  <c r="P25" i="195"/>
  <c r="K26" i="229"/>
  <c r="O17" i="195"/>
  <c r="AD10" i="255"/>
  <c r="G25" i="228"/>
  <c r="I19" i="229"/>
  <c r="E35" i="194"/>
  <c r="J16" i="229"/>
  <c r="J34" i="229"/>
  <c r="C19" i="176"/>
  <c r="C20" i="176" s="1"/>
  <c r="D37" i="151"/>
  <c r="H59" i="228"/>
  <c r="H61" i="228" s="1"/>
  <c r="P22" i="192"/>
  <c r="P54" i="192" s="1"/>
  <c r="P67" i="192" s="1"/>
  <c r="Q15" i="195"/>
  <c r="J11" i="229"/>
  <c r="F23" i="174"/>
  <c r="R34" i="195"/>
  <c r="F27" i="174"/>
  <c r="K10" i="229"/>
  <c r="K35" i="229"/>
  <c r="J47" i="229"/>
  <c r="J43" i="229"/>
  <c r="R6" i="195"/>
  <c r="I11" i="229"/>
  <c r="I20" i="229"/>
  <c r="Q39" i="195"/>
  <c r="K24" i="229"/>
  <c r="AD9" i="255"/>
  <c r="Q6" i="195"/>
  <c r="I21" i="229"/>
  <c r="J39" i="229"/>
  <c r="Q40" i="195"/>
  <c r="O29" i="195"/>
  <c r="K31" i="229"/>
  <c r="J24" i="229"/>
  <c r="I44" i="229"/>
  <c r="F11" i="195"/>
  <c r="V5" i="195" s="1"/>
  <c r="I35" i="229"/>
  <c r="R39" i="195"/>
  <c r="R41" i="195" s="1"/>
  <c r="K44" i="229"/>
  <c r="G35" i="194"/>
  <c r="G37" i="194" s="1"/>
  <c r="J10" i="229"/>
  <c r="J37" i="194"/>
  <c r="K33" i="229"/>
  <c r="P21" i="195"/>
  <c r="C37" i="194"/>
  <c r="D39" i="174"/>
  <c r="D41" i="174" s="1"/>
  <c r="D45" i="174" s="1"/>
  <c r="G45" i="174" s="1"/>
  <c r="G47" i="174" s="1"/>
  <c r="F22" i="174"/>
  <c r="P10" i="195"/>
  <c r="I31" i="229"/>
  <c r="H36" i="228"/>
  <c r="H37" i="228" s="1"/>
  <c r="G19" i="228"/>
  <c r="G17" i="195" l="1"/>
  <c r="W6" i="195" s="1"/>
  <c r="W5" i="195"/>
  <c r="R35" i="195"/>
  <c r="Q17" i="195"/>
  <c r="P35" i="195"/>
  <c r="R23" i="195"/>
  <c r="Q29" i="195"/>
  <c r="R29" i="195"/>
  <c r="P23" i="195"/>
  <c r="F44" i="195"/>
  <c r="G88" i="157"/>
  <c r="G96" i="157" s="1"/>
  <c r="G101" i="157" s="1"/>
  <c r="AD22" i="255"/>
  <c r="F86" i="157"/>
  <c r="F88" i="157" s="1"/>
  <c r="F106" i="157"/>
  <c r="F110" i="157" s="1"/>
  <c r="E89" i="189"/>
  <c r="E91" i="189"/>
  <c r="E92" i="189"/>
  <c r="E93" i="189"/>
  <c r="E88" i="189"/>
  <c r="G88" i="189" s="1"/>
  <c r="E90" i="189"/>
  <c r="F71" i="183"/>
  <c r="F72" i="183" s="1"/>
  <c r="E30" i="183"/>
  <c r="E31" i="183" s="1"/>
  <c r="E32" i="183" s="1"/>
  <c r="F50" i="183"/>
  <c r="F52" i="183" s="1"/>
  <c r="C76" i="140"/>
  <c r="D70" i="140" s="1"/>
  <c r="E68" i="140"/>
  <c r="E74" i="140" s="1"/>
  <c r="D72" i="140"/>
  <c r="F68" i="140"/>
  <c r="F74" i="140" s="1"/>
  <c r="R50" i="149"/>
  <c r="R62" i="149" s="1"/>
  <c r="K35" i="194"/>
  <c r="I51" i="229"/>
  <c r="I52" i="229" s="1"/>
  <c r="F28" i="174"/>
  <c r="F24" i="249"/>
  <c r="F35" i="249" s="1"/>
  <c r="F41" i="249" s="1"/>
  <c r="P11" i="195"/>
  <c r="O44" i="195"/>
  <c r="D24" i="239"/>
  <c r="G70" i="228"/>
  <c r="F45" i="249"/>
  <c r="F47" i="249" s="1"/>
  <c r="L35" i="194"/>
  <c r="P29" i="195"/>
  <c r="D49" i="140"/>
  <c r="E50" i="140" s="1"/>
  <c r="P72" i="254"/>
  <c r="P73" i="254" s="1"/>
  <c r="P46" i="254"/>
  <c r="P48" i="254" s="1"/>
  <c r="K51" i="229"/>
  <c r="K52" i="229" s="1"/>
  <c r="K37" i="194"/>
  <c r="K41" i="194" s="1"/>
  <c r="K42" i="194" s="1"/>
  <c r="K44" i="194" s="1"/>
  <c r="P72" i="258"/>
  <c r="P73" i="258" s="1"/>
  <c r="P46" i="258"/>
  <c r="P48" i="258" s="1"/>
  <c r="R11" i="195"/>
  <c r="F19" i="176"/>
  <c r="H19" i="176" s="1"/>
  <c r="C19" i="239"/>
  <c r="P46" i="257"/>
  <c r="P48" i="257" s="1"/>
  <c r="F20" i="176"/>
  <c r="Q11" i="195"/>
  <c r="P73" i="257"/>
  <c r="H70" i="228"/>
  <c r="J51" i="229"/>
  <c r="J52" i="229" s="1"/>
  <c r="Q41" i="195"/>
  <c r="F38" i="151"/>
  <c r="D38" i="151"/>
  <c r="R44" i="195" l="1"/>
  <c r="P44" i="195"/>
  <c r="F96" i="157"/>
  <c r="F101" i="157" s="1"/>
  <c r="D76" i="140"/>
  <c r="E70" i="140" s="1"/>
  <c r="F90" i="189"/>
  <c r="G90" i="189"/>
  <c r="F93" i="189"/>
  <c r="G93" i="189"/>
  <c r="F92" i="189"/>
  <c r="G92" i="189"/>
  <c r="F91" i="189"/>
  <c r="G91" i="189"/>
  <c r="F89" i="189"/>
  <c r="G89" i="189"/>
  <c r="E72" i="140"/>
  <c r="F72" i="140" s="1"/>
  <c r="I66" i="183"/>
  <c r="E94" i="189"/>
  <c r="F88" i="189"/>
  <c r="H96" i="189" s="1"/>
  <c r="I86" i="183"/>
  <c r="G68" i="140"/>
  <c r="G74" i="140" s="1"/>
  <c r="D94" i="189"/>
  <c r="R71" i="149"/>
  <c r="J63" i="149" s="1"/>
  <c r="F43" i="249"/>
  <c r="Q44" i="195"/>
  <c r="D50" i="140"/>
  <c r="E51" i="140" s="1"/>
  <c r="P77" i="258"/>
  <c r="P78" i="258"/>
  <c r="P76" i="258"/>
  <c r="P78" i="257"/>
  <c r="P77" i="257"/>
  <c r="P76" i="257"/>
  <c r="D39" i="151"/>
  <c r="F39" i="151"/>
  <c r="C24" i="239"/>
  <c r="H19" i="239"/>
  <c r="H24" i="239" s="1"/>
  <c r="J64" i="149"/>
  <c r="J65" i="149" s="1"/>
  <c r="P76" i="254"/>
  <c r="P77" i="254"/>
  <c r="P78" i="254"/>
  <c r="E76" i="140" l="1"/>
  <c r="F70" i="140" s="1"/>
  <c r="F76" i="140" s="1"/>
  <c r="G70" i="140" s="1"/>
  <c r="G94" i="189"/>
  <c r="H68" i="140"/>
  <c r="H74" i="140" s="1"/>
  <c r="G72" i="140"/>
  <c r="H72" i="140" s="1"/>
  <c r="D51" i="140"/>
  <c r="E52" i="140" s="1"/>
  <c r="D40" i="151"/>
  <c r="F40" i="151"/>
  <c r="I68" i="140" l="1"/>
  <c r="I74" i="140" s="1"/>
  <c r="D52" i="140"/>
  <c r="E53" i="140" s="1"/>
  <c r="G76" i="140"/>
  <c r="H70" i="140" s="1"/>
  <c r="D41" i="151"/>
  <c r="F41" i="151"/>
  <c r="I72" i="140" l="1"/>
  <c r="D53" i="140"/>
  <c r="E54" i="140" s="1"/>
  <c r="H76" i="140"/>
  <c r="I70" i="140" s="1"/>
  <c r="D42" i="151"/>
  <c r="F42" i="151"/>
  <c r="I76" i="140" l="1"/>
  <c r="D54" i="140"/>
  <c r="E55" i="140" s="1"/>
  <c r="F43" i="151"/>
  <c r="D43" i="151"/>
  <c r="D55" i="140" l="1"/>
  <c r="E56" i="140" s="1"/>
  <c r="D44" i="151"/>
  <c r="F44" i="151"/>
  <c r="D56" i="140" l="1"/>
  <c r="E57" i="140" s="1"/>
  <c r="F45" i="151"/>
  <c r="D45" i="151"/>
  <c r="D57" i="140" l="1"/>
  <c r="E58" i="140" s="1"/>
  <c r="F46" i="151"/>
  <c r="D46" i="151"/>
  <c r="D58" i="140" l="1"/>
  <c r="E59" i="140" s="1"/>
  <c r="D47" i="151"/>
  <c r="F47" i="151"/>
  <c r="D59" i="140" l="1"/>
  <c r="D48" i="151"/>
  <c r="F48" i="151"/>
  <c r="D60" i="140" l="1"/>
  <c r="E61" i="140" s="1"/>
  <c r="D49" i="151"/>
  <c r="F49" i="151"/>
  <c r="D61" i="140" l="1"/>
  <c r="E62" i="140" s="1"/>
  <c r="D50" i="151"/>
  <c r="F50" i="151"/>
  <c r="E64" i="140" l="1"/>
  <c r="D51" i="151"/>
  <c r="F51" i="151"/>
  <c r="G20" i="140" l="1"/>
  <c r="G28" i="140" s="1"/>
  <c r="C62" i="140"/>
  <c r="D62" i="140" s="1"/>
  <c r="F52" i="151"/>
  <c r="F54" i="151" s="1"/>
  <c r="C52" i="151" s="1"/>
  <c r="D52" i="151" s="1"/>
  <c r="G12" i="140" l="1"/>
  <c r="E48" i="262"/>
  <c r="C71" i="262" l="1"/>
  <c r="E49" i="262"/>
  <c r="D49" i="262" l="1"/>
  <c r="E50" i="262" s="1"/>
  <c r="D50" i="262" l="1"/>
  <c r="E51" i="262" s="1"/>
  <c r="D51" i="262" l="1"/>
  <c r="E52" i="262" s="1"/>
  <c r="D52" i="262" l="1"/>
  <c r="E53" i="262" s="1"/>
  <c r="D53" i="262" l="1"/>
  <c r="E54" i="262" s="1"/>
  <c r="D54" i="262" l="1"/>
  <c r="E55" i="262" s="1"/>
  <c r="D55" i="262" l="1"/>
  <c r="E56" i="262" s="1"/>
  <c r="D56" i="262" l="1"/>
  <c r="E57" i="262" s="1"/>
  <c r="D57" i="262" l="1"/>
  <c r="E58" i="262" l="1"/>
  <c r="D58" i="262"/>
  <c r="D59" i="262"/>
  <c r="E60" i="262" s="1"/>
  <c r="D60" i="262" l="1"/>
  <c r="E61" i="262" s="1"/>
  <c r="D61" i="262" l="1"/>
  <c r="E62" i="262" s="1"/>
  <c r="D62" i="262" l="1"/>
  <c r="E63" i="262" s="1"/>
  <c r="E65" i="262" s="1"/>
  <c r="C63" i="262" s="1"/>
  <c r="D63" i="262" s="1"/>
  <c r="G20" i="262" l="1"/>
  <c r="G28" i="262" s="1"/>
  <c r="G12" i="262" s="1"/>
  <c r="C77" i="262" l="1"/>
  <c r="D71" i="262" s="1"/>
  <c r="D77" i="262" l="1"/>
  <c r="E71" i="262" s="1"/>
  <c r="E77" i="262" l="1"/>
  <c r="F71" i="262" s="1"/>
  <c r="F77" i="262" l="1"/>
  <c r="G71" i="262"/>
  <c r="G77" i="262" l="1"/>
  <c r="H71" i="262" s="1"/>
  <c r="H77" i="262" l="1"/>
  <c r="I71" i="262" s="1"/>
  <c r="I77" i="26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Theresa Sapatra</author>
  </authors>
  <commentList>
    <comment ref="B41" authorId="0" shapeId="0" xr:uid="{00000000-0006-0000-0F00-000001000000}">
      <text>
        <r>
          <rPr>
            <i/>
            <sz val="10"/>
            <color indexed="23"/>
            <rFont val="Calibri"/>
            <family val="2"/>
          </rPr>
          <t>Enter as a negative.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BOS Tip</author>
  </authors>
  <commentList>
    <comment ref="K9" authorId="0" shapeId="0" xr:uid="{00000000-0006-0000-1100-000001000000}">
      <text>
        <r>
          <rPr>
            <b/>
            <sz val="8"/>
            <color indexed="81"/>
            <rFont val="Tahoma"/>
            <family val="2"/>
          </rPr>
          <t>BOS Tip:</t>
        </r>
        <r>
          <rPr>
            <sz val="8"/>
            <color indexed="81"/>
            <rFont val="Tahoma"/>
            <family val="2"/>
          </rPr>
          <t xml:space="preserve">
Column for Luxury Car Tax (LCT) or Wine Equalisation Tax (WET) if applicable. Insert the appropriate acronym if applicable, or leave blank.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B18" authorId="0" shapeId="0" xr:uid="{00000000-0006-0000-2800-000001000000}">
      <text>
        <r>
          <rPr>
            <b/>
            <sz val="9"/>
            <color indexed="81"/>
            <rFont val="Tahoma"/>
            <family val="2"/>
          </rPr>
          <t>Nicole Cosgrove:</t>
        </r>
        <r>
          <rPr>
            <sz val="9"/>
            <color indexed="81"/>
            <rFont val="Tahoma"/>
            <family val="2"/>
          </rPr>
          <t xml:space="preserve">
From BAS (rounded) NOT workpaper. Use table below to enter amounts.</t>
        </r>
      </text>
    </comment>
    <comment ref="C18" authorId="0" shapeId="0" xr:uid="{00000000-0006-0000-2800-000002000000}">
      <text>
        <r>
          <rPr>
            <b/>
            <sz val="9"/>
            <color indexed="81"/>
            <rFont val="Tahoma"/>
            <family val="2"/>
          </rPr>
          <t>Nicole Cosgrove:</t>
        </r>
        <r>
          <rPr>
            <sz val="9"/>
            <color indexed="81"/>
            <rFont val="Tahoma"/>
            <family val="2"/>
          </rPr>
          <t xml:space="preserve">
From BAS (rounded) NOT workpaper. Use table below to enter amounts.</t>
        </r>
      </text>
    </comment>
    <comment ref="D18" authorId="0" shapeId="0" xr:uid="{00000000-0006-0000-2800-000003000000}">
      <text>
        <r>
          <rPr>
            <b/>
            <sz val="9"/>
            <color indexed="81"/>
            <rFont val="Tahoma"/>
            <family val="2"/>
          </rPr>
          <t>Nicole Cosgrove:</t>
        </r>
        <r>
          <rPr>
            <sz val="9"/>
            <color indexed="81"/>
            <rFont val="Tahoma"/>
            <family val="2"/>
          </rPr>
          <t xml:space="preserve">
From BAS (rounded) NOT workpaper. Use table below to enter amounts.</t>
        </r>
      </text>
    </comment>
    <comment ref="E18" authorId="0" shapeId="0" xr:uid="{00000000-0006-0000-2800-000004000000}">
      <text>
        <r>
          <rPr>
            <b/>
            <sz val="9"/>
            <color indexed="81"/>
            <rFont val="Tahoma"/>
            <family val="2"/>
          </rPr>
          <t>Nicole Cosgrove:</t>
        </r>
        <r>
          <rPr>
            <sz val="9"/>
            <color indexed="81"/>
            <rFont val="Tahoma"/>
            <family val="2"/>
          </rPr>
          <t xml:space="preserve">
From BAS (rounded) NOT workpaper. Use table below to enter amounts.</t>
        </r>
      </text>
    </comment>
    <comment ref="G18" authorId="0" shapeId="0" xr:uid="{00000000-0006-0000-2800-000005000000}">
      <text>
        <r>
          <rPr>
            <b/>
            <sz val="9"/>
            <color indexed="81"/>
            <rFont val="Tahoma"/>
            <family val="2"/>
          </rPr>
          <t>Nicole Cosgrove:</t>
        </r>
        <r>
          <rPr>
            <sz val="9"/>
            <color indexed="81"/>
            <rFont val="Tahoma"/>
            <family val="2"/>
          </rPr>
          <t xml:space="preserve">
From info lodged with ATO</t>
        </r>
      </text>
    </comment>
    <comment ref="B19" authorId="0" shapeId="0" xr:uid="{00000000-0006-0000-2800-000006000000}">
      <text>
        <r>
          <rPr>
            <b/>
            <sz val="9"/>
            <color indexed="81"/>
            <rFont val="Tahoma"/>
            <family val="2"/>
          </rPr>
          <t>Nicole Cosgrove:</t>
        </r>
        <r>
          <rPr>
            <sz val="9"/>
            <color indexed="81"/>
            <rFont val="Tahoma"/>
            <family val="2"/>
          </rPr>
          <t xml:space="preserve">
From BAS (rounded) NOT workpaper. Use table below to enter amounts.</t>
        </r>
      </text>
    </comment>
    <comment ref="C19" authorId="0" shapeId="0" xr:uid="{00000000-0006-0000-2800-000007000000}">
      <text>
        <r>
          <rPr>
            <b/>
            <sz val="9"/>
            <color indexed="81"/>
            <rFont val="Tahoma"/>
            <family val="2"/>
          </rPr>
          <t>Nicole Cosgrove:</t>
        </r>
        <r>
          <rPr>
            <sz val="9"/>
            <color indexed="81"/>
            <rFont val="Tahoma"/>
            <family val="2"/>
          </rPr>
          <t xml:space="preserve">
From BAS (rounded) NOT workpaper. Use table below to enter amounts.</t>
        </r>
      </text>
    </comment>
    <comment ref="D19" authorId="0" shapeId="0" xr:uid="{00000000-0006-0000-2800-000008000000}">
      <text>
        <r>
          <rPr>
            <b/>
            <sz val="9"/>
            <color indexed="81"/>
            <rFont val="Tahoma"/>
            <family val="2"/>
          </rPr>
          <t>Nicole Cosgrove:</t>
        </r>
        <r>
          <rPr>
            <sz val="9"/>
            <color indexed="81"/>
            <rFont val="Tahoma"/>
            <family val="2"/>
          </rPr>
          <t xml:space="preserve">
From BAS (rounded) NOT workpaper. Use table belowto enter amounts.</t>
        </r>
      </text>
    </comment>
    <comment ref="E19" authorId="0" shapeId="0" xr:uid="{00000000-0006-0000-2800-000009000000}">
      <text>
        <r>
          <rPr>
            <b/>
            <sz val="9"/>
            <color indexed="81"/>
            <rFont val="Tahoma"/>
            <family val="2"/>
          </rPr>
          <t>Nicole Cosgrove:</t>
        </r>
        <r>
          <rPr>
            <sz val="9"/>
            <color indexed="81"/>
            <rFont val="Tahoma"/>
            <family val="2"/>
          </rPr>
          <t xml:space="preserve">
From BAS (rounded) NOT workpaper. Use table below to enter amounts.</t>
        </r>
      </text>
    </comment>
    <comment ref="G19" authorId="0" shapeId="0" xr:uid="{00000000-0006-0000-2800-00000A000000}">
      <text>
        <r>
          <rPr>
            <b/>
            <sz val="9"/>
            <color indexed="81"/>
            <rFont val="Tahoma"/>
            <family val="2"/>
          </rPr>
          <t>Nicole Cosgrove:</t>
        </r>
        <r>
          <rPr>
            <sz val="9"/>
            <color indexed="81"/>
            <rFont val="Tahoma"/>
            <family val="2"/>
          </rPr>
          <t xml:space="preserve">
From info lodged with ATO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heidi</author>
    <author>Nicole</author>
  </authors>
  <commentList>
    <comment ref="F23" authorId="0" shapeId="0" xr:uid="{00000000-0006-0000-1D00-000001000000}">
      <text>
        <r>
          <rPr>
            <b/>
            <sz val="8"/>
            <color indexed="81"/>
            <rFont val="Tahoma"/>
            <family val="2"/>
          </rPr>
          <t>Enter Luxury Car limit Used</t>
        </r>
        <r>
          <rPr>
            <sz val="8"/>
            <color indexed="81"/>
            <rFont val="Tahoma"/>
            <family val="2"/>
          </rPr>
          <t xml:space="preserve">
</t>
        </r>
      </text>
    </comment>
    <comment ref="G23" authorId="1" shapeId="0" xr:uid="{00000000-0006-0000-1D00-000002000000}">
      <text>
        <r>
          <rPr>
            <b/>
            <sz val="8"/>
            <color indexed="81"/>
            <rFont val="Tahoma"/>
            <family val="2"/>
          </rPr>
          <t>Enter financial year of car limit used</t>
        </r>
      </text>
    </comment>
    <comment ref="F24" authorId="1" shapeId="0" xr:uid="{00000000-0006-0000-1D00-000003000000}">
      <text>
        <r>
          <rPr>
            <b/>
            <sz val="8"/>
            <color indexed="81"/>
            <rFont val="Tahoma"/>
            <family val="2"/>
          </rPr>
          <t>Total cost of car per ledger (excl GST)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Nicole</author>
  </authors>
  <commentList>
    <comment ref="G21" authorId="0" shapeId="0" xr:uid="{00000000-0006-0000-1E00-000001000000}">
      <text>
        <r>
          <rPr>
            <b/>
            <sz val="8"/>
            <color indexed="81"/>
            <rFont val="Tahoma"/>
            <family val="2"/>
          </rPr>
          <t>Enter financial year of car limit used</t>
        </r>
      </text>
    </comment>
    <comment ref="F22" authorId="0" shapeId="0" xr:uid="{00000000-0006-0000-1E00-000002000000}">
      <text>
        <r>
          <rPr>
            <b/>
            <sz val="8"/>
            <color indexed="81"/>
            <rFont val="Tahoma"/>
            <family val="2"/>
          </rPr>
          <t xml:space="preserve">Total cost of car per ledger (excl GST)
</t>
        </r>
      </text>
    </comment>
    <comment ref="F27" authorId="0" shapeId="0" xr:uid="{00000000-0006-0000-1E00-000003000000}">
      <text>
        <r>
          <rPr>
            <sz val="8"/>
            <color indexed="81"/>
            <rFont val="Tahoma"/>
            <family val="2"/>
          </rPr>
          <t xml:space="preserve">Accumulated depn from ledger 
</t>
        </r>
      </text>
    </comment>
    <comment ref="F28" authorId="0" shapeId="0" xr:uid="{00000000-0006-0000-1E00-000004000000}">
      <text>
        <r>
          <rPr>
            <sz val="8"/>
            <color indexed="81"/>
            <rFont val="Tahoma"/>
            <family val="2"/>
          </rPr>
          <t xml:space="preserve">Total deducted depreciation per luxury limit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1F00-000001000000}">
      <text>
        <r>
          <rPr>
            <b/>
            <sz val="9"/>
            <color indexed="81"/>
            <rFont val="Tahoma"/>
            <family val="2"/>
          </rPr>
          <t>Nicole Cosgrove:</t>
        </r>
        <r>
          <rPr>
            <sz val="9"/>
            <color indexed="81"/>
            <rFont val="Tahoma"/>
            <family val="2"/>
          </rPr>
          <t xml:space="preserve">
Show amounts below</t>
        </r>
      </text>
    </comment>
    <comment ref="O22" authorId="0" shapeId="0" xr:uid="{00000000-0006-0000-1F00-000002000000}">
      <text>
        <r>
          <rPr>
            <b/>
            <sz val="9"/>
            <color indexed="81"/>
            <rFont val="Tahoma"/>
            <family val="2"/>
          </rPr>
          <t>Nicole Cosgrove:</t>
        </r>
        <r>
          <rPr>
            <sz val="9"/>
            <color indexed="81"/>
            <rFont val="Tahoma"/>
            <family val="2"/>
          </rPr>
          <t xml:space="preserve">
Show amounts below</t>
        </r>
      </text>
    </comment>
    <comment ref="O24" authorId="0" shapeId="0" xr:uid="{00000000-0006-0000-1F00-000003000000}">
      <text>
        <r>
          <rPr>
            <b/>
            <sz val="9"/>
            <color indexed="81"/>
            <rFont val="Tahoma"/>
            <family val="2"/>
          </rPr>
          <t>Nicole Cosgrove:</t>
        </r>
        <r>
          <rPr>
            <sz val="9"/>
            <color indexed="81"/>
            <rFont val="Tahoma"/>
            <family val="2"/>
          </rPr>
          <t xml:space="preserve">
Show amounts below</t>
        </r>
      </text>
    </comment>
    <comment ref="O25" authorId="0" shapeId="0" xr:uid="{00000000-0006-0000-1F00-000004000000}">
      <text>
        <r>
          <rPr>
            <b/>
            <sz val="9"/>
            <color indexed="81"/>
            <rFont val="Tahoma"/>
            <family val="2"/>
          </rPr>
          <t>Nicole Cosgrove:</t>
        </r>
        <r>
          <rPr>
            <sz val="9"/>
            <color indexed="81"/>
            <rFont val="Tahoma"/>
            <family val="2"/>
          </rPr>
          <t xml:space="preserve">
Show amounts below</t>
        </r>
      </text>
    </comment>
    <comment ref="O27" authorId="0" shapeId="0" xr:uid="{00000000-0006-0000-1F00-000005000000}">
      <text>
        <r>
          <rPr>
            <b/>
            <sz val="9"/>
            <color indexed="81"/>
            <rFont val="Tahoma"/>
            <family val="2"/>
          </rPr>
          <t>Nicole Cosgrove:</t>
        </r>
        <r>
          <rPr>
            <sz val="9"/>
            <color indexed="81"/>
            <rFont val="Tahoma"/>
            <family val="2"/>
          </rPr>
          <t xml:space="preserve">
Show amounts below</t>
        </r>
      </text>
    </comment>
    <comment ref="O28" authorId="0" shapeId="0" xr:uid="{00000000-0006-0000-1F00-000006000000}">
      <text>
        <r>
          <rPr>
            <b/>
            <sz val="9"/>
            <color indexed="81"/>
            <rFont val="Tahoma"/>
            <family val="2"/>
          </rPr>
          <t>Nicole Cosgrove:</t>
        </r>
        <r>
          <rPr>
            <sz val="9"/>
            <color indexed="81"/>
            <rFont val="Tahoma"/>
            <family val="2"/>
          </rPr>
          <t xml:space="preserve">
Show amounts below</t>
        </r>
      </text>
    </comment>
    <comment ref="O29" authorId="0" shapeId="0" xr:uid="{00000000-0006-0000-1F00-000007000000}">
      <text>
        <r>
          <rPr>
            <b/>
            <sz val="9"/>
            <color indexed="81"/>
            <rFont val="Tahoma"/>
            <family val="2"/>
          </rPr>
          <t>Nicole Cosgrove:</t>
        </r>
        <r>
          <rPr>
            <sz val="9"/>
            <color indexed="81"/>
            <rFont val="Tahoma"/>
            <family val="2"/>
          </rPr>
          <t xml:space="preserve">
Show amounts below</t>
        </r>
      </text>
    </comment>
    <comment ref="O30" authorId="0" shapeId="0" xr:uid="{00000000-0006-0000-1F00-000008000000}">
      <text>
        <r>
          <rPr>
            <b/>
            <sz val="9"/>
            <color indexed="81"/>
            <rFont val="Tahoma"/>
            <family val="2"/>
          </rPr>
          <t>Nicole Cosgrove:</t>
        </r>
        <r>
          <rPr>
            <sz val="9"/>
            <color indexed="81"/>
            <rFont val="Tahoma"/>
            <family val="2"/>
          </rPr>
          <t xml:space="preserve">
Show amounts below</t>
        </r>
      </text>
    </comment>
    <comment ref="P33" authorId="0" shapeId="0" xr:uid="{00000000-0006-0000-1F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1F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1F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1F00-00000C000000}">
      <text>
        <r>
          <rPr>
            <b/>
            <sz val="9"/>
            <color indexed="81"/>
            <rFont val="Tahoma"/>
            <family val="2"/>
          </rPr>
          <t>Nicole Cosgrove:</t>
        </r>
        <r>
          <rPr>
            <sz val="9"/>
            <color indexed="81"/>
            <rFont val="Tahoma"/>
            <family val="2"/>
          </rPr>
          <t xml:space="preserve">
Show amounts below</t>
        </r>
      </text>
    </comment>
    <comment ref="O37" authorId="0" shapeId="0" xr:uid="{00000000-0006-0000-1F00-00000D000000}">
      <text>
        <r>
          <rPr>
            <b/>
            <sz val="9"/>
            <color indexed="81"/>
            <rFont val="Tahoma"/>
            <family val="2"/>
          </rPr>
          <t>Nicole Cosgrove:</t>
        </r>
        <r>
          <rPr>
            <sz val="9"/>
            <color indexed="81"/>
            <rFont val="Tahoma"/>
            <family val="2"/>
          </rPr>
          <t xml:space="preserve">
Show amounts below</t>
        </r>
      </text>
    </comment>
    <comment ref="O39" authorId="0" shapeId="0" xr:uid="{00000000-0006-0000-1F00-00000E000000}">
      <text>
        <r>
          <rPr>
            <b/>
            <sz val="9"/>
            <color indexed="81"/>
            <rFont val="Tahoma"/>
            <family val="2"/>
          </rPr>
          <t>Nicole Cosgrove:</t>
        </r>
        <r>
          <rPr>
            <sz val="9"/>
            <color indexed="81"/>
            <rFont val="Tahoma"/>
            <family val="2"/>
          </rPr>
          <t xml:space="preserve">
Show amounts below</t>
        </r>
      </text>
    </comment>
    <comment ref="O40" authorId="0" shapeId="0" xr:uid="{00000000-0006-0000-1F00-00000F000000}">
      <text>
        <r>
          <rPr>
            <b/>
            <sz val="9"/>
            <color indexed="81"/>
            <rFont val="Tahoma"/>
            <family val="2"/>
          </rPr>
          <t>Nicole Cosgrove:</t>
        </r>
        <r>
          <rPr>
            <sz val="9"/>
            <color indexed="81"/>
            <rFont val="Tahoma"/>
            <family val="2"/>
          </rPr>
          <t xml:space="preserve">
Show amounts below</t>
        </r>
      </text>
    </comment>
    <comment ref="P42" authorId="0" shapeId="0" xr:uid="{00000000-0006-0000-1F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1F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1F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1F00-000013000000}">
      <text>
        <r>
          <rPr>
            <b/>
            <sz val="9"/>
            <color indexed="81"/>
            <rFont val="Tahoma"/>
            <family val="2"/>
          </rPr>
          <t>Nicole Cosgrove:</t>
        </r>
        <r>
          <rPr>
            <sz val="9"/>
            <color indexed="81"/>
            <rFont val="Tahoma"/>
            <family val="2"/>
          </rPr>
          <t xml:space="preserve">
Subtotal only, do not show in ITR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2000-000001000000}">
      <text>
        <r>
          <rPr>
            <b/>
            <sz val="9"/>
            <color indexed="81"/>
            <rFont val="Tahoma"/>
            <family val="2"/>
          </rPr>
          <t>Nicole Cosgrove:</t>
        </r>
        <r>
          <rPr>
            <sz val="9"/>
            <color indexed="81"/>
            <rFont val="Tahoma"/>
            <family val="2"/>
          </rPr>
          <t xml:space="preserve">
Show amounts below</t>
        </r>
      </text>
    </comment>
    <comment ref="O22" authorId="0" shapeId="0" xr:uid="{00000000-0006-0000-2000-000002000000}">
      <text>
        <r>
          <rPr>
            <b/>
            <sz val="9"/>
            <color indexed="81"/>
            <rFont val="Tahoma"/>
            <family val="2"/>
          </rPr>
          <t>Nicole Cosgrove:</t>
        </r>
        <r>
          <rPr>
            <sz val="9"/>
            <color indexed="81"/>
            <rFont val="Tahoma"/>
            <family val="2"/>
          </rPr>
          <t xml:space="preserve">
Show amounts below</t>
        </r>
      </text>
    </comment>
    <comment ref="O24" authorId="0" shapeId="0" xr:uid="{00000000-0006-0000-2000-000003000000}">
      <text>
        <r>
          <rPr>
            <b/>
            <sz val="9"/>
            <color indexed="81"/>
            <rFont val="Tahoma"/>
            <family val="2"/>
          </rPr>
          <t>Nicole Cosgrove:</t>
        </r>
        <r>
          <rPr>
            <sz val="9"/>
            <color indexed="81"/>
            <rFont val="Tahoma"/>
            <family val="2"/>
          </rPr>
          <t xml:space="preserve">
Show amounts below</t>
        </r>
      </text>
    </comment>
    <comment ref="O25" authorId="0" shapeId="0" xr:uid="{00000000-0006-0000-2000-000004000000}">
      <text>
        <r>
          <rPr>
            <b/>
            <sz val="9"/>
            <color indexed="81"/>
            <rFont val="Tahoma"/>
            <family val="2"/>
          </rPr>
          <t>Nicole Cosgrove:</t>
        </r>
        <r>
          <rPr>
            <sz val="9"/>
            <color indexed="81"/>
            <rFont val="Tahoma"/>
            <family val="2"/>
          </rPr>
          <t xml:space="preserve">
Show amounts below</t>
        </r>
      </text>
    </comment>
    <comment ref="O27" authorId="0" shapeId="0" xr:uid="{00000000-0006-0000-2000-000005000000}">
      <text>
        <r>
          <rPr>
            <b/>
            <sz val="9"/>
            <color indexed="81"/>
            <rFont val="Tahoma"/>
            <family val="2"/>
          </rPr>
          <t>Nicole Cosgrove:</t>
        </r>
        <r>
          <rPr>
            <sz val="9"/>
            <color indexed="81"/>
            <rFont val="Tahoma"/>
            <family val="2"/>
          </rPr>
          <t xml:space="preserve">
Show amounts below</t>
        </r>
      </text>
    </comment>
    <comment ref="O28" authorId="0" shapeId="0" xr:uid="{00000000-0006-0000-2000-000006000000}">
      <text>
        <r>
          <rPr>
            <b/>
            <sz val="9"/>
            <color indexed="81"/>
            <rFont val="Tahoma"/>
            <family val="2"/>
          </rPr>
          <t>Nicole Cosgrove:</t>
        </r>
        <r>
          <rPr>
            <sz val="9"/>
            <color indexed="81"/>
            <rFont val="Tahoma"/>
            <family val="2"/>
          </rPr>
          <t xml:space="preserve">
Show amounts below</t>
        </r>
      </text>
    </comment>
    <comment ref="O29" authorId="0" shapeId="0" xr:uid="{00000000-0006-0000-2000-000007000000}">
      <text>
        <r>
          <rPr>
            <b/>
            <sz val="9"/>
            <color indexed="81"/>
            <rFont val="Tahoma"/>
            <family val="2"/>
          </rPr>
          <t>Nicole Cosgrove:</t>
        </r>
        <r>
          <rPr>
            <sz val="9"/>
            <color indexed="81"/>
            <rFont val="Tahoma"/>
            <family val="2"/>
          </rPr>
          <t xml:space="preserve">
Show amounts below</t>
        </r>
      </text>
    </comment>
    <comment ref="O30" authorId="0" shapeId="0" xr:uid="{00000000-0006-0000-2000-000008000000}">
      <text>
        <r>
          <rPr>
            <b/>
            <sz val="9"/>
            <color indexed="81"/>
            <rFont val="Tahoma"/>
            <family val="2"/>
          </rPr>
          <t>Nicole Cosgrove:</t>
        </r>
        <r>
          <rPr>
            <sz val="9"/>
            <color indexed="81"/>
            <rFont val="Tahoma"/>
            <family val="2"/>
          </rPr>
          <t xml:space="preserve">
Show amounts below</t>
        </r>
      </text>
    </comment>
    <comment ref="P33" authorId="0" shapeId="0" xr:uid="{00000000-0006-0000-20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20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20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2000-00000C000000}">
      <text>
        <r>
          <rPr>
            <b/>
            <sz val="9"/>
            <color indexed="81"/>
            <rFont val="Tahoma"/>
            <family val="2"/>
          </rPr>
          <t>Nicole Cosgrove:</t>
        </r>
        <r>
          <rPr>
            <sz val="9"/>
            <color indexed="81"/>
            <rFont val="Tahoma"/>
            <family val="2"/>
          </rPr>
          <t xml:space="preserve">
Show amounts below</t>
        </r>
      </text>
    </comment>
    <comment ref="O37" authorId="0" shapeId="0" xr:uid="{00000000-0006-0000-2000-00000D000000}">
      <text>
        <r>
          <rPr>
            <b/>
            <sz val="9"/>
            <color indexed="81"/>
            <rFont val="Tahoma"/>
            <family val="2"/>
          </rPr>
          <t>Nicole Cosgrove:</t>
        </r>
        <r>
          <rPr>
            <sz val="9"/>
            <color indexed="81"/>
            <rFont val="Tahoma"/>
            <family val="2"/>
          </rPr>
          <t xml:space="preserve">
Show amounts below</t>
        </r>
      </text>
    </comment>
    <comment ref="O39" authorId="0" shapeId="0" xr:uid="{00000000-0006-0000-2000-00000E000000}">
      <text>
        <r>
          <rPr>
            <b/>
            <sz val="9"/>
            <color indexed="81"/>
            <rFont val="Tahoma"/>
            <family val="2"/>
          </rPr>
          <t>Nicole Cosgrove:</t>
        </r>
        <r>
          <rPr>
            <sz val="9"/>
            <color indexed="81"/>
            <rFont val="Tahoma"/>
            <family val="2"/>
          </rPr>
          <t xml:space="preserve">
Show amounts below</t>
        </r>
      </text>
    </comment>
    <comment ref="O40" authorId="0" shapeId="0" xr:uid="{00000000-0006-0000-2000-00000F000000}">
      <text>
        <r>
          <rPr>
            <b/>
            <sz val="9"/>
            <color indexed="81"/>
            <rFont val="Tahoma"/>
            <family val="2"/>
          </rPr>
          <t>Nicole Cosgrove:</t>
        </r>
        <r>
          <rPr>
            <sz val="9"/>
            <color indexed="81"/>
            <rFont val="Tahoma"/>
            <family val="2"/>
          </rPr>
          <t xml:space="preserve">
Show amounts below</t>
        </r>
      </text>
    </comment>
    <comment ref="P42" authorId="0" shapeId="0" xr:uid="{00000000-0006-0000-20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20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20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2000-000013000000}">
      <text>
        <r>
          <rPr>
            <b/>
            <sz val="9"/>
            <color indexed="81"/>
            <rFont val="Tahoma"/>
            <family val="2"/>
          </rPr>
          <t>Nicole Cosgrove:</t>
        </r>
        <r>
          <rPr>
            <sz val="9"/>
            <color indexed="81"/>
            <rFont val="Tahoma"/>
            <family val="2"/>
          </rPr>
          <t xml:space="preserve">
Subtotal only, do not show in ITR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2100-000001000000}">
      <text>
        <r>
          <rPr>
            <b/>
            <sz val="9"/>
            <color indexed="81"/>
            <rFont val="Tahoma"/>
            <family val="2"/>
          </rPr>
          <t>Nicole Cosgrove:</t>
        </r>
        <r>
          <rPr>
            <sz val="9"/>
            <color indexed="81"/>
            <rFont val="Tahoma"/>
            <family val="2"/>
          </rPr>
          <t xml:space="preserve">
Show amounts below</t>
        </r>
      </text>
    </comment>
    <comment ref="O22" authorId="0" shapeId="0" xr:uid="{00000000-0006-0000-2100-000002000000}">
      <text>
        <r>
          <rPr>
            <b/>
            <sz val="9"/>
            <color indexed="81"/>
            <rFont val="Tahoma"/>
            <family val="2"/>
          </rPr>
          <t>Nicole Cosgrove:</t>
        </r>
        <r>
          <rPr>
            <sz val="9"/>
            <color indexed="81"/>
            <rFont val="Tahoma"/>
            <family val="2"/>
          </rPr>
          <t xml:space="preserve">
Show amounts below</t>
        </r>
      </text>
    </comment>
    <comment ref="O24" authorId="0" shapeId="0" xr:uid="{00000000-0006-0000-2100-000003000000}">
      <text>
        <r>
          <rPr>
            <b/>
            <sz val="9"/>
            <color indexed="81"/>
            <rFont val="Tahoma"/>
            <family val="2"/>
          </rPr>
          <t>Nicole Cosgrove:</t>
        </r>
        <r>
          <rPr>
            <sz val="9"/>
            <color indexed="81"/>
            <rFont val="Tahoma"/>
            <family val="2"/>
          </rPr>
          <t xml:space="preserve">
Show amounts below</t>
        </r>
      </text>
    </comment>
    <comment ref="O25" authorId="0" shapeId="0" xr:uid="{00000000-0006-0000-2100-000004000000}">
      <text>
        <r>
          <rPr>
            <b/>
            <sz val="9"/>
            <color indexed="81"/>
            <rFont val="Tahoma"/>
            <family val="2"/>
          </rPr>
          <t>Nicole Cosgrove:</t>
        </r>
        <r>
          <rPr>
            <sz val="9"/>
            <color indexed="81"/>
            <rFont val="Tahoma"/>
            <family val="2"/>
          </rPr>
          <t xml:space="preserve">
Show amounts below</t>
        </r>
      </text>
    </comment>
    <comment ref="O27" authorId="0" shapeId="0" xr:uid="{00000000-0006-0000-2100-000005000000}">
      <text>
        <r>
          <rPr>
            <b/>
            <sz val="9"/>
            <color indexed="81"/>
            <rFont val="Tahoma"/>
            <family val="2"/>
          </rPr>
          <t>Nicole Cosgrove:</t>
        </r>
        <r>
          <rPr>
            <sz val="9"/>
            <color indexed="81"/>
            <rFont val="Tahoma"/>
            <family val="2"/>
          </rPr>
          <t xml:space="preserve">
Show amounts below</t>
        </r>
      </text>
    </comment>
    <comment ref="O28" authorId="0" shapeId="0" xr:uid="{00000000-0006-0000-2100-000006000000}">
      <text>
        <r>
          <rPr>
            <b/>
            <sz val="9"/>
            <color indexed="81"/>
            <rFont val="Tahoma"/>
            <family val="2"/>
          </rPr>
          <t>Nicole Cosgrove:</t>
        </r>
        <r>
          <rPr>
            <sz val="9"/>
            <color indexed="81"/>
            <rFont val="Tahoma"/>
            <family val="2"/>
          </rPr>
          <t xml:space="preserve">
Show amounts below</t>
        </r>
      </text>
    </comment>
    <comment ref="O29" authorId="0" shapeId="0" xr:uid="{00000000-0006-0000-2100-000007000000}">
      <text>
        <r>
          <rPr>
            <b/>
            <sz val="9"/>
            <color indexed="81"/>
            <rFont val="Tahoma"/>
            <family val="2"/>
          </rPr>
          <t>Nicole Cosgrove:</t>
        </r>
        <r>
          <rPr>
            <sz val="9"/>
            <color indexed="81"/>
            <rFont val="Tahoma"/>
            <family val="2"/>
          </rPr>
          <t xml:space="preserve">
Show amounts below</t>
        </r>
      </text>
    </comment>
    <comment ref="O30" authorId="0" shapeId="0" xr:uid="{00000000-0006-0000-2100-000008000000}">
      <text>
        <r>
          <rPr>
            <b/>
            <sz val="9"/>
            <color indexed="81"/>
            <rFont val="Tahoma"/>
            <family val="2"/>
          </rPr>
          <t>Nicole Cosgrove:</t>
        </r>
        <r>
          <rPr>
            <sz val="9"/>
            <color indexed="81"/>
            <rFont val="Tahoma"/>
            <family val="2"/>
          </rPr>
          <t xml:space="preserve">
Show amounts below</t>
        </r>
      </text>
    </comment>
    <comment ref="P33" authorId="0" shapeId="0" xr:uid="{00000000-0006-0000-21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21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21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2100-00000C000000}">
      <text>
        <r>
          <rPr>
            <b/>
            <sz val="9"/>
            <color indexed="81"/>
            <rFont val="Tahoma"/>
            <family val="2"/>
          </rPr>
          <t>Nicole Cosgrove:</t>
        </r>
        <r>
          <rPr>
            <sz val="9"/>
            <color indexed="81"/>
            <rFont val="Tahoma"/>
            <family val="2"/>
          </rPr>
          <t xml:space="preserve">
Show amounts below</t>
        </r>
      </text>
    </comment>
    <comment ref="O37" authorId="0" shapeId="0" xr:uid="{00000000-0006-0000-2100-00000D000000}">
      <text>
        <r>
          <rPr>
            <b/>
            <sz val="9"/>
            <color indexed="81"/>
            <rFont val="Tahoma"/>
            <family val="2"/>
          </rPr>
          <t>Nicole Cosgrove:</t>
        </r>
        <r>
          <rPr>
            <sz val="9"/>
            <color indexed="81"/>
            <rFont val="Tahoma"/>
            <family val="2"/>
          </rPr>
          <t xml:space="preserve">
Show amounts below</t>
        </r>
      </text>
    </comment>
    <comment ref="O39" authorId="0" shapeId="0" xr:uid="{00000000-0006-0000-2100-00000E000000}">
      <text>
        <r>
          <rPr>
            <b/>
            <sz val="9"/>
            <color indexed="81"/>
            <rFont val="Tahoma"/>
            <family val="2"/>
          </rPr>
          <t>Nicole Cosgrove:</t>
        </r>
        <r>
          <rPr>
            <sz val="9"/>
            <color indexed="81"/>
            <rFont val="Tahoma"/>
            <family val="2"/>
          </rPr>
          <t xml:space="preserve">
Show amounts below</t>
        </r>
      </text>
    </comment>
    <comment ref="O40" authorId="0" shapeId="0" xr:uid="{00000000-0006-0000-2100-00000F000000}">
      <text>
        <r>
          <rPr>
            <b/>
            <sz val="9"/>
            <color indexed="81"/>
            <rFont val="Tahoma"/>
            <family val="2"/>
          </rPr>
          <t>Nicole Cosgrove:</t>
        </r>
        <r>
          <rPr>
            <sz val="9"/>
            <color indexed="81"/>
            <rFont val="Tahoma"/>
            <family val="2"/>
          </rPr>
          <t xml:space="preserve">
Show amounts below</t>
        </r>
      </text>
    </comment>
    <comment ref="P42" authorId="0" shapeId="0" xr:uid="{00000000-0006-0000-21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21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21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2100-000013000000}">
      <text>
        <r>
          <rPr>
            <b/>
            <sz val="9"/>
            <color indexed="81"/>
            <rFont val="Tahoma"/>
            <family val="2"/>
          </rPr>
          <t>Nicole Cosgrove:</t>
        </r>
        <r>
          <rPr>
            <sz val="9"/>
            <color indexed="81"/>
            <rFont val="Tahoma"/>
            <family val="2"/>
          </rPr>
          <t xml:space="preserve">
Subtotal only, do not show in ITR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E14" authorId="0" shapeId="0" xr:uid="{00000000-0006-0000-2700-000001000000}">
      <text>
        <r>
          <rPr>
            <b/>
            <sz val="8"/>
            <color indexed="81"/>
            <rFont val="Tahoma"/>
            <family val="2"/>
          </rPr>
          <t>Nicole Cosgrove:</t>
        </r>
        <r>
          <rPr>
            <sz val="8"/>
            <color indexed="81"/>
            <rFont val="Tahoma"/>
            <family val="2"/>
          </rPr>
          <t xml:space="preserve">
Change formula to refer to correct year on right hand side</t>
        </r>
      </text>
    </comment>
  </commentList>
</comments>
</file>

<file path=xl/sharedStrings.xml><?xml version="1.0" encoding="utf-8"?>
<sst xmlns="http://schemas.openxmlformats.org/spreadsheetml/2006/main" count="2638" uniqueCount="1097">
  <si>
    <t>Imp Credit</t>
  </si>
  <si>
    <t>Dividends Received</t>
  </si>
  <si>
    <t>Other Income</t>
  </si>
  <si>
    <t>Other</t>
  </si>
  <si>
    <t>Closing Balance</t>
  </si>
  <si>
    <t>Interest</t>
  </si>
  <si>
    <t>July</t>
  </si>
  <si>
    <t>August</t>
  </si>
  <si>
    <t>September</t>
  </si>
  <si>
    <t>October</t>
  </si>
  <si>
    <t>November</t>
  </si>
  <si>
    <t>December</t>
  </si>
  <si>
    <t>January</t>
  </si>
  <si>
    <t>February</t>
  </si>
  <si>
    <t>March</t>
  </si>
  <si>
    <t>April</t>
  </si>
  <si>
    <t>May</t>
  </si>
  <si>
    <t>June</t>
  </si>
  <si>
    <t>Interest Expense</t>
  </si>
  <si>
    <t>Net</t>
  </si>
  <si>
    <t>Opening Balance</t>
  </si>
  <si>
    <t>Private Use %</t>
  </si>
  <si>
    <t>Interest Deductible</t>
  </si>
  <si>
    <t>Unfranked</t>
  </si>
  <si>
    <t>Franked</t>
  </si>
  <si>
    <t>Repairs</t>
  </si>
  <si>
    <t>Cleaning</t>
  </si>
  <si>
    <t>Insurance</t>
  </si>
  <si>
    <t>Rates</t>
  </si>
  <si>
    <t>Check</t>
  </si>
  <si>
    <t>Date</t>
  </si>
  <si>
    <t>Donations</t>
  </si>
  <si>
    <t>Number</t>
  </si>
  <si>
    <t>Total</t>
  </si>
  <si>
    <t>Amount</t>
  </si>
  <si>
    <t>Year :</t>
  </si>
  <si>
    <t>Prepared by :</t>
  </si>
  <si>
    <t>Client</t>
  </si>
  <si>
    <t>Client Code</t>
  </si>
  <si>
    <t>Reviewed by</t>
  </si>
  <si>
    <t>Client:</t>
  </si>
  <si>
    <t>Prepared:</t>
  </si>
  <si>
    <t>Date :</t>
  </si>
  <si>
    <t>Reviewed:</t>
  </si>
  <si>
    <t>The Macro Group</t>
  </si>
  <si>
    <t>Workpaper</t>
  </si>
  <si>
    <t>Period</t>
  </si>
  <si>
    <t>Rental Income</t>
  </si>
  <si>
    <t>Detail</t>
  </si>
  <si>
    <t>Ref</t>
  </si>
  <si>
    <t>REF</t>
  </si>
  <si>
    <t>Less:</t>
  </si>
  <si>
    <t>Company</t>
  </si>
  <si>
    <t>Qty Purch</t>
  </si>
  <si>
    <t>Qty Sold</t>
  </si>
  <si>
    <t>Cost</t>
  </si>
  <si>
    <t>Proceeds</t>
  </si>
  <si>
    <t>Gain/ (Loss)</t>
  </si>
  <si>
    <t>Discountable</t>
  </si>
  <si>
    <t>Non-Discountable</t>
  </si>
  <si>
    <t>Client Share</t>
  </si>
  <si>
    <t>Capital Loss</t>
  </si>
  <si>
    <t>Cash at Bank</t>
  </si>
  <si>
    <t>Prepayments</t>
  </si>
  <si>
    <t>Deposits</t>
  </si>
  <si>
    <t>Add:</t>
  </si>
  <si>
    <t>Outstanding Deposits</t>
  </si>
  <si>
    <t>Outstanding Cheques</t>
  </si>
  <si>
    <t>Description</t>
  </si>
  <si>
    <t>Chq</t>
  </si>
  <si>
    <t>Closing Balance per Bank Statement</t>
  </si>
  <si>
    <t>Link</t>
  </si>
  <si>
    <t>Details</t>
  </si>
  <si>
    <t>Date Paid</t>
  </si>
  <si>
    <t>Year End</t>
  </si>
  <si>
    <t>Claimed</t>
  </si>
  <si>
    <t>Example</t>
  </si>
  <si>
    <t>CALCULATION</t>
  </si>
  <si>
    <t>No Days</t>
  </si>
  <si>
    <t xml:space="preserve">For Non-STS and other taxpayers, the following prepayments are deductible </t>
  </si>
  <si>
    <t>for taxation purposes:</t>
  </si>
  <si>
    <t xml:space="preserve">   - Amounts required to be paid by law or court order ie, Workers </t>
  </si>
  <si>
    <t xml:space="preserve">     Compensation Insurance</t>
  </si>
  <si>
    <t xml:space="preserve">   - If the GST Exclusive amount on the Invoice is &lt;$1,000</t>
  </si>
  <si>
    <t xml:space="preserve">   - Payments of Salary &amp; Wages</t>
  </si>
  <si>
    <t xml:space="preserve">  See the Master Tax Guide for STS taxpayer prepayment rules.  </t>
  </si>
  <si>
    <t>Opening Balance B/F</t>
  </si>
  <si>
    <t>Closing Balance C / F</t>
  </si>
  <si>
    <t>Fines and Penalties</t>
  </si>
  <si>
    <t>Entertainment</t>
  </si>
  <si>
    <t>Legal Fees</t>
  </si>
  <si>
    <t>Travel</t>
  </si>
  <si>
    <t xml:space="preserve"> </t>
  </si>
  <si>
    <t>RECONCILIATIONS</t>
  </si>
  <si>
    <t>BAS Lodged</t>
  </si>
  <si>
    <t>G1</t>
  </si>
  <si>
    <t>G3</t>
  </si>
  <si>
    <t>G10</t>
  </si>
  <si>
    <t>G11</t>
  </si>
  <si>
    <t>W1</t>
  </si>
  <si>
    <t>W2</t>
  </si>
  <si>
    <t>1A</t>
  </si>
  <si>
    <t>5A</t>
  </si>
  <si>
    <t>6A</t>
  </si>
  <si>
    <t>7A</t>
  </si>
  <si>
    <t>1B</t>
  </si>
  <si>
    <t>Total Payable</t>
  </si>
  <si>
    <t>July BAS</t>
  </si>
  <si>
    <t>August BAS</t>
  </si>
  <si>
    <t>September BAS</t>
  </si>
  <si>
    <t>October BAS</t>
  </si>
  <si>
    <t>November BAS</t>
  </si>
  <si>
    <t>December BAS</t>
  </si>
  <si>
    <t>January BAS</t>
  </si>
  <si>
    <t>February BAS</t>
  </si>
  <si>
    <t>March BAS</t>
  </si>
  <si>
    <t>April BAS</t>
  </si>
  <si>
    <t>May BAS</t>
  </si>
  <si>
    <t>June BAS</t>
  </si>
  <si>
    <t>Totals</t>
  </si>
  <si>
    <t>Sales Per Accounts</t>
  </si>
  <si>
    <t>Opening ATO Running Balance</t>
  </si>
  <si>
    <t>Difference</t>
  </si>
  <si>
    <t>Interest Income</t>
  </si>
  <si>
    <t>Payments / (Refunds) Received by the ATO</t>
  </si>
  <si>
    <t>Dec</t>
  </si>
  <si>
    <t xml:space="preserve">GST Rec </t>
  </si>
  <si>
    <t>(MYOB)</t>
  </si>
  <si>
    <t>Loans - Bank</t>
  </si>
  <si>
    <t>Charges</t>
  </si>
  <si>
    <t>Repayments</t>
  </si>
  <si>
    <t>Interest Apportionment</t>
  </si>
  <si>
    <t>Orginal Loan Amount</t>
  </si>
  <si>
    <t>Funds used for Private use</t>
  </si>
  <si>
    <t>Interest Non Deductible</t>
  </si>
  <si>
    <t>Acquisition Costs</t>
  </si>
  <si>
    <t>Balance</t>
  </si>
  <si>
    <t>Charged</t>
  </si>
  <si>
    <t>Interest Rate</t>
  </si>
  <si>
    <t>Year</t>
  </si>
  <si>
    <t>Years Remaining</t>
  </si>
  <si>
    <t>FBT Benchmark Interest Rate</t>
  </si>
  <si>
    <t>April - June</t>
  </si>
  <si>
    <t>July - March</t>
  </si>
  <si>
    <t>ITR Label Worksheet</t>
  </si>
  <si>
    <t>Tax</t>
  </si>
  <si>
    <t>Total Dividends</t>
  </si>
  <si>
    <t>TOTAL</t>
  </si>
  <si>
    <t>Superannuation</t>
  </si>
  <si>
    <t>Wages</t>
  </si>
  <si>
    <t>GST Collected</t>
  </si>
  <si>
    <t>Income</t>
  </si>
  <si>
    <t>Less</t>
  </si>
  <si>
    <t>Depreciation</t>
  </si>
  <si>
    <t>%</t>
  </si>
  <si>
    <t>Add</t>
  </si>
  <si>
    <t>Amortisation</t>
  </si>
  <si>
    <t>Accounting Depreciation</t>
  </si>
  <si>
    <t>Fines</t>
  </si>
  <si>
    <t>Legal fees</t>
  </si>
  <si>
    <t>Taxable Income</t>
  </si>
  <si>
    <t>Income Tax @</t>
  </si>
  <si>
    <t>Income Tax Payable</t>
  </si>
  <si>
    <t>Accounting Capital Loss</t>
  </si>
  <si>
    <t>Capital Gains - Tax</t>
  </si>
  <si>
    <t>Trust Distributions - Tax</t>
  </si>
  <si>
    <t>Partnership Distributions - Tax</t>
  </si>
  <si>
    <t>Superannuation Creditor - Last Year</t>
  </si>
  <si>
    <t>Taxable Income Before Carried Forward Losses</t>
  </si>
  <si>
    <t>Goods For Own Use</t>
  </si>
  <si>
    <t>Capital Gains - Shares</t>
  </si>
  <si>
    <t>Capital Gains - General</t>
  </si>
  <si>
    <t>VEHICLE:</t>
  </si>
  <si>
    <t>Operating Expenses:</t>
  </si>
  <si>
    <t>GST</t>
  </si>
  <si>
    <t>Fuel,Oil, R &amp; M</t>
  </si>
  <si>
    <t>Leasing Charges</t>
  </si>
  <si>
    <t>Rego &amp; Ins</t>
  </si>
  <si>
    <t>Total per Accounts</t>
  </si>
  <si>
    <t>Where Client has provided % only, enter % as Business</t>
  </si>
  <si>
    <t>Kms and 100 as Total Kms</t>
  </si>
  <si>
    <t>Business Kilometres:</t>
  </si>
  <si>
    <t>Total Kilometres:</t>
  </si>
  <si>
    <t>Business Usage (%)</t>
  </si>
  <si>
    <t>Business Usage:</t>
  </si>
  <si>
    <t>Private Usage:</t>
  </si>
  <si>
    <t>Private usage YTD</t>
  </si>
  <si>
    <t>INP</t>
  </si>
  <si>
    <t>FOA</t>
  </si>
  <si>
    <t>Set Rate Per Kilometre Method</t>
  </si>
  <si>
    <t>KM'S</t>
  </si>
  <si>
    <t>Rate per</t>
  </si>
  <si>
    <t>Deduction</t>
  </si>
  <si>
    <t>Travelled</t>
  </si>
  <si>
    <t>KM</t>
  </si>
  <si>
    <t>Total Per</t>
  </si>
  <si>
    <t xml:space="preserve">Payment </t>
  </si>
  <si>
    <t>Qtr 1</t>
  </si>
  <si>
    <t>Qtr 2</t>
  </si>
  <si>
    <t>Qtr 3</t>
  </si>
  <si>
    <t>Qtr 4</t>
  </si>
  <si>
    <t>Summaries</t>
  </si>
  <si>
    <t>Salaries - Associated Persons</t>
  </si>
  <si>
    <t>Total Gross Wages per Ledger</t>
  </si>
  <si>
    <t>Estimated SGL @</t>
  </si>
  <si>
    <t>Superannuation per Ledger</t>
  </si>
  <si>
    <t>Super Associated Persons</t>
  </si>
  <si>
    <t>PROFIT AND LOSS</t>
  </si>
  <si>
    <t>BALANCE SHEET</t>
  </si>
  <si>
    <t>Current year Tax Expense should be reconciled back to the client tax return</t>
  </si>
  <si>
    <t>Tax Return</t>
  </si>
  <si>
    <t>Maximum ITC Claim</t>
  </si>
  <si>
    <t>Motor Vehicle Luxury Limit for current year</t>
  </si>
  <si>
    <t xml:space="preserve">Dr </t>
  </si>
  <si>
    <t>Cr</t>
  </si>
  <si>
    <t>Motor Vehicle at Cost</t>
  </si>
  <si>
    <t>Journal In Handi Ledger - Where client is not using General STS Pool</t>
  </si>
  <si>
    <t>FCA</t>
  </si>
  <si>
    <t>Example Journal</t>
  </si>
  <si>
    <t>Chattel Mortgage / Bank</t>
  </si>
  <si>
    <t>Tax Reconciliation - Company</t>
  </si>
  <si>
    <t>Net Income to be Distributed</t>
  </si>
  <si>
    <t>Accounts</t>
  </si>
  <si>
    <t>Beneficiary / Partner</t>
  </si>
  <si>
    <t>Adjusted Taxable Income</t>
  </si>
  <si>
    <t>Charges Deductible</t>
  </si>
  <si>
    <t>Charges Non Deductible</t>
  </si>
  <si>
    <t>Only complete where loan statement not provided or interest needs to be apportioned for private use</t>
  </si>
  <si>
    <t>Stamp Duty</t>
  </si>
  <si>
    <t>Closing ATO Running Balance Account</t>
  </si>
  <si>
    <t>Disection of GST Accounts</t>
  </si>
  <si>
    <t>Calculated profit</t>
  </si>
  <si>
    <t>Net Profit per MYOB/Client Records</t>
  </si>
  <si>
    <t>Net Profit per Macro Group</t>
  </si>
  <si>
    <t>GST Paid</t>
  </si>
  <si>
    <t>PAYG</t>
  </si>
  <si>
    <t>GST Clearing</t>
  </si>
  <si>
    <t>Prior Year Outstanding BAS Lodged</t>
  </si>
  <si>
    <t>Prepayment</t>
  </si>
  <si>
    <t>SHARE</t>
  </si>
  <si>
    <t>Other Costs</t>
  </si>
  <si>
    <t>Total Cost</t>
  </si>
  <si>
    <t>No Units
Disposed</t>
  </si>
  <si>
    <t>Cost Base</t>
  </si>
  <si>
    <t>Loss</t>
  </si>
  <si>
    <t>ENTER NAME OF SHARE</t>
  </si>
  <si>
    <t>Total Investments</t>
  </si>
  <si>
    <t>Investments Held</t>
  </si>
  <si>
    <t>Other Assets - 1</t>
  </si>
  <si>
    <t>This is to be used when the Director Loan is in Credit</t>
  </si>
  <si>
    <t>Year Loan First Made:</t>
  </si>
  <si>
    <t>Opening</t>
  </si>
  <si>
    <t>Click here for Division 7A Interest Rate Table</t>
  </si>
  <si>
    <t>G2</t>
  </si>
  <si>
    <t>G21</t>
  </si>
  <si>
    <t>Amounts outstanding allocated to Gst Accounts</t>
  </si>
  <si>
    <t>Superannuation Payable</t>
  </si>
  <si>
    <t>Accrual per Payroll Report</t>
  </si>
  <si>
    <t>Super Paid</t>
  </si>
  <si>
    <t>Qtr Ended</t>
  </si>
  <si>
    <t>Super Paid Late</t>
  </si>
  <si>
    <t>Super to be added back</t>
  </si>
  <si>
    <t>Blank -1</t>
  </si>
  <si>
    <t>Bill Facilities</t>
  </si>
  <si>
    <t>Drawdowns</t>
  </si>
  <si>
    <t>Opening Face Value of Bill</t>
  </si>
  <si>
    <t>Closing Face Value of Bill</t>
  </si>
  <si>
    <t>Interest
 Roll Over</t>
  </si>
  <si>
    <t>Facility Fees</t>
  </si>
  <si>
    <t>Roll over Date</t>
  </si>
  <si>
    <t>Bill Days</t>
  </si>
  <si>
    <t>Superannuation Paid Late</t>
  </si>
  <si>
    <t>I 18</t>
  </si>
  <si>
    <t>Capital Gains - Properties</t>
  </si>
  <si>
    <t>Capital Proceeds</t>
  </si>
  <si>
    <t>Enter Details Here</t>
  </si>
  <si>
    <t>Adjusted Capital Proceeds</t>
  </si>
  <si>
    <t>Purchase Cost</t>
  </si>
  <si>
    <t>Disposal</t>
  </si>
  <si>
    <t>Advertising</t>
  </si>
  <si>
    <t>Date
 Purchase</t>
  </si>
  <si>
    <t>Date 
Sold</t>
  </si>
  <si>
    <t>Water</t>
  </si>
  <si>
    <t>ENTER VEHICLE NAME</t>
  </si>
  <si>
    <t>PER MYOB CASH BASIS</t>
  </si>
  <si>
    <t>DIFFERENCE</t>
  </si>
  <si>
    <t>(Overpaid)/ Underpaid</t>
  </si>
  <si>
    <t>(Underclaimed) / Overclaimed</t>
  </si>
  <si>
    <t>FBT Contributions</t>
  </si>
  <si>
    <t>(only when Mulitple Contribs)</t>
  </si>
  <si>
    <t xml:space="preserve">Shareholder Loan - Division 7A </t>
  </si>
  <si>
    <t>(THIS YEAR)</t>
  </si>
  <si>
    <t>(PRIOR YEARS)</t>
  </si>
  <si>
    <t xml:space="preserve">BAS Reconciliation </t>
  </si>
  <si>
    <t>(Integrated Client Account)</t>
  </si>
  <si>
    <t>Total pmt</t>
  </si>
  <si>
    <t>GST excl</t>
  </si>
  <si>
    <t>Taxable</t>
  </si>
  <si>
    <t>BAS Reconciliation</t>
  </si>
  <si>
    <t>BENCHMARK INTEREST RATES</t>
  </si>
  <si>
    <t xml:space="preserve">Opening </t>
  </si>
  <si>
    <t xml:space="preserve">Loan </t>
  </si>
  <si>
    <t>PREPAYMENT OF INTEREST - NON SMALL BUSINESS ENTITIES</t>
  </si>
  <si>
    <t>Should be Nil</t>
  </si>
  <si>
    <t xml:space="preserve">Note: Where client does not claim back GST the depreciable value will be the car limit. </t>
  </si>
  <si>
    <t>Net GST</t>
  </si>
  <si>
    <t>Disposal of Luxury Car - General pool Asset</t>
  </si>
  <si>
    <t>Disposal of Luxury Car - Not Pooled</t>
  </si>
  <si>
    <t>Profit/loss on sale of assets</t>
  </si>
  <si>
    <t>Termination value (TV):</t>
  </si>
  <si>
    <t>Trade in value (gross)</t>
  </si>
  <si>
    <t>GST @ 10%</t>
  </si>
  <si>
    <t>Net trade in (excl GST)</t>
  </si>
  <si>
    <t>A</t>
  </si>
  <si>
    <t>Adjustment for car limit:</t>
  </si>
  <si>
    <t>Car limit used</t>
  </si>
  <si>
    <t>B</t>
  </si>
  <si>
    <t>Total cost of car</t>
  </si>
  <si>
    <t>C</t>
  </si>
  <si>
    <t>Adjusted TV (A x B/C)</t>
  </si>
  <si>
    <t>D</t>
  </si>
  <si>
    <t>Accumulated depreciation</t>
  </si>
  <si>
    <t>Total (reduced for limit)</t>
  </si>
  <si>
    <t>E</t>
  </si>
  <si>
    <t>Depn to luxury limit</t>
  </si>
  <si>
    <t>F</t>
  </si>
  <si>
    <t>Adjustable value (CWDV)</t>
  </si>
  <si>
    <t>Total (Car Limit) (C - E)</t>
  </si>
  <si>
    <t>G</t>
  </si>
  <si>
    <t>Luxury limit (B - F)</t>
  </si>
  <si>
    <t>H</t>
  </si>
  <si>
    <t>Difference (G - H)</t>
  </si>
  <si>
    <t>Tax Balancing adjustment (D - H)</t>
  </si>
  <si>
    <t>I</t>
  </si>
  <si>
    <t>Accounting Balancing Adjustments</t>
  </si>
  <si>
    <t>J</t>
  </si>
  <si>
    <t>Adjustment for private use:</t>
  </si>
  <si>
    <t>Private use percentage</t>
  </si>
  <si>
    <t>K</t>
  </si>
  <si>
    <t>Reduction for private use (I x K)</t>
  </si>
  <si>
    <t>L</t>
  </si>
  <si>
    <t>Adjusted Tax Balancing Adjustment (I - L)</t>
  </si>
  <si>
    <t>M</t>
  </si>
  <si>
    <t>Reduction for private use (J x K)</t>
  </si>
  <si>
    <t>N</t>
  </si>
  <si>
    <t>Adjusted Accounting Balancing Adjustment (J - N)</t>
  </si>
  <si>
    <t>O</t>
  </si>
  <si>
    <t>Reduction of GST on trade in value</t>
  </si>
  <si>
    <t>P</t>
  </si>
  <si>
    <t>Q</t>
  </si>
  <si>
    <t>Reduction for private use (P x Q)</t>
  </si>
  <si>
    <t>R</t>
  </si>
  <si>
    <t>Business use proportion (P - R)</t>
  </si>
  <si>
    <t>S</t>
  </si>
  <si>
    <t>Motor Vehicle</t>
  </si>
  <si>
    <t>Date Sold</t>
  </si>
  <si>
    <t>Use this workpaper where a luxury cars that have NOT been pooled</t>
  </si>
  <si>
    <t>Sale price (gross)</t>
  </si>
  <si>
    <t>Portion of sale price allocated to General Pool</t>
  </si>
  <si>
    <t>incl GST</t>
  </si>
  <si>
    <t>Accounting profit/loss on sale (for excess over luxury limit)</t>
  </si>
  <si>
    <t>Balance of sale price</t>
  </si>
  <si>
    <t>Excess over luxury limit</t>
  </si>
  <si>
    <t>Other purchase/disposal costs</t>
  </si>
  <si>
    <t>Total accounting gain/loss</t>
  </si>
  <si>
    <t xml:space="preserve">Private use </t>
  </si>
  <si>
    <t>Total private use portion</t>
  </si>
  <si>
    <t>Business use portion of gain/loss</t>
  </si>
  <si>
    <t>Pooled Luxury Car Disposal</t>
  </si>
  <si>
    <t>Date Disposed</t>
  </si>
  <si>
    <t>As this car was allocated to the General Pool at the time of purchase, the proceeds on the sale of the car are also allocated to the General Pool on disposal. However, because the cost of the car exceeded the luxury car limit, the proceeds on disposal need to be apportioned to reflect the proportion of the cost which was originally allocated to the pool. This amount is treated as normal dispoal proceeds. The balance of the sale proceeds (reflecting the excess over the luxury limit) less the excess of the purchase price over the luxury limit is treated as an accounting gain/loss on sale, which is not taxable/deductible</t>
  </si>
  <si>
    <t>Class</t>
  </si>
  <si>
    <t>Select Class</t>
  </si>
  <si>
    <t>Class 2</t>
  </si>
  <si>
    <t>General Insurance is other than class 2 insurance (eg: business insurance) or compulary third party</t>
  </si>
  <si>
    <t>Motor vehicle (other than compulsary third party), First home Mortgage, a life insurance rider.</t>
  </si>
  <si>
    <t>INSURANCE  - GST AND STAMP DUTY CALCULATION</t>
  </si>
  <si>
    <t xml:space="preserve">Class 1 </t>
  </si>
  <si>
    <t xml:space="preserve">General Insurance for, professional indemnity, workerscomp, injury to person travelling on aircraft, </t>
  </si>
  <si>
    <t>Face Value</t>
  </si>
  <si>
    <t>Roll Over Amount</t>
  </si>
  <si>
    <t>Maturity Date</t>
  </si>
  <si>
    <t>Enter</t>
  </si>
  <si>
    <t>Facility Fee</t>
  </si>
  <si>
    <t>Drawdown Fee</t>
  </si>
  <si>
    <t>D/Down Fee</t>
  </si>
  <si>
    <t>Sundry Creditor</t>
  </si>
  <si>
    <t>Ensure that this amount agrees to the Company Tax Return</t>
  </si>
  <si>
    <t>Complete this reconciliation for all MYOB / Quickbooks/ Client prepared accounts</t>
  </si>
  <si>
    <t>Only Complete this lead sheet where a manual Bank reconciliation is required</t>
  </si>
  <si>
    <t>Property Address</t>
  </si>
  <si>
    <t>Net PAYGI</t>
  </si>
  <si>
    <t>Net PAYGW</t>
  </si>
  <si>
    <t>Other - 1</t>
  </si>
  <si>
    <t>Asset Additions</t>
  </si>
  <si>
    <t>Item</t>
  </si>
  <si>
    <t>All tabs are hidden by default. Unhide individual tabs as needed.</t>
  </si>
  <si>
    <t>Address</t>
  </si>
  <si>
    <t>Suburb</t>
  </si>
  <si>
    <t>State</t>
  </si>
  <si>
    <t>Enter monthly rental statement amounts below only if annual statement is not provided or not reliable.</t>
  </si>
  <si>
    <t>Check annual statements for reasonableness and completeness before use</t>
  </si>
  <si>
    <t>Per Agent Summary</t>
  </si>
  <si>
    <t>Annual 
(per agent)</t>
  </si>
  <si>
    <t>Client extra</t>
  </si>
  <si>
    <t>ITR code</t>
  </si>
  <si>
    <t>RENTAL INCOME</t>
  </si>
  <si>
    <t>Rent received</t>
  </si>
  <si>
    <t>Other income</t>
  </si>
  <si>
    <t>TOTAL INCOME</t>
  </si>
  <si>
    <t>BONDS RECEIVED &amp; REFUNDED</t>
  </si>
  <si>
    <t>Bonds received</t>
  </si>
  <si>
    <t>n/a</t>
  </si>
  <si>
    <t>Bonds refunded</t>
  </si>
  <si>
    <t>Bonds forfeited should be included as income above</t>
  </si>
  <si>
    <t>RENTAL EXPENSES</t>
  </si>
  <si>
    <t>Body corporate fees</t>
  </si>
  <si>
    <t>Borrowing expenses</t>
  </si>
  <si>
    <t>Council rates</t>
  </si>
  <si>
    <t>Capital allowances (depn)</t>
  </si>
  <si>
    <t>Gardening</t>
  </si>
  <si>
    <t>Land tax</t>
  </si>
  <si>
    <t>Pest control</t>
  </si>
  <si>
    <t>Property mgt fees</t>
  </si>
  <si>
    <t>Management fees</t>
  </si>
  <si>
    <t>Let fees</t>
  </si>
  <si>
    <t>Sundries/petties &amp; post</t>
  </si>
  <si>
    <t>Capital works (SBWO)</t>
  </si>
  <si>
    <t>Stationery, phone &amp; postage</t>
  </si>
  <si>
    <t>Travel expenses</t>
  </si>
  <si>
    <t>T</t>
  </si>
  <si>
    <t>Water charges</t>
  </si>
  <si>
    <t>U</t>
  </si>
  <si>
    <t>Sundry rental expenses</t>
  </si>
  <si>
    <t>V</t>
  </si>
  <si>
    <t>{Description}</t>
  </si>
  <si>
    <t>TOTAL EXPENSES</t>
  </si>
  <si>
    <t>NET RENT</t>
  </si>
  <si>
    <t>Amount banked</t>
  </si>
  <si>
    <t>Check total for "client extra" expenses</t>
  </si>
  <si>
    <t>Additional client records</t>
  </si>
  <si>
    <t>Body corp</t>
  </si>
  <si>
    <t>Borrowing costs per HT schedule</t>
  </si>
  <si>
    <t>Depn per HT schedule - general</t>
  </si>
  <si>
    <t>Depn per HT schedule - special bldg w/off</t>
  </si>
  <si>
    <t>Qty surveyor depreciation (Div 43)</t>
  </si>
  <si>
    <t>Qty surveyor special building write off</t>
  </si>
  <si>
    <t>Other (need to add to relevant "client extra" total above):</t>
  </si>
  <si>
    <t>REFERENCE</t>
  </si>
  <si>
    <t>Total income</t>
  </si>
  <si>
    <t>Total expenses</t>
  </si>
  <si>
    <t>Effective life</t>
  </si>
  <si>
    <t>Depn rate</t>
  </si>
  <si>
    <t>Net rent</t>
  </si>
  <si>
    <t>Client name</t>
  </si>
  <si>
    <t>Ownership %</t>
  </si>
  <si>
    <t>If Handi Ledger is used to process the rental property transactions do not complete income &amp; expenses.</t>
  </si>
  <si>
    <t>ROUNDED</t>
  </si>
  <si>
    <t>ALL VALUES IN THE CALCULATION OF TAXABLE INCOME ARE ROUNDED TO MATCH TO THE ITR</t>
  </si>
  <si>
    <t>TYPE OF BUSINESS</t>
  </si>
  <si>
    <t>Bakery</t>
  </si>
  <si>
    <t>Butcher</t>
  </si>
  <si>
    <t>Restaurant/cafe (licensed)</t>
  </si>
  <si>
    <t>Restaurant/cafe (unlicensed)</t>
  </si>
  <si>
    <t>Caterer</t>
  </si>
  <si>
    <t>Delicatessen</t>
  </si>
  <si>
    <t>Fruiterer/greengrocer</t>
  </si>
  <si>
    <t>Takeaway food shop</t>
  </si>
  <si>
    <t>Mixed business (includes milk bar, general store and convenience store)</t>
  </si>
  <si>
    <t>Car #1</t>
  </si>
  <si>
    <t>Statutory method</t>
  </si>
  <si>
    <t>Cost method</t>
  </si>
  <si>
    <t>Car</t>
  </si>
  <si>
    <t>FBT options</t>
  </si>
  <si>
    <t>Taxable value incl GST</t>
  </si>
  <si>
    <t>Optimal method</t>
  </si>
  <si>
    <t>FBT contribution excl GST</t>
  </si>
  <si>
    <t>Car #2</t>
  </si>
  <si>
    <t>Car #3</t>
  </si>
  <si>
    <t>&lt;0564-1&gt;</t>
  </si>
  <si>
    <t>&lt;0564-2&gt;</t>
  </si>
  <si>
    <t>&lt;0564-3&gt;</t>
  </si>
  <si>
    <t>&lt;0564-4&gt;</t>
  </si>
  <si>
    <t>&lt;0564-5&gt;</t>
  </si>
  <si>
    <t>&lt;0564-6&gt;</t>
  </si>
  <si>
    <t>Tax payable</t>
  </si>
  <si>
    <t>Salary and Wages</t>
  </si>
  <si>
    <t>Motor Vehicle (Multiple)</t>
  </si>
  <si>
    <t>DO NOT TYPE IN YELLOW BOXES - THESE ARE FORMULAE THAT SHOULD NOT BE OVERWRITTEN</t>
  </si>
  <si>
    <t>Multiple vehicles</t>
  </si>
  <si>
    <t>1. Reconciliation of BAS to payment summaries</t>
  </si>
  <si>
    <t>Gross Wages</t>
  </si>
  <si>
    <t>Tax Deducted</t>
  </si>
  <si>
    <t>Net Wages</t>
  </si>
  <si>
    <t>2. Amounts reported on BAS (monthly and/or quarterly) - rounded</t>
  </si>
  <si>
    <t>Quarter</t>
  </si>
  <si>
    <t>Per BAS</t>
  </si>
  <si>
    <t>Gross</t>
  </si>
  <si>
    <t>Mth/Qtr</t>
  </si>
  <si>
    <t>3. Annual ledger reconciliation</t>
  </si>
  <si>
    <t>Total Gross Wages per BAS</t>
  </si>
  <si>
    <t>4. Annual Superannuation Guarantee Check</t>
  </si>
  <si>
    <t>Explain material differences</t>
  </si>
  <si>
    <t>5. Annual Payroll Tax Check</t>
  </si>
  <si>
    <t>Payroll Tax Threshold</t>
  </si>
  <si>
    <t>Above (Below) Threshold</t>
  </si>
  <si>
    <t>6. Payments to Associated Persons (annual)</t>
  </si>
  <si>
    <t>Name</t>
  </si>
  <si>
    <t>7. PAYG Payment Summaries (annual)</t>
  </si>
  <si>
    <t>RESC</t>
  </si>
  <si>
    <t>Allowances</t>
  </si>
  <si>
    <t>Deductions</t>
  </si>
  <si>
    <t>Only use this workpaper if not already prepared in BAS workpapers</t>
  </si>
  <si>
    <t>2007-08</t>
  </si>
  <si>
    <t>2008-09 to 2009-10</t>
  </si>
  <si>
    <t>2010-11 to 2015-16</t>
  </si>
  <si>
    <t>2001-02</t>
  </si>
  <si>
    <t>2002-03 to 2006-07</t>
  </si>
  <si>
    <t>GST inclusive</t>
  </si>
  <si>
    <t>Purchase price, options, delivery, less discount</t>
  </si>
  <si>
    <t>GST free</t>
  </si>
  <si>
    <t>Stamp duty, LCT, transfer fees</t>
  </si>
  <si>
    <t>Expenses</t>
  </si>
  <si>
    <t>Cost of vehicle - total</t>
  </si>
  <si>
    <t>Check total</t>
  </si>
  <si>
    <t>Breakdown of total</t>
  </si>
  <si>
    <t>Must be $0</t>
  </si>
  <si>
    <t>Check to invoice</t>
  </si>
  <si>
    <t>Asset value excl GST</t>
  </si>
  <si>
    <t>Depreciable value</t>
  </si>
  <si>
    <t>General Pool</t>
  </si>
  <si>
    <t>MV expenses - rego &amp; ins</t>
  </si>
  <si>
    <t>luxury limit incl gst</t>
  </si>
  <si>
    <t>excess over luxury limit</t>
  </si>
  <si>
    <t>Deposits paid</t>
  </si>
  <si>
    <t>Sale of asset</t>
  </si>
  <si>
    <t>Trade in provided</t>
  </si>
  <si>
    <t>Finance total (incl borrowing costs)</t>
  </si>
  <si>
    <t>Borrowing costs</t>
  </si>
  <si>
    <t>Journal In Handi Ledger - Where client is using General  Pool</t>
  </si>
  <si>
    <t xml:space="preserve">MV Excess over limit </t>
  </si>
  <si>
    <t>add back GST to bring up to depreciable value</t>
  </si>
  <si>
    <t>Opening Balance per ledger</t>
  </si>
  <si>
    <t>Prior year income tax refund</t>
  </si>
  <si>
    <t>Current year income tax expense</t>
  </si>
  <si>
    <t>ATO interest received</t>
  </si>
  <si>
    <t>Prior year income tax paid</t>
  </si>
  <si>
    <t>PAYG instalments paid</t>
  </si>
  <si>
    <t>Sept</t>
  </si>
  <si>
    <t>Closing balance represents:</t>
  </si>
  <si>
    <t>Prior year tax outstanding</t>
  </si>
  <si>
    <t>Current year tax not yet assessed</t>
  </si>
  <si>
    <t>Other (provide details)</t>
  </si>
  <si>
    <t>Franking account reconciliation</t>
  </si>
  <si>
    <t>Opening balance per prior year return</t>
  </si>
  <si>
    <t>June prior year</t>
  </si>
  <si>
    <t>Date paid</t>
  </si>
  <si>
    <t>Income tax payments</t>
  </si>
  <si>
    <t>Prior year return</t>
  </si>
  <si>
    <t>(credits)</t>
  </si>
  <si>
    <t>Franked dividends received (franking credit amount)</t>
  </si>
  <si>
    <t>(debits)</t>
  </si>
  <si>
    <t>Income tax refunds</t>
  </si>
  <si>
    <t>Closing balance</t>
  </si>
  <si>
    <t>match to ITR</t>
  </si>
  <si>
    <t>PAYG instalment adjustments</t>
  </si>
  <si>
    <t>Franked dividends paid (franking credit amount)</t>
  </si>
  <si>
    <t>Reasonableness check for franking account balance</t>
  </si>
  <si>
    <t>Closing</t>
  </si>
  <si>
    <t>Retained earnings per balance sheet</t>
  </si>
  <si>
    <t>Current tax rate</t>
  </si>
  <si>
    <t>Franking credit balance</t>
  </si>
  <si>
    <t>Tax Reconciliation - Trust/Partnership</t>
  </si>
  <si>
    <t>GST (Reasonableness) Check Workpaper</t>
  </si>
  <si>
    <t>June (accrued)</t>
  </si>
  <si>
    <t xml:space="preserve">Note: franking account is calculated on a CASH basis. Do not include amounts not actually paid to the ATO. See ATO website for details on how to deal with ITR and BAS payment arrangement instalments and part payments of BAS debts that include PAYG instalments. </t>
  </si>
  <si>
    <t>Major tax adjustments (eg capital losses)</t>
  </si>
  <si>
    <t>Adjusted retained earnings</t>
  </si>
  <si>
    <t>Interest &amp; fees for year</t>
  </si>
  <si>
    <t>rate</t>
  </si>
  <si>
    <t>Complete this workpaper for employee fringe benefit loans</t>
  </si>
  <si>
    <t>Managed Funds</t>
  </si>
  <si>
    <t xml:space="preserve">NAME OF TRUST </t>
  </si>
  <si>
    <t>Capital Gains
Indexation Method</t>
  </si>
  <si>
    <t>Capital Gains
Other Method</t>
  </si>
  <si>
    <t>Gross Capital Gains
Discount Method</t>
  </si>
  <si>
    <t>Net Foreign Income</t>
  </si>
  <si>
    <t>Tax Free
Distribution</t>
  </si>
  <si>
    <t>CGT Concession Amount</t>
  </si>
  <si>
    <t>Foreign Income
Tax Offsets</t>
  </si>
  <si>
    <t>Franking
Credits</t>
  </si>
  <si>
    <t>TFN Tax
Withheld</t>
  </si>
  <si>
    <t>Cash Distribution</t>
  </si>
  <si>
    <t>Only prepare where multiple managed funds are held by client</t>
  </si>
  <si>
    <t>Managed funds</t>
  </si>
  <si>
    <t>P &amp; L Reconciliation (MYOB)</t>
  </si>
  <si>
    <t>Units</t>
  </si>
  <si>
    <t>Shares held</t>
  </si>
  <si>
    <t>Share disposals</t>
  </si>
  <si>
    <t>Sale proceeds</t>
  </si>
  <si>
    <t>Sale brokerage</t>
  </si>
  <si>
    <t>Discountable Y/N</t>
  </si>
  <si>
    <t>Sale date</t>
  </si>
  <si>
    <t>Gain / loss 
on disposal</t>
  </si>
  <si>
    <t>Cost base</t>
  </si>
  <si>
    <t>Other 
gain</t>
  </si>
  <si>
    <t>Discount 
gain</t>
  </si>
  <si>
    <t>Enter details eg purchase/sale</t>
  </si>
  <si>
    <t>Employee Loan - FBT</t>
  </si>
  <si>
    <t>Rego</t>
  </si>
  <si>
    <t>CTP</t>
  </si>
  <si>
    <t>GST included in purchase price (excl CTP)</t>
  </si>
  <si>
    <t>GST claimable (excl CTP)</t>
  </si>
  <si>
    <t>GST on CTP</t>
  </si>
  <si>
    <t>Car purchase worksheet</t>
  </si>
  <si>
    <t>Car finance amount (excl establishment fees)</t>
  </si>
  <si>
    <t>Total car finance</t>
  </si>
  <si>
    <t>Deposits refunded by dealer to bank account/credit card</t>
  </si>
  <si>
    <t>Check to finance schedule</t>
  </si>
  <si>
    <t>Pay out to previous finance provider</t>
  </si>
  <si>
    <t xml:space="preserve">Pay out prior finance </t>
  </si>
  <si>
    <t>Establishment fees (GST free)</t>
  </si>
  <si>
    <t>Broker fees/commissions (incl GST)</t>
  </si>
  <si>
    <t>Establishment fee</t>
  </si>
  <si>
    <t>Broker fee</t>
  </si>
  <si>
    <t>Deposits refunded</t>
  </si>
  <si>
    <t>Deposits paid to dealer from bank account/credit card</t>
  </si>
  <si>
    <t>Deposits paid to dealer from personal account</t>
  </si>
  <si>
    <t>Deposits refunded by dealer to personal account</t>
  </si>
  <si>
    <t>Drawings/directors loan</t>
  </si>
  <si>
    <t>Deposits paid by owner</t>
  </si>
  <si>
    <t>Deposits refunded to owner</t>
  </si>
  <si>
    <t>Post bank refund to Deposits account</t>
  </si>
  <si>
    <t>Post bank pmt to Deposits account</t>
  </si>
  <si>
    <t>estimate if actual amount not provided</t>
  </si>
  <si>
    <t>luxury limit excess</t>
  </si>
  <si>
    <t>Account name</t>
  </si>
  <si>
    <t>Narration (eg Purchase Prado - rego)</t>
  </si>
  <si>
    <t>Check:</t>
  </si>
  <si>
    <t>Client registered for GST?</t>
  </si>
  <si>
    <t>Yes</t>
  </si>
  <si>
    <t>Trade in value (incl GST) - car owned by business</t>
  </si>
  <si>
    <t>Trade in provided (pte car)</t>
  </si>
  <si>
    <t>Trade in value (no GST) - car NOT owned by business</t>
  </si>
  <si>
    <t>Pay out to previous finance provider (pte)</t>
  </si>
  <si>
    <t>Pay out prior finance (pte car)</t>
  </si>
  <si>
    <t>THE INCOME AND EXPENSE ADJUSTMENTS BELOW ARE NOT MANDATORY - ONLY INCLUDE IF APPLICABLE TO THE CLIENT</t>
  </si>
  <si>
    <t>Tax Reconciliation - Sole Trader</t>
  </si>
  <si>
    <t>Complete this workpaper for shareholders who have Debit Loan Balance. For new loans made ensure we have put a loan agreement in place. Note: No Interest charged in First Year</t>
  </si>
  <si>
    <t>2016-2017</t>
  </si>
  <si>
    <t>Shareholder Loan - credit balance</t>
  </si>
  <si>
    <t>and use formula to add amounts (eg =100+500+300)</t>
  </si>
  <si>
    <t xml:space="preserve">If client makes multiple payments, show one line per month </t>
  </si>
  <si>
    <t>Use totals from ATO report with adjustments for omitted amounts.</t>
  </si>
  <si>
    <t>Ignore amounts remitted in same year</t>
  </si>
  <si>
    <t>Advances/drawdowns (business related)</t>
  </si>
  <si>
    <t>Advances/drawdowns (non-business related)</t>
  </si>
  <si>
    <t>Imp Rate</t>
  </si>
  <si>
    <t>Item no.</t>
  </si>
  <si>
    <t>Total sales</t>
  </si>
  <si>
    <t>Export sales</t>
  </si>
  <si>
    <t>Other GST free sales</t>
  </si>
  <si>
    <t>GST on sales or GST instalment</t>
  </si>
  <si>
    <t>Capital purchases</t>
  </si>
  <si>
    <t>Non-capital purchases</t>
  </si>
  <si>
    <t>GST on purchases</t>
  </si>
  <si>
    <t>Gross wages</t>
  </si>
  <si>
    <t>PAYG withheld</t>
  </si>
  <si>
    <t>GST collected</t>
  </si>
  <si>
    <t>GST paid</t>
  </si>
  <si>
    <t>Total GST payable/refundable</t>
  </si>
  <si>
    <t>PAYG instalment</t>
  </si>
  <si>
    <t>5B</t>
  </si>
  <si>
    <t>7C</t>
  </si>
  <si>
    <t>Fuel tax credit</t>
  </si>
  <si>
    <t>7D</t>
  </si>
  <si>
    <t>Total payable/refundable</t>
  </si>
  <si>
    <t>9</t>
  </si>
  <si>
    <t>Variance in GST payable/refundable</t>
  </si>
  <si>
    <t>Variance in PAYG withheld</t>
  </si>
  <si>
    <t>General ledger reconciliation - GST collected</t>
  </si>
  <si>
    <t>General ledger account balance - 1A from June BAS</t>
  </si>
  <si>
    <t>A/c code</t>
  </si>
  <si>
    <t>General ledger account balance - 1B from June BAS</t>
  </si>
  <si>
    <t>General ledger reconciliation - GST Payable Adjustments</t>
  </si>
  <si>
    <t>GST variance between BAS's &amp; GST reports</t>
  </si>
  <si>
    <t>GST Adjustment</t>
  </si>
  <si>
    <t>GST on debtors (year end)</t>
  </si>
  <si>
    <t>Increase</t>
  </si>
  <si>
    <t>GST on FBT Reimbursment</t>
  </si>
  <si>
    <t>GST incorrectly claimed on personal expenses</t>
  </si>
  <si>
    <t>GST incorrectly claimed on GST Free/Input Tax expenses</t>
  </si>
  <si>
    <t>Previous Year Payable Adjustment not made</t>
  </si>
  <si>
    <t>Other GST Payable Adjustments</t>
  </si>
  <si>
    <t>General ledger reconciliation - GST Refundable Adjustments</t>
  </si>
  <si>
    <t>GST on creditors (year end)</t>
  </si>
  <si>
    <t>GST incorrectly paid on GST Free Sales</t>
  </si>
  <si>
    <t>Previous Year Refundable Adjustment not made</t>
  </si>
  <si>
    <t>Other GST Refundable Adjustments</t>
  </si>
  <si>
    <t>Total GST Adjustments</t>
  </si>
  <si>
    <t>Total June BAS</t>
  </si>
  <si>
    <t>GST Per GL</t>
  </si>
  <si>
    <t>Variance</t>
  </si>
  <si>
    <t>Reconciliation - client reports to lodged activity statements</t>
  </si>
  <si>
    <t>As per client's report - please complete using the GST Summary Reports from the clients bookkeeping software</t>
  </si>
  <si>
    <t>As per lodged activity statements - please complete using the lodged BAS's &amp; IAS's from the Tax Agent Portal</t>
  </si>
  <si>
    <t>Credit from PAYG instalment variation - enter as a negative</t>
  </si>
  <si>
    <t>Fuel tax credit overclaim - enter as a negative</t>
  </si>
  <si>
    <t>DO NOT USE NEGATIVES</t>
  </si>
  <si>
    <t>G1 or G11</t>
  </si>
  <si>
    <t>1A or 1B</t>
  </si>
  <si>
    <t>3380</t>
  </si>
  <si>
    <t>3384</t>
  </si>
  <si>
    <t>Code</t>
  </si>
  <si>
    <t>Notes &amp; Queries</t>
  </si>
  <si>
    <t>Response</t>
  </si>
  <si>
    <t>Action</t>
  </si>
  <si>
    <t>Queries &amp; Review Points</t>
  </si>
  <si>
    <t>Client Code:</t>
  </si>
  <si>
    <t>Workpaper:</t>
  </si>
  <si>
    <t>Corporate Tax Rate Determination</t>
  </si>
  <si>
    <t>Period:</t>
  </si>
  <si>
    <t>REFERENCE TABLE</t>
  </si>
  <si>
    <t>1)</t>
  </si>
  <si>
    <t>Current Year Aggregated Turnover</t>
  </si>
  <si>
    <t>Aggregated Turnover Threshold</t>
  </si>
  <si>
    <t>Taxation Rate</t>
  </si>
  <si>
    <t>Corporate Entity</t>
  </si>
  <si>
    <t>2015-2016</t>
  </si>
  <si>
    <t>$2 Million</t>
  </si>
  <si>
    <t>$10 Million</t>
  </si>
  <si>
    <t>Connected Entities</t>
  </si>
  <si>
    <t>2017-2018</t>
  </si>
  <si>
    <t>$25 Million</t>
  </si>
  <si>
    <t>2018-2019</t>
  </si>
  <si>
    <t>$50 Million</t>
  </si>
  <si>
    <t>2019-2020</t>
  </si>
  <si>
    <t>Affiliated Entities</t>
  </si>
  <si>
    <t>2020-2021</t>
  </si>
  <si>
    <t>2021-2022</t>
  </si>
  <si>
    <t>AGGREGATED TURNOVER</t>
  </si>
  <si>
    <t>If Aggregated Turnover Exceeds The Turnover Threshold For The Year In Question, The Applicable Corporate Tax Rate Is 30% &amp; The Following Steps Can Be Disregarded</t>
  </si>
  <si>
    <t>2)</t>
  </si>
  <si>
    <t>Current Year Assessable Income</t>
  </si>
  <si>
    <t>3)</t>
  </si>
  <si>
    <t>Current Year Assessable Income Components</t>
  </si>
  <si>
    <t>(A)</t>
  </si>
  <si>
    <t>Company Dividends</t>
  </si>
  <si>
    <t>(B)</t>
  </si>
  <si>
    <t>Franking Credits</t>
  </si>
  <si>
    <t>[Excluding Non-Portfolio Dividends - I.E. Dividends Derived From Companies In Which The Interests Held In Those Companies Exceed 10%]</t>
  </si>
  <si>
    <t>(C)</t>
  </si>
  <si>
    <t>Non-Share Dividends</t>
  </si>
  <si>
    <t>(D)</t>
  </si>
  <si>
    <t>(E)</t>
  </si>
  <si>
    <t>Royalty Income</t>
  </si>
  <si>
    <t>(F)</t>
  </si>
  <si>
    <t>(G)</t>
  </si>
  <si>
    <t>Gains On "Qualifying Securities" [Division 16E ITAA 1936]</t>
  </si>
  <si>
    <t>(H)</t>
  </si>
  <si>
    <t>Net Capital Gains</t>
  </si>
  <si>
    <t>(I)</t>
  </si>
  <si>
    <t>Net Trust Distributions Attributable To (A)-(H)</t>
  </si>
  <si>
    <t>Trace Character Of Income Through Chains Of Interposed Trusts &amp; Partnerships To Its Originating Source</t>
  </si>
  <si>
    <t>(J)</t>
  </si>
  <si>
    <t>Net Partnership Distributions Attributable To (A)-(H)</t>
  </si>
  <si>
    <t>TOTAL BASE RATE ENTITY PASSIVE INCOME</t>
  </si>
  <si>
    <t>4)</t>
  </si>
  <si>
    <t>Does (3) Exceed (2)?</t>
  </si>
  <si>
    <t>5)</t>
  </si>
  <si>
    <t>Applicable Corporate Tax Rate?</t>
  </si>
  <si>
    <t>DEFINITIONS</t>
  </si>
  <si>
    <t>Turnover</t>
  </si>
  <si>
    <t>Comprises only ORDINARY INCOME derived in the ordinary course of carrying on a business (i.e. excludes Statutory Income).</t>
  </si>
  <si>
    <t>Connected Entity</t>
  </si>
  <si>
    <t>See Section 328-125 ITAA 1997</t>
  </si>
  <si>
    <t>http://classic.austlii.edu.au/au/legis/cth/consol_act/itaa1997240/s328.125.html</t>
  </si>
  <si>
    <t>Affiliated Entity</t>
  </si>
  <si>
    <t>See Section 328-130 ITAA 1997</t>
  </si>
  <si>
    <t>http://classic.austlii.edu.au/au/legis/cth/consol_act/itaa1997240/s328.130.html</t>
  </si>
  <si>
    <t>Corporate Imputation Rate Determination</t>
  </si>
  <si>
    <t>Prior Year Aggregated Turnover</t>
  </si>
  <si>
    <t>Imputation Rate</t>
  </si>
  <si>
    <t>If Aggregated Turnover Exceeds The Turnover Threshold For The Year In Question (I.E. Current Year), The Applicable Corporate Tax Rate For Imputation Purposes Is 30% &amp; The Following Steps Can Be Disregarded</t>
  </si>
  <si>
    <t>Prior Year Assessable Income</t>
  </si>
  <si>
    <t>Prior Year Assessable Income Components</t>
  </si>
  <si>
    <t>Applicable Corporate Tax Rate For Imputation Purposes?</t>
  </si>
  <si>
    <t xml:space="preserve">Check </t>
  </si>
  <si>
    <t>Total Tax Expense</t>
  </si>
  <si>
    <t>Net Profit Per Accounts</t>
  </si>
  <si>
    <t>Closing Balance C/F</t>
  </si>
  <si>
    <t>Minimum Repayment</t>
  </si>
  <si>
    <t>Closing Balance Previous Year</t>
  </si>
  <si>
    <t>Year Repayment Required</t>
  </si>
  <si>
    <t>MINIMUM REPAYMENT CALCULATION</t>
  </si>
  <si>
    <t>Car Limits</t>
  </si>
  <si>
    <t>2016-17 to 2019-20</t>
  </si>
  <si>
    <t>Sales Reconciliation</t>
  </si>
  <si>
    <t>Per BASs lodged</t>
  </si>
  <si>
    <t>Per Sales in Financial Statements</t>
  </si>
  <si>
    <t>Notes:</t>
  </si>
  <si>
    <t>2020-21</t>
  </si>
  <si>
    <t>(2020 FY onwards)</t>
  </si>
  <si>
    <t>ATO CASH FLOW BOOST CREDITS</t>
  </si>
  <si>
    <t>If The Company Did Not Exist In The Previous Income Year, The Corporate Tax Rate For Imputation Purposes Is The Base Rate Entity Tax Rate</t>
  </si>
  <si>
    <t>ATO 2020 Values Per TD 2020/1</t>
  </si>
  <si>
    <t>Per Adult/Child Over 16 Years</t>
  </si>
  <si>
    <t>Per Child 4 - 16 Years</t>
  </si>
  <si>
    <t>No. Adults</t>
  </si>
  <si>
    <t>No. Children</t>
  </si>
  <si>
    <t>CORPORATE TAX RATE CALCULATION</t>
  </si>
  <si>
    <t>CORPORATE IMPUTATION RATE CALCULATION</t>
  </si>
  <si>
    <t>NOTE: Use CORPORATE TAX RATE Tab To Substantiate Applicable Tax Rate If Assessable Income Includes Base Rate Entity Passive Income</t>
  </si>
  <si>
    <t>Financial Year</t>
  </si>
  <si>
    <t>https://atotaxrates.info/businesses/goods-taken-from-stock-for-own-use/</t>
  </si>
  <si>
    <t>YES/NO</t>
  </si>
  <si>
    <t xml:space="preserve">Amount </t>
  </si>
  <si>
    <t>Eligible Entities are both a:</t>
  </si>
  <si>
    <t xml:space="preserve">YES/NO </t>
  </si>
  <si>
    <t>4. Has the entity lodged tax returns for the previous 5 income tax years?</t>
  </si>
  <si>
    <t>2. If YES,  does the entity have a tax liability for the income year?</t>
  </si>
  <si>
    <t>3. If YES, what is the amount of tax liability?</t>
  </si>
  <si>
    <r>
      <t xml:space="preserve">1. company, corporate limited partnership or a public trading trust throughout the income year that you are claiming the tax offset the income year you choose to carry the loss back to (ignoring any part of the year before you existed) any income years in between </t>
    </r>
    <r>
      <rPr>
        <b/>
        <i/>
        <u/>
        <sz val="11"/>
        <color rgb="FFFF0000"/>
        <rFont val="Calibri"/>
        <family val="2"/>
        <scheme val="minor"/>
      </rPr>
      <t xml:space="preserve">AND  </t>
    </r>
    <r>
      <rPr>
        <b/>
        <i/>
        <sz val="11"/>
        <rFont val="Calibri"/>
        <family val="2"/>
        <scheme val="minor"/>
      </rPr>
      <t>2. small business entity in the loss year or would have been a small business entity if the aggregated turnover threshold was $5 billion.</t>
    </r>
  </si>
  <si>
    <t xml:space="preserve">Aggregated turnover for each loss year </t>
  </si>
  <si>
    <t xml:space="preserve">https://www.ato.gov.au/business/loss-carry-back-tax-offset/eligibility-for-the-tax-offset/#Eligibleentities </t>
  </si>
  <si>
    <t xml:space="preserve">https://www.ato.gov.au/business/loss-carry-back-tax-offset/how-to-claim-the-tax-offset/ </t>
  </si>
  <si>
    <r>
      <t xml:space="preserve">5. If </t>
    </r>
    <r>
      <rPr>
        <b/>
        <sz val="10"/>
        <color rgb="FFFF0000"/>
        <rFont val="Arial"/>
        <family val="2"/>
      </rPr>
      <t>NO</t>
    </r>
    <r>
      <rPr>
        <b/>
        <sz val="10"/>
        <rFont val="Arial"/>
        <family val="2"/>
      </rPr>
      <t>, were the entity not required to lodge a tax return during that 5 year period?</t>
    </r>
  </si>
  <si>
    <t xml:space="preserve">Opening Balance </t>
  </si>
  <si>
    <t xml:space="preserve">Closing Balance </t>
  </si>
  <si>
    <t xml:space="preserve">Eligbility for the Loss Carry Back Tax Offset </t>
  </si>
  <si>
    <t xml:space="preserve">1. Is the entity an eligible corporate entity? </t>
  </si>
  <si>
    <t>How to calculate the amount of tax offset</t>
  </si>
  <si>
    <t>To calculate the amount of your tax offset for an income year follow these steps:</t>
  </si>
  <si>
    <t>1. For each tax loss you are carrying back to an earlier income year     </t>
  </si>
  <si>
    <t>a. determine the amount of the tax loss you are carrying back</t>
  </si>
  <si>
    <t>b. work out the net exempt income, that has not previously been used, in that earlier income year</t>
  </si>
  <si>
    <t>c. subtract the amount at step 1b from the amount at step 1a</t>
  </si>
  <si>
    <t>2. If more than one tax loss is being carried back to the same earlier income year, add the step 1d results together. The amount you can claim is capped at the amount of your income tax liability for that earlier income year.</t>
  </si>
  <si>
    <t>3. If you are carrying back losses to more than one earlier income year, apply steps 1 and 2 for all years the losses are being carried back to and add the results together.</t>
  </si>
  <si>
    <t>4. If the amount calculated under step 3 is greater than your franking account surplus at the end of the income year in which you are claiming the tax offset, your offset is limited to your franking account surplus. Otherwise, the amount of your tax offset is the amount calculated under step 3.</t>
  </si>
  <si>
    <t>Note: Step 4 does not apply to foreign residents (other than New Zealand franking companies).</t>
  </si>
  <si>
    <t xml:space="preserve">https://www.ato.gov.au/business/loss-carry-back-tax-offset/working-out-the-tax-offset/ </t>
  </si>
  <si>
    <t xml:space="preserve">Tax Offset Calculation </t>
  </si>
  <si>
    <t xml:space="preserve">Information to Claim the Tax Offset </t>
  </si>
  <si>
    <t>Allocation of professional firm profits - ATO compliance approach</t>
  </si>
  <si>
    <t xml:space="preserve">Source </t>
  </si>
  <si>
    <t>PCG 2021/D2</t>
  </si>
  <si>
    <t>Is a person an Individual Professional Practitioner (IPP)?</t>
  </si>
  <si>
    <t>Is the income of the firm not PSI?</t>
  </si>
  <si>
    <t>Does the firm operate by way of a legally effective structure? (trust, company, partnership?)</t>
  </si>
  <si>
    <t>Is an IPP an equity holder (full rights to vote, manage and income of the firm)</t>
  </si>
  <si>
    <t xml:space="preserve">ELIGIBILITY CRITERIA </t>
  </si>
  <si>
    <t>paragraph 25 of PCG 2021/D2</t>
  </si>
  <si>
    <t xml:space="preserve">accounting </t>
  </si>
  <si>
    <t>architectural</t>
  </si>
  <si>
    <t>engineering</t>
  </si>
  <si>
    <t>financial services</t>
  </si>
  <si>
    <t>legal</t>
  </si>
  <si>
    <t xml:space="preserve">medical </t>
  </si>
  <si>
    <t>Are the arrangements with the firm including providing services in professions like:</t>
  </si>
  <si>
    <t>paragraph 29 of PCG 2021/D2</t>
  </si>
  <si>
    <t xml:space="preserve">Gateway 1 - Commercial Rationale </t>
  </si>
  <si>
    <t xml:space="preserve">Does the IPP actually receive an amount of the profits or income which reflects a reward for their personal efforts or skill? </t>
  </si>
  <si>
    <t>Has the income been distributed in substance?</t>
  </si>
  <si>
    <t>Does the IPP ultimately benefit from the distribution of income to associates, which is referrable to the personal efforts or skill of the IPP?</t>
  </si>
  <si>
    <t>Is the renumeration less than a true commercial comparable and would not be perceived as an arm's length payment?</t>
  </si>
  <si>
    <t>Are there loan accounts relevant to the arrangement - on whose name?</t>
  </si>
  <si>
    <t>have control in managing the entity's cash flows and financials?</t>
  </si>
  <si>
    <t>actually receive the money and keep it, or whether it is distributed out to others?</t>
  </si>
  <si>
    <t>Do the payment recipients:</t>
  </si>
  <si>
    <t>paragraph 41 of PCG 2021/D2</t>
  </si>
  <si>
    <t xml:space="preserve">Loss Carry-Back Claims </t>
  </si>
  <si>
    <t>Comments</t>
  </si>
  <si>
    <t xml:space="preserve">Gateway 2 - High-Risk Features </t>
  </si>
  <si>
    <t xml:space="preserve">Risk assesment factor </t>
  </si>
  <si>
    <t xml:space="preserve">Score </t>
  </si>
  <si>
    <t>&gt;90%</t>
  </si>
  <si>
    <t>&gt;75% to 90%</t>
  </si>
  <si>
    <t>&gt;60% to 75%</t>
  </si>
  <si>
    <t>&gt;50% to 60%</t>
  </si>
  <si>
    <t>&gt;25% to 50%</t>
  </si>
  <si>
    <t>(2) Total effective tax rate for income received from the firm by the IPP and associated entities</t>
  </si>
  <si>
    <t>&gt;40%</t>
  </si>
  <si>
    <t>&gt;35% to 40%</t>
  </si>
  <si>
    <t>&gt;30% to 35%</t>
  </si>
  <si>
    <t>&gt;25% to 30%</t>
  </si>
  <si>
    <t>&gt;20% to 25%</t>
  </si>
  <si>
    <t>(3) Remuneration returned in the hands of the IPP as a percentage of the commercial benchmark for the services provided to the firm</t>
  </si>
  <si>
    <t>&gt;200%</t>
  </si>
  <si>
    <t>&gt;150% to 200%</t>
  </si>
  <si>
    <t>&gt;100% to 150%</t>
  </si>
  <si>
    <t>&gt;90% to 100%</t>
  </si>
  <si>
    <t>&gt;70% to 90%</t>
  </si>
  <si>
    <t>Risk Zone</t>
  </si>
  <si>
    <t>Risk Level</t>
  </si>
  <si>
    <t xml:space="preserve">Aggregate score against first two factors </t>
  </si>
  <si>
    <t>Green</t>
  </si>
  <si>
    <t xml:space="preserve">Amber </t>
  </si>
  <si>
    <t>Red</t>
  </si>
  <si>
    <t>Low</t>
  </si>
  <si>
    <t>Moderate</t>
  </si>
  <si>
    <t>High</t>
  </si>
  <si>
    <t>11 and 12</t>
  </si>
  <si>
    <t>Aggregate of all three factors (optional as difficult to determine)</t>
  </si>
  <si>
    <t xml:space="preserve">(1) Proportion of profit entitlement from the whole of firm group returned in the hands of the IPP </t>
  </si>
  <si>
    <t xml:space="preserve">Comments </t>
  </si>
  <si>
    <t>Where an IPP returns 100% of the profit entitlement from the firm in their personal tax return (risk assessment factor 1), the IPP is automatically within the green zone. There is no need to assess against the other risk assessment factors.</t>
  </si>
  <si>
    <t>Income from the whole of firm group will include the income from the service entity and other associated businesses to the firm, to which the IPP or their associated entities are entitled.</t>
  </si>
  <si>
    <t>Total tax paid by the IPP and associated entities of the IPP on professional firm income / Total firm income collectively received × 100 = Total effective tax rate</t>
  </si>
  <si>
    <t xml:space="preserve">larger of (a) TOTAL TAX or (b) TOTAL TAX  minus tax paid on firm's income </t>
  </si>
  <si>
    <t>(3) Appropriate remuneration</t>
  </si>
  <si>
    <t>Requires consideration of the remuneration returned in the hands of the IPP as a percentage of the commercial benchmark for the services provided to the firm.</t>
  </si>
  <si>
    <t xml:space="preserve">CALCULATIONS TEMPLATE </t>
  </si>
  <si>
    <t xml:space="preserve">Application of criteria </t>
  </si>
  <si>
    <t>Score</t>
  </si>
  <si>
    <t>Our Calculation %</t>
  </si>
  <si>
    <t xml:space="preserve">Total Score </t>
  </si>
  <si>
    <t>Additional Criteria (Optional)</t>
  </si>
  <si>
    <t>Calculations %</t>
  </si>
  <si>
    <t>The individual professional practitioner (IPP) is an individual who provides services to clients of the firm, or to the firm itself, in circumstances where the IPP and/or associated entities have a legal or beneficial interest in the firm.</t>
  </si>
  <si>
    <t xml:space="preserve">Definitions </t>
  </si>
  <si>
    <t>This means that there must be a genuine commercial basis for the arrangement and also for the way in which profits are distributed. -&gt; details in paragraphs 34 - 41 of the PCG 2021/D2</t>
  </si>
  <si>
    <t>Is the arrangement commercially driven? (GATEWAY 1) - see below</t>
  </si>
  <si>
    <t xml:space="preserve">Do the firm and IPP not demonstrate any high-risk features? (GATEWAY 2) - see below </t>
  </si>
  <si>
    <t>Does an IPP have a legal or beneficial interest in the firm?</t>
  </si>
  <si>
    <t>effective from 1 July 2021</t>
  </si>
  <si>
    <r>
      <t>Personal services income (PSI) is income earned mainly as a result of personal efforts or skills of the IPPs, rather than being generated by assets or employees of the firm and is dealt with under the PSI rules in Part 2-42 of the </t>
    </r>
    <r>
      <rPr>
        <i/>
        <sz val="11"/>
        <color rgb="FF666666"/>
        <rFont val="Arial"/>
        <family val="2"/>
      </rPr>
      <t>Income Tax Assessment Act 1997 (ITAA 1997)</t>
    </r>
  </si>
  <si>
    <t> 100%</t>
  </si>
  <si>
    <t>Amounts of unutilised net exempt income for the income years into which the tax losses are carried-back</t>
  </si>
  <si>
    <t xml:space="preserve"> Tax liability for the income years into which the tax losses are carried-back</t>
  </si>
  <si>
    <t>Tax Loss Carried-Back</t>
  </si>
  <si>
    <r>
      <rPr>
        <b/>
        <i/>
        <sz val="11"/>
        <rFont val="Calibri"/>
        <family val="2"/>
        <scheme val="minor"/>
      </rPr>
      <t>Less</t>
    </r>
    <r>
      <rPr>
        <b/>
        <sz val="11"/>
        <rFont val="Calibri"/>
        <family val="2"/>
        <scheme val="minor"/>
      </rPr>
      <t xml:space="preserve"> Net Exempt Income in the Year Into Which The Tax Loss is Carried-Back</t>
    </r>
  </si>
  <si>
    <t>Tax Losses Recouped</t>
  </si>
  <si>
    <t>PAYG Instalments Paid</t>
  </si>
  <si>
    <t>Loss Carry-Back Refundable Tax Offsets</t>
  </si>
  <si>
    <t>This Year
$</t>
  </si>
  <si>
    <t>Last Year
$</t>
  </si>
  <si>
    <t>Exempt Income</t>
  </si>
  <si>
    <t>Non-Taxable Capital Gains</t>
  </si>
  <si>
    <t>Accounting Trust Distributions</t>
  </si>
  <si>
    <t>Accounting Partnership Distributions</t>
  </si>
  <si>
    <t>Tax Depreciation</t>
  </si>
  <si>
    <t>Expense Adjustments</t>
  </si>
  <si>
    <t>(ENTITIES WITH ACCRUAL ACCOUNTS AND CASH BASIS TAX ONLY)</t>
  </si>
  <si>
    <t>This Year's Debtors</t>
  </si>
  <si>
    <t>The amounts of the entity's tax losses that the entity is carrying back and the years into which the losses will be carried-back</t>
  </si>
  <si>
    <t>Taxable Income / Tax Losses Generated</t>
  </si>
  <si>
    <t>Total Tax Losses Available For Carry-Back</t>
  </si>
  <si>
    <t>Non-Taxable Income</t>
  </si>
  <si>
    <t>Income Adjustments</t>
  </si>
  <si>
    <t>Debtors - Last Year (Net of GST)</t>
  </si>
  <si>
    <t>Non-Deductible Expenses</t>
  </si>
  <si>
    <t>Current Year Superannuation Creditor</t>
  </si>
  <si>
    <t>Trade Creditors - This Year (Net of GST)</t>
  </si>
  <si>
    <t>Trade Creditors - Last Year (Net of GST)</t>
  </si>
  <si>
    <t xml:space="preserve">Prepayments - Last Year </t>
  </si>
  <si>
    <t>(If Deducted Last Year Under Small Business Concessional Rules)</t>
  </si>
  <si>
    <t>Prepayments - This Year</t>
  </si>
  <si>
    <t>Interest - Personal Non-Business Account</t>
  </si>
  <si>
    <t>2021-22</t>
  </si>
  <si>
    <t>Create a Copy of This Tab If Loans Exist from Prior Years</t>
  </si>
  <si>
    <t>Rate For This Year</t>
  </si>
  <si>
    <r>
      <t xml:space="preserve">d. multiply the result from step 1c by your </t>
    </r>
    <r>
      <rPr>
        <b/>
        <i/>
        <u/>
        <sz val="11"/>
        <rFont val="Calibri"/>
        <family val="2"/>
        <scheme val="minor"/>
      </rPr>
      <t>tax rate for the income year in which you made the loss</t>
    </r>
    <r>
      <rPr>
        <b/>
        <i/>
        <sz val="11"/>
        <rFont val="Calibri"/>
        <family val="2"/>
        <scheme val="minor"/>
      </rPr>
      <t>.</t>
    </r>
  </si>
  <si>
    <t>Show In Ledger &amp; Match To ITR</t>
  </si>
  <si>
    <t>Non-Taxable Government Grants</t>
  </si>
  <si>
    <t>Tax Losses Reconciliation</t>
  </si>
  <si>
    <t>Losses Brought-Forward From Prior Year</t>
  </si>
  <si>
    <t>Losses Incurred In Current Year</t>
  </si>
  <si>
    <t>Losses Converted From Excess Franking Credits Received By Company (I.E. Franking Credits Cannot Create A Tax Refund For A Company)</t>
  </si>
  <si>
    <t>Losses Deducted Against Taxable Income</t>
  </si>
  <si>
    <t>Losses Carried-Back To Prior Years</t>
  </si>
  <si>
    <t>Losses Carried Forward To Future Years</t>
  </si>
  <si>
    <t>Foreign Tax Credits</t>
  </si>
  <si>
    <t>Early Stage Investor Non-Refundable Tax Offset</t>
  </si>
  <si>
    <t>R&amp;D Incentive Refundable Tax Offset</t>
  </si>
  <si>
    <t>R&amp;D Notional Expenditure</t>
  </si>
  <si>
    <t>Annual Leave Provision - This Year</t>
  </si>
  <si>
    <t>Long Service Leave Provision - This Year</t>
  </si>
  <si>
    <t>Annual Leave Provision - Last Year</t>
  </si>
  <si>
    <t>Long Service Leave Provision - Last Year</t>
  </si>
  <si>
    <t>Doubtful Debts Provision - This Year</t>
  </si>
  <si>
    <t>Doubtful Debts Provision - Last Year</t>
  </si>
  <si>
    <t xml:space="preserve">https://www.ato.gov.au/General/COVID-19/Government-grants,-payments-and-stimulus-during-COVID-19/Tax-implications/Eligible-COVID-19-business-grants-and-support-programs/ </t>
  </si>
  <si>
    <t>UNREALISED FX GAINS/(LOSSES)</t>
  </si>
  <si>
    <t>(If Entity Is NOT Adopting TOFA Rules In Division 230)</t>
  </si>
  <si>
    <t>Legal Fees (Capital In Nature)</t>
  </si>
  <si>
    <t>Formation Costs</t>
  </si>
  <si>
    <t>change this to an internal link, as it will resolve faster</t>
  </si>
  <si>
    <t xml:space="preserve">  - </t>
  </si>
  <si>
    <t>Franking Credits / Imputation Credits</t>
  </si>
  <si>
    <t>SGC / Superannuation Paid Late</t>
  </si>
  <si>
    <t>Dividend / Distribution Income</t>
  </si>
  <si>
    <t>Capital Gains - Taxable</t>
  </si>
  <si>
    <t>Trust Distributions - Taxable</t>
  </si>
  <si>
    <t>Partnership Distributions - Taxable</t>
  </si>
  <si>
    <t>(If Eligible For Deduction Upfront Under Small Business Concessional Rules $50million turnover for 2022)</t>
  </si>
  <si>
    <t>Opening and closing franking account balance - FY 2022</t>
  </si>
  <si>
    <t>From</t>
  </si>
  <si>
    <t>To</t>
  </si>
  <si>
    <t xml:space="preserve">Limited by 2022 Franking Account Surplus </t>
  </si>
  <si>
    <t>Tax Loss Amount (Cannot be Greater than 2022 Franking Offset Surplus, if greater  -&gt; use the 2022 Franking Offset Surplus amount, otherwise use the TOTAL amount)</t>
  </si>
  <si>
    <t>Describe the Asset this relates to</t>
  </si>
  <si>
    <t>Deposits on Hand at end of Year</t>
  </si>
  <si>
    <t>For</t>
  </si>
  <si>
    <t>Supplier / Holder</t>
  </si>
  <si>
    <t>Reconcilation of Closing Balance</t>
  </si>
  <si>
    <t>Quarter Applicable</t>
  </si>
  <si>
    <t>Person</t>
  </si>
  <si>
    <t>I 22</t>
  </si>
  <si>
    <t>Other - Provide Details</t>
  </si>
  <si>
    <r>
      <t xml:space="preserve">Section 25-25 Deduction - </t>
    </r>
    <r>
      <rPr>
        <i/>
        <sz val="11"/>
        <color rgb="FF000000"/>
        <rFont val="Calibri"/>
        <family val="2"/>
      </rPr>
      <t>Ensure You Have a Schedule for Future Years</t>
    </r>
  </si>
  <si>
    <r>
      <t xml:space="preserve">Section 40-880 Deduction - </t>
    </r>
    <r>
      <rPr>
        <i/>
        <sz val="11"/>
        <color rgb="FF000000"/>
        <rFont val="Calibri"/>
        <family val="2"/>
      </rPr>
      <t>Ensure You Have a Schedule for Future Years</t>
    </r>
  </si>
  <si>
    <t>(If Eligible For Deduction Upfront Under Small Business Concessional Rules - $50 Million Turnover for 2022)</t>
  </si>
  <si>
    <t>Franking Credits / Imputation Credits (SEE NOTE FOR LOSS COY)</t>
  </si>
  <si>
    <t xml:space="preserve">Jobkeeper Subsidies Accrued at 2020 / Received 2021 [For 2021 Year] </t>
  </si>
  <si>
    <t>Multiplied by Tax Rate of Loss Year</t>
  </si>
  <si>
    <t>NOTE: AMOUNTS PER RULING EXCLUDE GST. GROSS UP WHERE GST IS APPLICABLE</t>
  </si>
  <si>
    <t>Select Tax Rate - FY 2022:</t>
  </si>
  <si>
    <t>Select Tax Rate - FY 2021:</t>
  </si>
  <si>
    <t>Accounting Distribution Per Ledger</t>
  </si>
  <si>
    <t>Sept Qtr</t>
  </si>
  <si>
    <t>Dec Qtr</t>
  </si>
  <si>
    <t>March Qtr</t>
  </si>
  <si>
    <t>June Qtr</t>
  </si>
  <si>
    <t>Reconciliation to Cash Banked</t>
  </si>
  <si>
    <t>Tax Distribution</t>
  </si>
  <si>
    <t>Amounts Per Managed Fund Tax Statement</t>
  </si>
  <si>
    <t>HANDILEDGER CODE</t>
  </si>
  <si>
    <t>Return of Capital</t>
  </si>
  <si>
    <t>Australian
Unfranked Income</t>
  </si>
  <si>
    <t>Australian
Franked Income</t>
  </si>
  <si>
    <t>Tax Deferred Distribution / AMIT Amount</t>
  </si>
  <si>
    <t>PY Distribution Receivable</t>
  </si>
  <si>
    <t>CY Distribution Receivable</t>
  </si>
  <si>
    <t>Payable From Prior Year</t>
  </si>
  <si>
    <t>Payable Next Year</t>
  </si>
  <si>
    <t>Discuss R&amp;D refundable offset for 2022</t>
  </si>
  <si>
    <t>2021 tax return</t>
  </si>
  <si>
    <t>Total Assets</t>
  </si>
  <si>
    <t>Total Liabilities</t>
  </si>
  <si>
    <t>Net Asset Estimate</t>
  </si>
  <si>
    <t>**R&amp;D offset for 2022 to discuss</t>
  </si>
  <si>
    <t>wrong rate</t>
  </si>
  <si>
    <t>Less: WDV Of Assets</t>
  </si>
  <si>
    <t>Acquisition</t>
  </si>
  <si>
    <t>Less: Accumulated Capital Works Deductions</t>
  </si>
  <si>
    <t>Agent Commission</t>
  </si>
  <si>
    <t>Release Fees</t>
  </si>
  <si>
    <t>(Per Settlement Statement)</t>
  </si>
  <si>
    <t>Being :</t>
  </si>
  <si>
    <t>Distributable Surplus Calculation (Per Section 109Y ITAA 1936)</t>
  </si>
  <si>
    <t>Net Assets</t>
  </si>
  <si>
    <t>N.B. For This Calculation, Liabilities ONLY Includes Present Legal Obligations and Provisions for Annual &amp; Long Service Leave (I.E. Add-Back Other Provisions to Net Assets Per Balance Sheet)</t>
  </si>
  <si>
    <t>N.B. Pursuant To TD 2012/10, The Company's Income Tax Liabilities/Provisions Represent Present Legal Obligations For The Purposes Of Calculating The Net Assets Component In The Distributable Surplus Calculation</t>
  </si>
  <si>
    <t>[Per Section 109C(3A), Loans To An Entity Do Not Constitute Payments To An Entity Under Section 109C, Which Means That They Do Not Fall Within The Definition Of Division 7A Amounts]</t>
  </si>
  <si>
    <t>Paid-Up Share Value</t>
  </si>
  <si>
    <t>Non-Commercial Loans</t>
  </si>
  <si>
    <t>I.E. Historical Deemed Dividends Still Recorded As Loans Receivable In The Company's Balance Sheet</t>
  </si>
  <si>
    <t>N.B. Non-Commercial Loans Do NOT Include Division 7A Loans Subject To Interest &amp; Minimum Repayments Under A Complying Loan Arrangement</t>
  </si>
  <si>
    <t>Repayments Of Non-Commercial Loans</t>
  </si>
  <si>
    <t>Distributable Surplus</t>
  </si>
  <si>
    <t>(Segregate DR Loan Balances In Excess Of This Amount On The Company's Balance Sheet &amp; Note These Loans As NIL DS Loans - These Excess DR Loan Balances Are NOT Subject To Division 7A)</t>
  </si>
  <si>
    <t>Division 7A Amounts [Deemed Dividends]</t>
  </si>
  <si>
    <t>Silvershores Trust</t>
  </si>
  <si>
    <t>Caboolture Retail Trust</t>
  </si>
  <si>
    <t>Gladstone Retail Trust</t>
  </si>
  <si>
    <t>23800 - Gladstone Retail Trust 2022 Tax Statement.pdf</t>
  </si>
  <si>
    <t>23800 - Silver Shores 2022 Tax Statement.pdf</t>
  </si>
  <si>
    <t>23800 - CRT 2022 Tax Statement.pdf</t>
  </si>
  <si>
    <t>"CGT Event E4 Adjustment will occur" - there is no disposal of units except for capital value of units being 0</t>
  </si>
  <si>
    <t>No explicity allowance of a purchase of crypto currency</t>
  </si>
  <si>
    <t>Capital Gains</t>
  </si>
  <si>
    <t>CGT Concession</t>
  </si>
  <si>
    <t>Add 50% concession back</t>
  </si>
  <si>
    <t>33.33% Concession</t>
  </si>
  <si>
    <t>Losses applied</t>
  </si>
  <si>
    <t>Distributed</t>
  </si>
  <si>
    <t>Disposed</t>
  </si>
  <si>
    <t>Gains - Discount</t>
  </si>
  <si>
    <t>Gains - Other</t>
  </si>
  <si>
    <t>NICO0024</t>
  </si>
  <si>
    <t>Liam Aubin</t>
  </si>
  <si>
    <t>Nicole Bryant</t>
  </si>
  <si>
    <t>Nicolo Superannuation fund</t>
  </si>
  <si>
    <t xml:space="preserve">NMB </t>
  </si>
  <si>
    <t>can't get crypto to tie to workpaper</t>
  </si>
  <si>
    <t>Not possible to reconcile to Swyftx since all but 1 parcel of BTC was removed to a physical drive</t>
  </si>
  <si>
    <t>BTC</t>
  </si>
  <si>
    <t>XRP</t>
  </si>
  <si>
    <t>Buy</t>
  </si>
  <si>
    <t>Withdrawal to Cold Storage</t>
  </si>
  <si>
    <t>Cold Storage - BTC</t>
  </si>
  <si>
    <t>Cold Storage - XRP</t>
  </si>
  <si>
    <t>Deposit to Cold Storage</t>
  </si>
  <si>
    <t>Market Value</t>
  </si>
  <si>
    <t>Unit</t>
  </si>
  <si>
    <t>Held Reconciliation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</si>
</sst>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5" formatCode="&quot;$&quot;#,##0;\-&quot;$&quot;#,##0"/>
    <numFmt numFmtId="8" formatCode="&quot;$&quot;#,##0.00;[Red]\-&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_);_(* \(#,##0\);_(* &quot;-&quot;_);_(@_)"/>
    <numFmt numFmtId="165" formatCode="_(&quot;$&quot;* #,##0.00_);_(&quot;$&quot;* \(#,##0.00\);_(&quot;$&quot;* &quot;-&quot;??_);_(@_)"/>
    <numFmt numFmtId="166" formatCode="_(* #,##0.00_);_(* \(#,##0.00\);_(* &quot;-&quot;??_);_(@_)"/>
    <numFmt numFmtId="167" formatCode="#,##0.00;\(###0.00\)"/>
    <numFmt numFmtId="168" formatCode="0_ ;\-0\ "/>
    <numFmt numFmtId="169" formatCode="d/m/yy;@"/>
    <numFmt numFmtId="170" formatCode="#,##0.00;\(#,##0.00\)"/>
    <numFmt numFmtId="172" formatCode="dd/mm/yy;@"/>
    <numFmt numFmtId="173" formatCode="_(* #,##0_);_(* \(#,##0\);_(* &quot;-&quot;??_);_(@_)"/>
    <numFmt numFmtId="174" formatCode="d\-mmm\-yyyy"/>
    <numFmt numFmtId="175" formatCode="_ * #,##0.00_ ;_ * \-#,##0.00_ ;_ * &quot;-&quot;??_ ;_ @_ "/>
    <numFmt numFmtId="176" formatCode="[$-C09]dd\-mmm\-yy;@"/>
    <numFmt numFmtId="177" formatCode="#,##0.00_);\(#,##0.00\);_-* &quot;-&quot;??_-;_-@_-"/>
    <numFmt numFmtId="178" formatCode="#,##0;\(###0\)"/>
    <numFmt numFmtId="179" formatCode="_(* #,##0.00_);_(* \(#,##0.00\);_(* &quot;-&quot;_);_(@_)"/>
    <numFmt numFmtId="180" formatCode="0.0%"/>
    <numFmt numFmtId="181" formatCode="#,##0_);\(#,##0\);_-* &quot;-&quot;??_-;_-@_-"/>
    <numFmt numFmtId="182" formatCode="[$-C09]d\ mmmm\ yyyy;@"/>
    <numFmt numFmtId="183" formatCode="yyyy"/>
    <numFmt numFmtId="184" formatCode="_(&quot;$&quot;* #,##0.00_);_(&quot;$&quot;* \(#,##0.00\);_(&quot;$&quot;* &quot;-&quot;_);_(@_)"/>
    <numFmt numFmtId="185" formatCode="#,##0.0000"/>
    <numFmt numFmtId="186" formatCode="#,##0.0"/>
    <numFmt numFmtId="187" formatCode="#,##0.000"/>
    <numFmt numFmtId="188" formatCode="0.0000"/>
    <numFmt numFmtId="189" formatCode="#,##0.000;\(###0.000\)"/>
    <numFmt numFmtId="190" formatCode="&quot;$&quot;#,##0.00"/>
    <numFmt numFmtId="196" formatCode="_-* #,##0.000000_-;\-* #,##0.000000_-;_-* &quot;-&quot;??_-;_-@_-"/>
  </numFmts>
  <fonts count="108"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b/>
      <sz val="16"/>
      <name val="Times New Roman"/>
      <family val="1"/>
    </font>
    <font>
      <sz val="8"/>
      <name val="Arial"/>
      <family val="2"/>
    </font>
    <font>
      <b/>
      <sz val="10"/>
      <color indexed="8"/>
      <name val="Verdana"/>
      <family val="2"/>
    </font>
    <font>
      <b/>
      <sz val="16"/>
      <name val="Verdana"/>
      <family val="2"/>
    </font>
    <font>
      <b/>
      <sz val="8"/>
      <color indexed="81"/>
      <name val="Tahoma"/>
      <family val="2"/>
    </font>
    <font>
      <sz val="10"/>
      <name val="Arial"/>
      <family val="2"/>
    </font>
    <font>
      <u/>
      <sz val="10"/>
      <color indexed="12"/>
      <name val="Arial"/>
      <family val="2"/>
    </font>
    <font>
      <sz val="8"/>
      <color indexed="81"/>
      <name val="Tahoma"/>
      <family val="2"/>
    </font>
    <font>
      <sz val="13"/>
      <name val="Times New Roman"/>
      <family val="1"/>
    </font>
    <font>
      <sz val="10"/>
      <name val="Lucida Bright"/>
      <family val="1"/>
    </font>
    <font>
      <sz val="10"/>
      <name val="Arial"/>
      <family val="2"/>
    </font>
    <font>
      <sz val="10"/>
      <name val="Tahoma"/>
      <family val="2"/>
    </font>
    <font>
      <sz val="11"/>
      <color indexed="8"/>
      <name val="Calibri"/>
      <family val="2"/>
    </font>
    <font>
      <b/>
      <sz val="11"/>
      <color indexed="8"/>
      <name val="Calibri"/>
      <family val="2"/>
    </font>
    <font>
      <b/>
      <sz val="10"/>
      <name val="Calibri"/>
      <family val="2"/>
    </font>
    <font>
      <b/>
      <sz val="14"/>
      <name val="Calibri"/>
      <family val="2"/>
    </font>
    <font>
      <b/>
      <sz val="18"/>
      <name val="Calibri"/>
      <family val="2"/>
    </font>
    <font>
      <sz val="11"/>
      <name val="Calibri"/>
      <family val="2"/>
    </font>
    <font>
      <b/>
      <sz val="11"/>
      <name val="Calibri"/>
      <family val="2"/>
    </font>
    <font>
      <sz val="11"/>
      <color indexed="12"/>
      <name val="Calibri"/>
      <family val="2"/>
    </font>
    <font>
      <b/>
      <u/>
      <sz val="11"/>
      <name val="Calibri"/>
      <family val="2"/>
    </font>
    <font>
      <i/>
      <sz val="11"/>
      <name val="Calibri"/>
      <family val="2"/>
    </font>
    <font>
      <b/>
      <i/>
      <sz val="11"/>
      <color indexed="8"/>
      <name val="Calibri"/>
      <family val="2"/>
    </font>
    <font>
      <b/>
      <u/>
      <sz val="11"/>
      <color indexed="8"/>
      <name val="Calibri"/>
      <family val="2"/>
    </font>
    <font>
      <b/>
      <i/>
      <sz val="11"/>
      <name val="Calibri"/>
      <family val="2"/>
    </font>
    <font>
      <i/>
      <sz val="11"/>
      <color indexed="8"/>
      <name val="Calibri"/>
      <family val="2"/>
    </font>
    <font>
      <u/>
      <sz val="11"/>
      <color indexed="12"/>
      <name val="Calibri"/>
      <family val="2"/>
    </font>
    <font>
      <b/>
      <sz val="16"/>
      <name val="Calibri"/>
      <family val="2"/>
    </font>
    <font>
      <sz val="10"/>
      <name val="Arial"/>
      <family val="2"/>
    </font>
    <font>
      <b/>
      <sz val="8"/>
      <name val="Calibri"/>
      <family val="2"/>
    </font>
    <font>
      <b/>
      <sz val="9"/>
      <color indexed="81"/>
      <name val="Tahoma"/>
      <family val="2"/>
    </font>
    <font>
      <sz val="9"/>
      <color indexed="81"/>
      <name val="Tahoma"/>
      <family val="2"/>
    </font>
    <font>
      <b/>
      <u/>
      <sz val="10"/>
      <name val="Arial"/>
      <family val="2"/>
    </font>
    <font>
      <sz val="10"/>
      <name val="Arial"/>
      <family val="2"/>
    </font>
    <font>
      <b/>
      <sz val="11"/>
      <name val="Verdana"/>
      <family val="2"/>
    </font>
    <font>
      <sz val="10"/>
      <name val="Arial"/>
      <family val="2"/>
    </font>
    <font>
      <sz val="10"/>
      <name val="Calibri"/>
      <family val="2"/>
    </font>
    <font>
      <b/>
      <sz val="10"/>
      <color indexed="10"/>
      <name val="Calibri"/>
      <family val="2"/>
    </font>
    <font>
      <sz val="11"/>
      <color theme="1"/>
      <name val="Calibri"/>
      <family val="2"/>
      <scheme val="minor"/>
    </font>
    <font>
      <sz val="11"/>
      <color theme="0"/>
      <name val="Calibri"/>
      <family val="2"/>
      <scheme val="minor"/>
    </font>
    <font>
      <b/>
      <sz val="11"/>
      <color theme="0"/>
      <name val="Calibri"/>
      <family val="2"/>
      <scheme val="minor"/>
    </font>
    <font>
      <sz val="11"/>
      <color rgb="FF0061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1"/>
      <color indexed="12"/>
      <name val="Calibri"/>
      <family val="2"/>
      <scheme val="minor"/>
    </font>
    <font>
      <i/>
      <sz val="11"/>
      <name val="Calibri"/>
      <family val="2"/>
      <scheme val="minor"/>
    </font>
    <font>
      <sz val="11"/>
      <color indexed="8"/>
      <name val="Calibri"/>
      <family val="2"/>
      <scheme val="minor"/>
    </font>
    <font>
      <b/>
      <sz val="11"/>
      <color indexed="8"/>
      <name val="Calibri"/>
      <family val="2"/>
      <scheme val="minor"/>
    </font>
    <font>
      <i/>
      <sz val="11"/>
      <color indexed="8"/>
      <name val="Calibri"/>
      <family val="2"/>
      <scheme val="minor"/>
    </font>
    <font>
      <b/>
      <sz val="11"/>
      <color theme="1"/>
      <name val="Calibri"/>
      <family val="2"/>
    </font>
    <font>
      <b/>
      <i/>
      <sz val="11"/>
      <color indexed="8"/>
      <name val="Calibri"/>
      <family val="2"/>
      <scheme val="minor"/>
    </font>
    <font>
      <b/>
      <u/>
      <sz val="11"/>
      <color indexed="8"/>
      <name val="Calibri"/>
      <family val="2"/>
      <scheme val="minor"/>
    </font>
    <font>
      <sz val="11"/>
      <color rgb="FF00B050"/>
      <name val="Calibri"/>
      <family val="2"/>
    </font>
    <font>
      <b/>
      <sz val="11"/>
      <color rgb="FFFF0000"/>
      <name val="Calibri"/>
      <family val="2"/>
    </font>
    <font>
      <b/>
      <sz val="10"/>
      <color theme="0"/>
      <name val="Arial"/>
      <family val="2"/>
    </font>
    <font>
      <sz val="10"/>
      <color theme="0"/>
      <name val="Arial"/>
      <family val="2"/>
    </font>
    <font>
      <b/>
      <sz val="11"/>
      <color rgb="FFFF0000"/>
      <name val="Calibri"/>
      <family val="2"/>
      <scheme val="minor"/>
    </font>
    <font>
      <b/>
      <sz val="10"/>
      <color rgb="FFFF0000"/>
      <name val="Arial"/>
      <family val="2"/>
    </font>
    <font>
      <u/>
      <sz val="11"/>
      <color indexed="8"/>
      <name val="Calibri"/>
      <family val="2"/>
      <scheme val="minor"/>
    </font>
    <font>
      <b/>
      <sz val="10"/>
      <name val="Calibri"/>
      <family val="2"/>
      <scheme val="minor"/>
    </font>
    <font>
      <sz val="10"/>
      <name val="Calibri"/>
      <family val="2"/>
      <scheme val="minor"/>
    </font>
    <font>
      <b/>
      <sz val="10"/>
      <color rgb="FFFF0000"/>
      <name val="Calibri"/>
      <family val="2"/>
      <scheme val="minor"/>
    </font>
    <font>
      <sz val="14"/>
      <name val="Calibri"/>
      <family val="2"/>
      <scheme val="minor"/>
    </font>
    <font>
      <b/>
      <sz val="9"/>
      <name val="Calibri"/>
      <family val="2"/>
      <scheme val="minor"/>
    </font>
    <font>
      <b/>
      <sz val="11"/>
      <color theme="9" tint="-0.249977111117893"/>
      <name val="Calibri"/>
      <family val="2"/>
    </font>
    <font>
      <b/>
      <u/>
      <sz val="11"/>
      <name val="Calibri"/>
      <family val="2"/>
      <scheme val="minor"/>
    </font>
    <font>
      <b/>
      <sz val="14"/>
      <name val="Calibri"/>
      <family val="2"/>
      <scheme val="minor"/>
    </font>
    <font>
      <b/>
      <sz val="10"/>
      <color rgb="FF333333"/>
      <name val="Calibri"/>
      <family val="2"/>
    </font>
    <font>
      <sz val="9"/>
      <color rgb="FF333333"/>
      <name val="Calibri"/>
      <family val="2"/>
    </font>
    <font>
      <b/>
      <sz val="14"/>
      <color rgb="FF333333"/>
      <name val="Calibri"/>
      <family val="2"/>
    </font>
    <font>
      <b/>
      <sz val="11"/>
      <color rgb="FF333333"/>
      <name val="Calibri"/>
      <family val="2"/>
    </font>
    <font>
      <sz val="10"/>
      <color rgb="FF333333"/>
      <name val="Calibri"/>
      <family val="2"/>
    </font>
    <font>
      <sz val="11"/>
      <color rgb="FF333333"/>
      <name val="Calibri"/>
      <family val="2"/>
    </font>
    <font>
      <i/>
      <sz val="10"/>
      <color rgb="FF333333"/>
      <name val="Calibri"/>
      <family val="2"/>
      <scheme val="minor"/>
    </font>
    <font>
      <sz val="18"/>
      <color theme="3"/>
      <name val="Cambria"/>
      <family val="2"/>
      <scheme val="major"/>
    </font>
    <font>
      <u/>
      <sz val="10"/>
      <color theme="11"/>
      <name val="Calibri"/>
      <family val="2"/>
      <scheme val="minor"/>
    </font>
    <font>
      <u/>
      <sz val="10"/>
      <color theme="4" tint="-0.24994659260841701"/>
      <name val="Calibri"/>
      <family val="2"/>
      <scheme val="minor"/>
    </font>
    <font>
      <b/>
      <i/>
      <sz val="10"/>
      <color rgb="FF333333"/>
      <name val="Calibri"/>
      <family val="2"/>
      <scheme val="minor"/>
    </font>
    <font>
      <sz val="9"/>
      <name val="Arial"/>
      <family val="2"/>
    </font>
    <font>
      <b/>
      <sz val="9"/>
      <name val="Arial"/>
      <family val="2"/>
    </font>
    <font>
      <i/>
      <sz val="10"/>
      <color indexed="23"/>
      <name val="Calibri"/>
      <family val="2"/>
    </font>
    <font>
      <sz val="9"/>
      <name val="Calibri"/>
      <family val="2"/>
    </font>
    <font>
      <i/>
      <sz val="10"/>
      <name val="Calibri"/>
      <family val="2"/>
    </font>
    <font>
      <b/>
      <sz val="12"/>
      <name val="Calibri"/>
      <family val="2"/>
    </font>
    <font>
      <u/>
      <sz val="11"/>
      <color indexed="8"/>
      <name val="Calibri"/>
      <family val="2"/>
    </font>
    <font>
      <sz val="10"/>
      <name val="Arial"/>
      <family val="2"/>
    </font>
    <font>
      <b/>
      <i/>
      <sz val="11"/>
      <name val="Calibri"/>
      <family val="2"/>
      <scheme val="minor"/>
    </font>
    <font>
      <i/>
      <sz val="10"/>
      <name val="Arial"/>
      <family val="2"/>
    </font>
    <font>
      <b/>
      <i/>
      <u/>
      <sz val="11"/>
      <color rgb="FFFF0000"/>
      <name val="Calibri"/>
      <family val="2"/>
      <scheme val="minor"/>
    </font>
    <font>
      <u/>
      <sz val="10"/>
      <name val="Arial"/>
      <family val="2"/>
    </font>
    <font>
      <b/>
      <sz val="11"/>
      <color theme="0"/>
      <name val="Calibri"/>
      <family val="2"/>
    </font>
    <font>
      <sz val="11"/>
      <color rgb="FFFF0000"/>
      <name val="Calibri"/>
      <family val="2"/>
    </font>
    <font>
      <i/>
      <sz val="11"/>
      <color rgb="FF666666"/>
      <name val="Arial"/>
      <family val="2"/>
    </font>
    <font>
      <b/>
      <i/>
      <u/>
      <sz val="11"/>
      <name val="Calibri"/>
      <family val="2"/>
      <scheme val="minor"/>
    </font>
    <font>
      <i/>
      <sz val="11"/>
      <color rgb="FF000000"/>
      <name val="Calibri"/>
      <family val="2"/>
    </font>
    <font>
      <b/>
      <sz val="12"/>
      <name val="Verdana"/>
      <family val="2"/>
    </font>
  </fonts>
  <fills count="50">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6EFCE"/>
      </patternFill>
    </fill>
    <fill>
      <patternFill patternType="solid">
        <fgColor rgb="FFFFEB9C"/>
      </patternFill>
    </fill>
    <fill>
      <patternFill patternType="solid">
        <fgColor theme="0" tint="-0.14999847407452621"/>
        <bgColor indexed="64"/>
      </patternFill>
    </fill>
    <fill>
      <patternFill patternType="solid">
        <fgColor rgb="FFFFFFCC"/>
        <bgColor indexed="64"/>
      </patternFill>
    </fill>
    <fill>
      <patternFill patternType="solid">
        <fgColor theme="4" tint="0.79998168889431442"/>
        <bgColor indexed="64"/>
      </patternFill>
    </fill>
    <fill>
      <patternFill patternType="solid">
        <fgColor rgb="FFFFFFB7"/>
        <bgColor indexed="64"/>
      </patternFill>
    </fill>
    <fill>
      <patternFill patternType="solid">
        <fgColor rgb="FFFFFFCD"/>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0"/>
        <bgColor indexed="64"/>
      </patternFill>
    </fill>
    <fill>
      <patternFill patternType="solid">
        <fgColor rgb="FFF5FDCF"/>
        <bgColor indexed="64"/>
      </patternFill>
    </fill>
    <fill>
      <patternFill patternType="solid">
        <fgColor rgb="FFFFFFB3"/>
        <bgColor indexed="64"/>
      </patternFill>
    </fill>
    <fill>
      <patternFill patternType="solid">
        <fgColor rgb="FFE4EBF4"/>
        <bgColor indexed="64"/>
      </patternFill>
    </fill>
    <fill>
      <patternFill patternType="solid">
        <fgColor rgb="FFFFFFD5"/>
        <bgColor indexed="64"/>
      </patternFill>
    </fill>
    <fill>
      <patternFill patternType="solid">
        <fgColor rgb="FFE2F2F6"/>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CFDC7"/>
        <bgColor indexed="64"/>
      </patternFill>
    </fill>
    <fill>
      <patternFill patternType="solid">
        <fgColor rgb="FFF2F2F2"/>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00ACD4"/>
        <bgColor indexed="64"/>
      </patternFill>
    </fill>
    <fill>
      <gradientFill degree="90">
        <stop position="0">
          <color theme="0" tint="-5.0965910824915313E-2"/>
        </stop>
        <stop position="0.5">
          <color theme="0" tint="-5.0965910824915313E-2"/>
        </stop>
        <stop position="1">
          <color theme="0" tint="-5.0965910824915313E-2"/>
        </stop>
      </gradientFill>
    </fill>
    <fill>
      <patternFill patternType="solid">
        <fgColor rgb="FF333333"/>
        <bgColor rgb="FF333333"/>
      </patternFill>
    </fill>
    <fill>
      <patternFill patternType="solid">
        <fgColor theme="7" tint="0.79998168889431442"/>
        <bgColor indexed="64"/>
      </patternFill>
    </fill>
    <fill>
      <patternFill patternType="solid">
        <fgColor rgb="FFFFFF00"/>
        <bgColor indexed="64"/>
      </patternFill>
    </fill>
    <fill>
      <patternFill patternType="solid">
        <fgColor theme="9"/>
        <bgColor indexed="64"/>
      </patternFill>
    </fill>
    <fill>
      <patternFill patternType="solid">
        <fgColor rgb="FFFF0000"/>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rgb="FFFFC000"/>
        <bgColor indexed="64"/>
      </patternFill>
    </fill>
    <fill>
      <patternFill patternType="solid">
        <fgColor indexed="26"/>
        <bgColor indexed="64"/>
      </patternFill>
    </fill>
    <fill>
      <patternFill patternType="solid">
        <fgColor indexed="31"/>
        <bgColor indexed="64"/>
      </patternFill>
    </fill>
    <fill>
      <patternFill patternType="solid">
        <fgColor theme="9" tint="0.79998168889431442"/>
        <bgColor indexed="64"/>
      </patternFill>
    </fill>
  </fills>
  <borders count="2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8"/>
      </left>
      <right style="hair">
        <color indexed="8"/>
      </right>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style="thin">
        <color indexed="64"/>
      </right>
      <top style="hair">
        <color indexed="8"/>
      </top>
      <bottom style="thin">
        <color indexed="64"/>
      </bottom>
      <diagonal/>
    </border>
    <border>
      <left style="hair">
        <color indexed="8"/>
      </left>
      <right style="thin">
        <color indexed="64"/>
      </right>
      <top style="hair">
        <color indexed="8"/>
      </top>
      <bottom style="hair">
        <color indexed="8"/>
      </bottom>
      <diagonal/>
    </border>
    <border>
      <left style="hair">
        <color indexed="8"/>
      </left>
      <right/>
      <top/>
      <bottom style="hair">
        <color indexed="8"/>
      </bottom>
      <diagonal/>
    </border>
    <border>
      <left style="thin">
        <color indexed="64"/>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diagonal/>
    </border>
    <border>
      <left style="hair">
        <color indexed="8"/>
      </left>
      <right style="hair">
        <color indexed="8"/>
      </right>
      <top/>
      <bottom/>
      <diagonal/>
    </border>
    <border>
      <left/>
      <right style="thin">
        <color indexed="64"/>
      </right>
      <top style="hair">
        <color indexed="8"/>
      </top>
      <bottom style="hair">
        <color indexed="8"/>
      </bottom>
      <diagonal/>
    </border>
    <border>
      <left style="hair">
        <color indexed="8"/>
      </left>
      <right style="hair">
        <color indexed="8"/>
      </right>
      <top style="hair">
        <color indexed="8"/>
      </top>
      <bottom style="thin">
        <color indexed="64"/>
      </bottom>
      <diagonal/>
    </border>
    <border>
      <left style="hair">
        <color indexed="8"/>
      </left>
      <right/>
      <top style="hair">
        <color indexed="8"/>
      </top>
      <bottom style="thin">
        <color indexed="64"/>
      </bottom>
      <diagonal/>
    </border>
    <border>
      <left/>
      <right style="hair">
        <color indexed="8"/>
      </right>
      <top/>
      <bottom style="hair">
        <color indexed="8"/>
      </bottom>
      <diagonal/>
    </border>
    <border>
      <left style="hair">
        <color indexed="8"/>
      </left>
      <right style="thin">
        <color indexed="64"/>
      </right>
      <top/>
      <bottom style="hair">
        <color indexed="8"/>
      </bottom>
      <diagonal/>
    </border>
    <border>
      <left/>
      <right style="thin">
        <color indexed="64"/>
      </right>
      <top style="thin">
        <color indexed="64"/>
      </top>
      <bottom style="hair">
        <color indexed="8"/>
      </bottom>
      <diagonal/>
    </border>
    <border>
      <left/>
      <right style="thin">
        <color indexed="64"/>
      </right>
      <top style="hair">
        <color indexed="8"/>
      </top>
      <bottom style="thin">
        <color indexed="64"/>
      </bottom>
      <diagonal/>
    </border>
    <border>
      <left style="thin">
        <color indexed="64"/>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style="hair">
        <color indexed="8"/>
      </left>
      <right style="hair">
        <color indexed="8"/>
      </right>
      <top style="thin">
        <color indexed="64"/>
      </top>
      <bottom/>
      <diagonal/>
    </border>
    <border>
      <left style="hair">
        <color indexed="8"/>
      </left>
      <right style="thin">
        <color indexed="64"/>
      </right>
      <top style="thin">
        <color indexed="64"/>
      </top>
      <bottom style="hair">
        <color indexed="8"/>
      </bottom>
      <diagonal/>
    </border>
    <border>
      <left/>
      <right style="thin">
        <color indexed="64"/>
      </right>
      <top/>
      <bottom style="hair">
        <color indexed="8"/>
      </bottom>
      <diagonal/>
    </border>
    <border>
      <left style="hair">
        <color indexed="8"/>
      </left>
      <right style="hair">
        <color indexed="8"/>
      </right>
      <top style="thin">
        <color indexed="64"/>
      </top>
      <bottom style="thin">
        <color indexed="64"/>
      </bottom>
      <diagonal/>
    </border>
    <border>
      <left style="thin">
        <color indexed="64"/>
      </left>
      <right style="hair">
        <color indexed="8"/>
      </right>
      <top style="hair">
        <color indexed="8"/>
      </top>
      <bottom style="thin">
        <color indexed="64"/>
      </bottom>
      <diagonal/>
    </border>
    <border>
      <left style="hair">
        <color indexed="8"/>
      </left>
      <right style="hair">
        <color indexed="8"/>
      </right>
      <top/>
      <bottom style="thin">
        <color indexed="64"/>
      </bottom>
      <diagonal/>
    </border>
    <border>
      <left style="thin">
        <color indexed="64"/>
      </left>
      <right/>
      <top/>
      <bottom style="hair">
        <color indexed="8"/>
      </bottom>
      <diagonal/>
    </border>
    <border>
      <left style="thin">
        <color indexed="64"/>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thin">
        <color indexed="64"/>
      </right>
      <top style="hair">
        <color indexed="8"/>
      </top>
      <bottom style="thin">
        <color indexed="64"/>
      </bottom>
      <diagonal/>
    </border>
    <border>
      <left/>
      <right style="thin">
        <color indexed="64"/>
      </right>
      <top style="hair">
        <color indexed="8"/>
      </top>
      <bottom/>
      <diagonal/>
    </border>
    <border>
      <left style="thin">
        <color indexed="64"/>
      </left>
      <right/>
      <top style="hair">
        <color indexed="8"/>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8"/>
      </bottom>
      <diagonal/>
    </border>
    <border>
      <left style="thin">
        <color indexed="64"/>
      </left>
      <right style="hair">
        <color indexed="8"/>
      </right>
      <top/>
      <bottom style="hair">
        <color indexed="8"/>
      </bottom>
      <diagonal/>
    </border>
    <border>
      <left style="hair">
        <color indexed="8"/>
      </left>
      <right/>
      <top style="hair">
        <color indexed="8"/>
      </top>
      <bottom style="double">
        <color indexed="64"/>
      </bottom>
      <diagonal/>
    </border>
    <border>
      <left style="hair">
        <color indexed="8"/>
      </left>
      <right/>
      <top/>
      <bottom/>
      <diagonal/>
    </border>
    <border>
      <left style="hair">
        <color indexed="8"/>
      </left>
      <right style="hair">
        <color indexed="8"/>
      </right>
      <top style="thin">
        <color indexed="64"/>
      </top>
      <bottom style="double">
        <color indexed="64"/>
      </bottom>
      <diagonal/>
    </border>
    <border>
      <left style="thin">
        <color indexed="64"/>
      </left>
      <right style="hair">
        <color indexed="8"/>
      </right>
      <top style="hair">
        <color indexed="8"/>
      </top>
      <bottom/>
      <diagonal/>
    </border>
    <border>
      <left style="thin">
        <color indexed="64"/>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style="hair">
        <color indexed="8"/>
      </left>
      <right/>
      <top style="thin">
        <color indexed="64"/>
      </top>
      <bottom/>
      <diagonal/>
    </border>
    <border>
      <left style="hair">
        <color indexed="8"/>
      </left>
      <right/>
      <top style="thin">
        <color indexed="64"/>
      </top>
      <bottom style="double">
        <color indexed="64"/>
      </bottom>
      <diagonal/>
    </border>
    <border>
      <left/>
      <right style="hair">
        <color indexed="8"/>
      </right>
      <top style="double">
        <color indexed="64"/>
      </top>
      <bottom style="thin">
        <color indexed="64"/>
      </bottom>
      <diagonal/>
    </border>
    <border>
      <left style="thin">
        <color indexed="64"/>
      </left>
      <right style="hair">
        <color indexed="8"/>
      </right>
      <top/>
      <bottom/>
      <diagonal/>
    </border>
    <border>
      <left style="thin">
        <color indexed="64"/>
      </left>
      <right/>
      <top style="hair">
        <color indexed="8"/>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8"/>
      </left>
      <right style="thin">
        <color indexed="64"/>
      </right>
      <top style="thin">
        <color indexed="64"/>
      </top>
      <bottom style="thin">
        <color indexed="64"/>
      </bottom>
      <diagonal/>
    </border>
    <border>
      <left/>
      <right/>
      <top style="hair">
        <color indexed="8"/>
      </top>
      <bottom style="hair">
        <color indexed="8"/>
      </bottom>
      <diagonal/>
    </border>
    <border>
      <left/>
      <right style="hair">
        <color indexed="8"/>
      </right>
      <top style="hair">
        <color indexed="8"/>
      </top>
      <bottom/>
      <diagonal/>
    </border>
    <border>
      <left style="medium">
        <color indexed="64"/>
      </left>
      <right style="hair">
        <color indexed="8"/>
      </right>
      <top style="medium">
        <color indexed="64"/>
      </top>
      <bottom style="hair">
        <color indexed="8"/>
      </bottom>
      <diagonal/>
    </border>
    <border>
      <left/>
      <right style="hair">
        <color indexed="8"/>
      </right>
      <top style="medium">
        <color indexed="64"/>
      </top>
      <bottom style="hair">
        <color indexed="8"/>
      </bottom>
      <diagonal/>
    </border>
    <border>
      <left style="hair">
        <color indexed="8"/>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right style="thin">
        <color indexed="64"/>
      </right>
      <top style="thin">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8"/>
      </right>
      <top style="hair">
        <color indexed="8"/>
      </top>
      <bottom style="thin">
        <color indexed="64"/>
      </bottom>
      <diagonal/>
    </border>
    <border>
      <left style="hair">
        <color indexed="8"/>
      </left>
      <right/>
      <top style="thin">
        <color indexed="64"/>
      </top>
      <bottom style="hair">
        <color indexed="8"/>
      </bottom>
      <diagonal/>
    </border>
    <border>
      <left style="hair">
        <color indexed="8"/>
      </left>
      <right style="thin">
        <color indexed="64"/>
      </right>
      <top/>
      <bottom/>
      <diagonal/>
    </border>
    <border>
      <left style="hair">
        <color indexed="8"/>
      </left>
      <right style="thin">
        <color indexed="64"/>
      </right>
      <top style="hair">
        <color indexed="8"/>
      </top>
      <bottom/>
      <diagonal/>
    </border>
    <border>
      <left style="hair">
        <color indexed="8"/>
      </left>
      <right style="thin">
        <color indexed="64"/>
      </right>
      <top style="thin">
        <color indexed="64"/>
      </top>
      <bottom style="double">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hair">
        <color indexed="8"/>
      </top>
      <bottom/>
      <diagonal/>
    </border>
    <border>
      <left style="thin">
        <color indexed="64"/>
      </left>
      <right style="thin">
        <color indexed="64"/>
      </right>
      <top style="hair">
        <color indexed="8"/>
      </top>
      <bottom/>
      <diagonal/>
    </border>
    <border>
      <left/>
      <right style="hair">
        <color indexed="8"/>
      </right>
      <top style="thin">
        <color indexed="64"/>
      </top>
      <bottom style="thin">
        <color indexed="64"/>
      </bottom>
      <diagonal/>
    </border>
    <border>
      <left style="thin">
        <color indexed="64"/>
      </left>
      <right style="thin">
        <color indexed="64"/>
      </right>
      <top/>
      <bottom style="hair">
        <color indexed="8"/>
      </bottom>
      <diagonal/>
    </border>
    <border>
      <left style="hair">
        <color indexed="8"/>
      </left>
      <right style="hair">
        <color indexed="8"/>
      </right>
      <top style="hair">
        <color indexed="8"/>
      </top>
      <bottom style="double">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8"/>
      </left>
      <right style="thin">
        <color indexed="8"/>
      </right>
      <top style="hair">
        <color indexed="8"/>
      </top>
      <bottom style="hair">
        <color indexed="8"/>
      </bottom>
      <diagonal/>
    </border>
    <border>
      <left/>
      <right/>
      <top style="thin">
        <color indexed="64"/>
      </top>
      <bottom style="hair">
        <color indexed="8"/>
      </bottom>
      <diagonal/>
    </border>
    <border>
      <left style="hair">
        <color indexed="8"/>
      </left>
      <right/>
      <top/>
      <bottom style="thin">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style="hair">
        <color indexed="8"/>
      </right>
      <top style="thin">
        <color indexed="64"/>
      </top>
      <bottom style="double">
        <color indexed="64"/>
      </bottom>
      <diagonal/>
    </border>
    <border>
      <left style="thin">
        <color indexed="64"/>
      </left>
      <right/>
      <top style="thin">
        <color indexed="64"/>
      </top>
      <bottom style="double">
        <color indexed="64"/>
      </bottom>
      <diagonal/>
    </border>
    <border>
      <left style="hair">
        <color indexed="8"/>
      </left>
      <right style="hair">
        <color indexed="8"/>
      </right>
      <top style="thin">
        <color indexed="64"/>
      </top>
      <bottom style="medium">
        <color indexed="64"/>
      </bottom>
      <diagonal/>
    </border>
    <border>
      <left style="hair">
        <color indexed="8"/>
      </left>
      <right style="hair">
        <color indexed="64"/>
      </right>
      <top style="thin">
        <color indexed="64"/>
      </top>
      <bottom style="medium">
        <color indexed="64"/>
      </bottom>
      <diagonal/>
    </border>
    <border>
      <left style="hair">
        <color indexed="8"/>
      </left>
      <right/>
      <top style="thin">
        <color indexed="64"/>
      </top>
      <bottom style="medium">
        <color indexed="64"/>
      </bottom>
      <diagonal/>
    </border>
    <border>
      <left style="hair">
        <color indexed="64"/>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right/>
      <top/>
      <bottom style="hair">
        <color indexed="8"/>
      </bottom>
      <diagonal/>
    </border>
    <border>
      <left style="hair">
        <color indexed="64"/>
      </left>
      <right/>
      <top style="thin">
        <color indexed="64"/>
      </top>
      <bottom style="double">
        <color indexed="64"/>
      </bottom>
      <diagonal/>
    </border>
    <border>
      <left style="thin">
        <color indexed="64"/>
      </left>
      <right style="hair">
        <color indexed="8"/>
      </right>
      <top/>
      <bottom style="thin">
        <color indexed="64"/>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diagonal/>
    </border>
    <border>
      <left style="thin">
        <color indexed="64"/>
      </left>
      <right style="hair">
        <color indexed="64"/>
      </right>
      <top style="hair">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8"/>
      </bottom>
      <diagonal/>
    </border>
    <border>
      <left style="thin">
        <color rgb="FF3F3F3F"/>
      </left>
      <right style="thin">
        <color rgb="FF3F3F3F"/>
      </right>
      <top style="thin">
        <color rgb="FF3F3F3F"/>
      </top>
      <bottom style="thin">
        <color rgb="FF3F3F3F"/>
      </bottom>
      <diagonal/>
    </border>
    <border>
      <left style="thin">
        <color rgb="FF3F3F3F"/>
      </left>
      <right style="thin">
        <color rgb="FF3F3F3F"/>
      </right>
      <top/>
      <bottom style="thin">
        <color rgb="FF3F3F3F"/>
      </bottom>
      <diagonal/>
    </border>
    <border>
      <left style="thin">
        <color rgb="FF3F3F3F"/>
      </left>
      <right/>
      <top/>
      <bottom style="thin">
        <color rgb="FF3F3F3F"/>
      </bottom>
      <diagonal/>
    </border>
    <border>
      <left/>
      <right style="thin">
        <color rgb="FF3F3F3F"/>
      </right>
      <top style="thin">
        <color rgb="FF3F3F3F"/>
      </top>
      <bottom style="thin">
        <color rgb="FF3F3F3F"/>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right/>
      <top style="thin">
        <color theme="0"/>
      </top>
      <bottom style="thin">
        <color theme="0"/>
      </bottom>
      <diagonal/>
    </border>
    <border>
      <left/>
      <right/>
      <top/>
      <bottom style="thin">
        <color theme="0" tint="-0.14993743705557422"/>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style="thin">
        <color theme="0" tint="-0.14993743705557422"/>
      </right>
      <top/>
      <bottom style="thin">
        <color theme="0" tint="-0.14993743705557422"/>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hair">
        <color theme="0"/>
      </left>
      <right style="hair">
        <color theme="0"/>
      </right>
      <top style="hair">
        <color theme="0"/>
      </top>
      <bottom style="hair">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diagonal/>
    </border>
    <border>
      <left/>
      <right style="hair">
        <color indexed="64"/>
      </right>
      <top/>
      <bottom/>
      <diagonal/>
    </border>
    <border>
      <left/>
      <right style="thin">
        <color theme="0"/>
      </right>
      <top style="thin">
        <color theme="0"/>
      </top>
      <bottom style="hair">
        <color indexed="64"/>
      </bottom>
      <diagonal/>
    </border>
    <border>
      <left style="thin">
        <color theme="0"/>
      </left>
      <right style="thin">
        <color theme="0"/>
      </right>
      <top/>
      <bottom style="thin">
        <color theme="0"/>
      </bottom>
      <diagonal/>
    </border>
    <border>
      <left style="hair">
        <color indexed="8"/>
      </left>
      <right style="medium">
        <color indexed="64"/>
      </right>
      <top/>
      <bottom style="hair">
        <color indexed="8"/>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right style="thin">
        <color theme="0" tint="-0.14999847407452621"/>
      </right>
      <top/>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style="hair">
        <color indexed="8"/>
      </left>
      <right style="medium">
        <color indexed="64"/>
      </right>
      <top style="hair">
        <color indexed="8"/>
      </top>
      <bottom/>
      <diagonal/>
    </border>
    <border>
      <left style="medium">
        <color indexed="64"/>
      </left>
      <right style="hair">
        <color indexed="8"/>
      </right>
      <top style="hair">
        <color indexed="8"/>
      </top>
      <bottom/>
      <diagonal/>
    </border>
    <border>
      <left style="medium">
        <color indexed="64"/>
      </left>
      <right style="hair">
        <color indexed="8"/>
      </right>
      <top/>
      <bottom/>
      <diagonal/>
    </border>
    <border>
      <left style="medium">
        <color indexed="64"/>
      </left>
      <right style="hair">
        <color indexed="8"/>
      </right>
      <top/>
      <bottom style="hair">
        <color indexed="8"/>
      </bottom>
      <diagonal/>
    </border>
    <border>
      <left style="medium">
        <color indexed="64"/>
      </left>
      <right style="hair">
        <color indexed="8"/>
      </right>
      <top style="hair">
        <color indexed="8"/>
      </top>
      <bottom style="hair">
        <color indexed="8"/>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hair">
        <color indexed="8"/>
      </right>
      <top/>
      <bottom style="thin">
        <color indexed="64"/>
      </bottom>
      <diagonal/>
    </border>
    <border>
      <left style="hair">
        <color indexed="8"/>
      </left>
      <right style="medium">
        <color indexed="64"/>
      </right>
      <top style="hair">
        <color indexed="8"/>
      </top>
      <bottom style="thin">
        <color indexed="64"/>
      </bottom>
      <diagonal/>
    </border>
    <border>
      <left style="medium">
        <color indexed="64"/>
      </left>
      <right style="hair">
        <color indexed="8"/>
      </right>
      <top style="hair">
        <color indexed="8"/>
      </top>
      <bottom style="thin">
        <color indexed="64"/>
      </bottom>
      <diagonal/>
    </border>
    <border>
      <left/>
      <right style="medium">
        <color indexed="64"/>
      </right>
      <top style="hair">
        <color indexed="8"/>
      </top>
      <bottom style="thin">
        <color indexed="64"/>
      </bottom>
      <diagonal/>
    </border>
    <border>
      <left/>
      <right style="hair">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style="medium">
        <color indexed="64"/>
      </left>
      <right style="hair">
        <color indexed="8"/>
      </right>
      <top style="thin">
        <color indexed="64"/>
      </top>
      <bottom style="medium">
        <color indexed="64"/>
      </bottom>
      <diagonal/>
    </border>
    <border>
      <left/>
      <right style="medium">
        <color indexed="64"/>
      </right>
      <top style="hair">
        <color indexed="8"/>
      </top>
      <bottom style="hair">
        <color indexed="8"/>
      </bottom>
      <diagonal/>
    </border>
    <border>
      <left style="medium">
        <color indexed="64"/>
      </left>
      <right style="hair">
        <color indexed="8"/>
      </right>
      <top style="thin">
        <color indexed="64"/>
      </top>
      <bottom/>
      <diagonal/>
    </border>
    <border>
      <left/>
      <right style="medium">
        <color indexed="64"/>
      </right>
      <top/>
      <bottom style="hair">
        <color indexed="8"/>
      </bottom>
      <diagonal/>
    </border>
    <border>
      <left style="medium">
        <color indexed="64"/>
      </left>
      <right style="hair">
        <color indexed="8"/>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top style="hair">
        <color indexed="8"/>
      </top>
      <bottom style="thin">
        <color indexed="64"/>
      </bottom>
      <diagonal/>
    </border>
    <border>
      <left style="hair">
        <color indexed="8"/>
      </left>
      <right style="medium">
        <color indexed="64"/>
      </right>
      <top style="thin">
        <color indexed="64"/>
      </top>
      <bottom style="double">
        <color indexed="64"/>
      </bottom>
      <diagonal/>
    </border>
    <border>
      <left/>
      <right/>
      <top style="hair">
        <color indexed="8"/>
      </top>
      <bottom style="thin">
        <color indexed="64"/>
      </bottom>
      <diagonal/>
    </border>
    <border>
      <left style="hair">
        <color indexed="8"/>
      </left>
      <right/>
      <top style="hair">
        <color indexed="8"/>
      </top>
      <bottom style="medium">
        <color indexed="64"/>
      </bottom>
      <diagonal/>
    </border>
    <border>
      <left/>
      <right style="medium">
        <color indexed="64"/>
      </right>
      <top style="hair">
        <color indexed="8"/>
      </top>
      <bottom/>
      <diagonal/>
    </border>
    <border>
      <left/>
      <right style="hair">
        <color indexed="8"/>
      </right>
      <top/>
      <bottom/>
      <diagonal/>
    </border>
    <border>
      <left style="hair">
        <color indexed="64"/>
      </left>
      <right style="hair">
        <color indexed="8"/>
      </right>
      <top style="hair">
        <color indexed="8"/>
      </top>
      <bottom style="hair">
        <color indexed="8"/>
      </bottom>
      <diagonal/>
    </border>
  </borders>
  <cellStyleXfs count="215">
    <xf numFmtId="0" fontId="0" fillId="0" borderId="0"/>
    <xf numFmtId="166" fontId="3" fillId="0" borderId="0" applyFont="0" applyFill="0" applyBorder="0" applyAlignment="0" applyProtection="0"/>
    <xf numFmtId="164" fontId="12" fillId="0" borderId="0" applyFont="0" applyFill="0" applyBorder="0" applyAlignment="0" applyProtection="0"/>
    <xf numFmtId="41"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6" fontId="12" fillId="0" borderId="0" applyFont="0" applyFill="0" applyBorder="0" applyAlignment="0" applyProtection="0"/>
    <xf numFmtId="166"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6" fontId="1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6" fontId="5" fillId="0" borderId="0" applyFont="0" applyFill="0" applyBorder="0" applyAlignment="0" applyProtection="0"/>
    <xf numFmtId="43" fontId="5" fillId="0" borderId="0" applyFont="0" applyFill="0" applyBorder="0" applyAlignment="0" applyProtection="0"/>
    <xf numFmtId="166" fontId="35" fillId="0" borderId="0" applyFont="0" applyFill="0" applyBorder="0" applyAlignment="0" applyProtection="0"/>
    <xf numFmtId="166"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2" fillId="0" borderId="0" applyFont="0" applyFill="0" applyBorder="0" applyAlignment="0" applyProtection="0"/>
    <xf numFmtId="166"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48" fillId="14" borderId="0" applyNumberFormat="0" applyBorder="0" applyAlignment="0" applyProtection="0"/>
    <xf numFmtId="0" fontId="6"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9" fillId="15" borderId="0" applyNumberFormat="0" applyBorder="0" applyAlignment="0" applyProtection="0"/>
    <xf numFmtId="0" fontId="5" fillId="0" borderId="0"/>
    <xf numFmtId="0" fontId="16" fillId="0" borderId="0"/>
    <xf numFmtId="0" fontId="18" fillId="0" borderId="0"/>
    <xf numFmtId="0" fontId="15" fillId="0" borderId="0"/>
    <xf numFmtId="9" fontId="3"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2" fillId="0" borderId="0" applyFont="0" applyFill="0" applyBorder="0" applyAlignment="0" applyProtection="0"/>
    <xf numFmtId="9" fontId="5" fillId="0" borderId="0" applyFont="0" applyFill="0" applyBorder="0" applyAlignment="0" applyProtection="0"/>
    <xf numFmtId="9" fontId="17" fillId="0" borderId="0" applyFont="0" applyFill="0" applyBorder="0" applyAlignment="0" applyProtection="0"/>
    <xf numFmtId="9" fontId="5" fillId="0" borderId="0" applyFont="0" applyFill="0" applyBorder="0" applyAlignment="0" applyProtection="0"/>
    <xf numFmtId="9" fontId="18" fillId="0" borderId="0" applyFont="0" applyFill="0" applyBorder="0" applyAlignment="0" applyProtection="0"/>
    <xf numFmtId="9" fontId="35" fillId="0" borderId="0" applyFont="0" applyFill="0" applyBorder="0" applyAlignment="0" applyProtection="0"/>
    <xf numFmtId="9" fontId="5" fillId="0" borderId="0" applyFont="0" applyFill="0" applyBorder="0" applyAlignment="0" applyProtection="0"/>
    <xf numFmtId="9" fontId="42" fillId="0" borderId="0" applyFont="0" applyFill="0" applyBorder="0" applyAlignment="0" applyProtection="0"/>
    <xf numFmtId="0" fontId="51" fillId="0" borderId="0" applyNumberFormat="0" applyFill="0" applyBorder="0" applyAlignment="0" applyProtection="0"/>
    <xf numFmtId="0" fontId="45" fillId="0" borderId="0"/>
    <xf numFmtId="182" fontId="84" fillId="36" borderId="149">
      <alignment horizontal="left" vertical="center" wrapText="1"/>
    </xf>
    <xf numFmtId="0" fontId="84" fillId="36" borderId="149">
      <alignment horizontal="left" vertical="center" wrapText="1"/>
    </xf>
    <xf numFmtId="0" fontId="83" fillId="0" borderId="0">
      <alignment horizontal="left" vertical="center" wrapText="1"/>
    </xf>
    <xf numFmtId="1" fontId="83" fillId="35" borderId="149">
      <alignment horizontal="center" vertical="center" wrapText="1"/>
    </xf>
    <xf numFmtId="49" fontId="79" fillId="0" borderId="0">
      <alignment horizontal="center" vertical="center" wrapText="1"/>
    </xf>
    <xf numFmtId="0" fontId="83" fillId="36" borderId="149">
      <alignment vertical="center" wrapText="1"/>
      <protection locked="0"/>
    </xf>
    <xf numFmtId="0" fontId="83" fillId="0" borderId="0">
      <alignment horizontal="left" vertical="center" wrapText="1"/>
    </xf>
    <xf numFmtId="10" fontId="83" fillId="0" borderId="0">
      <alignment horizontal="center" vertical="center" wrapText="1"/>
    </xf>
    <xf numFmtId="0" fontId="79" fillId="0" borderId="0">
      <alignment horizontal="left" vertical="center" wrapText="1"/>
    </xf>
    <xf numFmtId="4" fontId="85" fillId="0" borderId="0">
      <alignment horizontal="center" vertical="center" wrapText="1"/>
    </xf>
    <xf numFmtId="49" fontId="85" fillId="0" borderId="0">
      <alignment vertical="center" wrapText="1"/>
    </xf>
    <xf numFmtId="49" fontId="83" fillId="36" borderId="149">
      <alignment vertical="center" wrapText="1"/>
      <protection locked="0"/>
    </xf>
    <xf numFmtId="0" fontId="83" fillId="36" borderId="149">
      <alignment horizontal="center" vertical="center" wrapText="1"/>
      <protection locked="0"/>
    </xf>
    <xf numFmtId="0" fontId="83" fillId="0" borderId="0">
      <alignment horizontal="left" vertical="center" wrapText="1"/>
    </xf>
    <xf numFmtId="14" fontId="83" fillId="36" borderId="149">
      <alignment horizontal="center" vertical="center" wrapText="1"/>
    </xf>
    <xf numFmtId="0" fontId="83" fillId="0" borderId="0">
      <alignment horizontal="center" vertical="center" wrapText="1"/>
    </xf>
    <xf numFmtId="10" fontId="83" fillId="35" borderId="149">
      <alignment horizontal="center" vertical="center" wrapText="1"/>
    </xf>
    <xf numFmtId="42" fontId="83" fillId="35" borderId="149">
      <alignment vertical="center"/>
    </xf>
    <xf numFmtId="0" fontId="82" fillId="36" borderId="149">
      <alignment horizontal="left" vertical="center" wrapText="1"/>
      <protection locked="0"/>
    </xf>
    <xf numFmtId="10" fontId="83" fillId="36" borderId="149">
      <alignment horizontal="center" vertical="center"/>
      <protection locked="0"/>
    </xf>
    <xf numFmtId="49" fontId="83" fillId="36" borderId="149">
      <alignment horizontal="center" vertical="center" wrapText="1"/>
      <protection locked="0"/>
    </xf>
    <xf numFmtId="43" fontId="45" fillId="0" borderId="0" applyFont="0" applyFill="0" applyBorder="0" applyAlignment="0" applyProtection="0"/>
    <xf numFmtId="0" fontId="88" fillId="0" borderId="0" applyNumberFormat="0" applyFill="0" applyBorder="0" applyAlignment="0" applyProtection="0"/>
    <xf numFmtId="49" fontId="83" fillId="36" borderId="149">
      <alignment horizontal="center" vertical="center" wrapText="1"/>
      <protection locked="0"/>
    </xf>
    <xf numFmtId="0" fontId="83" fillId="0" borderId="0">
      <alignment horizontal="right" vertical="center" wrapText="1"/>
    </xf>
    <xf numFmtId="14" fontId="83" fillId="36" borderId="149">
      <alignment horizontal="center" vertical="center"/>
      <protection locked="0"/>
    </xf>
    <xf numFmtId="14" fontId="83" fillId="0" borderId="0">
      <alignment horizontal="center" vertical="center" wrapText="1"/>
    </xf>
    <xf numFmtId="0" fontId="79" fillId="36" borderId="149">
      <alignment horizontal="center" vertical="center" wrapText="1"/>
      <protection locked="0"/>
    </xf>
    <xf numFmtId="49" fontId="85" fillId="0" borderId="0">
      <alignment vertical="center" wrapText="1"/>
    </xf>
    <xf numFmtId="0" fontId="82" fillId="35" borderId="0">
      <alignment vertical="center" wrapText="1"/>
    </xf>
    <xf numFmtId="184" fontId="83" fillId="35" borderId="149">
      <alignment vertical="center"/>
    </xf>
    <xf numFmtId="49" fontId="79" fillId="0" borderId="0">
      <alignment horizontal="left" vertical="center" wrapText="1"/>
    </xf>
    <xf numFmtId="182" fontId="82" fillId="36" borderId="149">
      <alignment horizontal="left" vertical="center"/>
      <protection locked="0"/>
    </xf>
    <xf numFmtId="49" fontId="83" fillId="36" borderId="158">
      <alignment vertical="center"/>
      <protection locked="0"/>
    </xf>
    <xf numFmtId="179" fontId="83" fillId="36" borderId="149">
      <alignment vertical="center"/>
      <protection locked="0"/>
    </xf>
    <xf numFmtId="41" fontId="83" fillId="36" borderId="149">
      <alignment vertical="center"/>
      <protection locked="0"/>
    </xf>
    <xf numFmtId="49" fontId="81" fillId="0" borderId="0">
      <alignment vertical="center" wrapText="1"/>
    </xf>
    <xf numFmtId="179" fontId="83" fillId="35" borderId="149">
      <alignment vertical="center"/>
    </xf>
    <xf numFmtId="1" fontId="83" fillId="36" borderId="149">
      <alignment horizontal="center" vertical="center"/>
      <protection locked="0"/>
    </xf>
    <xf numFmtId="14" fontId="83" fillId="35" borderId="149">
      <alignment horizontal="center" vertical="center" wrapText="1"/>
    </xf>
    <xf numFmtId="41" fontId="83" fillId="35" borderId="149">
      <alignment vertical="center"/>
    </xf>
    <xf numFmtId="0" fontId="79" fillId="0" borderId="0">
      <alignment horizontal="center" vertical="center" wrapText="1"/>
    </xf>
    <xf numFmtId="0" fontId="84" fillId="0" borderId="0">
      <alignment horizontal="left" vertical="center" wrapText="1"/>
    </xf>
    <xf numFmtId="0" fontId="83" fillId="36" borderId="149">
      <alignment horizontal="center" vertical="center" wrapText="1"/>
    </xf>
    <xf numFmtId="42" fontId="85" fillId="0" borderId="0">
      <alignment vertical="center" wrapText="1"/>
    </xf>
    <xf numFmtId="9" fontId="85" fillId="0" borderId="0">
      <alignment horizontal="right" vertical="center" wrapText="1"/>
    </xf>
    <xf numFmtId="180" fontId="85" fillId="0" borderId="0">
      <alignment horizontal="right" vertical="center" wrapText="1"/>
    </xf>
    <xf numFmtId="3" fontId="85" fillId="0" borderId="0">
      <alignment horizontal="center" vertical="center" wrapText="1"/>
    </xf>
    <xf numFmtId="182" fontId="85" fillId="0" borderId="0">
      <alignment horizontal="center" vertical="center" wrapText="1"/>
    </xf>
    <xf numFmtId="10" fontId="85" fillId="0" borderId="0">
      <alignment horizontal="right" vertical="center" wrapText="1"/>
    </xf>
    <xf numFmtId="185" fontId="85" fillId="0" borderId="0">
      <alignment horizontal="center" vertical="center" wrapText="1"/>
    </xf>
    <xf numFmtId="49" fontId="85" fillId="35" borderId="149">
      <alignment horizontal="center" vertical="center" wrapText="1"/>
    </xf>
    <xf numFmtId="0" fontId="86" fillId="0" borderId="0" applyNumberFormat="0" applyFill="0" applyBorder="0" applyAlignment="0" applyProtection="0"/>
    <xf numFmtId="0" fontId="45" fillId="2" borderId="0" applyNumberFormat="0" applyBorder="0" applyAlignment="0" applyProtection="0"/>
    <xf numFmtId="0" fontId="45" fillId="8" borderId="0" applyNumberFormat="0" applyBorder="0" applyAlignment="0" applyProtection="0"/>
    <xf numFmtId="0" fontId="45" fillId="3" borderId="0" applyNumberFormat="0" applyBorder="0" applyAlignment="0" applyProtection="0"/>
    <xf numFmtId="0" fontId="45" fillId="9" borderId="0" applyNumberFormat="0" applyBorder="0" applyAlignment="0" applyProtection="0"/>
    <xf numFmtId="0" fontId="45" fillId="4" borderId="0" applyNumberFormat="0" applyBorder="0" applyAlignment="0" applyProtection="0"/>
    <xf numFmtId="0" fontId="45" fillId="10" borderId="0" applyNumberFormat="0" applyBorder="0" applyAlignment="0" applyProtection="0"/>
    <xf numFmtId="0" fontId="45" fillId="5" borderId="0" applyNumberFormat="0" applyBorder="0" applyAlignment="0" applyProtection="0"/>
    <xf numFmtId="0" fontId="45" fillId="11" borderId="0" applyNumberFormat="0" applyBorder="0" applyAlignment="0" applyProtection="0"/>
    <xf numFmtId="0" fontId="45" fillId="6" borderId="0" applyNumberFormat="0" applyBorder="0" applyAlignment="0" applyProtection="0"/>
    <xf numFmtId="0" fontId="45" fillId="12" borderId="0" applyNumberFormat="0" applyBorder="0" applyAlignment="0" applyProtection="0"/>
    <xf numFmtId="0" fontId="45" fillId="7" borderId="0" applyNumberFormat="0" applyBorder="0" applyAlignment="0" applyProtection="0"/>
    <xf numFmtId="0" fontId="45" fillId="13" borderId="0" applyNumberFormat="0" applyBorder="0" applyAlignment="0" applyProtection="0"/>
    <xf numFmtId="41" fontId="83" fillId="36" borderId="149">
      <alignment vertical="center"/>
      <protection locked="0"/>
    </xf>
    <xf numFmtId="41" fontId="83" fillId="35" borderId="149">
      <alignment vertical="center"/>
    </xf>
    <xf numFmtId="42" fontId="83" fillId="35" borderId="149">
      <alignment vertical="center"/>
    </xf>
    <xf numFmtId="0" fontId="87" fillId="0" borderId="0" applyNumberFormat="0" applyFill="0" applyBorder="0" applyAlignment="0" applyProtection="0"/>
    <xf numFmtId="10" fontId="79" fillId="0" borderId="149">
      <alignment horizontal="center" vertical="center"/>
    </xf>
    <xf numFmtId="0" fontId="79" fillId="0" borderId="0">
      <alignment horizontal="left" vertical="center" wrapText="1"/>
    </xf>
    <xf numFmtId="0" fontId="79" fillId="0" borderId="0">
      <alignment horizontal="center" vertical="center" wrapText="1"/>
    </xf>
    <xf numFmtId="182" fontId="79" fillId="0" borderId="0">
      <alignment horizontal="left" vertical="center" wrapText="1"/>
    </xf>
    <xf numFmtId="0" fontId="83" fillId="36" borderId="149">
      <alignment horizontal="left" vertical="center"/>
    </xf>
    <xf numFmtId="180" fontId="83" fillId="36" borderId="149">
      <alignment horizontal="center" vertical="center"/>
      <protection locked="0"/>
    </xf>
    <xf numFmtId="10" fontId="83" fillId="36" borderId="149">
      <alignment horizontal="center" vertical="center"/>
      <protection locked="0"/>
    </xf>
    <xf numFmtId="0" fontId="83" fillId="35" borderId="149">
      <alignment horizontal="center" vertical="center" wrapText="1"/>
    </xf>
    <xf numFmtId="186" fontId="83" fillId="35" borderId="149">
      <alignment horizontal="center" vertical="center" wrapText="1"/>
    </xf>
    <xf numFmtId="4" fontId="83" fillId="35" borderId="167">
      <alignment horizontal="center" vertical="center"/>
    </xf>
    <xf numFmtId="187" fontId="83" fillId="35" borderId="167">
      <alignment horizontal="center" vertical="center"/>
    </xf>
    <xf numFmtId="188" fontId="83" fillId="35" borderId="149">
      <alignment horizontal="center" vertical="center" wrapText="1"/>
    </xf>
    <xf numFmtId="0" fontId="83" fillId="35" borderId="149">
      <alignment horizontal="left" vertical="center" wrapText="1"/>
    </xf>
    <xf numFmtId="0" fontId="83" fillId="35" borderId="149">
      <alignment horizontal="center" vertical="center" wrapText="1"/>
    </xf>
    <xf numFmtId="183" fontId="83" fillId="35" borderId="149">
      <alignment horizontal="center" vertical="center" wrapText="1"/>
    </xf>
    <xf numFmtId="179" fontId="83" fillId="35" borderId="149">
      <alignment horizontal="center" vertical="center"/>
    </xf>
    <xf numFmtId="10" fontId="80" fillId="35" borderId="149">
      <alignment horizontal="center" vertical="center" wrapText="1"/>
    </xf>
    <xf numFmtId="9" fontId="83" fillId="35" borderId="149">
      <alignment horizontal="center" vertical="center" wrapText="1"/>
    </xf>
    <xf numFmtId="0" fontId="47" fillId="37" borderId="149" applyProtection="0">
      <alignment horizontal="center" vertical="center" wrapText="1"/>
    </xf>
    <xf numFmtId="187" fontId="85" fillId="0" borderId="0">
      <alignment horizontal="center" vertical="center" wrapText="1"/>
    </xf>
    <xf numFmtId="44" fontId="85" fillId="0" borderId="0">
      <alignment vertical="center" wrapText="1"/>
    </xf>
    <xf numFmtId="49" fontId="89" fillId="0" borderId="0">
      <alignment vertical="center" wrapText="1"/>
    </xf>
    <xf numFmtId="49" fontId="81" fillId="0" borderId="0">
      <alignment horizontal="center" vertical="center" wrapText="1"/>
    </xf>
    <xf numFmtId="182" fontId="81" fillId="0" borderId="0">
      <alignment horizontal="center" vertical="center" wrapText="1"/>
    </xf>
    <xf numFmtId="5" fontId="79" fillId="0" borderId="0">
      <alignment horizontal="center" vertical="center" wrapText="1"/>
    </xf>
    <xf numFmtId="14" fontId="79" fillId="0" borderId="0">
      <alignment horizontal="center" vertical="center" wrapText="1"/>
    </xf>
    <xf numFmtId="0" fontId="79" fillId="0" borderId="0">
      <alignment horizontal="left" vertical="center" wrapText="1"/>
    </xf>
    <xf numFmtId="49" fontId="79" fillId="0" borderId="0">
      <alignment horizontal="right" vertical="center" wrapText="1"/>
    </xf>
    <xf numFmtId="0" fontId="44" fillId="0" borderId="0">
      <alignment vertical="center" wrapText="1"/>
    </xf>
    <xf numFmtId="49" fontId="79" fillId="38" borderId="149">
      <alignment horizontal="center" vertical="center" wrapText="1"/>
    </xf>
    <xf numFmtId="0" fontId="81" fillId="0" borderId="0">
      <alignment vertical="center" wrapText="1"/>
      <protection locked="0"/>
    </xf>
    <xf numFmtId="0" fontId="82" fillId="35" borderId="149">
      <alignment horizontal="center" vertical="center" wrapText="1"/>
    </xf>
    <xf numFmtId="0" fontId="82" fillId="35" borderId="149">
      <alignment vertical="center" wrapText="1"/>
    </xf>
    <xf numFmtId="49" fontId="83" fillId="0" borderId="0">
      <alignment horizontal="left" vertical="center" wrapText="1"/>
    </xf>
    <xf numFmtId="49" fontId="79" fillId="0" borderId="0">
      <alignment horizontal="center" vertical="center" wrapText="1"/>
    </xf>
    <xf numFmtId="182" fontId="79" fillId="0" borderId="0">
      <alignment horizontal="left" wrapText="1"/>
    </xf>
    <xf numFmtId="0" fontId="43" fillId="39" borderId="149">
      <alignment vertical="center"/>
    </xf>
    <xf numFmtId="179" fontId="43" fillId="36" borderId="167">
      <alignment vertical="center"/>
      <protection locked="0"/>
    </xf>
    <xf numFmtId="9" fontId="93" fillId="0" borderId="0" applyFont="0" applyFill="0" applyBorder="0" applyAlignment="0" applyProtection="0"/>
    <xf numFmtId="44" fontId="93" fillId="0" borderId="0" applyFont="0" applyFill="0" applyBorder="0" applyAlignment="0" applyProtection="0"/>
    <xf numFmtId="9" fontId="2" fillId="0" borderId="0" applyFont="0" applyFill="0" applyBorder="0" applyAlignment="0" applyProtection="0"/>
    <xf numFmtId="164" fontId="3" fillId="0" borderId="0" applyFont="0" applyFill="0" applyBorder="0" applyAlignment="0" applyProtection="0"/>
    <xf numFmtId="41"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1" fillId="0" borderId="0"/>
    <xf numFmtId="43" fontId="1" fillId="0" borderId="0" applyFont="0" applyFill="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9" fontId="1" fillId="0" borderId="0" applyFont="0" applyFill="0" applyBorder="0" applyAlignment="0" applyProtection="0"/>
    <xf numFmtId="166" fontId="3" fillId="0" borderId="0" applyFont="0" applyFill="0" applyBorder="0" applyAlignment="0" applyProtection="0"/>
    <xf numFmtId="0" fontId="3" fillId="0" borderId="0"/>
    <xf numFmtId="43" fontId="1" fillId="0" borderId="0" applyFont="0" applyFill="0" applyBorder="0" applyAlignment="0" applyProtection="0"/>
    <xf numFmtId="44" fontId="97" fillId="0" borderId="0" applyFont="0" applyFill="0" applyBorder="0" applyAlignment="0" applyProtection="0"/>
  </cellStyleXfs>
  <cellXfs count="2600">
    <xf numFmtId="0" fontId="0" fillId="0" borderId="0" xfId="0"/>
    <xf numFmtId="43" fontId="10" fillId="0" borderId="0" xfId="30" applyNumberFormat="1" applyFont="1" applyBorder="1" applyAlignment="1" applyProtection="1">
      <alignment horizontal="center"/>
    </xf>
    <xf numFmtId="0" fontId="4" fillId="16" borderId="1" xfId="0" applyFont="1" applyFill="1" applyBorder="1" applyAlignment="1">
      <alignment horizontal="left"/>
    </xf>
    <xf numFmtId="172" fontId="4" fillId="16" borderId="2" xfId="0" applyNumberFormat="1" applyFont="1" applyFill="1" applyBorder="1" applyAlignment="1">
      <alignment horizontal="left"/>
    </xf>
    <xf numFmtId="170" fontId="4" fillId="16" borderId="2" xfId="0" applyNumberFormat="1" applyFont="1" applyFill="1" applyBorder="1" applyAlignment="1">
      <alignment horizontal="left"/>
    </xf>
    <xf numFmtId="170" fontId="4" fillId="16" borderId="2" xfId="0" applyNumberFormat="1" applyFont="1" applyFill="1" applyBorder="1" applyAlignment="1">
      <alignment horizontal="left" wrapText="1"/>
    </xf>
    <xf numFmtId="166" fontId="4" fillId="17" borderId="3" xfId="15" applyFont="1" applyFill="1" applyBorder="1" applyAlignment="1">
      <alignment horizontal="left"/>
    </xf>
    <xf numFmtId="177" fontId="4" fillId="17" borderId="3" xfId="0" applyNumberFormat="1" applyFont="1" applyFill="1" applyBorder="1" applyAlignment="1">
      <alignment horizontal="left"/>
    </xf>
    <xf numFmtId="43" fontId="5" fillId="0" borderId="0" xfId="0" applyNumberFormat="1" applyFont="1" applyAlignment="1">
      <alignment horizontal="left"/>
    </xf>
    <xf numFmtId="177" fontId="4" fillId="0" borderId="0" xfId="0" applyNumberFormat="1" applyFont="1" applyAlignment="1">
      <alignment horizontal="left"/>
    </xf>
    <xf numFmtId="43" fontId="4" fillId="0" borderId="0" xfId="0" applyNumberFormat="1" applyFont="1" applyAlignment="1">
      <alignment horizontal="left"/>
    </xf>
    <xf numFmtId="170" fontId="4" fillId="0" borderId="0" xfId="0" applyNumberFormat="1" applyFont="1" applyAlignment="1">
      <alignment horizontal="left"/>
    </xf>
    <xf numFmtId="166" fontId="48" fillId="0" borderId="4" xfId="4" applyFont="1" applyFill="1" applyBorder="1" applyAlignment="1">
      <alignment horizontal="center"/>
    </xf>
    <xf numFmtId="166" fontId="49" fillId="0" borderId="4" xfId="4" applyFont="1" applyFill="1" applyBorder="1" applyAlignment="1">
      <alignment horizontal="center"/>
    </xf>
    <xf numFmtId="166" fontId="50" fillId="17" borderId="146" xfId="4" applyFont="1" applyFill="1" applyBorder="1" applyAlignment="1"/>
    <xf numFmtId="166" fontId="50" fillId="17" borderId="147" xfId="4" applyFont="1" applyFill="1" applyBorder="1" applyAlignment="1">
      <alignment horizontal="center"/>
    </xf>
    <xf numFmtId="166" fontId="50" fillId="17" borderId="5" xfId="4" applyFont="1" applyFill="1" applyBorder="1" applyAlignment="1">
      <alignment horizontal="center"/>
    </xf>
    <xf numFmtId="166" fontId="50" fillId="17" borderId="148" xfId="4" applyFont="1" applyFill="1" applyBorder="1" applyAlignment="1">
      <alignment horizontal="center"/>
    </xf>
    <xf numFmtId="166" fontId="50" fillId="17" borderId="145" xfId="4" applyFont="1" applyFill="1" applyBorder="1" applyAlignment="1">
      <alignment horizontal="center"/>
    </xf>
    <xf numFmtId="43" fontId="24" fillId="0" borderId="0" xfId="0" applyNumberFormat="1" applyFont="1"/>
    <xf numFmtId="43" fontId="25" fillId="0" borderId="0" xfId="0" applyNumberFormat="1" applyFont="1" applyAlignment="1">
      <alignment horizontal="center"/>
    </xf>
    <xf numFmtId="43" fontId="25" fillId="0" borderId="0" xfId="0" applyNumberFormat="1" applyFont="1"/>
    <xf numFmtId="43" fontId="25" fillId="0" borderId="0" xfId="33" applyNumberFormat="1" applyFont="1" applyAlignment="1" applyProtection="1"/>
    <xf numFmtId="43" fontId="24" fillId="0" borderId="6" xfId="0" applyNumberFormat="1" applyFont="1" applyBorder="1"/>
    <xf numFmtId="43" fontId="24" fillId="0" borderId="7" xfId="0" applyNumberFormat="1" applyFont="1" applyBorder="1"/>
    <xf numFmtId="43" fontId="24" fillId="0" borderId="8" xfId="0" applyNumberFormat="1" applyFont="1" applyBorder="1"/>
    <xf numFmtId="43" fontId="26" fillId="0" borderId="9" xfId="0" applyNumberFormat="1" applyFont="1" applyBorder="1"/>
    <xf numFmtId="43" fontId="26" fillId="0" borderId="0" xfId="0" applyNumberFormat="1" applyFont="1"/>
    <xf numFmtId="0" fontId="24" fillId="0" borderId="0" xfId="0" applyFont="1"/>
    <xf numFmtId="43" fontId="28" fillId="0" borderId="10" xfId="0" applyNumberFormat="1" applyFont="1" applyBorder="1"/>
    <xf numFmtId="43" fontId="28" fillId="0" borderId="0" xfId="0" quotePrefix="1" applyNumberFormat="1" applyFont="1"/>
    <xf numFmtId="43" fontId="26" fillId="0" borderId="9" xfId="0" applyNumberFormat="1" applyFont="1" applyBorder="1" applyAlignment="1">
      <alignment horizontal="left"/>
    </xf>
    <xf numFmtId="0" fontId="24" fillId="0" borderId="0" xfId="0" quotePrefix="1" applyFont="1"/>
    <xf numFmtId="43" fontId="24" fillId="0" borderId="10" xfId="0" applyNumberFormat="1" applyFont="1" applyBorder="1"/>
    <xf numFmtId="43" fontId="26" fillId="0" borderId="9" xfId="0" quotePrefix="1" applyNumberFormat="1" applyFont="1" applyBorder="1" applyAlignment="1">
      <alignment horizontal="left"/>
    </xf>
    <xf numFmtId="169" fontId="25" fillId="0" borderId="10" xfId="0" quotePrefix="1" applyNumberFormat="1" applyFont="1" applyBorder="1" applyAlignment="1">
      <alignment horizontal="left"/>
    </xf>
    <xf numFmtId="43" fontId="26" fillId="0" borderId="11" xfId="0" applyNumberFormat="1" applyFont="1" applyBorder="1"/>
    <xf numFmtId="15" fontId="24" fillId="0" borderId="12" xfId="0" quotePrefix="1" applyNumberFormat="1" applyFont="1" applyBorder="1"/>
    <xf numFmtId="43" fontId="28" fillId="0" borderId="13" xfId="0" applyNumberFormat="1" applyFont="1" applyBorder="1"/>
    <xf numFmtId="43" fontId="26" fillId="0" borderId="11" xfId="0" quotePrefix="1" applyNumberFormat="1" applyFont="1" applyBorder="1" applyAlignment="1">
      <alignment horizontal="left"/>
    </xf>
    <xf numFmtId="0" fontId="24" fillId="0" borderId="12" xfId="0" applyFont="1" applyBorder="1"/>
    <xf numFmtId="15" fontId="25" fillId="0" borderId="13" xfId="0" applyNumberFormat="1" applyFont="1" applyBorder="1"/>
    <xf numFmtId="43" fontId="19" fillId="0" borderId="1" xfId="0" applyNumberFormat="1" applyFont="1" applyBorder="1" applyAlignment="1">
      <alignment horizontal="center"/>
    </xf>
    <xf numFmtId="43" fontId="19" fillId="0" borderId="2" xfId="0" applyNumberFormat="1" applyFont="1" applyBorder="1" applyAlignment="1">
      <alignment horizontal="center"/>
    </xf>
    <xf numFmtId="43" fontId="19" fillId="0" borderId="14" xfId="0" applyNumberFormat="1" applyFont="1" applyBorder="1" applyAlignment="1">
      <alignment horizontal="center"/>
    </xf>
    <xf numFmtId="43" fontId="24" fillId="0" borderId="0" xfId="0" applyNumberFormat="1" applyFont="1" applyAlignment="1">
      <alignment vertical="center"/>
    </xf>
    <xf numFmtId="167" fontId="19" fillId="0" borderId="15" xfId="0" applyNumberFormat="1" applyFont="1" applyBorder="1" applyAlignment="1">
      <alignment horizontal="right" vertical="center"/>
    </xf>
    <xf numFmtId="167" fontId="19" fillId="0" borderId="17" xfId="0" quotePrefix="1" applyNumberFormat="1" applyFont="1" applyBorder="1" applyAlignment="1">
      <alignment horizontal="left" vertical="center"/>
    </xf>
    <xf numFmtId="167" fontId="19" fillId="0" borderId="17" xfId="0" applyNumberFormat="1" applyFont="1" applyBorder="1" applyAlignment="1">
      <alignment horizontal="right" vertical="center"/>
    </xf>
    <xf numFmtId="167" fontId="19" fillId="0" borderId="18" xfId="0" applyNumberFormat="1" applyFont="1" applyBorder="1" applyAlignment="1">
      <alignment horizontal="right" vertical="center"/>
    </xf>
    <xf numFmtId="167" fontId="19" fillId="0" borderId="17" xfId="0" quotePrefix="1" applyNumberFormat="1" applyFont="1" applyBorder="1" applyAlignment="1">
      <alignment horizontal="right" vertical="center"/>
    </xf>
    <xf numFmtId="167" fontId="19" fillId="0" borderId="17" xfId="0" applyNumberFormat="1" applyFont="1" applyBorder="1" applyAlignment="1">
      <alignment horizontal="left" vertical="center"/>
    </xf>
    <xf numFmtId="167" fontId="19" fillId="0" borderId="18" xfId="0" quotePrefix="1" applyNumberFormat="1" applyFont="1" applyBorder="1" applyAlignment="1">
      <alignment horizontal="right" vertical="center"/>
    </xf>
    <xf numFmtId="167" fontId="20" fillId="0" borderId="18" xfId="0" applyNumberFormat="1" applyFont="1" applyBorder="1" applyAlignment="1">
      <alignment horizontal="center" vertical="center"/>
    </xf>
    <xf numFmtId="167" fontId="19" fillId="0" borderId="19" xfId="0" applyNumberFormat="1" applyFont="1" applyBorder="1" applyAlignment="1">
      <alignment horizontal="right" vertical="center"/>
    </xf>
    <xf numFmtId="167" fontId="19" fillId="0" borderId="20" xfId="0" applyNumberFormat="1" applyFont="1" applyBorder="1" applyAlignment="1">
      <alignment horizontal="right" vertical="center"/>
    </xf>
    <xf numFmtId="167" fontId="19" fillId="0" borderId="15" xfId="0" applyNumberFormat="1" applyFont="1" applyBorder="1" applyAlignment="1">
      <alignment horizontal="left" vertical="center"/>
    </xf>
    <xf numFmtId="167" fontId="19" fillId="0" borderId="21" xfId="0" quotePrefix="1" applyNumberFormat="1" applyFont="1" applyBorder="1" applyAlignment="1">
      <alignment horizontal="right" vertical="center"/>
    </xf>
    <xf numFmtId="166" fontId="19" fillId="0" borderId="17" xfId="1" applyFont="1" applyBorder="1" applyAlignment="1">
      <alignment horizontal="right" vertical="center"/>
    </xf>
    <xf numFmtId="0" fontId="19" fillId="0" borderId="22" xfId="0" applyFont="1" applyBorder="1" applyAlignment="1">
      <alignment horizontal="center" vertical="center"/>
    </xf>
    <xf numFmtId="167" fontId="19" fillId="0" borderId="23" xfId="0" applyNumberFormat="1" applyFont="1" applyBorder="1" applyAlignment="1">
      <alignment horizontal="left" vertical="center"/>
    </xf>
    <xf numFmtId="167" fontId="19" fillId="0" borderId="24" xfId="0" quotePrefix="1" applyNumberFormat="1" applyFont="1" applyBorder="1" applyAlignment="1">
      <alignment horizontal="right" vertical="center"/>
    </xf>
    <xf numFmtId="167" fontId="19" fillId="0" borderId="16" xfId="0" applyNumberFormat="1" applyFont="1" applyBorder="1" applyAlignment="1">
      <alignment horizontal="center" vertical="center"/>
    </xf>
    <xf numFmtId="167" fontId="19" fillId="0" borderId="23" xfId="0" applyNumberFormat="1" applyFont="1" applyBorder="1" applyAlignment="1">
      <alignment horizontal="right" vertical="center"/>
    </xf>
    <xf numFmtId="167" fontId="19" fillId="0" borderId="25" xfId="0" applyNumberFormat="1" applyFont="1" applyBorder="1" applyAlignment="1">
      <alignment horizontal="right" vertical="center"/>
    </xf>
    <xf numFmtId="167" fontId="19" fillId="0" borderId="26" xfId="0" applyNumberFormat="1" applyFont="1" applyBorder="1" applyAlignment="1">
      <alignment horizontal="right" vertical="center"/>
    </xf>
    <xf numFmtId="167" fontId="19" fillId="0" borderId="27" xfId="0" applyNumberFormat="1" applyFont="1" applyBorder="1" applyAlignment="1">
      <alignment horizontal="right" vertical="center"/>
    </xf>
    <xf numFmtId="167" fontId="19" fillId="0" borderId="27" xfId="0" applyNumberFormat="1" applyFont="1" applyBorder="1" applyAlignment="1">
      <alignment horizontal="left" vertical="center"/>
    </xf>
    <xf numFmtId="167" fontId="19" fillId="0" borderId="28" xfId="0" quotePrefix="1" applyNumberFormat="1" applyFont="1" applyBorder="1" applyAlignment="1">
      <alignment horizontal="right" vertical="center"/>
    </xf>
    <xf numFmtId="167" fontId="19" fillId="0" borderId="29" xfId="0" applyNumberFormat="1" applyFont="1" applyBorder="1" applyAlignment="1">
      <alignment horizontal="right" vertical="center"/>
    </xf>
    <xf numFmtId="167" fontId="19" fillId="0" borderId="15" xfId="0" quotePrefix="1" applyNumberFormat="1" applyFont="1" applyBorder="1" applyAlignment="1">
      <alignment horizontal="right" vertical="center"/>
    </xf>
    <xf numFmtId="167" fontId="19" fillId="0" borderId="30" xfId="0" applyNumberFormat="1" applyFont="1" applyBorder="1" applyAlignment="1">
      <alignment horizontal="right" vertical="center"/>
    </xf>
    <xf numFmtId="166" fontId="19" fillId="0" borderId="23" xfId="1" applyFont="1" applyBorder="1" applyAlignment="1">
      <alignment horizontal="right" vertical="center"/>
    </xf>
    <xf numFmtId="43" fontId="24" fillId="0" borderId="6" xfId="0" applyNumberFormat="1" applyFont="1" applyBorder="1" applyAlignment="1">
      <alignment horizontal="left"/>
    </xf>
    <xf numFmtId="0" fontId="24" fillId="0" borderId="7" xfId="0" applyFont="1" applyBorder="1"/>
    <xf numFmtId="43" fontId="28" fillId="0" borderId="8" xfId="0" applyNumberFormat="1" applyFont="1" applyBorder="1"/>
    <xf numFmtId="43" fontId="24" fillId="0" borderId="0" xfId="0" applyNumberFormat="1" applyFont="1" applyAlignment="1">
      <alignment horizontal="left"/>
    </xf>
    <xf numFmtId="43" fontId="24" fillId="0" borderId="9" xfId="0" applyNumberFormat="1" applyFont="1" applyBorder="1"/>
    <xf numFmtId="43" fontId="24" fillId="0" borderId="9" xfId="0" quotePrefix="1" applyNumberFormat="1" applyFont="1" applyBorder="1" applyAlignment="1">
      <alignment horizontal="left"/>
    </xf>
    <xf numFmtId="43" fontId="24" fillId="0" borderId="11" xfId="0" applyNumberFormat="1" applyFont="1" applyBorder="1"/>
    <xf numFmtId="43" fontId="24" fillId="0" borderId="11" xfId="0" quotePrefix="1" applyNumberFormat="1" applyFont="1" applyBorder="1" applyAlignment="1">
      <alignment horizontal="left"/>
    </xf>
    <xf numFmtId="43" fontId="24" fillId="0" borderId="12" xfId="0" applyNumberFormat="1" applyFont="1" applyBorder="1"/>
    <xf numFmtId="43" fontId="25" fillId="0" borderId="6" xfId="0" applyNumberFormat="1" applyFont="1" applyBorder="1" applyAlignment="1">
      <alignment horizontal="center"/>
    </xf>
    <xf numFmtId="0" fontId="24" fillId="0" borderId="7" xfId="0" quotePrefix="1" applyFont="1" applyBorder="1"/>
    <xf numFmtId="43" fontId="24" fillId="0" borderId="13" xfId="0" applyNumberFormat="1" applyFont="1" applyBorder="1"/>
    <xf numFmtId="167" fontId="20" fillId="0" borderId="0" xfId="0" applyNumberFormat="1" applyFont="1" applyAlignment="1">
      <alignment vertical="center"/>
    </xf>
    <xf numFmtId="167" fontId="19" fillId="0" borderId="26" xfId="0" applyNumberFormat="1" applyFont="1" applyBorder="1" applyAlignment="1">
      <alignment vertical="center"/>
    </xf>
    <xf numFmtId="167" fontId="19" fillId="0" borderId="32" xfId="0" applyNumberFormat="1" applyFont="1" applyBorder="1" applyAlignment="1">
      <alignment vertical="center"/>
    </xf>
    <xf numFmtId="49" fontId="19" fillId="0" borderId="26" xfId="0" applyNumberFormat="1" applyFont="1" applyBorder="1" applyAlignment="1">
      <alignment vertical="center"/>
    </xf>
    <xf numFmtId="43" fontId="24" fillId="0" borderId="9" xfId="0" quotePrefix="1" applyNumberFormat="1" applyFont="1" applyBorder="1"/>
    <xf numFmtId="43" fontId="24" fillId="0" borderId="11" xfId="0" quotePrefix="1" applyNumberFormat="1" applyFont="1" applyBorder="1"/>
    <xf numFmtId="43" fontId="54" fillId="0" borderId="0" xfId="0" applyNumberFormat="1" applyFont="1" applyAlignment="1">
      <alignment vertical="center"/>
    </xf>
    <xf numFmtId="166" fontId="24" fillId="0" borderId="0" xfId="1" applyFont="1" applyAlignment="1">
      <alignment horizontal="right"/>
    </xf>
    <xf numFmtId="166" fontId="25" fillId="0" borderId="0" xfId="1" applyFont="1" applyBorder="1" applyAlignment="1">
      <alignment horizontal="right"/>
    </xf>
    <xf numFmtId="166" fontId="24" fillId="0" borderId="7" xfId="1" applyFont="1" applyBorder="1" applyAlignment="1">
      <alignment horizontal="right"/>
    </xf>
    <xf numFmtId="0" fontId="24" fillId="0" borderId="0" xfId="1" quotePrefix="1" applyNumberFormat="1" applyFont="1" applyBorder="1" applyAlignment="1"/>
    <xf numFmtId="166" fontId="24" fillId="0" borderId="0" xfId="1" applyFont="1" applyBorder="1" applyAlignment="1">
      <alignment horizontal="right"/>
    </xf>
    <xf numFmtId="0" fontId="24" fillId="0" borderId="0" xfId="1" applyNumberFormat="1" applyFont="1" applyBorder="1" applyAlignment="1"/>
    <xf numFmtId="0" fontId="24" fillId="0" borderId="12" xfId="1" applyNumberFormat="1" applyFont="1" applyBorder="1" applyAlignment="1"/>
    <xf numFmtId="166" fontId="19" fillId="0" borderId="2" xfId="1" applyFont="1" applyBorder="1" applyAlignment="1">
      <alignment horizontal="right"/>
    </xf>
    <xf numFmtId="167" fontId="19" fillId="0" borderId="33" xfId="0" applyNumberFormat="1" applyFont="1" applyBorder="1" applyAlignment="1">
      <alignment horizontal="right" vertical="center"/>
    </xf>
    <xf numFmtId="167" fontId="19" fillId="0" borderId="34" xfId="0" applyNumberFormat="1" applyFont="1" applyBorder="1" applyAlignment="1">
      <alignment horizontal="right" vertical="center"/>
    </xf>
    <xf numFmtId="167" fontId="19" fillId="0" borderId="34" xfId="0" quotePrefix="1" applyNumberFormat="1" applyFont="1" applyBorder="1" applyAlignment="1">
      <alignment horizontal="right" vertical="center"/>
    </xf>
    <xf numFmtId="166" fontId="19" fillId="0" borderId="34" xfId="1" applyFont="1" applyBorder="1" applyAlignment="1">
      <alignment horizontal="right" vertical="center"/>
    </xf>
    <xf numFmtId="166" fontId="19" fillId="0" borderId="35" xfId="1" applyFont="1" applyBorder="1" applyAlignment="1">
      <alignment horizontal="right" vertical="center"/>
    </xf>
    <xf numFmtId="167" fontId="19" fillId="0" borderId="36" xfId="0" applyNumberFormat="1" applyFont="1" applyBorder="1" applyAlignment="1">
      <alignment horizontal="right" vertical="center"/>
    </xf>
    <xf numFmtId="167" fontId="19" fillId="0" borderId="22" xfId="0" applyNumberFormat="1" applyFont="1" applyBorder="1" applyAlignment="1">
      <alignment horizontal="right" vertical="center"/>
    </xf>
    <xf numFmtId="166" fontId="19" fillId="0" borderId="15" xfId="1" applyFont="1" applyBorder="1" applyAlignment="1">
      <alignment horizontal="right" vertical="center"/>
    </xf>
    <xf numFmtId="167" fontId="19" fillId="0" borderId="37" xfId="0" applyNumberFormat="1" applyFont="1" applyBorder="1" applyAlignment="1">
      <alignment horizontal="right" vertical="center"/>
    </xf>
    <xf numFmtId="0" fontId="19" fillId="0" borderId="22" xfId="0" applyFont="1" applyBorder="1" applyAlignment="1">
      <alignment horizontal="left" vertical="center"/>
    </xf>
    <xf numFmtId="0" fontId="19" fillId="0" borderId="17" xfId="0" applyFont="1" applyBorder="1" applyAlignment="1">
      <alignment horizontal="left" vertical="center"/>
    </xf>
    <xf numFmtId="0" fontId="19" fillId="0" borderId="17" xfId="0" applyFont="1" applyBorder="1" applyAlignment="1">
      <alignment horizontal="right" vertical="center"/>
    </xf>
    <xf numFmtId="0" fontId="19" fillId="0" borderId="18" xfId="0" applyFont="1" applyBorder="1" applyAlignment="1">
      <alignment horizontal="right" vertical="center"/>
    </xf>
    <xf numFmtId="2" fontId="20" fillId="0" borderId="15" xfId="1" applyNumberFormat="1" applyFont="1" applyBorder="1" applyAlignment="1">
      <alignment horizontal="center" vertical="center"/>
    </xf>
    <xf numFmtId="166" fontId="19" fillId="18" borderId="17" xfId="1" applyFont="1" applyFill="1" applyBorder="1" applyAlignment="1">
      <alignment horizontal="right" vertical="center"/>
    </xf>
    <xf numFmtId="0" fontId="20" fillId="0" borderId="37" xfId="0" applyFont="1" applyBorder="1" applyAlignment="1">
      <alignment horizontal="center" vertical="center"/>
    </xf>
    <xf numFmtId="0" fontId="19" fillId="0" borderId="22" xfId="0" applyFont="1" applyBorder="1" applyAlignment="1">
      <alignment horizontal="right" vertical="center"/>
    </xf>
    <xf numFmtId="0" fontId="19" fillId="0" borderId="37" xfId="0" applyFont="1" applyBorder="1" applyAlignment="1">
      <alignment horizontal="right" vertical="center"/>
    </xf>
    <xf numFmtId="0" fontId="29" fillId="0" borderId="22" xfId="0" applyFont="1" applyBorder="1" applyAlignment="1">
      <alignment horizontal="center" vertical="center"/>
    </xf>
    <xf numFmtId="0" fontId="29" fillId="0" borderId="17" xfId="0" applyFont="1" applyBorder="1" applyAlignment="1">
      <alignment horizontal="left" vertical="center"/>
    </xf>
    <xf numFmtId="0" fontId="29" fillId="0" borderId="17" xfId="0" applyFont="1" applyBorder="1" applyAlignment="1">
      <alignment horizontal="right" vertical="center"/>
    </xf>
    <xf numFmtId="0" fontId="20" fillId="0" borderId="17" xfId="0" applyFont="1" applyBorder="1" applyAlignment="1">
      <alignment horizontal="center" vertical="center"/>
    </xf>
    <xf numFmtId="166" fontId="19" fillId="18" borderId="15" xfId="1" applyFont="1" applyFill="1" applyBorder="1" applyAlignment="1">
      <alignment horizontal="right" vertical="center"/>
    </xf>
    <xf numFmtId="166" fontId="19" fillId="19" borderId="38" xfId="1" applyFont="1" applyFill="1" applyBorder="1" applyAlignment="1">
      <alignment horizontal="right" vertical="center"/>
    </xf>
    <xf numFmtId="0" fontId="19" fillId="0" borderId="17" xfId="0" quotePrefix="1" applyFont="1" applyBorder="1" applyAlignment="1">
      <alignment horizontal="left" vertical="center"/>
    </xf>
    <xf numFmtId="0" fontId="19" fillId="0" borderId="26" xfId="0" applyFont="1" applyBorder="1" applyAlignment="1">
      <alignment horizontal="right" vertical="center"/>
    </xf>
    <xf numFmtId="0" fontId="19" fillId="0" borderId="18" xfId="0" quotePrefix="1" applyFont="1" applyBorder="1" applyAlignment="1">
      <alignment horizontal="right" vertical="center"/>
    </xf>
    <xf numFmtId="166" fontId="19" fillId="19" borderId="5" xfId="1" applyFont="1" applyFill="1" applyBorder="1" applyAlignment="1">
      <alignment horizontal="right" vertical="center"/>
    </xf>
    <xf numFmtId="166" fontId="20" fillId="19" borderId="5" xfId="1" applyFont="1" applyFill="1" applyBorder="1" applyAlignment="1">
      <alignment horizontal="right" vertical="center"/>
    </xf>
    <xf numFmtId="166" fontId="19" fillId="0" borderId="25" xfId="1" applyFont="1" applyBorder="1" applyAlignment="1">
      <alignment horizontal="right" vertical="center"/>
    </xf>
    <xf numFmtId="166" fontId="19" fillId="18" borderId="5" xfId="1" applyFont="1" applyFill="1" applyBorder="1" applyAlignment="1">
      <alignment horizontal="right" vertical="center"/>
    </xf>
    <xf numFmtId="9" fontId="19" fillId="0" borderId="18" xfId="0" applyNumberFormat="1" applyFont="1" applyBorder="1" applyAlignment="1">
      <alignment horizontal="right" vertical="center"/>
    </xf>
    <xf numFmtId="166" fontId="19" fillId="0" borderId="21" xfId="1" quotePrefix="1" applyFont="1" applyBorder="1" applyAlignment="1">
      <alignment horizontal="right" vertical="center"/>
    </xf>
    <xf numFmtId="166" fontId="19" fillId="0" borderId="18" xfId="1" quotePrefix="1" applyFont="1" applyBorder="1" applyAlignment="1">
      <alignment horizontal="right" vertical="center"/>
    </xf>
    <xf numFmtId="0" fontId="20" fillId="0" borderId="17" xfId="0" applyFont="1" applyBorder="1" applyAlignment="1">
      <alignment horizontal="left" vertical="center"/>
    </xf>
    <xf numFmtId="166" fontId="19" fillId="0" borderId="24" xfId="1" quotePrefix="1" applyFont="1" applyBorder="1" applyAlignment="1">
      <alignment horizontal="right" vertical="center"/>
    </xf>
    <xf numFmtId="166" fontId="20" fillId="0" borderId="16" xfId="1" applyFont="1" applyBorder="1" applyAlignment="1">
      <alignment horizontal="right" vertical="center"/>
    </xf>
    <xf numFmtId="0" fontId="30" fillId="0" borderId="22" xfId="0" applyFont="1" applyBorder="1" applyAlignment="1">
      <alignment horizontal="left" vertical="center"/>
    </xf>
    <xf numFmtId="167" fontId="19" fillId="0" borderId="39" xfId="0" applyNumberFormat="1" applyFont="1" applyBorder="1" applyAlignment="1">
      <alignment horizontal="right" vertical="center"/>
    </xf>
    <xf numFmtId="167" fontId="19" fillId="0" borderId="40" xfId="0" applyNumberFormat="1" applyFont="1" applyBorder="1" applyAlignment="1">
      <alignment horizontal="right" vertical="center"/>
    </xf>
    <xf numFmtId="166" fontId="19" fillId="0" borderId="40" xfId="1" applyFont="1" applyBorder="1" applyAlignment="1">
      <alignment horizontal="right" vertical="center"/>
    </xf>
    <xf numFmtId="166" fontId="24" fillId="0" borderId="12" xfId="1" applyFont="1" applyBorder="1" applyAlignment="1">
      <alignment horizontal="right"/>
    </xf>
    <xf numFmtId="0" fontId="20" fillId="0" borderId="17" xfId="0" applyFont="1" applyBorder="1" applyAlignment="1">
      <alignment horizontal="right" vertical="center"/>
    </xf>
    <xf numFmtId="0" fontId="20" fillId="0" borderId="18" xfId="0" applyFont="1" applyBorder="1" applyAlignment="1">
      <alignment horizontal="right" vertical="center"/>
    </xf>
    <xf numFmtId="0" fontId="20" fillId="0" borderId="15" xfId="0" applyFont="1" applyBorder="1" applyAlignment="1">
      <alignment horizontal="right" vertical="center"/>
    </xf>
    <xf numFmtId="43" fontId="24" fillId="0" borderId="0" xfId="0" applyNumberFormat="1" applyFont="1" applyAlignment="1">
      <alignment horizontal="center"/>
    </xf>
    <xf numFmtId="43" fontId="24" fillId="0" borderId="6" xfId="0" applyNumberFormat="1" applyFont="1" applyBorder="1" applyAlignment="1">
      <alignment horizontal="center"/>
    </xf>
    <xf numFmtId="167" fontId="19" fillId="0" borderId="34" xfId="0" quotePrefix="1" applyNumberFormat="1" applyFont="1" applyBorder="1" applyAlignment="1">
      <alignment horizontal="center" vertical="center"/>
    </xf>
    <xf numFmtId="167" fontId="19" fillId="0" borderId="17" xfId="0" applyNumberFormat="1" applyFont="1" applyBorder="1" applyAlignment="1">
      <alignment horizontal="center" vertical="center"/>
    </xf>
    <xf numFmtId="166" fontId="19" fillId="0" borderId="17" xfId="1" applyFont="1" applyBorder="1" applyAlignment="1">
      <alignment horizontal="center" vertical="center"/>
    </xf>
    <xf numFmtId="166" fontId="19" fillId="0" borderId="15" xfId="1" applyFont="1" applyBorder="1" applyAlignment="1">
      <alignment horizontal="center" vertical="center"/>
    </xf>
    <xf numFmtId="166" fontId="19" fillId="18" borderId="17" xfId="1" applyFont="1" applyFill="1" applyBorder="1" applyAlignment="1">
      <alignment horizontal="center" vertical="center"/>
    </xf>
    <xf numFmtId="0" fontId="20" fillId="0" borderId="18" xfId="0" applyFont="1" applyBorder="1" applyAlignment="1">
      <alignment horizontal="center" vertical="center"/>
    </xf>
    <xf numFmtId="166" fontId="20" fillId="0" borderId="17" xfId="1" applyFont="1" applyBorder="1" applyAlignment="1">
      <alignment horizontal="center" vertical="center"/>
    </xf>
    <xf numFmtId="0" fontId="20" fillId="0" borderId="18" xfId="0" quotePrefix="1" applyFont="1" applyBorder="1" applyAlignment="1">
      <alignment horizontal="center" vertical="center"/>
    </xf>
    <xf numFmtId="0" fontId="19" fillId="0" borderId="18" xfId="0" applyFont="1" applyBorder="1" applyAlignment="1">
      <alignment horizontal="center" vertical="center"/>
    </xf>
    <xf numFmtId="0" fontId="19" fillId="0" borderId="18" xfId="0" quotePrefix="1" applyFont="1" applyBorder="1" applyAlignment="1">
      <alignment horizontal="center" vertical="center"/>
    </xf>
    <xf numFmtId="166" fontId="19" fillId="0" borderId="18" xfId="1" quotePrefix="1" applyFont="1" applyBorder="1" applyAlignment="1">
      <alignment horizontal="center" vertical="center"/>
    </xf>
    <xf numFmtId="0" fontId="20" fillId="0" borderId="17" xfId="0" applyFont="1" applyBorder="1" applyAlignment="1">
      <alignment vertical="center"/>
    </xf>
    <xf numFmtId="0" fontId="24" fillId="0" borderId="0" xfId="1" quotePrefix="1" applyNumberFormat="1" applyFont="1" applyBorder="1" applyAlignment="1">
      <alignment horizontal="right"/>
    </xf>
    <xf numFmtId="0" fontId="24" fillId="0" borderId="0" xfId="1" applyNumberFormat="1" applyFont="1" applyBorder="1" applyAlignment="1">
      <alignment horizontal="right"/>
    </xf>
    <xf numFmtId="0" fontId="24" fillId="0" borderId="12" xfId="1" applyNumberFormat="1" applyFont="1" applyBorder="1" applyAlignment="1">
      <alignment horizontal="right"/>
    </xf>
    <xf numFmtId="166" fontId="19" fillId="0" borderId="18" xfId="1" applyFont="1" applyFill="1" applyBorder="1" applyAlignment="1">
      <alignment horizontal="right" vertical="center"/>
    </xf>
    <xf numFmtId="166" fontId="19" fillId="0" borderId="17" xfId="1" applyFont="1" applyFill="1" applyBorder="1" applyAlignment="1">
      <alignment horizontal="right" vertical="center"/>
    </xf>
    <xf numFmtId="167" fontId="19" fillId="0" borderId="34" xfId="0" quotePrefix="1" applyNumberFormat="1" applyFont="1" applyBorder="1" applyAlignment="1">
      <alignment vertical="center"/>
    </xf>
    <xf numFmtId="167" fontId="19" fillId="0" borderId="17" xfId="0" applyNumberFormat="1" applyFont="1" applyBorder="1" applyAlignment="1">
      <alignment vertical="center"/>
    </xf>
    <xf numFmtId="0" fontId="19" fillId="0" borderId="18" xfId="0" quotePrefix="1" applyFont="1" applyBorder="1" applyAlignment="1">
      <alignment vertical="center"/>
    </xf>
    <xf numFmtId="0" fontId="19" fillId="0" borderId="17" xfId="0" applyFont="1" applyBorder="1" applyAlignment="1">
      <alignment vertical="center"/>
    </xf>
    <xf numFmtId="167" fontId="19" fillId="0" borderId="23" xfId="0" applyNumberFormat="1" applyFont="1" applyBorder="1" applyAlignment="1">
      <alignment vertical="center"/>
    </xf>
    <xf numFmtId="0" fontId="19" fillId="0" borderId="23" xfId="0" quotePrefix="1" applyFont="1" applyBorder="1" applyAlignment="1">
      <alignment horizontal="left" vertical="center"/>
    </xf>
    <xf numFmtId="0" fontId="19" fillId="0" borderId="24" xfId="0" quotePrefix="1" applyFont="1" applyBorder="1" applyAlignment="1">
      <alignment horizontal="right" vertical="center"/>
    </xf>
    <xf numFmtId="0" fontId="19" fillId="0" borderId="18" xfId="0" applyFont="1" applyBorder="1" applyAlignment="1">
      <alignment horizontal="left" vertical="center"/>
    </xf>
    <xf numFmtId="0" fontId="20" fillId="16" borderId="5" xfId="0" applyFont="1" applyFill="1" applyBorder="1" applyAlignment="1">
      <alignment horizontal="left" vertical="center"/>
    </xf>
    <xf numFmtId="0" fontId="20" fillId="16" borderId="5" xfId="0" applyFont="1" applyFill="1" applyBorder="1" applyAlignment="1">
      <alignment horizontal="center" vertical="center"/>
    </xf>
    <xf numFmtId="0" fontId="19" fillId="0" borderId="41" xfId="0" quotePrefix="1" applyFont="1" applyBorder="1" applyAlignment="1">
      <alignment horizontal="left" vertical="center"/>
    </xf>
    <xf numFmtId="0" fontId="19" fillId="0" borderId="42" xfId="0" quotePrefix="1" applyFont="1" applyBorder="1" applyAlignment="1">
      <alignment horizontal="left" vertical="center"/>
    </xf>
    <xf numFmtId="0" fontId="19" fillId="0" borderId="45" xfId="0" applyFont="1" applyBorder="1" applyAlignment="1">
      <alignment horizontal="right" vertical="center"/>
    </xf>
    <xf numFmtId="0" fontId="19" fillId="0" borderId="46" xfId="0" applyFont="1" applyBorder="1" applyAlignment="1">
      <alignment horizontal="left" vertical="center"/>
    </xf>
    <xf numFmtId="10" fontId="19" fillId="19" borderId="47" xfId="0" quotePrefix="1" applyNumberFormat="1" applyFont="1" applyFill="1" applyBorder="1" applyAlignment="1">
      <alignment horizontal="center" vertical="center"/>
    </xf>
    <xf numFmtId="0" fontId="19" fillId="0" borderId="15" xfId="0" applyFont="1" applyBorder="1" applyAlignment="1">
      <alignment horizontal="left" vertical="center"/>
    </xf>
    <xf numFmtId="0" fontId="19" fillId="0" borderId="21" xfId="0" quotePrefix="1" applyFont="1" applyBorder="1" applyAlignment="1">
      <alignment horizontal="right" vertical="center"/>
    </xf>
    <xf numFmtId="166" fontId="19" fillId="0" borderId="24" xfId="1" applyFont="1" applyFill="1" applyBorder="1" applyAlignment="1">
      <alignment horizontal="right" vertical="center"/>
    </xf>
    <xf numFmtId="166" fontId="20" fillId="16" borderId="5" xfId="1" applyFont="1" applyFill="1" applyBorder="1" applyAlignment="1">
      <alignment horizontal="right" vertical="center"/>
    </xf>
    <xf numFmtId="167" fontId="19" fillId="0" borderId="40" xfId="0" applyNumberFormat="1" applyFont="1" applyBorder="1" applyAlignment="1">
      <alignment vertical="center"/>
    </xf>
    <xf numFmtId="43" fontId="20" fillId="0" borderId="2" xfId="0" applyNumberFormat="1" applyFont="1" applyBorder="1" applyAlignment="1">
      <alignment horizontal="center"/>
    </xf>
    <xf numFmtId="167" fontId="20" fillId="0" borderId="34" xfId="0" quotePrefix="1" applyNumberFormat="1" applyFont="1" applyBorder="1" applyAlignment="1">
      <alignment horizontal="center" vertical="center"/>
    </xf>
    <xf numFmtId="167" fontId="20" fillId="0" borderId="17" xfId="0" applyNumberFormat="1" applyFont="1" applyBorder="1" applyAlignment="1">
      <alignment horizontal="center" vertical="center"/>
    </xf>
    <xf numFmtId="0" fontId="20" fillId="0" borderId="24" xfId="0" applyFont="1" applyBorder="1" applyAlignment="1">
      <alignment horizontal="center" vertical="center"/>
    </xf>
    <xf numFmtId="44" fontId="20" fillId="19" borderId="47" xfId="0" quotePrefix="1" applyNumberFormat="1" applyFont="1" applyFill="1" applyBorder="1" applyAlignment="1">
      <alignment horizontal="center" vertical="center"/>
    </xf>
    <xf numFmtId="0" fontId="20" fillId="0" borderId="21" xfId="0" quotePrefix="1" applyFont="1" applyBorder="1" applyAlignment="1">
      <alignment horizontal="center" vertical="center"/>
    </xf>
    <xf numFmtId="167" fontId="20" fillId="0" borderId="40" xfId="0" applyNumberFormat="1" applyFont="1" applyBorder="1" applyAlignment="1">
      <alignment horizontal="center" vertical="center"/>
    </xf>
    <xf numFmtId="43" fontId="25" fillId="0" borderId="12" xfId="0" applyNumberFormat="1" applyFont="1" applyBorder="1" applyAlignment="1">
      <alignment horizontal="center"/>
    </xf>
    <xf numFmtId="167" fontId="19" fillId="0" borderId="49" xfId="0" applyNumberFormat="1" applyFont="1" applyBorder="1" applyAlignment="1">
      <alignment vertical="center"/>
    </xf>
    <xf numFmtId="167" fontId="19" fillId="0" borderId="15" xfId="0" applyNumberFormat="1" applyFont="1" applyBorder="1" applyAlignment="1">
      <alignment vertical="center"/>
    </xf>
    <xf numFmtId="167" fontId="19" fillId="0" borderId="15" xfId="0" quotePrefix="1" applyNumberFormat="1" applyFont="1" applyBorder="1" applyAlignment="1">
      <alignment vertical="center"/>
    </xf>
    <xf numFmtId="167" fontId="19" fillId="0" borderId="25" xfId="0" applyNumberFormat="1" applyFont="1" applyBorder="1" applyAlignment="1">
      <alignment vertical="center"/>
    </xf>
    <xf numFmtId="167" fontId="19" fillId="0" borderId="30" xfId="0" applyNumberFormat="1" applyFont="1" applyBorder="1" applyAlignment="1">
      <alignment vertical="center"/>
    </xf>
    <xf numFmtId="167" fontId="19" fillId="0" borderId="22" xfId="0" applyNumberFormat="1" applyFont="1" applyBorder="1" applyAlignment="1">
      <alignment vertical="center"/>
    </xf>
    <xf numFmtId="166" fontId="19" fillId="19" borderId="50" xfId="1" applyFont="1" applyFill="1" applyBorder="1" applyAlignment="1">
      <alignment vertical="center"/>
    </xf>
    <xf numFmtId="166" fontId="19" fillId="0" borderId="17" xfId="1" applyFont="1" applyBorder="1" applyAlignment="1">
      <alignment vertical="center"/>
    </xf>
    <xf numFmtId="166" fontId="19" fillId="0" borderId="15" xfId="1" applyFont="1" applyBorder="1" applyAlignment="1">
      <alignment vertical="center"/>
    </xf>
    <xf numFmtId="167" fontId="19" fillId="0" borderId="17" xfId="0" quotePrefix="1" applyNumberFormat="1" applyFont="1" applyBorder="1" applyAlignment="1">
      <alignment vertical="center"/>
    </xf>
    <xf numFmtId="167" fontId="19" fillId="0" borderId="18" xfId="0" applyNumberFormat="1" applyFont="1" applyBorder="1" applyAlignment="1">
      <alignment vertical="center"/>
    </xf>
    <xf numFmtId="167" fontId="29" fillId="0" borderId="17" xfId="0" applyNumberFormat="1" applyFont="1" applyBorder="1" applyAlignment="1">
      <alignment vertical="center"/>
    </xf>
    <xf numFmtId="167" fontId="19" fillId="0" borderId="18" xfId="0" quotePrefix="1" applyNumberFormat="1" applyFont="1" applyBorder="1" applyAlignment="1">
      <alignment vertical="center"/>
    </xf>
    <xf numFmtId="166" fontId="19" fillId="18" borderId="17" xfId="1" applyFont="1" applyFill="1" applyBorder="1" applyAlignment="1">
      <alignment vertical="center"/>
    </xf>
    <xf numFmtId="166" fontId="20" fillId="0" borderId="17" xfId="1" applyFont="1" applyBorder="1" applyAlignment="1">
      <alignment vertical="center"/>
    </xf>
    <xf numFmtId="167" fontId="20" fillId="0" borderId="17" xfId="0" applyNumberFormat="1" applyFont="1" applyBorder="1" applyAlignment="1">
      <alignment vertical="center"/>
    </xf>
    <xf numFmtId="167" fontId="29" fillId="0" borderId="22" xfId="0" applyNumberFormat="1" applyFont="1" applyBorder="1" applyAlignment="1">
      <alignment horizontal="left" vertical="center" indent="2"/>
    </xf>
    <xf numFmtId="167" fontId="19" fillId="0" borderId="18" xfId="0" quotePrefix="1" applyNumberFormat="1" applyFont="1" applyBorder="1" applyAlignment="1">
      <alignment horizontal="left" vertical="center"/>
    </xf>
    <xf numFmtId="167" fontId="20" fillId="0" borderId="22" xfId="0" applyNumberFormat="1" applyFont="1" applyBorder="1" applyAlignment="1">
      <alignment horizontal="left" vertical="center" indent="2"/>
    </xf>
    <xf numFmtId="167" fontId="19" fillId="0" borderId="18" xfId="0" applyNumberFormat="1" applyFont="1" applyBorder="1" applyAlignment="1">
      <alignment horizontal="left" vertical="center"/>
    </xf>
    <xf numFmtId="166" fontId="19" fillId="0" borderId="18" xfId="1" quotePrefix="1" applyFont="1" applyBorder="1" applyAlignment="1">
      <alignment vertical="center"/>
    </xf>
    <xf numFmtId="166" fontId="19" fillId="18" borderId="18" xfId="1" quotePrefix="1" applyFont="1" applyFill="1" applyBorder="1" applyAlignment="1">
      <alignment vertical="center"/>
    </xf>
    <xf numFmtId="167" fontId="20" fillId="0" borderId="22" xfId="0" applyNumberFormat="1" applyFont="1" applyBorder="1" applyAlignment="1">
      <alignment vertical="center"/>
    </xf>
    <xf numFmtId="166" fontId="19" fillId="0" borderId="51" xfId="1" quotePrefix="1" applyFont="1" applyBorder="1" applyAlignment="1">
      <alignment vertical="center"/>
    </xf>
    <xf numFmtId="166" fontId="19" fillId="19" borderId="52" xfId="1" quotePrefix="1" applyFont="1" applyFill="1" applyBorder="1" applyAlignment="1">
      <alignment vertical="center"/>
    </xf>
    <xf numFmtId="167" fontId="19" fillId="0" borderId="20" xfId="0" applyNumberFormat="1" applyFont="1" applyBorder="1" applyAlignment="1">
      <alignment vertical="center"/>
    </xf>
    <xf numFmtId="167" fontId="19" fillId="0" borderId="24" xfId="0" quotePrefix="1" applyNumberFormat="1" applyFont="1" applyBorder="1" applyAlignment="1">
      <alignment vertical="center"/>
    </xf>
    <xf numFmtId="167" fontId="19" fillId="0" borderId="39" xfId="0" applyNumberFormat="1" applyFont="1" applyBorder="1" applyAlignment="1">
      <alignment vertical="center"/>
    </xf>
    <xf numFmtId="167" fontId="19" fillId="0" borderId="19" xfId="0" applyNumberFormat="1" applyFont="1" applyBorder="1" applyAlignment="1">
      <alignment vertical="center"/>
    </xf>
    <xf numFmtId="43" fontId="24" fillId="0" borderId="0" xfId="0" applyNumberFormat="1" applyFont="1" applyAlignment="1">
      <alignment horizontal="right"/>
    </xf>
    <xf numFmtId="43" fontId="25" fillId="0" borderId="0" xfId="0" applyNumberFormat="1" applyFont="1" applyAlignment="1">
      <alignment horizontal="right"/>
    </xf>
    <xf numFmtId="43" fontId="24" fillId="0" borderId="7" xfId="0" applyNumberFormat="1" applyFont="1" applyBorder="1" applyAlignment="1">
      <alignment horizontal="right"/>
    </xf>
    <xf numFmtId="0" fontId="24" fillId="0" borderId="0" xfId="0" applyFont="1" applyAlignment="1">
      <alignment horizontal="right"/>
    </xf>
    <xf numFmtId="0" fontId="24" fillId="0" borderId="12" xfId="0" applyFont="1" applyBorder="1" applyAlignment="1">
      <alignment horizontal="right"/>
    </xf>
    <xf numFmtId="43" fontId="19" fillId="0" borderId="2" xfId="0" applyNumberFormat="1" applyFont="1" applyBorder="1" applyAlignment="1">
      <alignment horizontal="right"/>
    </xf>
    <xf numFmtId="166" fontId="19" fillId="19" borderId="50" xfId="1" applyFont="1" applyFill="1" applyBorder="1" applyAlignment="1">
      <alignment horizontal="right" vertical="center"/>
    </xf>
    <xf numFmtId="166" fontId="19" fillId="18" borderId="18" xfId="1" quotePrefix="1" applyFont="1" applyFill="1" applyBorder="1" applyAlignment="1">
      <alignment horizontal="right" vertical="center"/>
    </xf>
    <xf numFmtId="166" fontId="19" fillId="0" borderId="51" xfId="1" quotePrefix="1" applyFont="1" applyBorder="1" applyAlignment="1">
      <alignment horizontal="right" vertical="center"/>
    </xf>
    <xf numFmtId="166" fontId="19" fillId="19" borderId="52" xfId="1" quotePrefix="1" applyFont="1" applyFill="1" applyBorder="1" applyAlignment="1">
      <alignment horizontal="right" vertical="center"/>
    </xf>
    <xf numFmtId="167" fontId="20" fillId="20" borderId="24" xfId="0" quotePrefix="1" applyNumberFormat="1" applyFont="1" applyFill="1" applyBorder="1" applyAlignment="1">
      <alignment horizontal="right" vertical="center"/>
    </xf>
    <xf numFmtId="43" fontId="24" fillId="0" borderId="9" xfId="0" applyNumberFormat="1" applyFont="1" applyBorder="1" applyAlignment="1">
      <alignment horizontal="left"/>
    </xf>
    <xf numFmtId="43" fontId="25" fillId="0" borderId="10" xfId="0" applyNumberFormat="1" applyFont="1" applyBorder="1" applyAlignment="1">
      <alignment horizontal="center"/>
    </xf>
    <xf numFmtId="0" fontId="24" fillId="0" borderId="7" xfId="0" quotePrefix="1" applyFont="1" applyBorder="1" applyAlignment="1">
      <alignment horizontal="right"/>
    </xf>
    <xf numFmtId="167" fontId="19" fillId="0" borderId="49" xfId="0" applyNumberFormat="1" applyFont="1" applyBorder="1" applyAlignment="1">
      <alignment horizontal="right" vertical="center"/>
    </xf>
    <xf numFmtId="43" fontId="25" fillId="0" borderId="7" xfId="0" applyNumberFormat="1" applyFont="1" applyBorder="1" applyAlignment="1">
      <alignment horizontal="center"/>
    </xf>
    <xf numFmtId="43" fontId="24" fillId="0" borderId="9" xfId="0" applyNumberFormat="1" applyFont="1" applyBorder="1" applyAlignment="1">
      <alignment vertical="center"/>
    </xf>
    <xf numFmtId="167" fontId="19" fillId="0" borderId="37" xfId="0" applyNumberFormat="1" applyFont="1" applyBorder="1" applyAlignment="1">
      <alignment vertical="center"/>
    </xf>
    <xf numFmtId="0" fontId="20" fillId="0" borderId="22" xfId="0" applyFont="1" applyBorder="1" applyAlignment="1">
      <alignment vertical="center"/>
    </xf>
    <xf numFmtId="0" fontId="19" fillId="0" borderId="17" xfId="1" applyNumberFormat="1" applyFont="1" applyBorder="1" applyAlignment="1">
      <alignment vertical="center"/>
    </xf>
    <xf numFmtId="0" fontId="24" fillId="0" borderId="0" xfId="0" applyFont="1" applyAlignment="1">
      <alignment vertical="center"/>
    </xf>
    <xf numFmtId="0" fontId="19" fillId="0" borderId="22" xfId="0" applyFont="1" applyBorder="1" applyAlignment="1">
      <alignment vertical="center"/>
    </xf>
    <xf numFmtId="0" fontId="19" fillId="0" borderId="23" xfId="0" applyFont="1" applyBorder="1" applyAlignment="1">
      <alignment vertical="center"/>
    </xf>
    <xf numFmtId="0" fontId="19" fillId="0" borderId="15" xfId="0" applyFont="1" applyBorder="1" applyAlignment="1">
      <alignment vertical="center"/>
    </xf>
    <xf numFmtId="0" fontId="19" fillId="0" borderId="26" xfId="0" applyFont="1" applyBorder="1" applyAlignment="1">
      <alignment vertical="center"/>
    </xf>
    <xf numFmtId="166" fontId="19" fillId="21" borderId="18" xfId="1" applyFont="1" applyFill="1" applyBorder="1" applyAlignment="1">
      <alignment vertical="center"/>
    </xf>
    <xf numFmtId="167" fontId="20" fillId="0" borderId="18" xfId="0" applyNumberFormat="1" applyFont="1" applyBorder="1" applyAlignment="1">
      <alignment vertical="center"/>
    </xf>
    <xf numFmtId="0" fontId="19" fillId="0" borderId="49" xfId="0" applyFont="1" applyBorder="1" applyAlignment="1">
      <alignment vertical="center"/>
    </xf>
    <xf numFmtId="167" fontId="19" fillId="0" borderId="27" xfId="0" applyNumberFormat="1" applyFont="1" applyBorder="1" applyAlignment="1">
      <alignment vertical="center"/>
    </xf>
    <xf numFmtId="43" fontId="54" fillId="0" borderId="0" xfId="0" applyNumberFormat="1" applyFont="1"/>
    <xf numFmtId="43" fontId="55" fillId="0" borderId="0" xfId="0" applyNumberFormat="1" applyFont="1"/>
    <xf numFmtId="43" fontId="55" fillId="0" borderId="0" xfId="0" applyNumberFormat="1" applyFont="1" applyAlignment="1">
      <alignment horizontal="center"/>
    </xf>
    <xf numFmtId="43" fontId="55" fillId="0" borderId="0" xfId="33" applyNumberFormat="1" applyFont="1" applyAlignment="1" applyProtection="1"/>
    <xf numFmtId="43" fontId="54" fillId="0" borderId="6" xfId="0" applyNumberFormat="1" applyFont="1" applyBorder="1"/>
    <xf numFmtId="43" fontId="54" fillId="0" borderId="7" xfId="0" applyNumberFormat="1" applyFont="1" applyBorder="1"/>
    <xf numFmtId="43" fontId="54" fillId="0" borderId="8" xfId="0" applyNumberFormat="1" applyFont="1" applyBorder="1"/>
    <xf numFmtId="43" fontId="56" fillId="0" borderId="9" xfId="0" applyNumberFormat="1" applyFont="1" applyBorder="1"/>
    <xf numFmtId="0" fontId="54" fillId="0" borderId="0" xfId="0" applyFont="1"/>
    <xf numFmtId="43" fontId="57" fillId="0" borderId="10" xfId="0" applyNumberFormat="1" applyFont="1" applyBorder="1"/>
    <xf numFmtId="43" fontId="57" fillId="0" borderId="0" xfId="0" quotePrefix="1" applyNumberFormat="1" applyFont="1"/>
    <xf numFmtId="0" fontId="54" fillId="0" borderId="0" xfId="0" quotePrefix="1" applyFont="1"/>
    <xf numFmtId="43" fontId="54" fillId="0" borderId="10" xfId="0" applyNumberFormat="1" applyFont="1" applyBorder="1"/>
    <xf numFmtId="43" fontId="56" fillId="0" borderId="0" xfId="0" applyNumberFormat="1" applyFont="1"/>
    <xf numFmtId="169" fontId="55" fillId="0" borderId="10" xfId="0" quotePrefix="1" applyNumberFormat="1" applyFont="1" applyBorder="1" applyAlignment="1">
      <alignment horizontal="left"/>
    </xf>
    <xf numFmtId="43" fontId="56" fillId="0" borderId="11" xfId="0" applyNumberFormat="1" applyFont="1" applyBorder="1"/>
    <xf numFmtId="15" fontId="54" fillId="0" borderId="12" xfId="0" quotePrefix="1" applyNumberFormat="1" applyFont="1" applyBorder="1"/>
    <xf numFmtId="43" fontId="57" fillId="0" borderId="13" xfId="0" applyNumberFormat="1" applyFont="1" applyBorder="1"/>
    <xf numFmtId="0" fontId="54" fillId="0" borderId="12" xfId="0" applyFont="1" applyBorder="1"/>
    <xf numFmtId="43" fontId="56" fillId="0" borderId="12" xfId="0" applyNumberFormat="1" applyFont="1" applyBorder="1"/>
    <xf numFmtId="15" fontId="55" fillId="0" borderId="13" xfId="0" applyNumberFormat="1" applyFont="1" applyBorder="1"/>
    <xf numFmtId="43" fontId="58" fillId="0" borderId="1" xfId="0" applyNumberFormat="1" applyFont="1" applyBorder="1" applyAlignment="1">
      <alignment horizontal="center"/>
    </xf>
    <xf numFmtId="43" fontId="58" fillId="0" borderId="2" xfId="0" applyNumberFormat="1" applyFont="1" applyBorder="1" applyAlignment="1">
      <alignment horizontal="center"/>
    </xf>
    <xf numFmtId="168" fontId="59" fillId="0" borderId="5" xfId="0" quotePrefix="1" applyNumberFormat="1" applyFont="1" applyBorder="1" applyAlignment="1">
      <alignment horizontal="center"/>
    </xf>
    <xf numFmtId="43" fontId="58" fillId="0" borderId="14" xfId="0" applyNumberFormat="1" applyFont="1" applyBorder="1" applyAlignment="1">
      <alignment horizontal="center"/>
    </xf>
    <xf numFmtId="167" fontId="58" fillId="0" borderId="49" xfId="0" applyNumberFormat="1" applyFont="1" applyBorder="1" applyAlignment="1">
      <alignment horizontal="right" vertical="center"/>
    </xf>
    <xf numFmtId="167" fontId="58" fillId="0" borderId="15" xfId="0" applyNumberFormat="1" applyFont="1" applyBorder="1" applyAlignment="1">
      <alignment horizontal="right" vertical="center"/>
    </xf>
    <xf numFmtId="167" fontId="58" fillId="0" borderId="15" xfId="0" quotePrefix="1" applyNumberFormat="1" applyFont="1" applyBorder="1" applyAlignment="1">
      <alignment horizontal="right" vertical="center"/>
    </xf>
    <xf numFmtId="167" fontId="58" fillId="0" borderId="25" xfId="0" applyNumberFormat="1" applyFont="1" applyBorder="1" applyAlignment="1">
      <alignment horizontal="right" vertical="center"/>
    </xf>
    <xf numFmtId="167" fontId="58" fillId="0" borderId="30" xfId="0" applyNumberFormat="1" applyFont="1" applyBorder="1" applyAlignment="1">
      <alignment horizontal="right" vertical="center"/>
    </xf>
    <xf numFmtId="167" fontId="58" fillId="0" borderId="17" xfId="0" applyNumberFormat="1" applyFont="1" applyBorder="1" applyAlignment="1">
      <alignment vertical="center"/>
    </xf>
    <xf numFmtId="166" fontId="58" fillId="19" borderId="50" xfId="1" applyFont="1" applyFill="1" applyBorder="1" applyAlignment="1">
      <alignment vertical="center"/>
    </xf>
    <xf numFmtId="167" fontId="58" fillId="0" borderId="30" xfId="0" applyNumberFormat="1" applyFont="1" applyBorder="1" applyAlignment="1">
      <alignment vertical="center"/>
    </xf>
    <xf numFmtId="167" fontId="58" fillId="0" borderId="22" xfId="0" applyNumberFormat="1" applyFont="1" applyBorder="1" applyAlignment="1">
      <alignment vertical="center"/>
    </xf>
    <xf numFmtId="166" fontId="58" fillId="0" borderId="15" xfId="1" applyFont="1" applyBorder="1" applyAlignment="1">
      <alignment vertical="center"/>
    </xf>
    <xf numFmtId="167" fontId="58" fillId="0" borderId="17" xfId="0" quotePrefix="1" applyNumberFormat="1" applyFont="1" applyBorder="1" applyAlignment="1">
      <alignment vertical="center"/>
    </xf>
    <xf numFmtId="167" fontId="58" fillId="0" borderId="18" xfId="0" applyNumberFormat="1" applyFont="1" applyBorder="1" applyAlignment="1">
      <alignment vertical="center"/>
    </xf>
    <xf numFmtId="166" fontId="58" fillId="0" borderId="17" xfId="1" applyFont="1" applyBorder="1" applyAlignment="1">
      <alignment vertical="center"/>
    </xf>
    <xf numFmtId="167" fontId="58" fillId="0" borderId="26" xfId="0" applyNumberFormat="1" applyFont="1" applyBorder="1" applyAlignment="1">
      <alignment vertical="center"/>
    </xf>
    <xf numFmtId="167" fontId="59" fillId="0" borderId="15" xfId="0" applyNumberFormat="1" applyFont="1" applyBorder="1" applyAlignment="1">
      <alignment vertical="center"/>
    </xf>
    <xf numFmtId="167" fontId="58" fillId="0" borderId="18" xfId="0" quotePrefix="1" applyNumberFormat="1" applyFont="1" applyBorder="1" applyAlignment="1">
      <alignment vertical="center"/>
    </xf>
    <xf numFmtId="166" fontId="58" fillId="18" borderId="17" xfId="1" applyFont="1" applyFill="1" applyBorder="1" applyAlignment="1">
      <alignment vertical="center"/>
    </xf>
    <xf numFmtId="166" fontId="58" fillId="19" borderId="17" xfId="1" applyFont="1" applyFill="1" applyBorder="1" applyAlignment="1">
      <alignment vertical="center"/>
    </xf>
    <xf numFmtId="166" fontId="58" fillId="0" borderId="18" xfId="1" quotePrefix="1" applyFont="1" applyBorder="1" applyAlignment="1">
      <alignment vertical="center"/>
    </xf>
    <xf numFmtId="166" fontId="58" fillId="19" borderId="18" xfId="1" quotePrefix="1" applyFont="1" applyFill="1" applyBorder="1" applyAlignment="1">
      <alignment vertical="center"/>
    </xf>
    <xf numFmtId="167" fontId="58" fillId="0" borderId="20" xfId="0" applyNumberFormat="1" applyFont="1" applyBorder="1" applyAlignment="1">
      <alignment vertical="center"/>
    </xf>
    <xf numFmtId="166" fontId="58" fillId="18" borderId="52" xfId="1" quotePrefix="1" applyFont="1" applyFill="1" applyBorder="1" applyAlignment="1">
      <alignment vertical="center"/>
    </xf>
    <xf numFmtId="169" fontId="58" fillId="0" borderId="22" xfId="0" applyNumberFormat="1" applyFont="1" applyBorder="1" applyAlignment="1">
      <alignment vertical="center"/>
    </xf>
    <xf numFmtId="169" fontId="59" fillId="16" borderId="22" xfId="0" applyNumberFormat="1" applyFont="1" applyFill="1" applyBorder="1" applyAlignment="1">
      <alignment vertical="center"/>
    </xf>
    <xf numFmtId="167" fontId="58" fillId="16" borderId="23" xfId="0" applyNumberFormat="1" applyFont="1" applyFill="1" applyBorder="1" applyAlignment="1">
      <alignment vertical="center"/>
    </xf>
    <xf numFmtId="169" fontId="59" fillId="0" borderId="39" xfId="0" applyNumberFormat="1" applyFont="1" applyBorder="1" applyAlignment="1">
      <alignment vertical="center"/>
    </xf>
    <xf numFmtId="167" fontId="59" fillId="0" borderId="27" xfId="0" applyNumberFormat="1" applyFont="1" applyBorder="1" applyAlignment="1">
      <alignment vertical="center"/>
    </xf>
    <xf numFmtId="167" fontId="59" fillId="0" borderId="17" xfId="0" applyNumberFormat="1" applyFont="1" applyBorder="1" applyAlignment="1">
      <alignment horizontal="center" vertical="center"/>
    </xf>
    <xf numFmtId="14" fontId="59" fillId="0" borderId="49" xfId="0" applyNumberFormat="1" applyFont="1" applyBorder="1" applyAlignment="1">
      <alignment vertical="center"/>
    </xf>
    <xf numFmtId="167" fontId="58" fillId="0" borderId="15" xfId="0" applyNumberFormat="1" applyFont="1" applyBorder="1" applyAlignment="1">
      <alignment vertical="center"/>
    </xf>
    <xf numFmtId="167" fontId="58" fillId="18" borderId="15" xfId="0" applyNumberFormat="1" applyFont="1" applyFill="1" applyBorder="1" applyAlignment="1">
      <alignment vertical="center"/>
    </xf>
    <xf numFmtId="14" fontId="58" fillId="0" borderId="22" xfId="0" applyNumberFormat="1" applyFont="1" applyBorder="1" applyAlignment="1">
      <alignment vertical="center"/>
    </xf>
    <xf numFmtId="167" fontId="58" fillId="18" borderId="17" xfId="0" applyNumberFormat="1" applyFont="1" applyFill="1" applyBorder="1" applyAlignment="1">
      <alignment vertical="center"/>
    </xf>
    <xf numFmtId="167" fontId="58" fillId="18" borderId="23" xfId="0" applyNumberFormat="1" applyFont="1" applyFill="1" applyBorder="1" applyAlignment="1">
      <alignment vertical="center"/>
    </xf>
    <xf numFmtId="167" fontId="55" fillId="0" borderId="16" xfId="0" applyNumberFormat="1" applyFont="1" applyBorder="1" applyAlignment="1">
      <alignment vertical="center"/>
    </xf>
    <xf numFmtId="166" fontId="59" fillId="19" borderId="52" xfId="1" applyFont="1" applyFill="1" applyBorder="1" applyAlignment="1">
      <alignment vertical="center"/>
    </xf>
    <xf numFmtId="167" fontId="58" fillId="0" borderId="22" xfId="0" quotePrefix="1" applyNumberFormat="1" applyFont="1" applyBorder="1" applyAlignment="1">
      <alignment vertical="center"/>
    </xf>
    <xf numFmtId="167" fontId="59" fillId="0" borderId="16" xfId="0" applyNumberFormat="1" applyFont="1" applyBorder="1" applyAlignment="1">
      <alignment horizontal="center" vertical="center"/>
    </xf>
    <xf numFmtId="14" fontId="58" fillId="0" borderId="49" xfId="0" quotePrefix="1" applyNumberFormat="1" applyFont="1" applyBorder="1" applyAlignment="1">
      <alignment vertical="center"/>
    </xf>
    <xf numFmtId="14" fontId="58" fillId="0" borderId="22" xfId="0" quotePrefix="1" applyNumberFormat="1" applyFont="1" applyBorder="1" applyAlignment="1">
      <alignment vertical="center"/>
    </xf>
    <xf numFmtId="169" fontId="58" fillId="0" borderId="22" xfId="0" quotePrefix="1" applyNumberFormat="1" applyFont="1" applyBorder="1" applyAlignment="1">
      <alignment vertical="center"/>
    </xf>
    <xf numFmtId="167" fontId="59" fillId="0" borderId="16" xfId="0" applyNumberFormat="1" applyFont="1" applyBorder="1" applyAlignment="1">
      <alignment vertical="center"/>
    </xf>
    <xf numFmtId="167" fontId="58" fillId="0" borderId="42" xfId="0" applyNumberFormat="1" applyFont="1" applyBorder="1" applyAlignment="1">
      <alignment vertical="center"/>
    </xf>
    <xf numFmtId="167" fontId="58" fillId="0" borderId="39" xfId="0" applyNumberFormat="1" applyFont="1" applyBorder="1" applyAlignment="1">
      <alignment vertical="center"/>
    </xf>
    <xf numFmtId="167" fontId="58" fillId="0" borderId="40" xfId="0" applyNumberFormat="1" applyFont="1" applyBorder="1" applyAlignment="1">
      <alignment vertical="center"/>
    </xf>
    <xf numFmtId="167" fontId="58" fillId="0" borderId="19" xfId="0" applyNumberFormat="1" applyFont="1" applyBorder="1" applyAlignment="1">
      <alignment vertical="center"/>
    </xf>
    <xf numFmtId="167" fontId="59" fillId="0" borderId="17" xfId="0" applyNumberFormat="1" applyFont="1" applyBorder="1" applyAlignment="1">
      <alignment vertical="center"/>
    </xf>
    <xf numFmtId="166" fontId="59" fillId="0" borderId="17" xfId="1" applyFont="1" applyBorder="1" applyAlignment="1">
      <alignment horizontal="center" vertical="center"/>
    </xf>
    <xf numFmtId="167" fontId="60" fillId="0" borderId="17" xfId="0" applyNumberFormat="1" applyFont="1" applyBorder="1" applyAlignment="1">
      <alignment vertical="center"/>
    </xf>
    <xf numFmtId="167" fontId="59" fillId="0" borderId="18" xfId="0" applyNumberFormat="1" applyFont="1" applyBorder="1" applyAlignment="1">
      <alignment horizontal="center" vertical="center"/>
    </xf>
    <xf numFmtId="167" fontId="58" fillId="0" borderId="17" xfId="0" applyNumberFormat="1" applyFont="1" applyBorder="1" applyAlignment="1">
      <alignment horizontal="left" vertical="center"/>
    </xf>
    <xf numFmtId="166" fontId="59" fillId="0" borderId="20" xfId="1" applyFont="1" applyBorder="1" applyAlignment="1">
      <alignment vertical="center"/>
    </xf>
    <xf numFmtId="166" fontId="58" fillId="0" borderId="51" xfId="1" quotePrefix="1" applyFont="1" applyBorder="1" applyAlignment="1">
      <alignment vertical="center"/>
    </xf>
    <xf numFmtId="166" fontId="58" fillId="19" borderId="52" xfId="1" quotePrefix="1" applyFont="1" applyFill="1" applyBorder="1" applyAlignment="1">
      <alignment vertical="center"/>
    </xf>
    <xf numFmtId="167" fontId="58" fillId="0" borderId="23" xfId="0" applyNumberFormat="1" applyFont="1" applyBorder="1" applyAlignment="1">
      <alignment vertical="center"/>
    </xf>
    <xf numFmtId="167" fontId="58" fillId="0" borderId="24" xfId="0" quotePrefix="1" applyNumberFormat="1" applyFont="1" applyBorder="1" applyAlignment="1">
      <alignment vertical="center"/>
    </xf>
    <xf numFmtId="167" fontId="58" fillId="0" borderId="22" xfId="0" applyNumberFormat="1" applyFont="1" applyBorder="1" applyAlignment="1">
      <alignment horizontal="right" vertical="center"/>
    </xf>
    <xf numFmtId="167" fontId="58" fillId="0" borderId="23" xfId="0" applyNumberFormat="1" applyFont="1" applyBorder="1" applyAlignment="1">
      <alignment horizontal="right" vertical="center"/>
    </xf>
    <xf numFmtId="167" fontId="58" fillId="0" borderId="23" xfId="0" applyNumberFormat="1" applyFont="1" applyBorder="1" applyAlignment="1">
      <alignment horizontal="left" vertical="center"/>
    </xf>
    <xf numFmtId="167" fontId="58" fillId="0" borderId="24" xfId="0" quotePrefix="1" applyNumberFormat="1" applyFont="1" applyBorder="1" applyAlignment="1">
      <alignment horizontal="right" vertical="center"/>
    </xf>
    <xf numFmtId="167" fontId="58" fillId="0" borderId="17" xfId="0" applyNumberFormat="1" applyFont="1" applyBorder="1" applyAlignment="1">
      <alignment horizontal="right" vertical="center"/>
    </xf>
    <xf numFmtId="167" fontId="58" fillId="0" borderId="20" xfId="0" applyNumberFormat="1" applyFont="1" applyBorder="1" applyAlignment="1">
      <alignment horizontal="right" vertical="center"/>
    </xf>
    <xf numFmtId="167" fontId="58" fillId="0" borderId="42" xfId="0" applyNumberFormat="1" applyFont="1" applyBorder="1" applyAlignment="1">
      <alignment horizontal="right" vertical="center"/>
    </xf>
    <xf numFmtId="167" fontId="58" fillId="0" borderId="26" xfId="0" applyNumberFormat="1" applyFont="1" applyBorder="1" applyAlignment="1">
      <alignment horizontal="right" vertical="center"/>
    </xf>
    <xf numFmtId="167" fontId="58" fillId="0" borderId="39" xfId="0" applyNumberFormat="1" applyFont="1" applyBorder="1" applyAlignment="1">
      <alignment horizontal="right" vertical="center"/>
    </xf>
    <xf numFmtId="167" fontId="58" fillId="0" borderId="40" xfId="0" applyNumberFormat="1" applyFont="1" applyBorder="1" applyAlignment="1">
      <alignment horizontal="right" vertical="center"/>
    </xf>
    <xf numFmtId="167" fontId="58" fillId="0" borderId="19" xfId="0" applyNumberFormat="1" applyFont="1" applyBorder="1" applyAlignment="1">
      <alignment horizontal="right" vertical="center"/>
    </xf>
    <xf numFmtId="168" fontId="20" fillId="0" borderId="5" xfId="0" quotePrefix="1" applyNumberFormat="1" applyFont="1" applyBorder="1" applyAlignment="1">
      <alignment horizontal="center"/>
    </xf>
    <xf numFmtId="167" fontId="32" fillId="0" borderId="17" xfId="0" applyNumberFormat="1" applyFont="1" applyBorder="1" applyAlignment="1">
      <alignment vertical="center"/>
    </xf>
    <xf numFmtId="167" fontId="19" fillId="0" borderId="22" xfId="0" applyNumberFormat="1" applyFont="1" applyBorder="1" applyAlignment="1">
      <alignment horizontal="left" vertical="center" indent="2"/>
    </xf>
    <xf numFmtId="167" fontId="19" fillId="0" borderId="17" xfId="0" applyNumberFormat="1" applyFont="1" applyBorder="1" applyAlignment="1">
      <alignment horizontal="left" vertical="center" indent="2"/>
    </xf>
    <xf numFmtId="166" fontId="20" fillId="0" borderId="20" xfId="1" applyFont="1" applyBorder="1" applyAlignment="1">
      <alignment vertical="center"/>
    </xf>
    <xf numFmtId="167" fontId="19" fillId="0" borderId="42" xfId="0" applyNumberFormat="1" applyFont="1" applyBorder="1" applyAlignment="1">
      <alignment horizontal="right" vertical="center"/>
    </xf>
    <xf numFmtId="167" fontId="19" fillId="0" borderId="33" xfId="0" applyNumberFormat="1" applyFont="1" applyBorder="1" applyAlignment="1">
      <alignment vertical="center"/>
    </xf>
    <xf numFmtId="167" fontId="19" fillId="0" borderId="34" xfId="0" applyNumberFormat="1" applyFont="1" applyBorder="1" applyAlignment="1">
      <alignment vertical="center"/>
    </xf>
    <xf numFmtId="167" fontId="19" fillId="0" borderId="35" xfId="0" applyNumberFormat="1" applyFont="1" applyBorder="1" applyAlignment="1">
      <alignment vertical="center"/>
    </xf>
    <xf numFmtId="167" fontId="19" fillId="0" borderId="36" xfId="0" applyNumberFormat="1" applyFont="1" applyBorder="1" applyAlignment="1">
      <alignment vertical="center"/>
    </xf>
    <xf numFmtId="167" fontId="19" fillId="0" borderId="17" xfId="0" quotePrefix="1" applyNumberFormat="1" applyFont="1" applyBorder="1" applyAlignment="1">
      <alignment horizontal="left" vertical="center" indent="2"/>
    </xf>
    <xf numFmtId="166" fontId="19" fillId="18" borderId="17" xfId="1" quotePrefix="1" applyFont="1" applyFill="1" applyBorder="1" applyAlignment="1">
      <alignment vertical="center"/>
    </xf>
    <xf numFmtId="167" fontId="19" fillId="0" borderId="18" xfId="0" quotePrefix="1" applyNumberFormat="1" applyFont="1" applyBorder="1" applyAlignment="1">
      <alignment horizontal="left" vertical="center" indent="2"/>
    </xf>
    <xf numFmtId="167" fontId="19" fillId="0" borderId="18" xfId="0" applyNumberFormat="1" applyFont="1" applyBorder="1" applyAlignment="1">
      <alignment horizontal="left" vertical="center" indent="2"/>
    </xf>
    <xf numFmtId="167" fontId="19" fillId="0" borderId="53" xfId="0" applyNumberFormat="1" applyFont="1" applyBorder="1" applyAlignment="1">
      <alignment vertical="center"/>
    </xf>
    <xf numFmtId="167" fontId="20" fillId="0" borderId="54" xfId="0" applyNumberFormat="1" applyFont="1" applyBorder="1" applyAlignment="1">
      <alignment vertical="center"/>
    </xf>
    <xf numFmtId="167" fontId="19" fillId="0" borderId="38" xfId="0" applyNumberFormat="1" applyFont="1" applyBorder="1" applyAlignment="1">
      <alignment vertical="center"/>
    </xf>
    <xf numFmtId="167" fontId="19" fillId="0" borderId="55" xfId="0" quotePrefix="1" applyNumberFormat="1" applyFont="1" applyBorder="1" applyAlignment="1">
      <alignment vertical="center"/>
    </xf>
    <xf numFmtId="167" fontId="20" fillId="16" borderId="33" xfId="0" applyNumberFormat="1" applyFont="1" applyFill="1" applyBorder="1" applyAlignment="1">
      <alignment vertical="center"/>
    </xf>
    <xf numFmtId="167" fontId="20" fillId="16" borderId="35" xfId="0" applyNumberFormat="1" applyFont="1" applyFill="1" applyBorder="1" applyAlignment="1">
      <alignment vertical="center"/>
    </xf>
    <xf numFmtId="167" fontId="20" fillId="16" borderId="34" xfId="0" applyNumberFormat="1" applyFont="1" applyFill="1" applyBorder="1" applyAlignment="1">
      <alignment vertical="center"/>
    </xf>
    <xf numFmtId="167" fontId="20" fillId="16" borderId="56" xfId="0" applyNumberFormat="1" applyFont="1" applyFill="1" applyBorder="1" applyAlignment="1">
      <alignment vertical="center"/>
    </xf>
    <xf numFmtId="43" fontId="25" fillId="16" borderId="8" xfId="0" applyNumberFormat="1" applyFont="1" applyFill="1" applyBorder="1" applyAlignment="1">
      <alignment vertical="center"/>
    </xf>
    <xf numFmtId="167" fontId="20" fillId="16" borderId="39" xfId="0" applyNumberFormat="1" applyFont="1" applyFill="1" applyBorder="1" applyAlignment="1">
      <alignment vertical="center"/>
    </xf>
    <xf numFmtId="167" fontId="20" fillId="16" borderId="27" xfId="0" applyNumberFormat="1" applyFont="1" applyFill="1" applyBorder="1" applyAlignment="1">
      <alignment vertical="center"/>
    </xf>
    <xf numFmtId="167" fontId="20" fillId="16" borderId="28" xfId="0" applyNumberFormat="1" applyFont="1" applyFill="1" applyBorder="1" applyAlignment="1">
      <alignment vertical="center"/>
    </xf>
    <xf numFmtId="167" fontId="20" fillId="16" borderId="19" xfId="0" applyNumberFormat="1" applyFont="1" applyFill="1" applyBorder="1" applyAlignment="1">
      <alignment vertical="center"/>
    </xf>
    <xf numFmtId="167" fontId="20" fillId="0" borderId="26" xfId="0" applyNumberFormat="1" applyFont="1" applyBorder="1" applyAlignment="1">
      <alignment horizontal="center" vertical="center"/>
    </xf>
    <xf numFmtId="166" fontId="19" fillId="18" borderId="25" xfId="1" applyFont="1" applyFill="1" applyBorder="1" applyAlignment="1">
      <alignment vertical="center"/>
    </xf>
    <xf numFmtId="14" fontId="19" fillId="18" borderId="25" xfId="0" applyNumberFormat="1" applyFont="1" applyFill="1" applyBorder="1" applyAlignment="1">
      <alignment vertical="center"/>
    </xf>
    <xf numFmtId="3" fontId="19" fillId="20" borderId="51" xfId="1" quotePrefix="1" applyNumberFormat="1" applyFont="1" applyFill="1" applyBorder="1" applyAlignment="1">
      <alignment vertical="center"/>
    </xf>
    <xf numFmtId="166" fontId="19" fillId="20" borderId="15" xfId="1" applyFont="1" applyFill="1" applyBorder="1" applyAlignment="1">
      <alignment vertical="center"/>
    </xf>
    <xf numFmtId="166" fontId="19" fillId="18" borderId="23" xfId="1" applyFont="1" applyFill="1" applyBorder="1" applyAlignment="1">
      <alignment vertical="center"/>
    </xf>
    <xf numFmtId="14" fontId="19" fillId="18" borderId="23" xfId="0" applyNumberFormat="1" applyFont="1" applyFill="1" applyBorder="1" applyAlignment="1">
      <alignment vertical="center"/>
    </xf>
    <xf numFmtId="3" fontId="19" fillId="20" borderId="24" xfId="1" quotePrefix="1" applyNumberFormat="1" applyFont="1" applyFill="1" applyBorder="1" applyAlignment="1">
      <alignment vertical="center"/>
    </xf>
    <xf numFmtId="166" fontId="19" fillId="20" borderId="17" xfId="1" applyFont="1" applyFill="1" applyBorder="1" applyAlignment="1">
      <alignment vertical="center"/>
    </xf>
    <xf numFmtId="14" fontId="19" fillId="18" borderId="17" xfId="0" applyNumberFormat="1" applyFont="1" applyFill="1" applyBorder="1" applyAlignment="1">
      <alignment vertical="center"/>
    </xf>
    <xf numFmtId="167" fontId="20" fillId="0" borderId="20" xfId="0" applyNumberFormat="1" applyFont="1" applyBorder="1" applyAlignment="1">
      <alignment horizontal="center" vertical="center"/>
    </xf>
    <xf numFmtId="166" fontId="20" fillId="20" borderId="52" xfId="1" applyFont="1" applyFill="1" applyBorder="1" applyAlignment="1">
      <alignment vertical="center"/>
    </xf>
    <xf numFmtId="166" fontId="20" fillId="20" borderId="57" xfId="1" quotePrefix="1" applyFont="1" applyFill="1" applyBorder="1" applyAlignment="1">
      <alignment vertical="center"/>
    </xf>
    <xf numFmtId="166" fontId="20" fillId="20" borderId="52" xfId="1" quotePrefix="1" applyFont="1" applyFill="1" applyBorder="1" applyAlignment="1">
      <alignment vertical="center"/>
    </xf>
    <xf numFmtId="167" fontId="19" fillId="0" borderId="58" xfId="0" applyNumberFormat="1" applyFont="1" applyBorder="1" applyAlignment="1">
      <alignment vertical="center"/>
    </xf>
    <xf numFmtId="167" fontId="19" fillId="0" borderId="59" xfId="0" applyNumberFormat="1" applyFont="1" applyBorder="1" applyAlignment="1">
      <alignment vertical="center"/>
    </xf>
    <xf numFmtId="167" fontId="19" fillId="0" borderId="60" xfId="0" applyNumberFormat="1" applyFont="1" applyBorder="1" applyAlignment="1">
      <alignment vertical="center"/>
    </xf>
    <xf numFmtId="167" fontId="20" fillId="0" borderId="61" xfId="0" applyNumberFormat="1" applyFont="1" applyBorder="1" applyAlignment="1">
      <alignment vertical="center"/>
    </xf>
    <xf numFmtId="167" fontId="20" fillId="0" borderId="62" xfId="0" applyNumberFormat="1" applyFont="1" applyBorder="1" applyAlignment="1">
      <alignment vertical="center"/>
    </xf>
    <xf numFmtId="167" fontId="20" fillId="0" borderId="63" xfId="0" applyNumberFormat="1" applyFont="1" applyBorder="1" applyAlignment="1">
      <alignment vertical="center"/>
    </xf>
    <xf numFmtId="167" fontId="20" fillId="0" borderId="64" xfId="0" applyNumberFormat="1" applyFont="1" applyBorder="1" applyAlignment="1">
      <alignment vertical="center"/>
    </xf>
    <xf numFmtId="167" fontId="20" fillId="0" borderId="65" xfId="0" applyNumberFormat="1" applyFont="1" applyBorder="1" applyAlignment="1">
      <alignment vertical="center"/>
    </xf>
    <xf numFmtId="167" fontId="19" fillId="0" borderId="42" xfId="0" applyNumberFormat="1" applyFont="1" applyBorder="1" applyAlignment="1">
      <alignment vertical="center"/>
    </xf>
    <xf numFmtId="167" fontId="20" fillId="0" borderId="66" xfId="0" applyNumberFormat="1" applyFont="1" applyBorder="1" applyAlignment="1">
      <alignment vertical="center"/>
    </xf>
    <xf numFmtId="167" fontId="20" fillId="0" borderId="67" xfId="0" applyNumberFormat="1" applyFont="1" applyBorder="1" applyAlignment="1">
      <alignment vertical="center"/>
    </xf>
    <xf numFmtId="167" fontId="20" fillId="0" borderId="68" xfId="0" applyNumberFormat="1" applyFont="1" applyBorder="1" applyAlignment="1">
      <alignment vertical="center"/>
    </xf>
    <xf numFmtId="43" fontId="24" fillId="0" borderId="12" xfId="0" applyNumberFormat="1" applyFont="1" applyBorder="1" applyAlignment="1">
      <alignment vertical="center"/>
    </xf>
    <xf numFmtId="167" fontId="20" fillId="0" borderId="35" xfId="0" applyNumberFormat="1" applyFont="1" applyBorder="1" applyAlignment="1">
      <alignment horizontal="center" vertical="center"/>
    </xf>
    <xf numFmtId="167" fontId="19" fillId="0" borderId="28" xfId="0" quotePrefix="1" applyNumberFormat="1" applyFont="1" applyBorder="1" applyAlignment="1">
      <alignment vertical="center"/>
    </xf>
    <xf numFmtId="167" fontId="20" fillId="0" borderId="27" xfId="0" applyNumberFormat="1" applyFont="1" applyBorder="1" applyAlignment="1">
      <alignment horizontal="center" vertical="center"/>
    </xf>
    <xf numFmtId="43" fontId="24" fillId="0" borderId="12" xfId="0" applyNumberFormat="1" applyFont="1" applyBorder="1" applyAlignment="1">
      <alignment horizontal="left"/>
    </xf>
    <xf numFmtId="49" fontId="25" fillId="0" borderId="0" xfId="0" applyNumberFormat="1" applyFont="1" applyAlignment="1">
      <alignment horizontal="center"/>
    </xf>
    <xf numFmtId="49" fontId="25" fillId="0" borderId="7" xfId="0" applyNumberFormat="1" applyFont="1" applyBorder="1" applyAlignment="1">
      <alignment horizontal="center"/>
    </xf>
    <xf numFmtId="49" fontId="24" fillId="0" borderId="0" xfId="0" applyNumberFormat="1" applyFont="1" applyAlignment="1">
      <alignment horizontal="left"/>
    </xf>
    <xf numFmtId="49" fontId="24" fillId="0" borderId="12" xfId="0" applyNumberFormat="1" applyFont="1" applyBorder="1" applyAlignment="1">
      <alignment horizontal="left"/>
    </xf>
    <xf numFmtId="49" fontId="20" fillId="0" borderId="2" xfId="0" applyNumberFormat="1" applyFont="1" applyBorder="1" applyAlignment="1">
      <alignment horizontal="center"/>
    </xf>
    <xf numFmtId="49" fontId="20" fillId="0" borderId="17" xfId="1" applyNumberFormat="1" applyFont="1" applyBorder="1" applyAlignment="1">
      <alignment horizontal="center" vertical="center"/>
    </xf>
    <xf numFmtId="49" fontId="20" fillId="0" borderId="17" xfId="0" applyNumberFormat="1" applyFont="1" applyBorder="1" applyAlignment="1">
      <alignment horizontal="center" vertical="center"/>
    </xf>
    <xf numFmtId="49" fontId="20" fillId="0" borderId="40" xfId="0" applyNumberFormat="1" applyFont="1" applyBorder="1" applyAlignment="1">
      <alignment horizontal="center" vertical="center"/>
    </xf>
    <xf numFmtId="49" fontId="24" fillId="0" borderId="0" xfId="0" applyNumberFormat="1" applyFont="1"/>
    <xf numFmtId="49" fontId="24" fillId="0" borderId="8" xfId="0" applyNumberFormat="1" applyFont="1" applyBorder="1"/>
    <xf numFmtId="49" fontId="24" fillId="0" borderId="10" xfId="0" applyNumberFormat="1" applyFont="1" applyBorder="1"/>
    <xf numFmtId="49" fontId="25" fillId="0" borderId="10" xfId="0" quotePrefix="1" applyNumberFormat="1" applyFont="1" applyBorder="1" applyAlignment="1">
      <alignment horizontal="left"/>
    </xf>
    <xf numFmtId="49" fontId="25" fillId="0" borderId="13" xfId="0" applyNumberFormat="1" applyFont="1" applyBorder="1"/>
    <xf numFmtId="49" fontId="19" fillId="0" borderId="14" xfId="0" applyNumberFormat="1" applyFont="1" applyBorder="1" applyAlignment="1">
      <alignment horizontal="center"/>
    </xf>
    <xf numFmtId="49" fontId="19" fillId="0" borderId="36" xfId="0" applyNumberFormat="1" applyFont="1" applyBorder="1" applyAlignment="1">
      <alignment vertical="center"/>
    </xf>
    <xf numFmtId="49" fontId="19" fillId="0" borderId="30" xfId="0" applyNumberFormat="1" applyFont="1" applyBorder="1" applyAlignment="1">
      <alignment vertical="center"/>
    </xf>
    <xf numFmtId="49" fontId="19" fillId="0" borderId="45" xfId="0" applyNumberFormat="1" applyFont="1" applyBorder="1" applyAlignment="1">
      <alignment vertical="center"/>
    </xf>
    <xf numFmtId="49" fontId="19" fillId="0" borderId="69" xfId="0" applyNumberFormat="1" applyFont="1" applyBorder="1" applyAlignment="1">
      <alignment vertical="center"/>
    </xf>
    <xf numFmtId="49" fontId="19" fillId="0" borderId="37" xfId="0" applyNumberFormat="1" applyFont="1" applyBorder="1" applyAlignment="1">
      <alignment vertical="center"/>
    </xf>
    <xf numFmtId="49" fontId="20" fillId="0" borderId="26" xfId="0" applyNumberFormat="1" applyFont="1" applyBorder="1" applyAlignment="1">
      <alignment horizontal="center" vertical="center"/>
    </xf>
    <xf numFmtId="49" fontId="20" fillId="0" borderId="20" xfId="0" applyNumberFormat="1" applyFont="1" applyBorder="1" applyAlignment="1">
      <alignment horizontal="center" vertical="center"/>
    </xf>
    <xf numFmtId="49" fontId="19" fillId="0" borderId="20" xfId="0" applyNumberFormat="1" applyFont="1" applyBorder="1" applyAlignment="1">
      <alignment vertical="center"/>
    </xf>
    <xf numFmtId="49" fontId="19" fillId="0" borderId="19" xfId="0" applyNumberFormat="1" applyFont="1" applyBorder="1" applyAlignment="1">
      <alignment vertical="center"/>
    </xf>
    <xf numFmtId="49" fontId="19" fillId="0" borderId="19" xfId="0" applyNumberFormat="1" applyFont="1" applyBorder="1" applyAlignment="1">
      <alignment horizontal="right" vertical="center"/>
    </xf>
    <xf numFmtId="49" fontId="20" fillId="0" borderId="35" xfId="0" applyNumberFormat="1" applyFont="1" applyBorder="1" applyAlignment="1">
      <alignment horizontal="center" vertical="center"/>
    </xf>
    <xf numFmtId="49" fontId="20" fillId="0" borderId="27" xfId="0" applyNumberFormat="1" applyFont="1" applyBorder="1" applyAlignment="1">
      <alignment horizontal="center" vertical="center"/>
    </xf>
    <xf numFmtId="49" fontId="25" fillId="0" borderId="0" xfId="0" applyNumberFormat="1" applyFont="1"/>
    <xf numFmtId="49" fontId="24" fillId="0" borderId="7" xfId="0" applyNumberFormat="1" applyFont="1" applyBorder="1"/>
    <xf numFmtId="49" fontId="19" fillId="0" borderId="2" xfId="0" applyNumberFormat="1" applyFont="1" applyBorder="1" applyAlignment="1">
      <alignment horizontal="center"/>
    </xf>
    <xf numFmtId="49" fontId="19" fillId="0" borderId="25" xfId="0" applyNumberFormat="1" applyFont="1" applyBorder="1" applyAlignment="1">
      <alignment horizontal="right" vertical="center"/>
    </xf>
    <xf numFmtId="49" fontId="19" fillId="0" borderId="17" xfId="1" applyNumberFormat="1" applyFont="1" applyBorder="1" applyAlignment="1">
      <alignment vertical="center"/>
    </xf>
    <xf numFmtId="49" fontId="19" fillId="0" borderId="17" xfId="0" applyNumberFormat="1" applyFont="1" applyBorder="1" applyAlignment="1">
      <alignment vertical="center"/>
    </xf>
    <xf numFmtId="49" fontId="19" fillId="0" borderId="17" xfId="0" applyNumberFormat="1" applyFont="1" applyBorder="1" applyAlignment="1">
      <alignment horizontal="right" vertical="center"/>
    </xf>
    <xf numFmtId="49" fontId="19" fillId="0" borderId="40" xfId="0" applyNumberFormat="1" applyFont="1" applyBorder="1" applyAlignment="1">
      <alignment horizontal="right" vertical="center"/>
    </xf>
    <xf numFmtId="49" fontId="24" fillId="0" borderId="12" xfId="0" applyNumberFormat="1" applyFont="1" applyBorder="1"/>
    <xf numFmtId="49" fontId="25" fillId="0" borderId="12" xfId="0" applyNumberFormat="1" applyFont="1" applyBorder="1" applyAlignment="1">
      <alignment horizontal="center"/>
    </xf>
    <xf numFmtId="43" fontId="54" fillId="0" borderId="9" xfId="0" applyNumberFormat="1" applyFont="1" applyBorder="1"/>
    <xf numFmtId="43" fontId="54" fillId="0" borderId="9" xfId="0" applyNumberFormat="1" applyFont="1" applyBorder="1" applyAlignment="1">
      <alignment horizontal="left"/>
    </xf>
    <xf numFmtId="43" fontId="54" fillId="0" borderId="9" xfId="0" quotePrefix="1" applyNumberFormat="1" applyFont="1" applyBorder="1" applyAlignment="1">
      <alignment horizontal="left"/>
    </xf>
    <xf numFmtId="43" fontId="54" fillId="0" borderId="11" xfId="0" applyNumberFormat="1" applyFont="1" applyBorder="1"/>
    <xf numFmtId="43" fontId="54" fillId="0" borderId="11" xfId="0" quotePrefix="1" applyNumberFormat="1" applyFont="1" applyBorder="1" applyAlignment="1">
      <alignment horizontal="left"/>
    </xf>
    <xf numFmtId="43" fontId="54" fillId="0" borderId="12" xfId="0" applyNumberFormat="1" applyFont="1" applyBorder="1"/>
    <xf numFmtId="43" fontId="28" fillId="0" borderId="12" xfId="0" applyNumberFormat="1" applyFont="1" applyBorder="1"/>
    <xf numFmtId="167" fontId="20" fillId="0" borderId="17" xfId="0" applyNumberFormat="1" applyFont="1" applyBorder="1" applyAlignment="1">
      <alignment horizontal="left" vertical="center"/>
    </xf>
    <xf numFmtId="167" fontId="19" fillId="0" borderId="16" xfId="0" applyNumberFormat="1" applyFont="1" applyBorder="1" applyAlignment="1">
      <alignment horizontal="right" vertical="center"/>
    </xf>
    <xf numFmtId="167" fontId="20" fillId="0" borderId="22" xfId="0" applyNumberFormat="1" applyFont="1" applyBorder="1" applyAlignment="1">
      <alignment horizontal="left" vertical="center"/>
    </xf>
    <xf numFmtId="167" fontId="19" fillId="0" borderId="70" xfId="0" applyNumberFormat="1" applyFont="1" applyBorder="1" applyAlignment="1">
      <alignment horizontal="right" vertical="center"/>
    </xf>
    <xf numFmtId="167" fontId="19" fillId="0" borderId="16" xfId="0" quotePrefix="1" applyNumberFormat="1" applyFont="1" applyBorder="1" applyAlignment="1">
      <alignment horizontal="left" vertical="center"/>
    </xf>
    <xf numFmtId="167" fontId="32" fillId="0" borderId="17" xfId="0" applyNumberFormat="1" applyFont="1" applyBorder="1" applyAlignment="1">
      <alignment horizontal="left" vertical="center"/>
    </xf>
    <xf numFmtId="167" fontId="29" fillId="0" borderId="17" xfId="0" applyNumberFormat="1" applyFont="1" applyBorder="1" applyAlignment="1">
      <alignment horizontal="left" vertical="center"/>
    </xf>
    <xf numFmtId="166" fontId="19" fillId="18" borderId="18" xfId="1" quotePrefix="1" applyFont="1" applyFill="1" applyBorder="1" applyAlignment="1">
      <alignment horizontal="center" vertical="center"/>
    </xf>
    <xf numFmtId="167" fontId="19" fillId="0" borderId="22" xfId="0" applyNumberFormat="1" applyFont="1" applyBorder="1" applyAlignment="1">
      <alignment horizontal="center" vertical="center"/>
    </xf>
    <xf numFmtId="166" fontId="19" fillId="0" borderId="51" xfId="1" quotePrefix="1" applyFont="1" applyBorder="1" applyAlignment="1">
      <alignment horizontal="center" vertical="center"/>
    </xf>
    <xf numFmtId="167" fontId="19" fillId="0" borderId="71" xfId="0" applyNumberFormat="1" applyFont="1" applyBorder="1" applyAlignment="1">
      <alignment horizontal="right" vertical="center"/>
    </xf>
    <xf numFmtId="167" fontId="19" fillId="0" borderId="71" xfId="0" applyNumberFormat="1" applyFont="1" applyBorder="1" applyAlignment="1">
      <alignment vertical="center"/>
    </xf>
    <xf numFmtId="0" fontId="20" fillId="0" borderId="72" xfId="0" applyFont="1" applyBorder="1" applyAlignment="1">
      <alignment vertical="center"/>
    </xf>
    <xf numFmtId="0" fontId="20" fillId="0" borderId="73" xfId="0" applyFont="1" applyBorder="1" applyAlignment="1">
      <alignment vertical="center"/>
    </xf>
    <xf numFmtId="0" fontId="19" fillId="0" borderId="74" xfId="0" applyFont="1" applyBorder="1" applyAlignment="1">
      <alignment vertical="center"/>
    </xf>
    <xf numFmtId="167" fontId="19" fillId="0" borderId="70" xfId="0" quotePrefix="1" applyNumberFormat="1" applyFont="1" applyBorder="1" applyAlignment="1">
      <alignment vertical="center"/>
    </xf>
    <xf numFmtId="0" fontId="19" fillId="0" borderId="16" xfId="0" applyFont="1" applyBorder="1" applyAlignment="1">
      <alignment vertical="center"/>
    </xf>
    <xf numFmtId="10" fontId="20" fillId="0" borderId="17" xfId="0" applyNumberFormat="1" applyFont="1" applyBorder="1" applyAlignment="1">
      <alignment vertical="center"/>
    </xf>
    <xf numFmtId="0" fontId="20" fillId="0" borderId="76" xfId="0" applyFont="1" applyBorder="1" applyAlignment="1">
      <alignment vertical="center"/>
    </xf>
    <xf numFmtId="0" fontId="19" fillId="0" borderId="77" xfId="0" applyFont="1" applyBorder="1" applyAlignment="1">
      <alignment vertical="center"/>
    </xf>
    <xf numFmtId="0" fontId="19" fillId="0" borderId="78" xfId="0" applyFont="1" applyBorder="1" applyAlignment="1">
      <alignment vertical="center"/>
    </xf>
    <xf numFmtId="10" fontId="19" fillId="0" borderId="79" xfId="0" applyNumberFormat="1" applyFont="1" applyBorder="1" applyAlignment="1">
      <alignment vertical="center"/>
    </xf>
    <xf numFmtId="43" fontId="24" fillId="0" borderId="67" xfId="0" applyNumberFormat="1" applyFont="1" applyBorder="1" applyAlignment="1">
      <alignment vertical="center"/>
    </xf>
    <xf numFmtId="0" fontId="19" fillId="0" borderId="80" xfId="0" applyFont="1" applyBorder="1" applyAlignment="1">
      <alignment vertical="center"/>
    </xf>
    <xf numFmtId="0" fontId="19" fillId="0" borderId="29" xfId="0" applyFont="1" applyBorder="1" applyAlignment="1">
      <alignment vertical="center"/>
    </xf>
    <xf numFmtId="0" fontId="20" fillId="0" borderId="16" xfId="0" applyFont="1" applyBorder="1" applyAlignment="1">
      <alignment vertical="center"/>
    </xf>
    <xf numFmtId="15" fontId="19" fillId="0" borderId="22" xfId="0" applyNumberFormat="1" applyFont="1" applyBorder="1" applyAlignment="1">
      <alignment vertical="center"/>
    </xf>
    <xf numFmtId="15" fontId="20" fillId="0" borderId="16" xfId="0" applyNumberFormat="1" applyFont="1" applyBorder="1" applyAlignment="1">
      <alignment horizontal="center" vertical="center"/>
    </xf>
    <xf numFmtId="2" fontId="19" fillId="0" borderId="17" xfId="0" applyNumberFormat="1" applyFont="1" applyBorder="1" applyAlignment="1">
      <alignment vertical="center"/>
    </xf>
    <xf numFmtId="0" fontId="19" fillId="20" borderId="17" xfId="0" applyFont="1" applyFill="1" applyBorder="1" applyAlignment="1">
      <alignment vertical="center"/>
    </xf>
    <xf numFmtId="15" fontId="19" fillId="0" borderId="16" xfId="0" applyNumberFormat="1" applyFont="1" applyBorder="1" applyAlignment="1">
      <alignment vertical="center"/>
    </xf>
    <xf numFmtId="176" fontId="19" fillId="0" borderId="16" xfId="0" applyNumberFormat="1" applyFont="1" applyBorder="1" applyAlignment="1">
      <alignment vertical="center"/>
    </xf>
    <xf numFmtId="167" fontId="19" fillId="0" borderId="16" xfId="0" applyNumberFormat="1" applyFont="1" applyBorder="1" applyAlignment="1">
      <alignment vertical="center"/>
    </xf>
    <xf numFmtId="0" fontId="19" fillId="0" borderId="20" xfId="0" applyFont="1" applyBorder="1" applyAlignment="1">
      <alignment vertical="center"/>
    </xf>
    <xf numFmtId="167" fontId="30" fillId="0" borderId="22" xfId="0" applyNumberFormat="1" applyFont="1" applyBorder="1" applyAlignment="1">
      <alignment vertical="center"/>
    </xf>
    <xf numFmtId="167" fontId="20" fillId="22" borderId="22" xfId="0" applyNumberFormat="1" applyFont="1" applyFill="1" applyBorder="1" applyAlignment="1">
      <alignment vertical="center"/>
    </xf>
    <xf numFmtId="167" fontId="19" fillId="22" borderId="16" xfId="0" applyNumberFormat="1" applyFont="1" applyFill="1" applyBorder="1" applyAlignment="1">
      <alignment vertical="center"/>
    </xf>
    <xf numFmtId="0" fontId="20" fillId="22" borderId="17" xfId="0" applyFont="1" applyFill="1" applyBorder="1" applyAlignment="1">
      <alignment vertical="center"/>
    </xf>
    <xf numFmtId="10" fontId="19" fillId="23" borderId="17" xfId="0" applyNumberFormat="1" applyFont="1" applyFill="1" applyBorder="1" applyAlignment="1">
      <alignment vertical="center"/>
    </xf>
    <xf numFmtId="0" fontId="19" fillId="0" borderId="24" xfId="0" quotePrefix="1" applyFont="1" applyBorder="1" applyAlignment="1">
      <alignment vertical="center"/>
    </xf>
    <xf numFmtId="0" fontId="19" fillId="0" borderId="45" xfId="0" applyFont="1" applyBorder="1" applyAlignment="1">
      <alignment vertical="center"/>
    </xf>
    <xf numFmtId="166" fontId="20" fillId="20" borderId="81" xfId="1" applyFont="1" applyFill="1" applyBorder="1" applyAlignment="1">
      <alignment vertical="center"/>
    </xf>
    <xf numFmtId="167" fontId="19" fillId="0" borderId="21" xfId="0" quotePrefix="1" applyNumberFormat="1" applyFont="1" applyBorder="1" applyAlignment="1">
      <alignment vertical="center"/>
    </xf>
    <xf numFmtId="167" fontId="19" fillId="24" borderId="82" xfId="0" applyNumberFormat="1" applyFont="1" applyFill="1" applyBorder="1" applyAlignment="1">
      <alignment vertical="center"/>
    </xf>
    <xf numFmtId="167" fontId="19" fillId="24" borderId="83" xfId="0" applyNumberFormat="1" applyFont="1" applyFill="1" applyBorder="1" applyAlignment="1">
      <alignment vertical="center"/>
    </xf>
    <xf numFmtId="167" fontId="19" fillId="0" borderId="84" xfId="0" applyNumberFormat="1" applyFont="1" applyBorder="1" applyAlignment="1">
      <alignment vertical="center"/>
    </xf>
    <xf numFmtId="0" fontId="25" fillId="0" borderId="0" xfId="0" applyFont="1" applyAlignment="1">
      <alignment horizontal="center"/>
    </xf>
    <xf numFmtId="0" fontId="26" fillId="0" borderId="0" xfId="0" applyFont="1"/>
    <xf numFmtId="0" fontId="26" fillId="0" borderId="12" xfId="0" applyFont="1" applyBorder="1"/>
    <xf numFmtId="0" fontId="19" fillId="0" borderId="2" xfId="0" applyFont="1" applyBorder="1" applyAlignment="1">
      <alignment horizontal="center"/>
    </xf>
    <xf numFmtId="0" fontId="19" fillId="0" borderId="25" xfId="0" applyFont="1" applyBorder="1" applyAlignment="1">
      <alignment horizontal="right" vertical="center"/>
    </xf>
    <xf numFmtId="0" fontId="20" fillId="0" borderId="15" xfId="0" applyFont="1" applyBorder="1" applyAlignment="1">
      <alignment horizontal="center" vertical="center"/>
    </xf>
    <xf numFmtId="0" fontId="19" fillId="0" borderId="27" xfId="0" applyFont="1" applyBorder="1" applyAlignment="1">
      <alignment vertical="center"/>
    </xf>
    <xf numFmtId="0" fontId="24" fillId="0" borderId="0" xfId="0" applyFont="1" applyAlignment="1">
      <alignment horizontal="center"/>
    </xf>
    <xf numFmtId="0" fontId="19" fillId="0" borderId="17" xfId="1" applyNumberFormat="1" applyFont="1" applyBorder="1" applyAlignment="1">
      <alignment horizontal="center" vertical="center"/>
    </xf>
    <xf numFmtId="0" fontId="20" fillId="0" borderId="17" xfId="1" applyNumberFormat="1" applyFont="1" applyBorder="1" applyAlignment="1">
      <alignment horizontal="center" vertical="center"/>
    </xf>
    <xf numFmtId="0" fontId="20" fillId="22" borderId="17" xfId="0" applyFont="1" applyFill="1" applyBorder="1" applyAlignment="1">
      <alignment horizontal="center" vertical="center"/>
    </xf>
    <xf numFmtId="0" fontId="25" fillId="0" borderId="7" xfId="0" applyFont="1" applyBorder="1" applyAlignment="1">
      <alignment horizontal="center"/>
    </xf>
    <xf numFmtId="0" fontId="20" fillId="0" borderId="2" xfId="0" applyFont="1" applyBorder="1" applyAlignment="1">
      <alignment horizontal="center"/>
    </xf>
    <xf numFmtId="0" fontId="20" fillId="0" borderId="25" xfId="0" applyFont="1" applyBorder="1" applyAlignment="1">
      <alignment horizontal="center" vertical="center"/>
    </xf>
    <xf numFmtId="0" fontId="20" fillId="0" borderId="16" xfId="0" applyFont="1" applyBorder="1" applyAlignment="1">
      <alignment horizontal="center" vertical="center"/>
    </xf>
    <xf numFmtId="0" fontId="20" fillId="0" borderId="23" xfId="0" applyFont="1" applyBorder="1" applyAlignment="1">
      <alignment horizontal="center" vertical="center"/>
    </xf>
    <xf numFmtId="0" fontId="20" fillId="0" borderId="27" xfId="0" applyFont="1" applyBorder="1" applyAlignment="1">
      <alignment horizontal="center" vertical="center"/>
    </xf>
    <xf numFmtId="0" fontId="24" fillId="0" borderId="12" xfId="0" applyFont="1" applyBorder="1" applyAlignment="1">
      <alignment horizontal="center"/>
    </xf>
    <xf numFmtId="1" fontId="20" fillId="18" borderId="5" xfId="0" applyNumberFormat="1" applyFont="1" applyFill="1" applyBorder="1" applyAlignment="1">
      <alignment horizontal="center" vertical="center"/>
    </xf>
    <xf numFmtId="166" fontId="19" fillId="20" borderId="52" xfId="1" applyFont="1" applyFill="1" applyBorder="1" applyAlignment="1">
      <alignment vertical="center"/>
    </xf>
    <xf numFmtId="167" fontId="19" fillId="0" borderId="32" xfId="0" applyNumberFormat="1" applyFont="1" applyBorder="1" applyAlignment="1">
      <alignment horizontal="right" vertical="center"/>
    </xf>
    <xf numFmtId="167" fontId="19" fillId="0" borderId="35" xfId="0" applyNumberFormat="1" applyFont="1" applyBorder="1" applyAlignment="1">
      <alignment horizontal="right" vertical="center"/>
    </xf>
    <xf numFmtId="167" fontId="20" fillId="0" borderId="22" xfId="0" applyNumberFormat="1" applyFont="1" applyBorder="1" applyAlignment="1">
      <alignment horizontal="center" vertical="center"/>
    </xf>
    <xf numFmtId="167" fontId="20" fillId="0" borderId="18" xfId="0" quotePrefix="1" applyNumberFormat="1" applyFont="1" applyBorder="1" applyAlignment="1">
      <alignment horizontal="center" vertical="center"/>
    </xf>
    <xf numFmtId="0" fontId="19" fillId="0" borderId="18" xfId="0" quotePrefix="1" applyFont="1" applyBorder="1" applyAlignment="1">
      <alignment horizontal="left" vertical="center"/>
    </xf>
    <xf numFmtId="10" fontId="19" fillId="0" borderId="17" xfId="0" applyNumberFormat="1" applyFont="1" applyBorder="1" applyAlignment="1">
      <alignment horizontal="left" vertical="center"/>
    </xf>
    <xf numFmtId="10" fontId="19" fillId="0" borderId="17" xfId="0" applyNumberFormat="1" applyFont="1" applyBorder="1" applyAlignment="1">
      <alignment horizontal="center" vertical="center"/>
    </xf>
    <xf numFmtId="0" fontId="19" fillId="0" borderId="53" xfId="0" applyFont="1" applyBorder="1" applyAlignment="1">
      <alignment horizontal="left" vertical="center"/>
    </xf>
    <xf numFmtId="0" fontId="19" fillId="0" borderId="53" xfId="0" applyFont="1" applyBorder="1" applyAlignment="1">
      <alignment horizontal="right" vertical="center"/>
    </xf>
    <xf numFmtId="167" fontId="19" fillId="0" borderId="86" xfId="0" applyNumberFormat="1" applyFont="1" applyBorder="1" applyAlignment="1">
      <alignment vertical="center"/>
    </xf>
    <xf numFmtId="167" fontId="29" fillId="0" borderId="22" xfId="0" applyNumberFormat="1" applyFont="1" applyBorder="1" applyAlignment="1">
      <alignment vertical="center"/>
    </xf>
    <xf numFmtId="0" fontId="25" fillId="0" borderId="0" xfId="0" applyFont="1"/>
    <xf numFmtId="0" fontId="19" fillId="0" borderId="40" xfId="0" applyFont="1" applyBorder="1" applyAlignment="1">
      <alignment vertical="center"/>
    </xf>
    <xf numFmtId="43" fontId="25" fillId="0" borderId="0" xfId="30" applyNumberFormat="1" applyFont="1" applyBorder="1" applyAlignment="1" applyProtection="1"/>
    <xf numFmtId="0" fontId="24" fillId="0" borderId="0" xfId="35" applyFont="1"/>
    <xf numFmtId="0" fontId="24" fillId="0" borderId="0" xfId="38" applyFont="1"/>
    <xf numFmtId="0" fontId="25" fillId="0" borderId="0" xfId="35" applyFont="1" applyAlignment="1">
      <alignment horizontal="center" vertical="center"/>
    </xf>
    <xf numFmtId="0" fontId="25" fillId="0" borderId="0" xfId="35" applyFont="1"/>
    <xf numFmtId="0" fontId="25" fillId="0" borderId="6" xfId="35" applyFont="1" applyBorder="1"/>
    <xf numFmtId="0" fontId="24" fillId="0" borderId="7" xfId="35" applyFont="1" applyBorder="1"/>
    <xf numFmtId="0" fontId="24" fillId="0" borderId="8" xfId="35" applyFont="1" applyBorder="1"/>
    <xf numFmtId="0" fontId="24" fillId="0" borderId="6" xfId="35" applyFont="1" applyBorder="1"/>
    <xf numFmtId="0" fontId="24" fillId="0" borderId="7" xfId="38" applyFont="1" applyBorder="1"/>
    <xf numFmtId="0" fontId="24" fillId="0" borderId="8" xfId="38" applyFont="1" applyBorder="1"/>
    <xf numFmtId="0" fontId="24" fillId="0" borderId="0" xfId="35" quotePrefix="1" applyFont="1"/>
    <xf numFmtId="43" fontId="28" fillId="0" borderId="0" xfId="35" applyNumberFormat="1" applyFont="1"/>
    <xf numFmtId="43" fontId="28" fillId="0" borderId="10" xfId="35" quotePrefix="1" applyNumberFormat="1" applyFont="1" applyBorder="1"/>
    <xf numFmtId="43" fontId="25" fillId="0" borderId="10" xfId="35" applyNumberFormat="1" applyFont="1" applyBorder="1"/>
    <xf numFmtId="43" fontId="24" fillId="0" borderId="0" xfId="35" applyNumberFormat="1" applyFont="1"/>
    <xf numFmtId="169" fontId="24" fillId="0" borderId="10" xfId="38" applyNumberFormat="1" applyFont="1" applyBorder="1"/>
    <xf numFmtId="1" fontId="24" fillId="0" borderId="12" xfId="35" applyNumberFormat="1" applyFont="1" applyBorder="1" applyAlignment="1">
      <alignment horizontal="left"/>
    </xf>
    <xf numFmtId="43" fontId="24" fillId="0" borderId="12" xfId="35" applyNumberFormat="1" applyFont="1" applyBorder="1"/>
    <xf numFmtId="43" fontId="24" fillId="0" borderId="13" xfId="35" applyNumberFormat="1" applyFont="1" applyBorder="1"/>
    <xf numFmtId="0" fontId="24" fillId="0" borderId="12" xfId="35" applyFont="1" applyBorder="1"/>
    <xf numFmtId="15" fontId="24" fillId="0" borderId="13" xfId="38" applyNumberFormat="1" applyFont="1" applyBorder="1"/>
    <xf numFmtId="15" fontId="24" fillId="0" borderId="0" xfId="35" applyNumberFormat="1" applyFont="1"/>
    <xf numFmtId="15" fontId="25" fillId="0" borderId="0" xfId="35" applyNumberFormat="1" applyFont="1" applyAlignment="1">
      <alignment horizontal="left"/>
    </xf>
    <xf numFmtId="174" fontId="25" fillId="0" borderId="0" xfId="35" applyNumberFormat="1" applyFont="1" applyAlignment="1">
      <alignment horizontal="left"/>
    </xf>
    <xf numFmtId="0" fontId="25" fillId="0" borderId="5" xfId="35" applyFont="1" applyBorder="1" applyAlignment="1">
      <alignment horizontal="center" vertical="center" wrapText="1"/>
    </xf>
    <xf numFmtId="166" fontId="25" fillId="0" borderId="5" xfId="22" applyFont="1" applyBorder="1" applyAlignment="1">
      <alignment horizontal="center" vertical="center"/>
    </xf>
    <xf numFmtId="173" fontId="24" fillId="18" borderId="5" xfId="1" applyNumberFormat="1" applyFont="1" applyFill="1" applyBorder="1" applyAlignment="1">
      <alignment horizontal="center"/>
    </xf>
    <xf numFmtId="173" fontId="24" fillId="19" borderId="5" xfId="22" applyNumberFormat="1" applyFont="1" applyFill="1" applyBorder="1" applyAlignment="1">
      <alignment horizontal="center"/>
    </xf>
    <xf numFmtId="43" fontId="24" fillId="0" borderId="0" xfId="38" applyNumberFormat="1" applyFont="1"/>
    <xf numFmtId="173" fontId="24" fillId="0" borderId="0" xfId="38" applyNumberFormat="1" applyFont="1"/>
    <xf numFmtId="166" fontId="24" fillId="0" borderId="0" xfId="22" applyFont="1" applyAlignment="1">
      <alignment horizontal="left"/>
    </xf>
    <xf numFmtId="166" fontId="24" fillId="0" borderId="0" xfId="22" applyFont="1"/>
    <xf numFmtId="166" fontId="25" fillId="0" borderId="0" xfId="22" applyFont="1"/>
    <xf numFmtId="166" fontId="24" fillId="18" borderId="5" xfId="1" applyFont="1" applyFill="1" applyBorder="1"/>
    <xf numFmtId="166" fontId="24" fillId="17" borderId="5" xfId="22" applyFont="1" applyFill="1" applyBorder="1"/>
    <xf numFmtId="166" fontId="25" fillId="0" borderId="0" xfId="22" applyFont="1" applyAlignment="1">
      <alignment horizontal="center"/>
    </xf>
    <xf numFmtId="166" fontId="25" fillId="0" borderId="0" xfId="22" applyFont="1" applyAlignment="1">
      <alignment horizontal="left"/>
    </xf>
    <xf numFmtId="166" fontId="24" fillId="18" borderId="0" xfId="1" applyFont="1" applyFill="1"/>
    <xf numFmtId="0" fontId="25" fillId="0" borderId="0" xfId="38" applyFont="1"/>
    <xf numFmtId="175" fontId="24" fillId="18" borderId="5" xfId="38" applyNumberFormat="1" applyFont="1" applyFill="1" applyBorder="1" applyAlignment="1">
      <alignment horizontal="center"/>
    </xf>
    <xf numFmtId="166" fontId="24" fillId="0" borderId="0" xfId="22" applyFont="1" applyAlignment="1">
      <alignment horizontal="center"/>
    </xf>
    <xf numFmtId="166" fontId="24" fillId="20" borderId="89" xfId="22" applyFont="1" applyFill="1" applyBorder="1"/>
    <xf numFmtId="166" fontId="24" fillId="0" borderId="0" xfId="22" applyFont="1" applyBorder="1"/>
    <xf numFmtId="49" fontId="24" fillId="0" borderId="0" xfId="38" applyNumberFormat="1" applyFont="1"/>
    <xf numFmtId="49" fontId="24" fillId="0" borderId="0" xfId="22" applyNumberFormat="1" applyFont="1" applyAlignment="1">
      <alignment horizontal="left"/>
    </xf>
    <xf numFmtId="0" fontId="24" fillId="0" borderId="0" xfId="38" applyFont="1" applyAlignment="1">
      <alignment horizontal="left"/>
    </xf>
    <xf numFmtId="17" fontId="24" fillId="0" borderId="0" xfId="38" applyNumberFormat="1" applyFont="1" applyAlignment="1">
      <alignment horizontal="left"/>
    </xf>
    <xf numFmtId="49" fontId="24" fillId="0" borderId="0" xfId="38" applyNumberFormat="1" applyFont="1" applyAlignment="1">
      <alignment horizontal="left"/>
    </xf>
    <xf numFmtId="49" fontId="24" fillId="0" borderId="0" xfId="22" applyNumberFormat="1" applyFont="1"/>
    <xf numFmtId="175" fontId="24" fillId="20" borderId="5" xfId="38" applyNumberFormat="1" applyFont="1" applyFill="1" applyBorder="1"/>
    <xf numFmtId="175" fontId="24" fillId="25" borderId="0" xfId="38" applyNumberFormat="1" applyFont="1" applyFill="1" applyAlignment="1">
      <alignment horizontal="center"/>
    </xf>
    <xf numFmtId="166" fontId="25" fillId="0" borderId="0" xfId="22" applyFont="1" applyBorder="1" applyAlignment="1">
      <alignment horizontal="left"/>
    </xf>
    <xf numFmtId="166" fontId="24" fillId="0" borderId="0" xfId="22" applyFont="1" applyBorder="1" applyAlignment="1">
      <alignment horizontal="left"/>
    </xf>
    <xf numFmtId="166" fontId="24" fillId="0" borderId="0" xfId="22" applyFont="1" applyFill="1"/>
    <xf numFmtId="166" fontId="24" fillId="18" borderId="5" xfId="4" applyFont="1" applyFill="1" applyBorder="1" applyAlignment="1">
      <alignment horizontal="center"/>
    </xf>
    <xf numFmtId="166" fontId="24" fillId="20" borderId="5" xfId="4" applyFont="1" applyFill="1" applyBorder="1" applyAlignment="1">
      <alignment horizontal="center"/>
    </xf>
    <xf numFmtId="166" fontId="24" fillId="0" borderId="0" xfId="4" applyFont="1" applyAlignment="1">
      <alignment horizontal="center"/>
    </xf>
    <xf numFmtId="0" fontId="31" fillId="0" borderId="0" xfId="38" applyFont="1"/>
    <xf numFmtId="0" fontId="27" fillId="0" borderId="0" xfId="38" applyFont="1"/>
    <xf numFmtId="17" fontId="25" fillId="0" borderId="0" xfId="38" applyNumberFormat="1" applyFont="1"/>
    <xf numFmtId="0" fontId="25" fillId="0" borderId="0" xfId="38" applyFont="1" applyAlignment="1">
      <alignment horizontal="left"/>
    </xf>
    <xf numFmtId="0" fontId="24" fillId="0" borderId="0" xfId="38" applyFont="1" applyAlignment="1">
      <alignment horizontal="center"/>
    </xf>
    <xf numFmtId="175" fontId="24" fillId="20" borderId="5" xfId="38" applyNumberFormat="1" applyFont="1" applyFill="1" applyBorder="1" applyAlignment="1">
      <alignment horizontal="center"/>
    </xf>
    <xf numFmtId="0" fontId="25" fillId="0" borderId="0" xfId="38" applyFont="1" applyAlignment="1">
      <alignment horizontal="center"/>
    </xf>
    <xf numFmtId="167" fontId="61" fillId="16" borderId="5" xfId="0" applyNumberFormat="1" applyFont="1" applyFill="1" applyBorder="1" applyAlignment="1">
      <alignment vertical="center"/>
    </xf>
    <xf numFmtId="167" fontId="19" fillId="0" borderId="91" xfId="0" quotePrefix="1" applyNumberFormat="1" applyFont="1" applyBorder="1" applyAlignment="1">
      <alignment vertical="center"/>
    </xf>
    <xf numFmtId="14" fontId="19" fillId="0" borderId="92" xfId="0" applyNumberFormat="1" applyFont="1" applyBorder="1" applyAlignment="1">
      <alignment vertical="center"/>
    </xf>
    <xf numFmtId="167" fontId="19" fillId="0" borderId="87" xfId="0" applyNumberFormat="1" applyFont="1" applyBorder="1" applyAlignment="1">
      <alignment vertical="center"/>
    </xf>
    <xf numFmtId="0" fontId="19" fillId="0" borderId="23" xfId="1" applyNumberFormat="1" applyFont="1" applyBorder="1" applyAlignment="1">
      <alignment vertical="center"/>
    </xf>
    <xf numFmtId="166" fontId="19" fillId="20" borderId="50" xfId="1" applyFont="1" applyFill="1" applyBorder="1" applyAlignment="1">
      <alignment vertical="center"/>
    </xf>
    <xf numFmtId="166" fontId="19" fillId="20" borderId="18" xfId="1" quotePrefix="1" applyFont="1" applyFill="1" applyBorder="1" applyAlignment="1">
      <alignment vertical="center"/>
    </xf>
    <xf numFmtId="166" fontId="19" fillId="20" borderId="52" xfId="1" quotePrefix="1" applyFont="1" applyFill="1" applyBorder="1" applyAlignment="1">
      <alignment vertical="center"/>
    </xf>
    <xf numFmtId="167" fontId="20" fillId="22" borderId="54" xfId="0" applyNumberFormat="1" applyFont="1" applyFill="1" applyBorder="1" applyAlignment="1">
      <alignment vertical="center"/>
    </xf>
    <xf numFmtId="167" fontId="19" fillId="22" borderId="38" xfId="0" applyNumberFormat="1" applyFont="1" applyFill="1" applyBorder="1" applyAlignment="1">
      <alignment vertical="center"/>
    </xf>
    <xf numFmtId="167" fontId="19" fillId="22" borderId="69" xfId="0" applyNumberFormat="1" applyFont="1" applyFill="1" applyBorder="1" applyAlignment="1">
      <alignment vertical="center"/>
    </xf>
    <xf numFmtId="9" fontId="19" fillId="20" borderId="20" xfId="39" applyFont="1" applyFill="1" applyBorder="1" applyAlignment="1">
      <alignment vertical="center"/>
    </xf>
    <xf numFmtId="166" fontId="19" fillId="20" borderId="20" xfId="1" applyFont="1" applyFill="1" applyBorder="1" applyAlignment="1">
      <alignment vertical="center"/>
    </xf>
    <xf numFmtId="43" fontId="25" fillId="22" borderId="1" xfId="0" applyNumberFormat="1" applyFont="1" applyFill="1" applyBorder="1" applyAlignment="1">
      <alignment vertical="center"/>
    </xf>
    <xf numFmtId="167" fontId="20" fillId="22" borderId="5" xfId="0" applyNumberFormat="1" applyFont="1" applyFill="1" applyBorder="1" applyAlignment="1">
      <alignment horizontal="center" vertical="center"/>
    </xf>
    <xf numFmtId="167" fontId="19" fillId="18" borderId="15" xfId="0" applyNumberFormat="1" applyFont="1" applyFill="1" applyBorder="1" applyAlignment="1">
      <alignment vertical="center"/>
    </xf>
    <xf numFmtId="167" fontId="19" fillId="18" borderId="30" xfId="0" applyNumberFormat="1" applyFont="1" applyFill="1" applyBorder="1" applyAlignment="1">
      <alignment vertical="center"/>
    </xf>
    <xf numFmtId="167" fontId="19" fillId="18" borderId="17" xfId="0" applyNumberFormat="1" applyFont="1" applyFill="1" applyBorder="1" applyAlignment="1">
      <alignment vertical="center"/>
    </xf>
    <xf numFmtId="167" fontId="19" fillId="18" borderId="20" xfId="0" applyNumberFormat="1" applyFont="1" applyFill="1" applyBorder="1" applyAlignment="1">
      <alignment vertical="center"/>
    </xf>
    <xf numFmtId="167" fontId="19" fillId="18" borderId="23" xfId="0" applyNumberFormat="1" applyFont="1" applyFill="1" applyBorder="1" applyAlignment="1">
      <alignment vertical="center"/>
    </xf>
    <xf numFmtId="167" fontId="19" fillId="18" borderId="87" xfId="0" applyNumberFormat="1" applyFont="1" applyFill="1" applyBorder="1" applyAlignment="1">
      <alignment vertical="center"/>
    </xf>
    <xf numFmtId="166" fontId="20" fillId="20" borderId="38" xfId="1" applyFont="1" applyFill="1" applyBorder="1" applyAlignment="1">
      <alignment vertical="center"/>
    </xf>
    <xf numFmtId="166" fontId="20" fillId="20" borderId="69" xfId="1" applyFont="1" applyFill="1" applyBorder="1" applyAlignment="1">
      <alignment vertical="center"/>
    </xf>
    <xf numFmtId="0" fontId="19" fillId="0" borderId="35" xfId="0" applyFont="1" applyBorder="1" applyAlignment="1">
      <alignment vertical="center"/>
    </xf>
    <xf numFmtId="43" fontId="25" fillId="0" borderId="0" xfId="35" applyNumberFormat="1" applyFont="1"/>
    <xf numFmtId="43" fontId="25" fillId="0" borderId="0" xfId="35" applyNumberFormat="1" applyFont="1" applyAlignment="1">
      <alignment horizontal="center"/>
    </xf>
    <xf numFmtId="43" fontId="24" fillId="0" borderId="6" xfId="35" applyNumberFormat="1" applyFont="1" applyBorder="1"/>
    <xf numFmtId="43" fontId="24" fillId="0" borderId="7" xfId="35" applyNumberFormat="1" applyFont="1" applyBorder="1"/>
    <xf numFmtId="43" fontId="24" fillId="0" borderId="8" xfId="35" applyNumberFormat="1" applyFont="1" applyBorder="1"/>
    <xf numFmtId="43" fontId="26" fillId="0" borderId="9" xfId="35" applyNumberFormat="1" applyFont="1" applyBorder="1"/>
    <xf numFmtId="43" fontId="28" fillId="0" borderId="10" xfId="35" applyNumberFormat="1" applyFont="1" applyBorder="1"/>
    <xf numFmtId="43" fontId="28" fillId="0" borderId="0" xfId="35" quotePrefix="1" applyNumberFormat="1" applyFont="1"/>
    <xf numFmtId="43" fontId="26" fillId="0" borderId="9" xfId="35" applyNumberFormat="1" applyFont="1" applyBorder="1" applyAlignment="1">
      <alignment horizontal="left"/>
    </xf>
    <xf numFmtId="43" fontId="24" fillId="0" borderId="10" xfId="35" applyNumberFormat="1" applyFont="1" applyBorder="1"/>
    <xf numFmtId="43" fontId="26" fillId="0" borderId="9" xfId="35" quotePrefix="1" applyNumberFormat="1" applyFont="1" applyBorder="1" applyAlignment="1">
      <alignment horizontal="left"/>
    </xf>
    <xf numFmtId="169" fontId="25" fillId="0" borderId="10" xfId="35" quotePrefix="1" applyNumberFormat="1" applyFont="1" applyBorder="1" applyAlignment="1">
      <alignment horizontal="left"/>
    </xf>
    <xf numFmtId="43" fontId="26" fillId="0" borderId="11" xfId="35" applyNumberFormat="1" applyFont="1" applyBorder="1"/>
    <xf numFmtId="15" fontId="24" fillId="0" borderId="12" xfId="35" quotePrefix="1" applyNumberFormat="1" applyFont="1" applyBorder="1"/>
    <xf numFmtId="43" fontId="28" fillId="0" borderId="13" xfId="35" applyNumberFormat="1" applyFont="1" applyBorder="1"/>
    <xf numFmtId="43" fontId="26" fillId="0" borderId="11" xfId="35" quotePrefix="1" applyNumberFormat="1" applyFont="1" applyBorder="1" applyAlignment="1">
      <alignment horizontal="left"/>
    </xf>
    <xf numFmtId="15" fontId="25" fillId="0" borderId="13" xfId="35" applyNumberFormat="1" applyFont="1" applyBorder="1"/>
    <xf numFmtId="43" fontId="19" fillId="0" borderId="1" xfId="35" applyNumberFormat="1" applyFont="1" applyBorder="1" applyAlignment="1">
      <alignment horizontal="center"/>
    </xf>
    <xf numFmtId="43" fontId="19" fillId="0" borderId="2" xfId="35" applyNumberFormat="1" applyFont="1" applyBorder="1" applyAlignment="1">
      <alignment horizontal="center"/>
    </xf>
    <xf numFmtId="168" fontId="20" fillId="0" borderId="5" xfId="35" quotePrefix="1" applyNumberFormat="1" applyFont="1" applyBorder="1" applyAlignment="1">
      <alignment horizontal="center"/>
    </xf>
    <xf numFmtId="43" fontId="19" fillId="0" borderId="14" xfId="35" applyNumberFormat="1" applyFont="1" applyBorder="1" applyAlignment="1">
      <alignment horizontal="center"/>
    </xf>
    <xf numFmtId="167" fontId="19" fillId="0" borderId="33" xfId="35" applyNumberFormat="1" applyFont="1" applyBorder="1" applyAlignment="1">
      <alignment vertical="center"/>
    </xf>
    <xf numFmtId="167" fontId="19" fillId="0" borderId="34" xfId="35" applyNumberFormat="1" applyFont="1" applyBorder="1" applyAlignment="1">
      <alignment vertical="center"/>
    </xf>
    <xf numFmtId="167" fontId="19" fillId="0" borderId="34" xfId="35" quotePrefix="1" applyNumberFormat="1" applyFont="1" applyBorder="1" applyAlignment="1">
      <alignment vertical="center"/>
    </xf>
    <xf numFmtId="167" fontId="19" fillId="0" borderId="36" xfId="35" applyNumberFormat="1" applyFont="1" applyBorder="1" applyAlignment="1">
      <alignment vertical="center"/>
    </xf>
    <xf numFmtId="43" fontId="24" fillId="0" borderId="0" xfId="35" applyNumberFormat="1" applyFont="1" applyAlignment="1">
      <alignment vertical="center"/>
    </xf>
    <xf numFmtId="167" fontId="19" fillId="0" borderId="17" xfId="35" applyNumberFormat="1" applyFont="1" applyBorder="1" applyAlignment="1">
      <alignment vertical="center"/>
    </xf>
    <xf numFmtId="166" fontId="19" fillId="20" borderId="50" xfId="4" applyFont="1" applyFill="1" applyBorder="1" applyAlignment="1">
      <alignment vertical="center"/>
    </xf>
    <xf numFmtId="166" fontId="19" fillId="0" borderId="17" xfId="4" applyFont="1" applyBorder="1" applyAlignment="1">
      <alignment vertical="center"/>
    </xf>
    <xf numFmtId="167" fontId="19" fillId="0" borderId="30" xfId="35" applyNumberFormat="1" applyFont="1" applyBorder="1" applyAlignment="1">
      <alignment vertical="center"/>
    </xf>
    <xf numFmtId="167" fontId="19" fillId="0" borderId="22" xfId="35" applyNumberFormat="1" applyFont="1" applyBorder="1" applyAlignment="1">
      <alignment vertical="center"/>
    </xf>
    <xf numFmtId="166" fontId="19" fillId="0" borderId="15" xfId="4" applyFont="1" applyBorder="1" applyAlignment="1">
      <alignment vertical="center"/>
    </xf>
    <xf numFmtId="167" fontId="19" fillId="0" borderId="17" xfId="35" quotePrefix="1" applyNumberFormat="1" applyFont="1" applyBorder="1" applyAlignment="1">
      <alignment vertical="center"/>
    </xf>
    <xf numFmtId="167" fontId="19" fillId="0" borderId="18" xfId="35" applyNumberFormat="1" applyFont="1" applyBorder="1" applyAlignment="1">
      <alignment vertical="center"/>
    </xf>
    <xf numFmtId="167" fontId="19" fillId="0" borderId="26" xfId="35" applyNumberFormat="1" applyFont="1" applyBorder="1" applyAlignment="1">
      <alignment vertical="center"/>
    </xf>
    <xf numFmtId="167" fontId="20" fillId="0" borderId="17" xfId="35" applyNumberFormat="1" applyFont="1" applyBorder="1" applyAlignment="1">
      <alignment horizontal="center" vertical="center"/>
    </xf>
    <xf numFmtId="167" fontId="19" fillId="0" borderId="15" xfId="35" applyNumberFormat="1" applyFont="1" applyBorder="1" applyAlignment="1">
      <alignment vertical="center"/>
    </xf>
    <xf numFmtId="167" fontId="19" fillId="0" borderId="18" xfId="35" quotePrefix="1" applyNumberFormat="1" applyFont="1" applyBorder="1" applyAlignment="1">
      <alignment vertical="center"/>
    </xf>
    <xf numFmtId="166" fontId="19" fillId="18" borderId="17" xfId="4" applyFont="1" applyFill="1" applyBorder="1" applyAlignment="1">
      <alignment vertical="center"/>
    </xf>
    <xf numFmtId="167" fontId="29" fillId="0" borderId="22" xfId="35" applyNumberFormat="1" applyFont="1" applyBorder="1" applyAlignment="1">
      <alignment vertical="center"/>
    </xf>
    <xf numFmtId="167" fontId="19" fillId="0" borderId="17" xfId="35" applyNumberFormat="1" applyFont="1" applyBorder="1" applyAlignment="1">
      <alignment horizontal="left" vertical="center"/>
    </xf>
    <xf numFmtId="167" fontId="19" fillId="0" borderId="17" xfId="35" quotePrefix="1" applyNumberFormat="1" applyFont="1" applyBorder="1" applyAlignment="1">
      <alignment horizontal="left" vertical="center"/>
    </xf>
    <xf numFmtId="167" fontId="19" fillId="0" borderId="18" xfId="35" quotePrefix="1" applyNumberFormat="1" applyFont="1" applyBorder="1" applyAlignment="1">
      <alignment horizontal="left" vertical="center"/>
    </xf>
    <xf numFmtId="167" fontId="19" fillId="0" borderId="18" xfId="35" applyNumberFormat="1" applyFont="1" applyBorder="1" applyAlignment="1">
      <alignment horizontal="left" vertical="center"/>
    </xf>
    <xf numFmtId="166" fontId="19" fillId="0" borderId="18" xfId="4" quotePrefix="1" applyFont="1" applyBorder="1" applyAlignment="1">
      <alignment vertical="center"/>
    </xf>
    <xf numFmtId="166" fontId="19" fillId="18" borderId="18" xfId="4" quotePrefix="1" applyFont="1" applyFill="1" applyBorder="1" applyAlignment="1">
      <alignment vertical="center"/>
    </xf>
    <xf numFmtId="166" fontId="19" fillId="0" borderId="51" xfId="4" quotePrefix="1" applyFont="1" applyBorder="1" applyAlignment="1">
      <alignment vertical="center"/>
    </xf>
    <xf numFmtId="166" fontId="19" fillId="20" borderId="52" xfId="4" quotePrefix="1" applyFont="1" applyFill="1" applyBorder="1" applyAlignment="1">
      <alignment vertical="center"/>
    </xf>
    <xf numFmtId="167" fontId="20" fillId="0" borderId="53" xfId="35" applyNumberFormat="1" applyFont="1" applyBorder="1" applyAlignment="1">
      <alignment vertical="center"/>
    </xf>
    <xf numFmtId="167" fontId="19" fillId="0" borderId="23" xfId="35" applyNumberFormat="1" applyFont="1" applyBorder="1" applyAlignment="1">
      <alignment vertical="center"/>
    </xf>
    <xf numFmtId="167" fontId="20" fillId="16" borderId="1" xfId="35" applyNumberFormat="1" applyFont="1" applyFill="1" applyBorder="1" applyAlignment="1">
      <alignment vertical="center"/>
    </xf>
    <xf numFmtId="167" fontId="20" fillId="16" borderId="93" xfId="35" applyNumberFormat="1" applyFont="1" applyFill="1" applyBorder="1" applyAlignment="1">
      <alignment vertical="center"/>
    </xf>
    <xf numFmtId="167" fontId="20" fillId="16" borderId="38" xfId="35" applyNumberFormat="1" applyFont="1" applyFill="1" applyBorder="1" applyAlignment="1">
      <alignment vertical="center"/>
    </xf>
    <xf numFmtId="167" fontId="19" fillId="18" borderId="5" xfId="35" applyNumberFormat="1" applyFont="1" applyFill="1" applyBorder="1" applyAlignment="1">
      <alignment horizontal="left" vertical="center"/>
    </xf>
    <xf numFmtId="166" fontId="19" fillId="18" borderId="14" xfId="4" applyFont="1" applyFill="1" applyBorder="1" applyAlignment="1">
      <alignment vertical="center"/>
    </xf>
    <xf numFmtId="14" fontId="19" fillId="18" borderId="5" xfId="35" applyNumberFormat="1" applyFont="1" applyFill="1" applyBorder="1" applyAlignment="1">
      <alignment vertical="center"/>
    </xf>
    <xf numFmtId="173" fontId="19" fillId="18" borderId="5" xfId="4" applyNumberFormat="1" applyFont="1" applyFill="1" applyBorder="1" applyAlignment="1">
      <alignment vertical="center"/>
    </xf>
    <xf numFmtId="166" fontId="19" fillId="20" borderId="5" xfId="4" applyFont="1" applyFill="1" applyBorder="1" applyAlignment="1">
      <alignment vertical="center"/>
    </xf>
    <xf numFmtId="167" fontId="20" fillId="24" borderId="5" xfId="35" applyNumberFormat="1" applyFont="1" applyFill="1" applyBorder="1" applyAlignment="1">
      <alignment horizontal="center" vertical="center"/>
    </xf>
    <xf numFmtId="167" fontId="19" fillId="0" borderId="39" xfId="35" applyNumberFormat="1" applyFont="1" applyBorder="1" applyAlignment="1">
      <alignment vertical="center"/>
    </xf>
    <xf numFmtId="167" fontId="19" fillId="0" borderId="27" xfId="35" applyNumberFormat="1" applyFont="1" applyBorder="1" applyAlignment="1">
      <alignment vertical="center"/>
    </xf>
    <xf numFmtId="167" fontId="19" fillId="0" borderId="20" xfId="35" applyNumberFormat="1" applyFont="1" applyBorder="1" applyAlignment="1">
      <alignment vertical="center"/>
    </xf>
    <xf numFmtId="43" fontId="25" fillId="22" borderId="1" xfId="35" applyNumberFormat="1" applyFont="1" applyFill="1" applyBorder="1" applyAlignment="1">
      <alignment vertical="center"/>
    </xf>
    <xf numFmtId="167" fontId="20" fillId="22" borderId="5" xfId="35" applyNumberFormat="1" applyFont="1" applyFill="1" applyBorder="1" applyAlignment="1">
      <alignment horizontal="center" vertical="center" wrapText="1"/>
    </xf>
    <xf numFmtId="167" fontId="20" fillId="22" borderId="5" xfId="35" applyNumberFormat="1" applyFont="1" applyFill="1" applyBorder="1" applyAlignment="1">
      <alignment horizontal="center" vertical="center"/>
    </xf>
    <xf numFmtId="167" fontId="19" fillId="0" borderId="49" xfId="35" applyNumberFormat="1" applyFont="1" applyBorder="1" applyAlignment="1">
      <alignment vertical="center"/>
    </xf>
    <xf numFmtId="167" fontId="19" fillId="18" borderId="30" xfId="35" applyNumberFormat="1" applyFont="1" applyFill="1" applyBorder="1" applyAlignment="1">
      <alignment vertical="center"/>
    </xf>
    <xf numFmtId="167" fontId="19" fillId="18" borderId="20" xfId="35" applyNumberFormat="1" applyFont="1" applyFill="1" applyBorder="1" applyAlignment="1">
      <alignment vertical="center"/>
    </xf>
    <xf numFmtId="167" fontId="19" fillId="18" borderId="87" xfId="35" applyNumberFormat="1" applyFont="1" applyFill="1" applyBorder="1" applyAlignment="1">
      <alignment vertical="center"/>
    </xf>
    <xf numFmtId="166" fontId="20" fillId="20" borderId="38" xfId="4" applyFont="1" applyFill="1" applyBorder="1" applyAlignment="1">
      <alignment vertical="center"/>
    </xf>
    <xf numFmtId="166" fontId="20" fillId="20" borderId="69" xfId="4" applyFont="1" applyFill="1" applyBorder="1" applyAlignment="1">
      <alignment vertical="center"/>
    </xf>
    <xf numFmtId="167" fontId="19" fillId="0" borderId="25" xfId="35" applyNumberFormat="1" applyFont="1" applyBorder="1" applyAlignment="1">
      <alignment vertical="center"/>
    </xf>
    <xf numFmtId="167" fontId="19" fillId="0" borderId="24" xfId="35" quotePrefix="1" applyNumberFormat="1" applyFont="1" applyBorder="1" applyAlignment="1">
      <alignment vertical="center"/>
    </xf>
    <xf numFmtId="167" fontId="19" fillId="0" borderId="28" xfId="35" quotePrefix="1" applyNumberFormat="1" applyFont="1" applyBorder="1" applyAlignment="1">
      <alignment vertical="center"/>
    </xf>
    <xf numFmtId="167" fontId="19" fillId="0" borderId="19" xfId="35" applyNumberFormat="1" applyFont="1" applyBorder="1" applyAlignment="1">
      <alignment vertical="center"/>
    </xf>
    <xf numFmtId="0" fontId="26" fillId="0" borderId="0" xfId="35" applyFont="1"/>
    <xf numFmtId="0" fontId="26" fillId="0" borderId="12" xfId="35" applyFont="1" applyBorder="1"/>
    <xf numFmtId="0" fontId="19" fillId="0" borderId="2" xfId="35" applyFont="1" applyBorder="1" applyAlignment="1">
      <alignment horizontal="center"/>
    </xf>
    <xf numFmtId="0" fontId="19" fillId="0" borderId="35" xfId="35" applyFont="1" applyBorder="1" applyAlignment="1">
      <alignment vertical="center"/>
    </xf>
    <xf numFmtId="0" fontId="19" fillId="0" borderId="17" xfId="4" applyNumberFormat="1" applyFont="1" applyBorder="1" applyAlignment="1">
      <alignment vertical="center"/>
    </xf>
    <xf numFmtId="0" fontId="20" fillId="0" borderId="17" xfId="4" applyNumberFormat="1" applyFont="1" applyBorder="1" applyAlignment="1">
      <alignment horizontal="center" vertical="center"/>
    </xf>
    <xf numFmtId="0" fontId="19" fillId="0" borderId="17" xfId="4" applyNumberFormat="1" applyFont="1" applyBorder="1" applyAlignment="1">
      <alignment horizontal="center" vertical="center"/>
    </xf>
    <xf numFmtId="0" fontId="20" fillId="16" borderId="69" xfId="35" applyFont="1" applyFill="1" applyBorder="1" applyAlignment="1">
      <alignment vertical="center"/>
    </xf>
    <xf numFmtId="0" fontId="19" fillId="20" borderId="5" xfId="4" applyNumberFormat="1" applyFont="1" applyFill="1" applyBorder="1" applyAlignment="1">
      <alignment vertical="center"/>
    </xf>
    <xf numFmtId="0" fontId="19" fillId="0" borderId="27" xfId="35" applyFont="1" applyBorder="1" applyAlignment="1">
      <alignment vertical="center"/>
    </xf>
    <xf numFmtId="0" fontId="20" fillId="22" borderId="5" xfId="35" applyFont="1" applyFill="1" applyBorder="1" applyAlignment="1">
      <alignment horizontal="center" vertical="center"/>
    </xf>
    <xf numFmtId="0" fontId="19" fillId="18" borderId="30" xfId="35" applyFont="1" applyFill="1" applyBorder="1" applyAlignment="1">
      <alignment vertical="center"/>
    </xf>
    <xf numFmtId="0" fontId="19" fillId="0" borderId="17" xfId="35" applyFont="1" applyBorder="1" applyAlignment="1">
      <alignment vertical="center"/>
    </xf>
    <xf numFmtId="0" fontId="19" fillId="18" borderId="37" xfId="35" applyFont="1" applyFill="1" applyBorder="1" applyAlignment="1">
      <alignment vertical="center"/>
    </xf>
    <xf numFmtId="167" fontId="19" fillId="26" borderId="48" xfId="35" applyNumberFormat="1" applyFont="1" applyFill="1" applyBorder="1" applyAlignment="1">
      <alignment vertical="center"/>
    </xf>
    <xf numFmtId="167" fontId="19" fillId="26" borderId="94" xfId="35" applyNumberFormat="1" applyFont="1" applyFill="1" applyBorder="1" applyAlignment="1">
      <alignment vertical="center"/>
    </xf>
    <xf numFmtId="167" fontId="19" fillId="26" borderId="47" xfId="35" applyNumberFormat="1" applyFont="1" applyFill="1" applyBorder="1" applyAlignment="1">
      <alignment vertical="center"/>
    </xf>
    <xf numFmtId="167" fontId="19" fillId="0" borderId="41" xfId="35" applyNumberFormat="1" applyFont="1" applyBorder="1" applyAlignment="1">
      <alignment vertical="center"/>
    </xf>
    <xf numFmtId="167" fontId="19" fillId="0" borderId="42" xfId="35" applyNumberFormat="1" applyFont="1" applyBorder="1" applyAlignment="1">
      <alignment vertical="center"/>
    </xf>
    <xf numFmtId="167" fontId="19" fillId="0" borderId="60" xfId="35" applyNumberFormat="1" applyFont="1" applyBorder="1" applyAlignment="1">
      <alignment vertical="center"/>
    </xf>
    <xf numFmtId="0" fontId="19" fillId="18" borderId="48" xfId="35" applyFont="1" applyFill="1" applyBorder="1" applyAlignment="1">
      <alignment vertical="center"/>
    </xf>
    <xf numFmtId="0" fontId="19" fillId="18" borderId="94" xfId="35" applyFont="1" applyFill="1" applyBorder="1" applyAlignment="1">
      <alignment vertical="center"/>
    </xf>
    <xf numFmtId="0" fontId="19" fillId="18" borderId="47" xfId="35" applyFont="1" applyFill="1" applyBorder="1" applyAlignment="1">
      <alignment vertical="center"/>
    </xf>
    <xf numFmtId="167" fontId="19" fillId="0" borderId="54" xfId="35" applyNumberFormat="1" applyFont="1" applyBorder="1" applyAlignment="1">
      <alignment vertical="center"/>
    </xf>
    <xf numFmtId="0" fontId="19" fillId="0" borderId="35" xfId="0" applyFont="1" applyBorder="1" applyAlignment="1">
      <alignment horizontal="right" vertical="center"/>
    </xf>
    <xf numFmtId="0" fontId="19" fillId="0" borderId="27" xfId="0" applyFont="1" applyBorder="1" applyAlignment="1">
      <alignment horizontal="right" vertical="center"/>
    </xf>
    <xf numFmtId="178" fontId="19" fillId="0" borderId="17" xfId="0" applyNumberFormat="1" applyFont="1" applyBorder="1" applyAlignment="1">
      <alignment horizontal="left" vertical="center"/>
    </xf>
    <xf numFmtId="43" fontId="25" fillId="0" borderId="0" xfId="30" applyNumberFormat="1" applyFont="1" applyBorder="1" applyAlignment="1" applyProtection="1">
      <alignment horizontal="center"/>
    </xf>
    <xf numFmtId="167" fontId="20" fillId="0" borderId="18" xfId="0" quotePrefix="1" applyNumberFormat="1" applyFont="1" applyBorder="1" applyAlignment="1">
      <alignment vertical="center"/>
    </xf>
    <xf numFmtId="166" fontId="19" fillId="20" borderId="57" xfId="1" quotePrefix="1" applyFont="1" applyFill="1" applyBorder="1" applyAlignment="1">
      <alignment vertical="center"/>
    </xf>
    <xf numFmtId="0" fontId="19" fillId="0" borderId="25" xfId="0" applyFont="1" applyBorder="1" applyAlignment="1">
      <alignment vertical="center"/>
    </xf>
    <xf numFmtId="178" fontId="19" fillId="0" borderId="22" xfId="0" applyNumberFormat="1" applyFont="1" applyBorder="1" applyAlignment="1">
      <alignment horizontal="left" vertical="center"/>
    </xf>
    <xf numFmtId="178" fontId="19" fillId="0" borderId="18" xfId="0" quotePrefix="1" applyNumberFormat="1" applyFont="1" applyBorder="1" applyAlignment="1">
      <alignment horizontal="left" vertical="center"/>
    </xf>
    <xf numFmtId="178" fontId="20" fillId="0" borderId="17" xfId="0" applyNumberFormat="1" applyFont="1" applyBorder="1" applyAlignment="1">
      <alignment horizontal="left" vertical="center"/>
    </xf>
    <xf numFmtId="178" fontId="29" fillId="0" borderId="22" xfId="0" applyNumberFormat="1" applyFont="1" applyBorder="1" applyAlignment="1">
      <alignment horizontal="left" vertical="center" indent="2"/>
    </xf>
    <xf numFmtId="178" fontId="19" fillId="0" borderId="22" xfId="0" applyNumberFormat="1" applyFont="1" applyBorder="1" applyAlignment="1">
      <alignment horizontal="left" vertical="center" indent="2"/>
    </xf>
    <xf numFmtId="178" fontId="19" fillId="0" borderId="17" xfId="0" applyNumberFormat="1" applyFont="1" applyBorder="1" applyAlignment="1">
      <alignment horizontal="left" vertical="center" indent="2"/>
    </xf>
    <xf numFmtId="43" fontId="25" fillId="0" borderId="0" xfId="33" applyNumberFormat="1" applyFont="1" applyBorder="1" applyAlignment="1" applyProtection="1"/>
    <xf numFmtId="43" fontId="24" fillId="0" borderId="0" xfId="35" applyNumberFormat="1" applyFont="1" applyAlignment="1">
      <alignment horizontal="center"/>
    </xf>
    <xf numFmtId="43" fontId="24" fillId="0" borderId="9" xfId="35" applyNumberFormat="1" applyFont="1" applyBorder="1"/>
    <xf numFmtId="1" fontId="20" fillId="0" borderId="5" xfId="35" applyNumberFormat="1" applyFont="1" applyBorder="1" applyAlignment="1">
      <alignment horizontal="center"/>
    </xf>
    <xf numFmtId="167" fontId="19" fillId="0" borderId="33" xfId="35" applyNumberFormat="1" applyFont="1" applyBorder="1" applyAlignment="1">
      <alignment horizontal="right" vertical="center"/>
    </xf>
    <xf numFmtId="167" fontId="19" fillId="0" borderId="22" xfId="35" applyNumberFormat="1" applyFont="1" applyBorder="1" applyAlignment="1">
      <alignment horizontal="left" vertical="center"/>
    </xf>
    <xf numFmtId="167" fontId="19" fillId="0" borderId="17" xfId="35" applyNumberFormat="1" applyFont="1" applyBorder="1" applyAlignment="1">
      <alignment horizontal="right" vertical="center"/>
    </xf>
    <xf numFmtId="166" fontId="19" fillId="27" borderId="95" xfId="4" applyFont="1" applyFill="1" applyBorder="1" applyAlignment="1">
      <alignment horizontal="center" vertical="center"/>
    </xf>
    <xf numFmtId="167" fontId="19" fillId="0" borderId="22" xfId="35" applyNumberFormat="1" applyFont="1" applyBorder="1" applyAlignment="1">
      <alignment horizontal="right" vertical="center"/>
    </xf>
    <xf numFmtId="167" fontId="19" fillId="0" borderId="15" xfId="35" applyNumberFormat="1" applyFont="1" applyBorder="1" applyAlignment="1">
      <alignment horizontal="center" vertical="center"/>
    </xf>
    <xf numFmtId="167" fontId="19" fillId="0" borderId="18" xfId="35" applyNumberFormat="1" applyFont="1" applyBorder="1" applyAlignment="1">
      <alignment horizontal="right" vertical="center"/>
    </xf>
    <xf numFmtId="167" fontId="20" fillId="0" borderId="18" xfId="35" applyNumberFormat="1" applyFont="1" applyBorder="1" applyAlignment="1">
      <alignment horizontal="right" vertical="center"/>
    </xf>
    <xf numFmtId="167" fontId="29" fillId="0" borderId="22" xfId="35" applyNumberFormat="1" applyFont="1" applyBorder="1" applyAlignment="1">
      <alignment horizontal="left" vertical="center" indent="2"/>
    </xf>
    <xf numFmtId="167" fontId="19" fillId="0" borderId="17" xfId="35" applyNumberFormat="1" applyFont="1" applyBorder="1" applyAlignment="1">
      <alignment horizontal="left" vertical="center" indent="2"/>
    </xf>
    <xf numFmtId="167" fontId="20" fillId="0" borderId="18" xfId="35" applyNumberFormat="1" applyFont="1" applyBorder="1" applyAlignment="1">
      <alignment horizontal="left" vertical="center" indent="2"/>
    </xf>
    <xf numFmtId="167" fontId="19" fillId="0" borderId="23" xfId="35" applyNumberFormat="1" applyFont="1" applyBorder="1" applyAlignment="1">
      <alignment horizontal="left" vertical="center" indent="2"/>
    </xf>
    <xf numFmtId="167" fontId="20" fillId="0" borderId="22" xfId="35" applyNumberFormat="1" applyFont="1" applyBorder="1" applyAlignment="1">
      <alignment horizontal="left" vertical="center"/>
    </xf>
    <xf numFmtId="166" fontId="19" fillId="27" borderId="38" xfId="4" applyFont="1" applyFill="1" applyBorder="1" applyAlignment="1">
      <alignment horizontal="center" vertical="center"/>
    </xf>
    <xf numFmtId="167" fontId="19" fillId="0" borderId="53" xfId="35" applyNumberFormat="1" applyFont="1" applyBorder="1" applyAlignment="1">
      <alignment horizontal="right" vertical="center"/>
    </xf>
    <xf numFmtId="167" fontId="19" fillId="0" borderId="23" xfId="35" applyNumberFormat="1" applyFont="1" applyBorder="1" applyAlignment="1">
      <alignment horizontal="left" vertical="center"/>
    </xf>
    <xf numFmtId="167" fontId="19" fillId="0" borderId="23" xfId="35" applyNumberFormat="1" applyFont="1" applyBorder="1" applyAlignment="1">
      <alignment horizontal="right" vertical="center"/>
    </xf>
    <xf numFmtId="167" fontId="19" fillId="0" borderId="24" xfId="35" applyNumberFormat="1" applyFont="1" applyBorder="1" applyAlignment="1">
      <alignment horizontal="right" vertical="center"/>
    </xf>
    <xf numFmtId="167" fontId="20" fillId="16" borderId="54" xfId="35" applyNumberFormat="1" applyFont="1" applyFill="1" applyBorder="1" applyAlignment="1">
      <alignment horizontal="left" vertical="center"/>
    </xf>
    <xf numFmtId="167" fontId="19" fillId="16" borderId="38" xfId="35" applyNumberFormat="1" applyFont="1" applyFill="1" applyBorder="1" applyAlignment="1">
      <alignment horizontal="left" vertical="center"/>
    </xf>
    <xf numFmtId="167" fontId="19" fillId="16" borderId="38" xfId="35" applyNumberFormat="1" applyFont="1" applyFill="1" applyBorder="1" applyAlignment="1">
      <alignment horizontal="right" vertical="center"/>
    </xf>
    <xf numFmtId="167" fontId="19" fillId="16" borderId="55" xfId="35" applyNumberFormat="1" applyFont="1" applyFill="1" applyBorder="1" applyAlignment="1">
      <alignment horizontal="right" vertical="center"/>
    </xf>
    <xf numFmtId="167" fontId="19" fillId="16" borderId="69" xfId="35" applyNumberFormat="1" applyFont="1" applyFill="1" applyBorder="1" applyAlignment="1">
      <alignment horizontal="right" vertical="center"/>
    </xf>
    <xf numFmtId="167" fontId="19" fillId="0" borderId="29" xfId="35" applyNumberFormat="1" applyFont="1" applyBorder="1" applyAlignment="1">
      <alignment horizontal="center" vertical="center"/>
    </xf>
    <xf numFmtId="167" fontId="29" fillId="0" borderId="49" xfId="35" applyNumberFormat="1" applyFont="1" applyBorder="1" applyAlignment="1">
      <alignment horizontal="left" vertical="center"/>
    </xf>
    <xf numFmtId="167" fontId="19" fillId="0" borderId="15" xfId="35" applyNumberFormat="1" applyFont="1" applyBorder="1" applyAlignment="1">
      <alignment horizontal="left" vertical="center"/>
    </xf>
    <xf numFmtId="167" fontId="19" fillId="0" borderId="21" xfId="35" applyNumberFormat="1" applyFont="1" applyBorder="1" applyAlignment="1">
      <alignment horizontal="left" vertical="center"/>
    </xf>
    <xf numFmtId="167" fontId="19" fillId="0" borderId="22" xfId="35" applyNumberFormat="1" applyFont="1" applyBorder="1" applyAlignment="1">
      <alignment horizontal="left" vertical="center" indent="3"/>
    </xf>
    <xf numFmtId="167" fontId="29" fillId="0" borderId="22" xfId="35" applyNumberFormat="1" applyFont="1" applyBorder="1" applyAlignment="1">
      <alignment horizontal="left" vertical="center"/>
    </xf>
    <xf numFmtId="167" fontId="19" fillId="0" borderId="17" xfId="35" applyNumberFormat="1" applyFont="1" applyBorder="1" applyAlignment="1">
      <alignment horizontal="center" vertical="center"/>
    </xf>
    <xf numFmtId="166" fontId="19" fillId="27" borderId="52" xfId="4" quotePrefix="1" applyFont="1" applyFill="1" applyBorder="1" applyAlignment="1">
      <alignment horizontal="center" vertical="center"/>
    </xf>
    <xf numFmtId="167" fontId="19" fillId="0" borderId="18" xfId="35" quotePrefix="1" applyNumberFormat="1" applyFont="1" applyBorder="1" applyAlignment="1">
      <alignment horizontal="right" vertical="center"/>
    </xf>
    <xf numFmtId="167" fontId="19" fillId="0" borderId="18" xfId="35" quotePrefix="1" applyNumberFormat="1" applyFont="1" applyBorder="1" applyAlignment="1">
      <alignment horizontal="center" vertical="center"/>
    </xf>
    <xf numFmtId="167" fontId="19" fillId="0" borderId="22" xfId="35" quotePrefix="1" applyNumberFormat="1" applyFont="1" applyBorder="1" applyAlignment="1">
      <alignment horizontal="right" vertical="center"/>
    </xf>
    <xf numFmtId="167" fontId="19" fillId="0" borderId="17" xfId="35" quotePrefix="1" applyNumberFormat="1" applyFont="1" applyBorder="1" applyAlignment="1">
      <alignment horizontal="right" vertical="center"/>
    </xf>
    <xf numFmtId="43" fontId="24" fillId="0" borderId="0" xfId="35" applyNumberFormat="1" applyFont="1" applyAlignment="1">
      <alignment horizontal="center" vertical="center"/>
    </xf>
    <xf numFmtId="167" fontId="19" fillId="0" borderId="39" xfId="35" applyNumberFormat="1" applyFont="1" applyBorder="1" applyAlignment="1">
      <alignment horizontal="right" vertical="center"/>
    </xf>
    <xf numFmtId="0" fontId="20" fillId="0" borderId="5" xfId="35" quotePrefix="1" applyFont="1" applyBorder="1" applyAlignment="1">
      <alignment horizontal="center"/>
    </xf>
    <xf numFmtId="0" fontId="19" fillId="0" borderId="15" xfId="35" applyFont="1" applyBorder="1" applyAlignment="1">
      <alignment horizontal="right" vertical="center"/>
    </xf>
    <xf numFmtId="0" fontId="20" fillId="0" borderId="15" xfId="35" applyFont="1" applyBorder="1" applyAlignment="1">
      <alignment horizontal="center" vertical="center"/>
    </xf>
    <xf numFmtId="0" fontId="19" fillId="0" borderId="17" xfId="35" applyFont="1" applyBorder="1" applyAlignment="1">
      <alignment horizontal="right" vertical="center"/>
    </xf>
    <xf numFmtId="0" fontId="19" fillId="0" borderId="17" xfId="35" applyFont="1" applyBorder="1" applyAlignment="1">
      <alignment horizontal="left" vertical="center" indent="2"/>
    </xf>
    <xf numFmtId="0" fontId="19" fillId="0" borderId="17" xfId="35" applyFont="1" applyBorder="1" applyAlignment="1">
      <alignment horizontal="left" vertical="center"/>
    </xf>
    <xf numFmtId="0" fontId="19" fillId="0" borderId="15" xfId="35" applyFont="1" applyBorder="1" applyAlignment="1">
      <alignment horizontal="left" vertical="center"/>
    </xf>
    <xf numFmtId="0" fontId="20" fillId="0" borderId="17" xfId="35" applyFont="1" applyBorder="1" applyAlignment="1">
      <alignment horizontal="center" vertical="center"/>
    </xf>
    <xf numFmtId="0" fontId="20" fillId="0" borderId="17" xfId="35" applyFont="1" applyBorder="1" applyAlignment="1">
      <alignment horizontal="left" vertical="center"/>
    </xf>
    <xf numFmtId="167" fontId="19" fillId="0" borderId="34" xfId="35" applyNumberFormat="1" applyFont="1" applyBorder="1" applyAlignment="1">
      <alignment horizontal="right" vertical="center"/>
    </xf>
    <xf numFmtId="167" fontId="19" fillId="0" borderId="34" xfId="35" quotePrefix="1" applyNumberFormat="1" applyFont="1" applyBorder="1" applyAlignment="1">
      <alignment horizontal="right" vertical="center"/>
    </xf>
    <xf numFmtId="167" fontId="19" fillId="0" borderId="34" xfId="35" applyNumberFormat="1" applyFont="1" applyBorder="1" applyAlignment="1">
      <alignment horizontal="center" vertical="center"/>
    </xf>
    <xf numFmtId="0" fontId="19" fillId="0" borderId="34" xfId="35" applyFont="1" applyBorder="1" applyAlignment="1">
      <alignment horizontal="right" vertical="center"/>
    </xf>
    <xf numFmtId="167" fontId="19" fillId="0" borderId="27" xfId="35" applyNumberFormat="1" applyFont="1" applyBorder="1" applyAlignment="1">
      <alignment horizontal="right" vertical="center"/>
    </xf>
    <xf numFmtId="167" fontId="19" fillId="0" borderId="27" xfId="35" applyNumberFormat="1" applyFont="1" applyBorder="1" applyAlignment="1">
      <alignment horizontal="left" vertical="center"/>
    </xf>
    <xf numFmtId="167" fontId="19" fillId="0" borderId="27" xfId="35" applyNumberFormat="1" applyFont="1" applyBorder="1" applyAlignment="1">
      <alignment horizontal="center" vertical="center"/>
    </xf>
    <xf numFmtId="0" fontId="19" fillId="0" borderId="27" xfId="35" applyFont="1" applyBorder="1" applyAlignment="1">
      <alignment horizontal="right" vertical="center"/>
    </xf>
    <xf numFmtId="166" fontId="24" fillId="0" borderId="47" xfId="4" applyFont="1" applyBorder="1" applyAlignment="1">
      <alignment horizontal="center"/>
    </xf>
    <xf numFmtId="0" fontId="55" fillId="16" borderId="5" xfId="35" applyFont="1" applyFill="1" applyBorder="1" applyAlignment="1">
      <alignment horizontal="center"/>
    </xf>
    <xf numFmtId="0" fontId="55" fillId="16" borderId="5" xfId="35" applyFont="1" applyFill="1" applyBorder="1" applyAlignment="1">
      <alignment horizontal="center" wrapText="1"/>
    </xf>
    <xf numFmtId="3" fontId="55" fillId="16" borderId="5" xfId="4" applyNumberFormat="1" applyFont="1" applyFill="1" applyBorder="1" applyAlignment="1">
      <alignment horizontal="center" wrapText="1"/>
    </xf>
    <xf numFmtId="3" fontId="55" fillId="16" borderId="5" xfId="4" applyNumberFormat="1" applyFont="1" applyFill="1" applyBorder="1" applyAlignment="1">
      <alignment horizontal="center"/>
    </xf>
    <xf numFmtId="4" fontId="55" fillId="16" borderId="5" xfId="9" applyNumberFormat="1" applyFont="1" applyFill="1" applyBorder="1" applyAlignment="1">
      <alignment horizontal="center"/>
    </xf>
    <xf numFmtId="4" fontId="55" fillId="16" borderId="5" xfId="24" applyNumberFormat="1" applyFont="1" applyFill="1" applyBorder="1" applyAlignment="1">
      <alignment horizontal="center" wrapText="1"/>
    </xf>
    <xf numFmtId="0" fontId="54" fillId="0" borderId="90" xfId="35" applyFont="1" applyBorder="1" applyAlignment="1">
      <alignment horizontal="left"/>
    </xf>
    <xf numFmtId="169" fontId="54" fillId="0" borderId="6" xfId="35" applyNumberFormat="1" applyFont="1" applyBorder="1" applyAlignment="1">
      <alignment horizontal="center"/>
    </xf>
    <xf numFmtId="166" fontId="54" fillId="0" borderId="90" xfId="4" applyFont="1" applyBorder="1" applyAlignment="1">
      <alignment horizontal="center"/>
    </xf>
    <xf numFmtId="166" fontId="54" fillId="17" borderId="0" xfId="4" applyFont="1" applyFill="1" applyBorder="1" applyAlignment="1">
      <alignment horizontal="center"/>
    </xf>
    <xf numFmtId="0" fontId="54" fillId="0" borderId="4" xfId="35" applyFont="1" applyBorder="1" applyAlignment="1">
      <alignment horizontal="left"/>
    </xf>
    <xf numFmtId="169" fontId="54" fillId="0" borderId="9" xfId="35" applyNumberFormat="1" applyFont="1" applyBorder="1" applyAlignment="1">
      <alignment horizontal="center"/>
    </xf>
    <xf numFmtId="166" fontId="54" fillId="0" borderId="4" xfId="4" applyFont="1" applyBorder="1" applyAlignment="1">
      <alignment horizontal="center"/>
    </xf>
    <xf numFmtId="166" fontId="54" fillId="0" borderId="4" xfId="4" quotePrefix="1" applyFont="1" applyBorder="1" applyAlignment="1">
      <alignment horizontal="center"/>
    </xf>
    <xf numFmtId="166" fontId="54" fillId="0" borderId="4" xfId="4" applyFont="1" applyFill="1" applyBorder="1" applyAlignment="1">
      <alignment horizontal="center"/>
    </xf>
    <xf numFmtId="0" fontId="54" fillId="0" borderId="47" xfId="35" applyFont="1" applyBorder="1" applyAlignment="1">
      <alignment horizontal="left"/>
    </xf>
    <xf numFmtId="169" fontId="54" fillId="0" borderId="11" xfId="35" applyNumberFormat="1" applyFont="1" applyBorder="1" applyAlignment="1">
      <alignment horizontal="center"/>
    </xf>
    <xf numFmtId="166" fontId="54" fillId="0" borderId="47" xfId="4" applyFont="1" applyBorder="1" applyAlignment="1">
      <alignment horizontal="center"/>
    </xf>
    <xf numFmtId="166" fontId="54" fillId="17" borderId="47" xfId="4" applyFont="1" applyFill="1" applyBorder="1" applyAlignment="1">
      <alignment horizontal="center"/>
    </xf>
    <xf numFmtId="166" fontId="54" fillId="0" borderId="47" xfId="4" quotePrefix="1" applyFont="1" applyBorder="1" applyAlignment="1">
      <alignment horizontal="center"/>
    </xf>
    <xf numFmtId="0" fontId="54" fillId="0" borderId="0" xfId="35" applyFont="1"/>
    <xf numFmtId="14" fontId="54" fillId="0" borderId="0" xfId="35" applyNumberFormat="1" applyFont="1"/>
    <xf numFmtId="166" fontId="55" fillId="0" borderId="0" xfId="4" applyFont="1" applyAlignment="1">
      <alignment horizontal="center"/>
    </xf>
    <xf numFmtId="9" fontId="54" fillId="28" borderId="5" xfId="40" applyFont="1" applyFill="1" applyBorder="1" applyAlignment="1">
      <alignment horizontal="center"/>
    </xf>
    <xf numFmtId="0" fontId="48" fillId="0" borderId="0" xfId="29" applyNumberFormat="1" applyFill="1"/>
    <xf numFmtId="0" fontId="49" fillId="0" borderId="0" xfId="34" applyNumberFormat="1" applyFill="1"/>
    <xf numFmtId="4" fontId="54" fillId="0" borderId="0" xfId="35" applyNumberFormat="1" applyFont="1" applyAlignment="1">
      <alignment horizontal="center"/>
    </xf>
    <xf numFmtId="43" fontId="55" fillId="0" borderId="96" xfId="35" applyNumberFormat="1" applyFont="1" applyBorder="1" applyAlignment="1">
      <alignment horizontal="center"/>
    </xf>
    <xf numFmtId="43" fontId="56" fillId="0" borderId="6" xfId="0" applyNumberFormat="1" applyFont="1" applyBorder="1"/>
    <xf numFmtId="0" fontId="54" fillId="0" borderId="7" xfId="35" applyFont="1" applyBorder="1"/>
    <xf numFmtId="43" fontId="54" fillId="0" borderId="7" xfId="35" applyNumberFormat="1" applyFont="1" applyBorder="1"/>
    <xf numFmtId="43" fontId="57" fillId="0" borderId="8" xfId="35" applyNumberFormat="1" applyFont="1" applyBorder="1"/>
    <xf numFmtId="0" fontId="54" fillId="0" borderId="7" xfId="35" quotePrefix="1" applyFont="1" applyBorder="1"/>
    <xf numFmtId="4" fontId="54" fillId="0" borderId="7" xfId="35" applyNumberFormat="1" applyFont="1" applyBorder="1" applyAlignment="1">
      <alignment horizontal="center"/>
    </xf>
    <xf numFmtId="43" fontId="54" fillId="0" borderId="8" xfId="35" applyNumberFormat="1" applyFont="1" applyBorder="1"/>
    <xf numFmtId="43" fontId="54" fillId="0" borderId="0" xfId="35" applyNumberFormat="1" applyFont="1"/>
    <xf numFmtId="43" fontId="57" fillId="0" borderId="10" xfId="35" applyNumberFormat="1" applyFont="1" applyBorder="1"/>
    <xf numFmtId="169" fontId="55" fillId="0" borderId="10" xfId="35" quotePrefix="1" applyNumberFormat="1" applyFont="1" applyBorder="1" applyAlignment="1">
      <alignment horizontal="left"/>
    </xf>
    <xf numFmtId="15" fontId="54" fillId="0" borderId="12" xfId="35" quotePrefix="1" applyNumberFormat="1" applyFont="1" applyBorder="1"/>
    <xf numFmtId="43" fontId="57" fillId="0" borderId="13" xfId="35" applyNumberFormat="1" applyFont="1" applyBorder="1"/>
    <xf numFmtId="0" fontId="54" fillId="0" borderId="12" xfId="35" applyFont="1" applyBorder="1"/>
    <xf numFmtId="15" fontId="55" fillId="0" borderId="13" xfId="35" applyNumberFormat="1" applyFont="1" applyBorder="1"/>
    <xf numFmtId="0" fontId="55" fillId="0" borderId="0" xfId="35" applyFont="1"/>
    <xf numFmtId="4" fontId="24" fillId="0" borderId="7" xfId="35" applyNumberFormat="1" applyFont="1" applyBorder="1" applyAlignment="1">
      <alignment horizontal="center"/>
    </xf>
    <xf numFmtId="1" fontId="24" fillId="0" borderId="0" xfId="4" applyNumberFormat="1" applyFont="1" applyBorder="1" applyAlignment="1">
      <alignment horizontal="center"/>
    </xf>
    <xf numFmtId="4" fontId="24" fillId="0" borderId="0" xfId="4" applyNumberFormat="1" applyFont="1" applyBorder="1" applyAlignment="1">
      <alignment horizontal="center"/>
    </xf>
    <xf numFmtId="4" fontId="24" fillId="0" borderId="0" xfId="35" applyNumberFormat="1" applyFont="1" applyAlignment="1">
      <alignment horizontal="center"/>
    </xf>
    <xf numFmtId="4" fontId="28" fillId="0" borderId="0" xfId="4" quotePrefix="1" applyNumberFormat="1" applyFont="1" applyBorder="1" applyAlignment="1" applyProtection="1">
      <alignment horizontal="center"/>
    </xf>
    <xf numFmtId="0" fontId="24" fillId="0" borderId="0" xfId="4" applyNumberFormat="1" applyFont="1" applyBorder="1" applyAlignment="1"/>
    <xf numFmtId="4" fontId="28" fillId="0" borderId="0" xfId="4" quotePrefix="1" applyNumberFormat="1" applyFont="1" applyBorder="1" applyAlignment="1">
      <alignment horizontal="center"/>
    </xf>
    <xf numFmtId="0" fontId="24" fillId="0" borderId="12" xfId="4" applyNumberFormat="1" applyFont="1" applyBorder="1" applyAlignment="1"/>
    <xf numFmtId="15" fontId="24" fillId="0" borderId="0" xfId="35" quotePrefix="1" applyNumberFormat="1" applyFont="1"/>
    <xf numFmtId="1" fontId="28" fillId="0" borderId="0" xfId="4" applyNumberFormat="1" applyFont="1" applyBorder="1" applyAlignment="1">
      <alignment horizontal="center"/>
    </xf>
    <xf numFmtId="4" fontId="24" fillId="0" borderId="0" xfId="35" quotePrefix="1" applyNumberFormat="1" applyFont="1" applyAlignment="1">
      <alignment horizontal="center"/>
    </xf>
    <xf numFmtId="4" fontId="25" fillId="0" borderId="0" xfId="35" applyNumberFormat="1" applyFont="1" applyAlignment="1">
      <alignment horizontal="center"/>
    </xf>
    <xf numFmtId="1" fontId="19" fillId="0" borderId="12" xfId="4" applyNumberFormat="1" applyFont="1" applyBorder="1" applyAlignment="1">
      <alignment horizontal="center" vertical="center"/>
    </xf>
    <xf numFmtId="4" fontId="19" fillId="0" borderId="12" xfId="4" applyNumberFormat="1" applyFont="1" applyBorder="1" applyAlignment="1">
      <alignment horizontal="center" vertical="center"/>
    </xf>
    <xf numFmtId="4" fontId="19" fillId="0" borderId="12" xfId="35" applyNumberFormat="1" applyFont="1" applyBorder="1" applyAlignment="1">
      <alignment horizontal="center" vertical="center"/>
    </xf>
    <xf numFmtId="167" fontId="19" fillId="0" borderId="9" xfId="35" applyNumberFormat="1" applyFont="1" applyBorder="1" applyAlignment="1">
      <alignment horizontal="right" vertical="center"/>
    </xf>
    <xf numFmtId="167" fontId="19" fillId="0" borderId="0" xfId="35" applyNumberFormat="1" applyFont="1" applyAlignment="1">
      <alignment horizontal="left" vertical="center"/>
    </xf>
    <xf numFmtId="1" fontId="19" fillId="0" borderId="0" xfId="4" applyNumberFormat="1" applyFont="1" applyBorder="1" applyAlignment="1">
      <alignment horizontal="center" vertical="center"/>
    </xf>
    <xf numFmtId="4" fontId="19" fillId="0" borderId="0" xfId="4" applyNumberFormat="1" applyFont="1" applyBorder="1" applyAlignment="1">
      <alignment horizontal="center" vertical="center"/>
    </xf>
    <xf numFmtId="4" fontId="19" fillId="0" borderId="0" xfId="35" applyNumberFormat="1" applyFont="1" applyAlignment="1">
      <alignment horizontal="center" vertical="center"/>
    </xf>
    <xf numFmtId="0" fontId="25" fillId="16" borderId="5" xfId="35" applyFont="1" applyFill="1" applyBorder="1" applyAlignment="1">
      <alignment horizontal="center" vertical="center" wrapText="1"/>
    </xf>
    <xf numFmtId="1" fontId="25" fillId="16" borderId="5" xfId="4" applyNumberFormat="1" applyFont="1" applyFill="1" applyBorder="1" applyAlignment="1">
      <alignment horizontal="center" vertical="center" wrapText="1"/>
    </xf>
    <xf numFmtId="4" fontId="25" fillId="16" borderId="5" xfId="4" applyNumberFormat="1" applyFont="1" applyFill="1" applyBorder="1" applyAlignment="1">
      <alignment horizontal="center" vertical="center" wrapText="1"/>
    </xf>
    <xf numFmtId="4" fontId="25" fillId="16" borderId="5" xfId="35" applyNumberFormat="1" applyFont="1" applyFill="1" applyBorder="1" applyAlignment="1">
      <alignment horizontal="center" vertical="center" wrapText="1"/>
    </xf>
    <xf numFmtId="169" fontId="24" fillId="0" borderId="47" xfId="35" applyNumberFormat="1" applyFont="1" applyBorder="1" applyAlignment="1">
      <alignment horizontal="left"/>
    </xf>
    <xf numFmtId="0" fontId="24" fillId="0" borderId="47" xfId="35" applyFont="1" applyBorder="1" applyAlignment="1">
      <alignment horizontal="left"/>
    </xf>
    <xf numFmtId="169" fontId="24" fillId="0" borderId="5" xfId="35" applyNumberFormat="1" applyFont="1" applyBorder="1" applyAlignment="1">
      <alignment horizontal="left"/>
    </xf>
    <xf numFmtId="0" fontId="24" fillId="0" borderId="5" xfId="35" applyFont="1" applyBorder="1" applyAlignment="1">
      <alignment horizontal="left"/>
    </xf>
    <xf numFmtId="166" fontId="24" fillId="0" borderId="5" xfId="4" applyFont="1" applyBorder="1" applyAlignment="1">
      <alignment horizontal="center"/>
    </xf>
    <xf numFmtId="169" fontId="24" fillId="0" borderId="9" xfId="35" applyNumberFormat="1" applyFont="1" applyBorder="1" applyAlignment="1">
      <alignment horizontal="left"/>
    </xf>
    <xf numFmtId="0" fontId="24" fillId="0" borderId="0" xfId="35" applyFont="1" applyAlignment="1">
      <alignment horizontal="left"/>
    </xf>
    <xf numFmtId="1" fontId="24" fillId="0" borderId="0" xfId="4" applyNumberFormat="1" applyFont="1" applyFill="1" applyBorder="1" applyAlignment="1">
      <alignment horizontal="center"/>
    </xf>
    <xf numFmtId="4" fontId="24" fillId="0" borderId="0" xfId="4" applyNumberFormat="1" applyFont="1" applyFill="1" applyBorder="1" applyAlignment="1">
      <alignment horizontal="center"/>
    </xf>
    <xf numFmtId="4" fontId="19" fillId="0" borderId="0" xfId="4" quotePrefix="1" applyNumberFormat="1" applyFont="1" applyBorder="1" applyAlignment="1">
      <alignment horizontal="center" vertical="center"/>
    </xf>
    <xf numFmtId="4" fontId="19" fillId="0" borderId="0" xfId="35" quotePrefix="1" applyNumberFormat="1" applyFont="1" applyAlignment="1">
      <alignment horizontal="center" vertical="center"/>
    </xf>
    <xf numFmtId="167" fontId="19" fillId="0" borderId="0" xfId="35" applyNumberFormat="1" applyFont="1" applyAlignment="1">
      <alignment horizontal="right" vertical="center"/>
    </xf>
    <xf numFmtId="167" fontId="20" fillId="0" borderId="1" xfId="35" applyNumberFormat="1" applyFont="1" applyBorder="1" applyAlignment="1">
      <alignment horizontal="left" vertical="center"/>
    </xf>
    <xf numFmtId="167" fontId="20" fillId="0" borderId="14" xfId="35" applyNumberFormat="1" applyFont="1" applyBorder="1" applyAlignment="1">
      <alignment horizontal="right" vertical="center"/>
    </xf>
    <xf numFmtId="167" fontId="19" fillId="0" borderId="11" xfId="35" applyNumberFormat="1" applyFont="1" applyBorder="1" applyAlignment="1">
      <alignment horizontal="right" vertical="center"/>
    </xf>
    <xf numFmtId="167" fontId="19" fillId="0" borderId="12" xfId="35" applyNumberFormat="1" applyFont="1" applyBorder="1" applyAlignment="1">
      <alignment horizontal="right" vertical="center"/>
    </xf>
    <xf numFmtId="1" fontId="24" fillId="0" borderId="0" xfId="4" applyNumberFormat="1" applyFont="1" applyAlignment="1">
      <alignment horizontal="center"/>
    </xf>
    <xf numFmtId="4" fontId="24" fillId="0" borderId="0" xfId="4" applyNumberFormat="1" applyFont="1" applyAlignment="1">
      <alignment horizontal="center"/>
    </xf>
    <xf numFmtId="166" fontId="24" fillId="29" borderId="5" xfId="4" applyFont="1" applyFill="1" applyBorder="1" applyAlignment="1">
      <alignment horizontal="center"/>
    </xf>
    <xf numFmtId="166" fontId="24" fillId="29" borderId="47" xfId="4" applyFont="1" applyFill="1" applyBorder="1" applyAlignment="1">
      <alignment horizontal="center"/>
    </xf>
    <xf numFmtId="166" fontId="20" fillId="29" borderId="5" xfId="4" applyFont="1" applyFill="1" applyBorder="1" applyAlignment="1">
      <alignment horizontal="center" vertical="center"/>
    </xf>
    <xf numFmtId="0" fontId="25" fillId="0" borderId="13" xfId="35" applyFont="1" applyBorder="1" applyAlignment="1">
      <alignment horizontal="center"/>
    </xf>
    <xf numFmtId="0" fontId="25" fillId="0" borderId="0" xfId="35" applyFont="1" applyAlignment="1">
      <alignment horizontal="center"/>
    </xf>
    <xf numFmtId="0" fontId="25" fillId="0" borderId="5" xfId="35" applyFont="1" applyBorder="1" applyAlignment="1">
      <alignment horizontal="center"/>
    </xf>
    <xf numFmtId="0" fontId="20" fillId="0" borderId="10" xfId="35" applyFont="1" applyBorder="1" applyAlignment="1">
      <alignment horizontal="center" vertical="center"/>
    </xf>
    <xf numFmtId="0" fontId="20" fillId="0" borderId="0" xfId="35" applyFont="1" applyAlignment="1">
      <alignment horizontal="center" vertical="center"/>
    </xf>
    <xf numFmtId="0" fontId="25" fillId="0" borderId="8" xfId="35" applyFont="1" applyBorder="1" applyAlignment="1">
      <alignment horizontal="center"/>
    </xf>
    <xf numFmtId="0" fontId="20" fillId="0" borderId="13" xfId="35" applyFont="1" applyBorder="1" applyAlignment="1">
      <alignment horizontal="center" vertical="center"/>
    </xf>
    <xf numFmtId="14" fontId="24" fillId="0" borderId="10" xfId="35" applyNumberFormat="1" applyFont="1" applyBorder="1" applyAlignment="1">
      <alignment horizontal="center"/>
    </xf>
    <xf numFmtId="4" fontId="25" fillId="0" borderId="0" xfId="4" applyNumberFormat="1" applyFont="1" applyBorder="1" applyAlignment="1">
      <alignment horizontal="center"/>
    </xf>
    <xf numFmtId="0" fontId="25" fillId="0" borderId="0" xfId="35" quotePrefix="1" applyFont="1" applyAlignment="1">
      <alignment horizontal="center"/>
    </xf>
    <xf numFmtId="167" fontId="20" fillId="0" borderId="0" xfId="35" applyNumberFormat="1" applyFont="1" applyAlignment="1">
      <alignment horizontal="left" vertical="center"/>
    </xf>
    <xf numFmtId="0" fontId="24" fillId="0" borderId="10" xfId="35" applyFont="1" applyBorder="1"/>
    <xf numFmtId="15" fontId="24" fillId="0" borderId="13" xfId="35" quotePrefix="1" applyNumberFormat="1" applyFont="1" applyBorder="1"/>
    <xf numFmtId="179" fontId="24" fillId="17" borderId="97" xfId="0" applyNumberFormat="1" applyFont="1" applyFill="1" applyBorder="1" applyAlignment="1">
      <alignment vertical="center"/>
    </xf>
    <xf numFmtId="0" fontId="25" fillId="0" borderId="98" xfId="0" applyFont="1" applyBorder="1" applyAlignment="1">
      <alignment vertical="center"/>
    </xf>
    <xf numFmtId="0" fontId="24" fillId="0" borderId="99" xfId="0" applyFont="1" applyBorder="1" applyAlignment="1">
      <alignment vertical="center"/>
    </xf>
    <xf numFmtId="0" fontId="24" fillId="0" borderId="100" xfId="0" applyFont="1" applyBorder="1" applyAlignment="1">
      <alignment vertical="center"/>
    </xf>
    <xf numFmtId="0" fontId="24" fillId="0" borderId="101" xfId="0" applyFont="1" applyBorder="1" applyAlignment="1">
      <alignment vertical="center" wrapText="1"/>
    </xf>
    <xf numFmtId="0" fontId="24" fillId="0" borderId="102" xfId="0" applyFont="1" applyBorder="1" applyAlignment="1">
      <alignment vertical="center" wrapText="1"/>
    </xf>
    <xf numFmtId="0" fontId="24" fillId="0" borderId="103" xfId="0" applyFont="1" applyBorder="1" applyAlignment="1">
      <alignment vertical="center"/>
    </xf>
    <xf numFmtId="0" fontId="25" fillId="0" borderId="99" xfId="0" applyFont="1" applyBorder="1" applyAlignment="1">
      <alignment vertical="center"/>
    </xf>
    <xf numFmtId="166" fontId="24" fillId="0" borderId="99" xfId="4" applyFont="1" applyBorder="1" applyAlignment="1">
      <alignment vertical="center"/>
    </xf>
    <xf numFmtId="166" fontId="24" fillId="17" borderId="0" xfId="4" applyFont="1" applyFill="1" applyBorder="1" applyAlignment="1">
      <alignment vertical="center"/>
    </xf>
    <xf numFmtId="0" fontId="24" fillId="0" borderId="99" xfId="0" applyFont="1" applyBorder="1" applyAlignment="1">
      <alignment horizontal="center" vertical="center"/>
    </xf>
    <xf numFmtId="166" fontId="24" fillId="17" borderId="97" xfId="4" applyFont="1" applyFill="1" applyBorder="1" applyAlignment="1">
      <alignment vertical="center"/>
    </xf>
    <xf numFmtId="166" fontId="24" fillId="0" borderId="104" xfId="4" applyFont="1" applyBorder="1" applyAlignment="1">
      <alignment vertical="center"/>
    </xf>
    <xf numFmtId="0" fontId="24" fillId="0" borderId="105" xfId="0" applyFont="1" applyBorder="1" applyAlignment="1">
      <alignment vertical="center"/>
    </xf>
    <xf numFmtId="43" fontId="24" fillId="0" borderId="105" xfId="0" applyNumberFormat="1" applyFont="1" applyBorder="1" applyAlignment="1">
      <alignment vertical="center"/>
    </xf>
    <xf numFmtId="166" fontId="24" fillId="17" borderId="3" xfId="4" applyFont="1" applyFill="1" applyBorder="1" applyAlignment="1">
      <alignment vertical="center"/>
    </xf>
    <xf numFmtId="43" fontId="24" fillId="0" borderId="99" xfId="0" applyNumberFormat="1" applyFont="1" applyBorder="1" applyAlignment="1">
      <alignment horizontal="center" vertical="center"/>
    </xf>
    <xf numFmtId="43" fontId="24" fillId="17" borderId="99" xfId="0" applyNumberFormat="1" applyFont="1" applyFill="1" applyBorder="1" applyAlignment="1">
      <alignment vertical="center"/>
    </xf>
    <xf numFmtId="43" fontId="33" fillId="0" borderId="105" xfId="30" applyNumberFormat="1" applyFont="1" applyBorder="1" applyAlignment="1" applyProtection="1">
      <alignment vertical="center"/>
    </xf>
    <xf numFmtId="179" fontId="24" fillId="17" borderId="106" xfId="0" applyNumberFormat="1" applyFont="1" applyFill="1" applyBorder="1" applyAlignment="1">
      <alignment horizontal="center" vertical="center"/>
    </xf>
    <xf numFmtId="179" fontId="24" fillId="17" borderId="97" xfId="0" applyNumberFormat="1" applyFont="1" applyFill="1" applyBorder="1" applyAlignment="1">
      <alignment horizontal="center" vertical="center"/>
    </xf>
    <xf numFmtId="0" fontId="24" fillId="0" borderId="104" xfId="0" applyFont="1" applyBorder="1" applyAlignment="1">
      <alignment vertical="center"/>
    </xf>
    <xf numFmtId="2" fontId="24" fillId="0" borderId="99" xfId="0" applyNumberFormat="1" applyFont="1" applyBorder="1" applyAlignment="1">
      <alignment vertical="center"/>
    </xf>
    <xf numFmtId="2" fontId="24" fillId="0" borderId="105" xfId="0" applyNumberFormat="1" applyFont="1" applyBorder="1" applyAlignment="1">
      <alignment vertical="center"/>
    </xf>
    <xf numFmtId="2" fontId="24" fillId="17" borderId="99" xfId="0" applyNumberFormat="1" applyFont="1" applyFill="1" applyBorder="1" applyAlignment="1">
      <alignment vertical="center"/>
    </xf>
    <xf numFmtId="10" fontId="24" fillId="17" borderId="99" xfId="40" applyNumberFormat="1" applyFont="1" applyFill="1" applyBorder="1" applyAlignment="1">
      <alignment vertical="center"/>
    </xf>
    <xf numFmtId="2" fontId="24" fillId="17" borderId="107" xfId="0" applyNumberFormat="1" applyFont="1" applyFill="1" applyBorder="1" applyAlignment="1">
      <alignment vertical="center"/>
    </xf>
    <xf numFmtId="2" fontId="33" fillId="0" borderId="105" xfId="30" applyNumberFormat="1" applyFont="1" applyBorder="1" applyAlignment="1" applyProtection="1">
      <alignment vertical="center"/>
    </xf>
    <xf numFmtId="2" fontId="24" fillId="17" borderId="97" xfId="0" applyNumberFormat="1" applyFont="1" applyFill="1" applyBorder="1" applyAlignment="1">
      <alignment vertical="center"/>
    </xf>
    <xf numFmtId="0" fontId="24" fillId="0" borderId="98" xfId="0" applyFont="1" applyBorder="1" applyAlignment="1">
      <alignment vertical="center"/>
    </xf>
    <xf numFmtId="0" fontId="25" fillId="0" borderId="0" xfId="0" applyFont="1" applyAlignment="1">
      <alignment vertical="center"/>
    </xf>
    <xf numFmtId="167" fontId="19" fillId="17" borderId="52" xfId="0" applyNumberFormat="1" applyFont="1" applyFill="1" applyBorder="1" applyAlignment="1">
      <alignment horizontal="right" vertical="center"/>
    </xf>
    <xf numFmtId="166" fontId="19" fillId="0" borderId="17" xfId="4" applyFont="1" applyBorder="1" applyAlignment="1">
      <alignment horizontal="right" vertical="center"/>
    </xf>
    <xf numFmtId="166" fontId="19" fillId="0" borderId="15" xfId="4" applyFont="1" applyBorder="1" applyAlignment="1">
      <alignment horizontal="right" vertical="center"/>
    </xf>
    <xf numFmtId="0" fontId="25" fillId="0" borderId="17" xfId="0" applyFont="1" applyBorder="1" applyAlignment="1">
      <alignment vertical="center"/>
    </xf>
    <xf numFmtId="0" fontId="24" fillId="0" borderId="17" xfId="0" applyFont="1" applyBorder="1" applyAlignment="1">
      <alignment vertical="center"/>
    </xf>
    <xf numFmtId="0" fontId="24" fillId="0" borderId="108" xfId="0" applyFont="1" applyBorder="1" applyAlignment="1">
      <alignment vertical="center"/>
    </xf>
    <xf numFmtId="0" fontId="24" fillId="0" borderId="22" xfId="0" applyFont="1" applyBorder="1" applyAlignment="1">
      <alignment vertical="center"/>
    </xf>
    <xf numFmtId="0" fontId="25" fillId="0" borderId="17" xfId="0" applyFont="1" applyBorder="1" applyAlignment="1">
      <alignment horizontal="center" vertical="center"/>
    </xf>
    <xf numFmtId="166" fontId="24" fillId="0" borderId="17" xfId="4" applyFont="1" applyBorder="1" applyAlignment="1">
      <alignment vertical="center"/>
    </xf>
    <xf numFmtId="166" fontId="24" fillId="17" borderId="23" xfId="4" applyFont="1" applyFill="1" applyBorder="1" applyAlignment="1">
      <alignment vertical="center"/>
    </xf>
    <xf numFmtId="0" fontId="24" fillId="0" borderId="17" xfId="0" applyFont="1" applyBorder="1" applyAlignment="1">
      <alignment horizontal="center" vertical="center"/>
    </xf>
    <xf numFmtId="166" fontId="24" fillId="17" borderId="52" xfId="4" applyFont="1" applyFill="1" applyBorder="1" applyAlignment="1">
      <alignment vertical="center"/>
    </xf>
    <xf numFmtId="166" fontId="24" fillId="0" borderId="15" xfId="4" applyFont="1" applyBorder="1" applyAlignment="1">
      <alignment vertical="center"/>
    </xf>
    <xf numFmtId="43" fontId="24" fillId="0" borderId="17" xfId="0" applyNumberFormat="1" applyFont="1" applyBorder="1" applyAlignment="1">
      <alignment vertical="center"/>
    </xf>
    <xf numFmtId="166" fontId="24" fillId="0" borderId="23" xfId="4" applyFont="1" applyBorder="1" applyAlignment="1">
      <alignment vertical="center"/>
    </xf>
    <xf numFmtId="0" fontId="24" fillId="0" borderId="17" xfId="0" applyFont="1" applyBorder="1" applyAlignment="1">
      <alignment horizontal="left" vertical="center"/>
    </xf>
    <xf numFmtId="166" fontId="24" fillId="17" borderId="17" xfId="4" applyFont="1" applyFill="1" applyBorder="1" applyAlignment="1">
      <alignment vertical="center"/>
    </xf>
    <xf numFmtId="166" fontId="25" fillId="17" borderId="17" xfId="4" applyFont="1" applyFill="1" applyBorder="1" applyAlignment="1">
      <alignment horizontal="left" vertical="center"/>
    </xf>
    <xf numFmtId="2" fontId="24" fillId="0" borderId="17" xfId="0" applyNumberFormat="1" applyFont="1" applyBorder="1" applyAlignment="1">
      <alignment vertical="center"/>
    </xf>
    <xf numFmtId="0" fontId="25" fillId="0" borderId="17" xfId="0" applyFont="1" applyBorder="1" applyAlignment="1">
      <alignment horizontal="left" vertical="center"/>
    </xf>
    <xf numFmtId="0" fontId="25" fillId="16" borderId="17" xfId="0" applyFont="1" applyFill="1" applyBorder="1" applyAlignment="1">
      <alignment vertical="center"/>
    </xf>
    <xf numFmtId="0" fontId="24" fillId="16" borderId="17" xfId="0" applyFont="1" applyFill="1" applyBorder="1" applyAlignment="1">
      <alignment vertical="center"/>
    </xf>
    <xf numFmtId="0" fontId="24" fillId="16" borderId="17" xfId="0" applyFont="1" applyFill="1" applyBorder="1" applyAlignment="1">
      <alignment horizontal="center" vertical="center"/>
    </xf>
    <xf numFmtId="166" fontId="24" fillId="16" borderId="17" xfId="4" applyFont="1" applyFill="1" applyBorder="1" applyAlignment="1">
      <alignment vertical="center"/>
    </xf>
    <xf numFmtId="166" fontId="25" fillId="17" borderId="17" xfId="4" applyFont="1" applyFill="1" applyBorder="1" applyAlignment="1">
      <alignment vertical="center"/>
    </xf>
    <xf numFmtId="166" fontId="25" fillId="0" borderId="17" xfId="4" applyFont="1" applyBorder="1" applyAlignment="1">
      <alignment vertical="center"/>
    </xf>
    <xf numFmtId="2" fontId="24" fillId="0" borderId="108" xfId="0" applyNumberFormat="1" applyFont="1" applyBorder="1" applyAlignment="1">
      <alignment vertical="center"/>
    </xf>
    <xf numFmtId="2" fontId="24" fillId="17" borderId="17" xfId="0" applyNumberFormat="1" applyFont="1" applyFill="1" applyBorder="1" applyAlignment="1">
      <alignment vertical="center"/>
    </xf>
    <xf numFmtId="10" fontId="24" fillId="17" borderId="17" xfId="40" applyNumberFormat="1" applyFont="1" applyFill="1" applyBorder="1" applyAlignment="1">
      <alignment vertical="center"/>
    </xf>
    <xf numFmtId="2" fontId="24" fillId="17" borderId="23" xfId="0" applyNumberFormat="1" applyFont="1" applyFill="1" applyBorder="1" applyAlignment="1">
      <alignment vertical="center"/>
    </xf>
    <xf numFmtId="2" fontId="24" fillId="17" borderId="52" xfId="0" applyNumberFormat="1" applyFont="1" applyFill="1" applyBorder="1" applyAlignment="1">
      <alignment vertical="center"/>
    </xf>
    <xf numFmtId="178" fontId="20" fillId="0" borderId="22" xfId="0" applyNumberFormat="1" applyFont="1" applyBorder="1" applyAlignment="1">
      <alignment horizontal="left" vertical="center" indent="2"/>
    </xf>
    <xf numFmtId="0" fontId="19" fillId="0" borderId="17" xfId="0" applyFont="1" applyBorder="1" applyAlignment="1">
      <alignment horizontal="left" vertical="center" indent="2"/>
    </xf>
    <xf numFmtId="178" fontId="62" fillId="0" borderId="22" xfId="0" applyNumberFormat="1" applyFont="1" applyBorder="1" applyAlignment="1">
      <alignment horizontal="left" vertical="center"/>
    </xf>
    <xf numFmtId="178" fontId="58" fillId="0" borderId="17" xfId="0" applyNumberFormat="1" applyFont="1" applyBorder="1" applyAlignment="1">
      <alignment horizontal="left" vertical="center"/>
    </xf>
    <xf numFmtId="178" fontId="58" fillId="0" borderId="18" xfId="0" quotePrefix="1" applyNumberFormat="1" applyFont="1" applyBorder="1" applyAlignment="1">
      <alignment horizontal="left" vertical="center"/>
    </xf>
    <xf numFmtId="178" fontId="62" fillId="0" borderId="22" xfId="0" applyNumberFormat="1" applyFont="1" applyBorder="1" applyAlignment="1">
      <alignment horizontal="left" vertical="center" indent="2"/>
    </xf>
    <xf numFmtId="178" fontId="58" fillId="0" borderId="22" xfId="0" applyNumberFormat="1" applyFont="1" applyBorder="1" applyAlignment="1">
      <alignment horizontal="left" vertical="center" indent="2"/>
    </xf>
    <xf numFmtId="178" fontId="59" fillId="0" borderId="22" xfId="0" applyNumberFormat="1" applyFont="1" applyBorder="1" applyAlignment="1">
      <alignment horizontal="left" vertical="center" indent="2"/>
    </xf>
    <xf numFmtId="178" fontId="58" fillId="0" borderId="17" xfId="0" applyNumberFormat="1" applyFont="1" applyBorder="1" applyAlignment="1">
      <alignment horizontal="left" vertical="center" indent="2"/>
    </xf>
    <xf numFmtId="178" fontId="58" fillId="0" borderId="22" xfId="0" applyNumberFormat="1" applyFont="1" applyBorder="1" applyAlignment="1">
      <alignment horizontal="left" vertical="center"/>
    </xf>
    <xf numFmtId="0" fontId="55" fillId="0" borderId="0" xfId="0" applyFont="1"/>
    <xf numFmtId="0" fontId="54" fillId="0" borderId="7" xfId="0" applyFont="1" applyBorder="1"/>
    <xf numFmtId="0" fontId="58" fillId="0" borderId="2" xfId="0" applyFont="1" applyBorder="1" applyAlignment="1">
      <alignment horizontal="center"/>
    </xf>
    <xf numFmtId="0" fontId="58" fillId="0" borderId="25" xfId="0" applyFont="1" applyBorder="1" applyAlignment="1">
      <alignment horizontal="right" vertical="center"/>
    </xf>
    <xf numFmtId="0" fontId="58" fillId="0" borderId="17" xfId="1" applyNumberFormat="1" applyFont="1" applyBorder="1" applyAlignment="1">
      <alignment vertical="center"/>
    </xf>
    <xf numFmtId="0" fontId="59" fillId="0" borderId="17" xfId="1" applyNumberFormat="1" applyFont="1" applyBorder="1" applyAlignment="1">
      <alignment horizontal="center" vertical="center"/>
    </xf>
    <xf numFmtId="0" fontId="58" fillId="0" borderId="17" xfId="0" applyFont="1" applyBorder="1" applyAlignment="1">
      <alignment horizontal="right" vertical="center"/>
    </xf>
    <xf numFmtId="0" fontId="58" fillId="0" borderId="40" xfId="0" applyFont="1" applyBorder="1" applyAlignment="1">
      <alignment horizontal="right" vertical="center"/>
    </xf>
    <xf numFmtId="166" fontId="58" fillId="29" borderId="50" xfId="1" applyFont="1" applyFill="1" applyBorder="1" applyAlignment="1">
      <alignment vertical="center"/>
    </xf>
    <xf numFmtId="0" fontId="54" fillId="0" borderId="8" xfId="0" applyFont="1" applyBorder="1"/>
    <xf numFmtId="0" fontId="54" fillId="0" borderId="6" xfId="0" applyFont="1" applyBorder="1"/>
    <xf numFmtId="0" fontId="57" fillId="0" borderId="10" xfId="0" applyFont="1" applyBorder="1"/>
    <xf numFmtId="0" fontId="57" fillId="0" borderId="0" xfId="0" quotePrefix="1" applyFont="1"/>
    <xf numFmtId="0" fontId="56" fillId="0" borderId="9" xfId="0" applyFont="1" applyBorder="1" applyAlignment="1">
      <alignment horizontal="left"/>
    </xf>
    <xf numFmtId="0" fontId="56" fillId="0" borderId="9" xfId="0" quotePrefix="1" applyFont="1" applyBorder="1" applyAlignment="1">
      <alignment horizontal="left"/>
    </xf>
    <xf numFmtId="0" fontId="54" fillId="0" borderId="12" xfId="0" quotePrefix="1" applyFont="1" applyBorder="1"/>
    <xf numFmtId="0" fontId="57" fillId="0" borderId="13" xfId="0" applyFont="1" applyBorder="1"/>
    <xf numFmtId="0" fontId="56" fillId="0" borderId="11" xfId="0" quotePrefix="1" applyFont="1" applyBorder="1" applyAlignment="1">
      <alignment horizontal="left"/>
    </xf>
    <xf numFmtId="166" fontId="58" fillId="29" borderId="52" xfId="1" quotePrefix="1" applyFont="1" applyFill="1" applyBorder="1" applyAlignment="1">
      <alignment vertical="center"/>
    </xf>
    <xf numFmtId="167" fontId="58" fillId="0" borderId="33" xfId="0" applyNumberFormat="1" applyFont="1" applyBorder="1" applyAlignment="1">
      <alignment horizontal="right" vertical="center"/>
    </xf>
    <xf numFmtId="167" fontId="58" fillId="0" borderId="34" xfId="0" applyNumberFormat="1" applyFont="1" applyBorder="1" applyAlignment="1">
      <alignment horizontal="right" vertical="center"/>
    </xf>
    <xf numFmtId="167" fontId="58" fillId="0" borderId="34" xfId="0" quotePrefix="1" applyNumberFormat="1" applyFont="1" applyBorder="1" applyAlignment="1">
      <alignment horizontal="right" vertical="center"/>
    </xf>
    <xf numFmtId="167" fontId="58" fillId="0" borderId="36" xfId="0" applyNumberFormat="1" applyFont="1" applyBorder="1" applyAlignment="1">
      <alignment horizontal="right" vertical="center"/>
    </xf>
    <xf numFmtId="167" fontId="59" fillId="0" borderId="22" xfId="0" applyNumberFormat="1" applyFont="1" applyBorder="1" applyAlignment="1">
      <alignment vertical="center"/>
    </xf>
    <xf numFmtId="0" fontId="54" fillId="0" borderId="9" xfId="0" applyFont="1" applyBorder="1" applyAlignment="1">
      <alignment horizontal="left"/>
    </xf>
    <xf numFmtId="0" fontId="54" fillId="0" borderId="9" xfId="0" quotePrefix="1" applyFont="1" applyBorder="1" applyAlignment="1">
      <alignment horizontal="left"/>
    </xf>
    <xf numFmtId="0" fontId="54" fillId="0" borderId="11" xfId="0" quotePrefix="1" applyFont="1" applyBorder="1" applyAlignment="1">
      <alignment horizontal="left"/>
    </xf>
    <xf numFmtId="0" fontId="57" fillId="0" borderId="8" xfId="0" applyFont="1" applyBorder="1"/>
    <xf numFmtId="0" fontId="54" fillId="0" borderId="6" xfId="0" applyFont="1" applyBorder="1" applyAlignment="1">
      <alignment horizontal="left"/>
    </xf>
    <xf numFmtId="0" fontId="54" fillId="0" borderId="7" xfId="0" quotePrefix="1" applyFont="1" applyBorder="1"/>
    <xf numFmtId="0" fontId="59" fillId="0" borderId="17" xfId="1" applyNumberFormat="1" applyFont="1" applyBorder="1" applyAlignment="1">
      <alignment vertical="center"/>
    </xf>
    <xf numFmtId="167" fontId="58" fillId="0" borderId="27" xfId="0" applyNumberFormat="1" applyFont="1" applyBorder="1" applyAlignment="1">
      <alignment horizontal="right" vertical="center"/>
    </xf>
    <xf numFmtId="167" fontId="58" fillId="0" borderId="27" xfId="0" applyNumberFormat="1" applyFont="1" applyBorder="1" applyAlignment="1">
      <alignment horizontal="left" vertical="center"/>
    </xf>
    <xf numFmtId="167" fontId="58" fillId="0" borderId="28" xfId="0" quotePrefix="1" applyNumberFormat="1" applyFont="1" applyBorder="1" applyAlignment="1">
      <alignment horizontal="right" vertical="center"/>
    </xf>
    <xf numFmtId="167" fontId="58" fillId="0" borderId="35" xfId="0" applyNumberFormat="1" applyFont="1" applyBorder="1" applyAlignment="1">
      <alignment horizontal="right" vertical="center"/>
    </xf>
    <xf numFmtId="168" fontId="59" fillId="0" borderId="2" xfId="0" quotePrefix="1" applyNumberFormat="1" applyFont="1" applyBorder="1" applyAlignment="1">
      <alignment horizontal="center"/>
    </xf>
    <xf numFmtId="167" fontId="58" fillId="0" borderId="53" xfId="0" applyNumberFormat="1" applyFont="1" applyBorder="1" applyAlignment="1">
      <alignment vertical="center"/>
    </xf>
    <xf numFmtId="167" fontId="58" fillId="0" borderId="23" xfId="0" quotePrefix="1" applyNumberFormat="1" applyFont="1" applyBorder="1" applyAlignment="1">
      <alignment vertical="center"/>
    </xf>
    <xf numFmtId="166" fontId="58" fillId="0" borderId="24" xfId="1" quotePrefix="1" applyFont="1" applyBorder="1" applyAlignment="1">
      <alignment vertical="center"/>
    </xf>
    <xf numFmtId="166" fontId="59" fillId="0" borderId="23" xfId="1" applyFont="1" applyBorder="1" applyAlignment="1">
      <alignment vertical="center"/>
    </xf>
    <xf numFmtId="167" fontId="59" fillId="16" borderId="33" xfId="0" applyNumberFormat="1" applyFont="1" applyFill="1" applyBorder="1" applyAlignment="1">
      <alignment vertical="center"/>
    </xf>
    <xf numFmtId="167" fontId="59" fillId="16" borderId="34" xfId="0" quotePrefix="1" applyNumberFormat="1" applyFont="1" applyFill="1" applyBorder="1" applyAlignment="1">
      <alignment vertical="center"/>
    </xf>
    <xf numFmtId="167" fontId="59" fillId="16" borderId="34" xfId="0" applyNumberFormat="1" applyFont="1" applyFill="1" applyBorder="1" applyAlignment="1">
      <alignment horizontal="center" vertical="center"/>
    </xf>
    <xf numFmtId="166" fontId="59" fillId="16" borderId="85" xfId="1" quotePrefix="1" applyFont="1" applyFill="1" applyBorder="1" applyAlignment="1">
      <alignment horizontal="center" vertical="center"/>
    </xf>
    <xf numFmtId="166" fontId="59" fillId="16" borderId="109" xfId="1" applyFont="1" applyFill="1" applyBorder="1" applyAlignment="1">
      <alignment horizontal="center" vertical="center"/>
    </xf>
    <xf numFmtId="167" fontId="59" fillId="16" borderId="31" xfId="0" applyNumberFormat="1" applyFont="1" applyFill="1" applyBorder="1" applyAlignment="1">
      <alignment horizontal="center" vertical="center"/>
    </xf>
    <xf numFmtId="167" fontId="58" fillId="0" borderId="49" xfId="0" applyNumberFormat="1" applyFont="1" applyBorder="1" applyAlignment="1">
      <alignment vertical="center"/>
    </xf>
    <xf numFmtId="166" fontId="59" fillId="0" borderId="52" xfId="1" applyFont="1" applyBorder="1" applyAlignment="1">
      <alignment vertical="center"/>
    </xf>
    <xf numFmtId="166" fontId="58" fillId="0" borderId="23" xfId="1" applyFont="1" applyBorder="1" applyAlignment="1">
      <alignment vertical="center"/>
    </xf>
    <xf numFmtId="167" fontId="59" fillId="0" borderId="24" xfId="0" applyNumberFormat="1" applyFont="1" applyBorder="1" applyAlignment="1">
      <alignment vertical="center"/>
    </xf>
    <xf numFmtId="167" fontId="59" fillId="0" borderId="23" xfId="0" applyNumberFormat="1" applyFont="1" applyBorder="1" applyAlignment="1">
      <alignment vertical="center"/>
    </xf>
    <xf numFmtId="167" fontId="59" fillId="0" borderId="24" xfId="0" quotePrefix="1" applyNumberFormat="1" applyFont="1" applyBorder="1" applyAlignment="1">
      <alignment vertical="center"/>
    </xf>
    <xf numFmtId="167" fontId="59" fillId="0" borderId="20" xfId="0" applyNumberFormat="1" applyFont="1" applyBorder="1" applyAlignment="1">
      <alignment vertical="center"/>
    </xf>
    <xf numFmtId="166" fontId="58" fillId="29" borderId="17" xfId="1" applyFont="1" applyFill="1" applyBorder="1" applyAlignment="1">
      <alignment vertical="center"/>
    </xf>
    <xf numFmtId="43" fontId="58" fillId="29" borderId="18" xfId="1" quotePrefix="1" applyNumberFormat="1" applyFont="1" applyFill="1" applyBorder="1" applyAlignment="1">
      <alignment vertical="center"/>
    </xf>
    <xf numFmtId="166" fontId="58" fillId="29" borderId="26" xfId="1" applyFont="1" applyFill="1" applyBorder="1" applyAlignment="1">
      <alignment vertical="center"/>
    </xf>
    <xf numFmtId="1" fontId="59" fillId="0" borderId="5" xfId="0" applyNumberFormat="1" applyFont="1" applyBorder="1" applyAlignment="1">
      <alignment horizontal="center"/>
    </xf>
    <xf numFmtId="167" fontId="59" fillId="0" borderId="15" xfId="0" applyNumberFormat="1" applyFont="1" applyBorder="1" applyAlignment="1">
      <alignment horizontal="center" vertical="center"/>
    </xf>
    <xf numFmtId="0" fontId="63" fillId="0" borderId="17" xfId="0" quotePrefix="1" applyFont="1" applyBorder="1" applyAlignment="1">
      <alignment vertical="center"/>
    </xf>
    <xf numFmtId="0" fontId="58" fillId="0" borderId="17" xfId="0" applyFont="1" applyBorder="1" applyAlignment="1">
      <alignment vertical="center"/>
    </xf>
    <xf numFmtId="0" fontId="58" fillId="0" borderId="18" xfId="0" applyFont="1" applyBorder="1" applyAlignment="1">
      <alignment vertical="center"/>
    </xf>
    <xf numFmtId="0" fontId="59" fillId="0" borderId="15" xfId="0" applyFont="1" applyBorder="1" applyAlignment="1">
      <alignment horizontal="center" vertical="center"/>
    </xf>
    <xf numFmtId="0" fontId="58" fillId="0" borderId="26" xfId="0" applyFont="1" applyBorder="1" applyAlignment="1">
      <alignment vertical="center"/>
    </xf>
    <xf numFmtId="0" fontId="58" fillId="0" borderId="17" xfId="0" quotePrefix="1" applyFont="1" applyBorder="1" applyAlignment="1">
      <alignment vertical="center"/>
    </xf>
    <xf numFmtId="0" fontId="58" fillId="0" borderId="23" xfId="1" applyNumberFormat="1" applyFont="1" applyBorder="1" applyAlignment="1">
      <alignment vertical="center"/>
    </xf>
    <xf numFmtId="0" fontId="59" fillId="0" borderId="55" xfId="0" applyFont="1" applyBorder="1" applyAlignment="1">
      <alignment horizontal="center" vertical="center"/>
    </xf>
    <xf numFmtId="0" fontId="59" fillId="0" borderId="38" xfId="0" applyFont="1" applyBorder="1" applyAlignment="1">
      <alignment horizontal="center" vertical="center"/>
    </xf>
    <xf numFmtId="0" fontId="59" fillId="0" borderId="69" xfId="0" applyFont="1" applyBorder="1" applyAlignment="1">
      <alignment horizontal="center" vertical="center"/>
    </xf>
    <xf numFmtId="0" fontId="59" fillId="0" borderId="17" xfId="0" quotePrefix="1" applyFont="1" applyBorder="1" applyAlignment="1">
      <alignment vertical="center"/>
    </xf>
    <xf numFmtId="0" fontId="59" fillId="0" borderId="17" xfId="0" applyFont="1" applyBorder="1" applyAlignment="1">
      <alignment vertical="center"/>
    </xf>
    <xf numFmtId="0" fontId="58" fillId="0" borderId="15" xfId="0" applyFont="1" applyBorder="1" applyAlignment="1">
      <alignment vertical="center"/>
    </xf>
    <xf numFmtId="0" fontId="59" fillId="0" borderId="18" xfId="0" applyFont="1" applyBorder="1" applyAlignment="1">
      <alignment vertical="center"/>
    </xf>
    <xf numFmtId="0" fontId="59" fillId="0" borderId="15" xfId="0" applyFont="1" applyBorder="1" applyAlignment="1">
      <alignment vertical="center"/>
    </xf>
    <xf numFmtId="2" fontId="58" fillId="0" borderId="17" xfId="1" applyNumberFormat="1" applyFont="1" applyBorder="1" applyAlignment="1">
      <alignment vertical="center"/>
    </xf>
    <xf numFmtId="2" fontId="58" fillId="0" borderId="24" xfId="0" applyNumberFormat="1" applyFont="1" applyBorder="1" applyAlignment="1">
      <alignment vertical="center"/>
    </xf>
    <xf numFmtId="2" fontId="58" fillId="0" borderId="25" xfId="0" applyNumberFormat="1" applyFont="1" applyBorder="1" applyAlignment="1">
      <alignment vertical="center"/>
    </xf>
    <xf numFmtId="2" fontId="58" fillId="0" borderId="21" xfId="0" applyNumberFormat="1" applyFont="1" applyBorder="1" applyAlignment="1">
      <alignment vertical="center"/>
    </xf>
    <xf numFmtId="2" fontId="58" fillId="0" borderId="15" xfId="0" applyNumberFormat="1" applyFont="1" applyBorder="1" applyAlignment="1">
      <alignment vertical="center"/>
    </xf>
    <xf numFmtId="2" fontId="58" fillId="30" borderId="18" xfId="0" applyNumberFormat="1" applyFont="1" applyFill="1" applyBorder="1" applyAlignment="1">
      <alignment vertical="center"/>
    </xf>
    <xf numFmtId="2" fontId="58" fillId="30" borderId="15" xfId="0" applyNumberFormat="1" applyFont="1" applyFill="1" applyBorder="1" applyAlignment="1">
      <alignment vertical="center"/>
    </xf>
    <xf numFmtId="0" fontId="58" fillId="0" borderId="23" xfId="0" applyFont="1" applyBorder="1" applyAlignment="1">
      <alignment vertical="center"/>
    </xf>
    <xf numFmtId="2" fontId="58" fillId="0" borderId="24" xfId="0" quotePrefix="1" applyNumberFormat="1" applyFont="1" applyBorder="1" applyAlignment="1">
      <alignment vertical="center"/>
    </xf>
    <xf numFmtId="2" fontId="58" fillId="0" borderId="23" xfId="0" applyNumberFormat="1" applyFont="1" applyBorder="1" applyAlignment="1">
      <alignment vertical="center"/>
    </xf>
    <xf numFmtId="0" fontId="59" fillId="0" borderId="52" xfId="0" quotePrefix="1" applyFont="1" applyBorder="1" applyAlignment="1">
      <alignment vertical="center"/>
    </xf>
    <xf numFmtId="2" fontId="59" fillId="0" borderId="17" xfId="1" applyNumberFormat="1" applyFont="1" applyBorder="1" applyAlignment="1">
      <alignment vertical="center"/>
    </xf>
    <xf numFmtId="0" fontId="58" fillId="0" borderId="15" xfId="0" quotePrefix="1" applyFont="1" applyBorder="1" applyAlignment="1">
      <alignment vertical="center"/>
    </xf>
    <xf numFmtId="2" fontId="58" fillId="0" borderId="21" xfId="0" quotePrefix="1" applyNumberFormat="1" applyFont="1" applyBorder="1" applyAlignment="1">
      <alignment vertical="center"/>
    </xf>
    <xf numFmtId="2" fontId="59" fillId="0" borderId="15" xfId="0" applyNumberFormat="1" applyFont="1" applyBorder="1" applyAlignment="1">
      <alignment vertical="center"/>
    </xf>
    <xf numFmtId="0" fontId="58" fillId="0" borderId="18" xfId="0" quotePrefix="1" applyFont="1" applyBorder="1" applyAlignment="1">
      <alignment vertical="center"/>
    </xf>
    <xf numFmtId="0" fontId="63" fillId="0" borderId="17" xfId="0" applyFont="1" applyBorder="1" applyAlignment="1">
      <alignment vertical="center"/>
    </xf>
    <xf numFmtId="0" fontId="63" fillId="0" borderId="18" xfId="0" quotePrefix="1" applyFont="1" applyBorder="1" applyAlignment="1">
      <alignment vertical="center"/>
    </xf>
    <xf numFmtId="0" fontId="59" fillId="0" borderId="23" xfId="0" applyFont="1" applyBorder="1" applyAlignment="1">
      <alignment vertical="center"/>
    </xf>
    <xf numFmtId="0" fontId="59" fillId="0" borderId="23" xfId="0" quotePrefix="1" applyFont="1" applyBorder="1" applyAlignment="1">
      <alignment vertical="center"/>
    </xf>
    <xf numFmtId="0" fontId="59" fillId="0" borderId="24" xfId="0" quotePrefix="1" applyFont="1" applyBorder="1" applyAlignment="1">
      <alignment vertical="center"/>
    </xf>
    <xf numFmtId="0" fontId="59" fillId="0" borderId="48" xfId="0" applyFont="1" applyBorder="1" applyAlignment="1">
      <alignment vertical="center"/>
    </xf>
    <xf numFmtId="0" fontId="59" fillId="0" borderId="48" xfId="0" quotePrefix="1" applyFont="1" applyBorder="1" applyAlignment="1">
      <alignment vertical="center"/>
    </xf>
    <xf numFmtId="0" fontId="59" fillId="0" borderId="31" xfId="0" quotePrefix="1" applyFont="1" applyBorder="1" applyAlignment="1">
      <alignment vertical="center"/>
    </xf>
    <xf numFmtId="0" fontId="58" fillId="0" borderId="70" xfId="0" applyFont="1" applyBorder="1" applyAlignment="1">
      <alignment vertical="center"/>
    </xf>
    <xf numFmtId="0" fontId="59" fillId="0" borderId="44" xfId="0" applyFont="1" applyBorder="1" applyAlignment="1">
      <alignment vertical="center"/>
    </xf>
    <xf numFmtId="0" fontId="59" fillId="0" borderId="44" xfId="0" quotePrefix="1" applyFont="1" applyBorder="1" applyAlignment="1">
      <alignment vertical="center"/>
    </xf>
    <xf numFmtId="0" fontId="59" fillId="0" borderId="32" xfId="0" quotePrefix="1" applyFont="1" applyBorder="1" applyAlignment="1">
      <alignment vertical="center"/>
    </xf>
    <xf numFmtId="0" fontId="59" fillId="0" borderId="43" xfId="0" applyFont="1" applyBorder="1" applyAlignment="1">
      <alignment vertical="center"/>
    </xf>
    <xf numFmtId="0" fontId="59" fillId="0" borderId="43" xfId="0" quotePrefix="1" applyFont="1" applyBorder="1" applyAlignment="1">
      <alignment vertical="center"/>
    </xf>
    <xf numFmtId="0" fontId="59" fillId="0" borderId="26" xfId="0" quotePrefix="1" applyFont="1" applyBorder="1" applyAlignment="1">
      <alignment vertical="center"/>
    </xf>
    <xf numFmtId="0" fontId="58" fillId="0" borderId="44" xfId="0" applyFont="1" applyBorder="1" applyAlignment="1">
      <alignment vertical="center"/>
    </xf>
    <xf numFmtId="0" fontId="58" fillId="0" borderId="44" xfId="0" quotePrefix="1" applyFont="1" applyBorder="1" applyAlignment="1">
      <alignment vertical="center"/>
    </xf>
    <xf numFmtId="0" fontId="58" fillId="0" borderId="32" xfId="0" quotePrefix="1" applyFont="1" applyBorder="1" applyAlignment="1">
      <alignment vertical="center"/>
    </xf>
    <xf numFmtId="0" fontId="58" fillId="0" borderId="40" xfId="0" applyFont="1" applyBorder="1" applyAlignment="1">
      <alignment vertical="center"/>
    </xf>
    <xf numFmtId="0" fontId="58" fillId="0" borderId="40" xfId="0" quotePrefix="1" applyFont="1" applyBorder="1" applyAlignment="1">
      <alignment vertical="center"/>
    </xf>
    <xf numFmtId="0" fontId="58" fillId="0" borderId="110" xfId="0" quotePrefix="1" applyFont="1" applyBorder="1" applyAlignment="1">
      <alignment vertical="center"/>
    </xf>
    <xf numFmtId="0" fontId="58" fillId="0" borderId="28" xfId="0" applyFont="1" applyBorder="1" applyAlignment="1">
      <alignment vertical="center"/>
    </xf>
    <xf numFmtId="0" fontId="58" fillId="0" borderId="27" xfId="1" applyNumberFormat="1" applyFont="1" applyBorder="1" applyAlignment="1">
      <alignment vertical="center"/>
    </xf>
    <xf numFmtId="0" fontId="58" fillId="0" borderId="32" xfId="0" applyFont="1" applyBorder="1" applyAlignment="1">
      <alignment vertical="center"/>
    </xf>
    <xf numFmtId="166" fontId="59" fillId="29" borderId="57" xfId="1" applyFont="1" applyFill="1" applyBorder="1" applyAlignment="1">
      <alignment vertical="center"/>
    </xf>
    <xf numFmtId="166" fontId="59" fillId="29" borderId="52" xfId="1" applyFont="1" applyFill="1" applyBorder="1" applyAlignment="1">
      <alignment vertical="center"/>
    </xf>
    <xf numFmtId="166" fontId="59" fillId="29" borderId="88" xfId="1" applyFont="1" applyFill="1" applyBorder="1" applyAlignment="1">
      <alignment vertical="center"/>
    </xf>
    <xf numFmtId="166" fontId="58" fillId="29" borderId="37" xfId="1" applyFont="1" applyFill="1" applyBorder="1" applyAlignment="1">
      <alignment vertical="center"/>
    </xf>
    <xf numFmtId="2" fontId="59" fillId="29" borderId="55" xfId="0" applyNumberFormat="1" applyFont="1" applyFill="1" applyBorder="1" applyAlignment="1">
      <alignment vertical="center"/>
    </xf>
    <xf numFmtId="2" fontId="59" fillId="29" borderId="38" xfId="0" applyNumberFormat="1" applyFont="1" applyFill="1" applyBorder="1" applyAlignment="1">
      <alignment vertical="center"/>
    </xf>
    <xf numFmtId="10" fontId="58" fillId="29" borderId="18" xfId="0" applyNumberFormat="1" applyFont="1" applyFill="1" applyBorder="1" applyAlignment="1">
      <alignment vertical="center"/>
    </xf>
    <xf numFmtId="2" fontId="58" fillId="29" borderId="18" xfId="0" applyNumberFormat="1" applyFont="1" applyFill="1" applyBorder="1" applyAlignment="1">
      <alignment vertical="center"/>
    </xf>
    <xf numFmtId="2" fontId="58" fillId="29" borderId="15" xfId="0" applyNumberFormat="1" applyFont="1" applyFill="1" applyBorder="1" applyAlignment="1">
      <alignment vertical="center"/>
    </xf>
    <xf numFmtId="2" fontId="59" fillId="29" borderId="17" xfId="1" applyNumberFormat="1" applyFont="1" applyFill="1" applyBorder="1" applyAlignment="1">
      <alignment vertical="center"/>
    </xf>
    <xf numFmtId="2" fontId="59" fillId="29" borderId="57" xfId="0" quotePrefix="1" applyNumberFormat="1" applyFont="1" applyFill="1" applyBorder="1" applyAlignment="1">
      <alignment vertical="center"/>
    </xf>
    <xf numFmtId="2" fontId="59" fillId="29" borderId="52" xfId="0" applyNumberFormat="1" applyFont="1" applyFill="1" applyBorder="1" applyAlignment="1">
      <alignment vertical="center"/>
    </xf>
    <xf numFmtId="167" fontId="58" fillId="0" borderId="33" xfId="0" applyNumberFormat="1" applyFont="1" applyBorder="1" applyAlignment="1">
      <alignment vertical="center"/>
    </xf>
    <xf numFmtId="167" fontId="58" fillId="0" borderId="34" xfId="0" applyNumberFormat="1" applyFont="1" applyBorder="1" applyAlignment="1">
      <alignment vertical="center"/>
    </xf>
    <xf numFmtId="167" fontId="58" fillId="0" borderId="34" xfId="0" quotePrefix="1" applyNumberFormat="1" applyFont="1" applyBorder="1" applyAlignment="1">
      <alignment vertical="center"/>
    </xf>
    <xf numFmtId="166" fontId="58" fillId="0" borderId="34" xfId="1" applyFont="1" applyBorder="1" applyAlignment="1">
      <alignment vertical="center"/>
    </xf>
    <xf numFmtId="167" fontId="58" fillId="0" borderId="36" xfId="0" applyNumberFormat="1" applyFont="1" applyBorder="1" applyAlignment="1">
      <alignment vertical="center"/>
    </xf>
    <xf numFmtId="1" fontId="59" fillId="0" borderId="1" xfId="0" applyNumberFormat="1" applyFont="1" applyBorder="1" applyAlignment="1">
      <alignment horizontal="center"/>
    </xf>
    <xf numFmtId="43" fontId="54" fillId="0" borderId="2" xfId="0" applyNumberFormat="1" applyFont="1" applyBorder="1"/>
    <xf numFmtId="43" fontId="54" fillId="0" borderId="14" xfId="0" applyNumberFormat="1" applyFont="1" applyBorder="1"/>
    <xf numFmtId="167" fontId="58" fillId="0" borderId="21" xfId="0" applyNumberFormat="1" applyFont="1" applyBorder="1" applyAlignment="1">
      <alignment horizontal="right" vertical="center"/>
    </xf>
    <xf numFmtId="43" fontId="54" fillId="0" borderId="111" xfId="0" applyNumberFormat="1" applyFont="1" applyBorder="1" applyAlignment="1">
      <alignment vertical="center"/>
    </xf>
    <xf numFmtId="43" fontId="54" fillId="0" borderId="104" xfId="0" applyNumberFormat="1" applyFont="1" applyBorder="1" applyAlignment="1">
      <alignment vertical="center"/>
    </xf>
    <xf numFmtId="43" fontId="54" fillId="0" borderId="112" xfId="0" applyNumberFormat="1" applyFont="1" applyBorder="1" applyAlignment="1">
      <alignment vertical="center"/>
    </xf>
    <xf numFmtId="166" fontId="58" fillId="0" borderId="17" xfId="12" applyFont="1" applyBorder="1" applyAlignment="1">
      <alignment horizontal="right" vertical="center"/>
    </xf>
    <xf numFmtId="43" fontId="54" fillId="0" borderId="113" xfId="0" applyNumberFormat="1" applyFont="1" applyBorder="1" applyAlignment="1">
      <alignment vertical="center"/>
    </xf>
    <xf numFmtId="43" fontId="54" fillId="0" borderId="99" xfId="0" applyNumberFormat="1" applyFont="1" applyBorder="1" applyAlignment="1">
      <alignment vertical="center"/>
    </xf>
    <xf numFmtId="43" fontId="54" fillId="0" borderId="100" xfId="0" applyNumberFormat="1" applyFont="1" applyBorder="1" applyAlignment="1">
      <alignment vertical="center"/>
    </xf>
    <xf numFmtId="166" fontId="58" fillId="0" borderId="15" xfId="12" applyFont="1" applyBorder="1" applyAlignment="1">
      <alignment horizontal="right" vertical="center"/>
    </xf>
    <xf numFmtId="167" fontId="58" fillId="0" borderId="17" xfId="0" quotePrefix="1" applyNumberFormat="1" applyFont="1" applyBorder="1" applyAlignment="1">
      <alignment horizontal="left" vertical="center"/>
    </xf>
    <xf numFmtId="167" fontId="58" fillId="0" borderId="18" xfId="0" applyNumberFormat="1" applyFont="1" applyBorder="1" applyAlignment="1">
      <alignment horizontal="right" vertical="center"/>
    </xf>
    <xf numFmtId="167" fontId="58" fillId="0" borderId="70" xfId="0" applyNumberFormat="1" applyFont="1" applyBorder="1" applyAlignment="1">
      <alignment horizontal="right" vertical="center"/>
    </xf>
    <xf numFmtId="14" fontId="54" fillId="0" borderId="99" xfId="0" applyNumberFormat="1" applyFont="1" applyBorder="1" applyAlignment="1">
      <alignment vertical="center"/>
    </xf>
    <xf numFmtId="167" fontId="59" fillId="0" borderId="17" xfId="0" applyNumberFormat="1" applyFont="1" applyBorder="1" applyAlignment="1">
      <alignment horizontal="left" vertical="center"/>
    </xf>
    <xf numFmtId="167" fontId="58" fillId="0" borderId="15" xfId="0" applyNumberFormat="1" applyFont="1" applyBorder="1" applyAlignment="1">
      <alignment horizontal="center" vertical="center"/>
    </xf>
    <xf numFmtId="167" fontId="59" fillId="0" borderId="23" xfId="0" applyNumberFormat="1" applyFont="1" applyBorder="1" applyAlignment="1">
      <alignment horizontal="left" vertical="center"/>
    </xf>
    <xf numFmtId="167" fontId="58" fillId="0" borderId="24" xfId="0" applyNumberFormat="1" applyFont="1" applyBorder="1" applyAlignment="1">
      <alignment horizontal="right" vertical="center"/>
    </xf>
    <xf numFmtId="167" fontId="58" fillId="0" borderId="25" xfId="0" applyNumberFormat="1" applyFont="1" applyBorder="1" applyAlignment="1">
      <alignment horizontal="center" vertical="center"/>
    </xf>
    <xf numFmtId="166" fontId="58" fillId="0" borderId="23" xfId="12" applyFont="1" applyBorder="1" applyAlignment="1">
      <alignment horizontal="right" vertical="center"/>
    </xf>
    <xf numFmtId="167" fontId="58" fillId="0" borderId="91" xfId="0" applyNumberFormat="1" applyFont="1" applyBorder="1" applyAlignment="1">
      <alignment horizontal="right" vertical="center"/>
    </xf>
    <xf numFmtId="167" fontId="59" fillId="0" borderId="24" xfId="0" applyNumberFormat="1" applyFont="1" applyBorder="1" applyAlignment="1">
      <alignment horizontal="left" vertical="center"/>
    </xf>
    <xf numFmtId="43" fontId="54" fillId="0" borderId="107" xfId="0" applyNumberFormat="1" applyFont="1" applyBorder="1" applyAlignment="1">
      <alignment vertical="center"/>
    </xf>
    <xf numFmtId="43" fontId="54" fillId="0" borderId="114" xfId="0" applyNumberFormat="1" applyFont="1" applyBorder="1" applyAlignment="1">
      <alignment vertical="center"/>
    </xf>
    <xf numFmtId="0" fontId="63" fillId="0" borderId="20" xfId="0" quotePrefix="1" applyFont="1" applyBorder="1" applyAlignment="1">
      <alignment horizontal="left" vertical="center"/>
    </xf>
    <xf numFmtId="0" fontId="63" fillId="0" borderId="22" xfId="0" quotePrefix="1" applyFont="1" applyBorder="1" applyAlignment="1">
      <alignment horizontal="left" vertical="center"/>
    </xf>
    <xf numFmtId="0" fontId="58" fillId="0" borderId="20" xfId="0" quotePrefix="1" applyFont="1" applyBorder="1" applyAlignment="1">
      <alignment horizontal="left" vertical="center"/>
    </xf>
    <xf numFmtId="0" fontId="59" fillId="16" borderId="2" xfId="0" applyFont="1" applyFill="1" applyBorder="1" applyAlignment="1">
      <alignment horizontal="center" vertical="center"/>
    </xf>
    <xf numFmtId="0" fontId="59" fillId="16" borderId="69" xfId="0" applyFont="1" applyFill="1" applyBorder="1" applyAlignment="1">
      <alignment horizontal="center" vertical="center"/>
    </xf>
    <xf numFmtId="0" fontId="59" fillId="16" borderId="1" xfId="0" applyFont="1" applyFill="1" applyBorder="1" applyAlignment="1">
      <alignment horizontal="center" vertical="center"/>
    </xf>
    <xf numFmtId="0" fontId="58" fillId="0" borderId="22" xfId="0" quotePrefix="1" applyFont="1" applyBorder="1" applyAlignment="1">
      <alignment horizontal="left" vertical="center"/>
    </xf>
    <xf numFmtId="0" fontId="58" fillId="0" borderId="16" xfId="0" applyFont="1" applyBorder="1" applyAlignment="1">
      <alignment horizontal="right" vertical="center"/>
    </xf>
    <xf numFmtId="0" fontId="58" fillId="0" borderId="20" xfId="0" applyFont="1" applyBorder="1" applyAlignment="1">
      <alignment horizontal="right" vertical="center"/>
    </xf>
    <xf numFmtId="0" fontId="58" fillId="0" borderId="42" xfId="0" applyFont="1" applyBorder="1" applyAlignment="1">
      <alignment horizontal="right" vertical="center"/>
    </xf>
    <xf numFmtId="43" fontId="54" fillId="0" borderId="98" xfId="0" applyNumberFormat="1" applyFont="1" applyBorder="1" applyAlignment="1">
      <alignment vertical="center"/>
    </xf>
    <xf numFmtId="0" fontId="58" fillId="0" borderId="22" xfId="0" quotePrefix="1" applyFont="1" applyBorder="1" applyAlignment="1">
      <alignment vertical="center"/>
    </xf>
    <xf numFmtId="166" fontId="58" fillId="0" borderId="16" xfId="1" applyFont="1" applyBorder="1" applyAlignment="1">
      <alignment horizontal="right" vertical="center"/>
    </xf>
    <xf numFmtId="166" fontId="58" fillId="0" borderId="20" xfId="1" applyFont="1" applyBorder="1" applyAlignment="1">
      <alignment horizontal="right" vertical="center"/>
    </xf>
    <xf numFmtId="166" fontId="58" fillId="0" borderId="42" xfId="1" applyFont="1" applyBorder="1" applyAlignment="1">
      <alignment horizontal="right" vertical="center"/>
    </xf>
    <xf numFmtId="166" fontId="54" fillId="0" borderId="98" xfId="1" applyFont="1" applyBorder="1" applyAlignment="1">
      <alignment vertical="center"/>
    </xf>
    <xf numFmtId="166" fontId="54" fillId="0" borderId="100" xfId="1" applyFont="1" applyBorder="1" applyAlignment="1">
      <alignment vertical="center"/>
    </xf>
    <xf numFmtId="43" fontId="54" fillId="0" borderId="115" xfId="0" applyNumberFormat="1" applyFont="1" applyBorder="1" applyAlignment="1">
      <alignment vertical="center"/>
    </xf>
    <xf numFmtId="0" fontId="58" fillId="0" borderId="20" xfId="0" quotePrefix="1" applyFont="1" applyBorder="1" applyAlignment="1">
      <alignment vertical="center"/>
    </xf>
    <xf numFmtId="166" fontId="58" fillId="0" borderId="22" xfId="1" applyFont="1" applyBorder="1" applyAlignment="1">
      <alignment horizontal="right" vertical="center"/>
    </xf>
    <xf numFmtId="166" fontId="58" fillId="0" borderId="71" xfId="1" applyFont="1" applyBorder="1" applyAlignment="1">
      <alignment horizontal="right" vertical="center"/>
    </xf>
    <xf numFmtId="166" fontId="58" fillId="0" borderId="87" xfId="1" applyFont="1" applyBorder="1" applyAlignment="1">
      <alignment horizontal="right" vertical="center"/>
    </xf>
    <xf numFmtId="166" fontId="58" fillId="0" borderId="60" xfId="1" applyFont="1" applyBorder="1" applyAlignment="1">
      <alignment horizontal="right" vertical="center"/>
    </xf>
    <xf numFmtId="0" fontId="59" fillId="0" borderId="22" xfId="0" quotePrefix="1" applyFont="1" applyBorder="1" applyAlignment="1">
      <alignment vertical="center"/>
    </xf>
    <xf numFmtId="166" fontId="58" fillId="17" borderId="116" xfId="1" applyFont="1" applyFill="1" applyBorder="1" applyAlignment="1">
      <alignment horizontal="right" vertical="center"/>
    </xf>
    <xf numFmtId="166" fontId="58" fillId="17" borderId="88" xfId="1" applyFont="1" applyFill="1" applyBorder="1" applyAlignment="1">
      <alignment horizontal="right" vertical="center"/>
    </xf>
    <xf numFmtId="166" fontId="58" fillId="17" borderId="117" xfId="1" applyFont="1" applyFill="1" applyBorder="1" applyAlignment="1">
      <alignment horizontal="right" vertical="center"/>
    </xf>
    <xf numFmtId="0" fontId="59" fillId="0" borderId="22" xfId="0" quotePrefix="1" applyFont="1" applyBorder="1" applyAlignment="1">
      <alignment horizontal="left" vertical="center"/>
    </xf>
    <xf numFmtId="0" fontId="59" fillId="0" borderId="15" xfId="0" applyFont="1" applyBorder="1" applyAlignment="1">
      <alignment horizontal="right" vertical="center"/>
    </xf>
    <xf numFmtId="0" fontId="58" fillId="0" borderId="21" xfId="0" applyFont="1" applyBorder="1" applyAlignment="1">
      <alignment horizontal="right" vertical="center"/>
    </xf>
    <xf numFmtId="0" fontId="58" fillId="0" borderId="17" xfId="0" quotePrefix="1" applyFont="1" applyBorder="1" applyAlignment="1">
      <alignment horizontal="left" vertical="center"/>
    </xf>
    <xf numFmtId="0" fontId="58" fillId="0" borderId="17" xfId="12" applyNumberFormat="1" applyFont="1" applyBorder="1" applyAlignment="1">
      <alignment horizontal="right" vertical="center"/>
    </xf>
    <xf numFmtId="0" fontId="58" fillId="18" borderId="17" xfId="12" applyNumberFormat="1" applyFont="1" applyFill="1" applyBorder="1" applyAlignment="1">
      <alignment horizontal="right" vertical="center"/>
    </xf>
    <xf numFmtId="0" fontId="58" fillId="18" borderId="70" xfId="0" applyFont="1" applyFill="1" applyBorder="1" applyAlignment="1">
      <alignment horizontal="right" vertical="center"/>
    </xf>
    <xf numFmtId="0" fontId="58" fillId="0" borderId="18" xfId="0" applyFont="1" applyBorder="1" applyAlignment="1">
      <alignment horizontal="right" vertical="center"/>
    </xf>
    <xf numFmtId="0" fontId="58" fillId="0" borderId="15" xfId="0" applyFont="1" applyBorder="1" applyAlignment="1">
      <alignment horizontal="right" vertical="center"/>
    </xf>
    <xf numFmtId="0" fontId="58" fillId="0" borderId="70" xfId="0" applyFont="1" applyBorder="1" applyAlignment="1">
      <alignment horizontal="right" vertical="center"/>
    </xf>
    <xf numFmtId="0" fontId="58" fillId="18" borderId="17" xfId="0" applyFont="1" applyFill="1" applyBorder="1" applyAlignment="1">
      <alignment horizontal="right" vertical="center"/>
    </xf>
    <xf numFmtId="0" fontId="58" fillId="0" borderId="23" xfId="0" applyFont="1" applyBorder="1" applyAlignment="1">
      <alignment horizontal="right" vertical="center"/>
    </xf>
    <xf numFmtId="0" fontId="58" fillId="0" borderId="23" xfId="12" applyNumberFormat="1" applyFont="1" applyBorder="1" applyAlignment="1">
      <alignment horizontal="right" vertical="center"/>
    </xf>
    <xf numFmtId="0" fontId="58" fillId="0" borderId="91" xfId="0" applyFont="1" applyBorder="1" applyAlignment="1">
      <alignment horizontal="right" vertical="center"/>
    </xf>
    <xf numFmtId="10" fontId="58" fillId="17" borderId="118" xfId="44" applyNumberFormat="1" applyFont="1" applyFill="1" applyBorder="1" applyAlignment="1">
      <alignment horizontal="right" vertical="center"/>
    </xf>
    <xf numFmtId="10" fontId="58" fillId="0" borderId="17" xfId="44" applyNumberFormat="1" applyFont="1" applyBorder="1" applyAlignment="1">
      <alignment horizontal="right" vertical="center"/>
    </xf>
    <xf numFmtId="10" fontId="58" fillId="17" borderId="119" xfId="44" applyNumberFormat="1" applyFont="1" applyFill="1" applyBorder="1" applyAlignment="1">
      <alignment horizontal="right" vertical="center"/>
    </xf>
    <xf numFmtId="10" fontId="58" fillId="17" borderId="120" xfId="44" applyNumberFormat="1" applyFont="1" applyFill="1" applyBorder="1" applyAlignment="1">
      <alignment horizontal="right" vertical="center"/>
    </xf>
    <xf numFmtId="166" fontId="58" fillId="0" borderId="25" xfId="12" applyFont="1" applyBorder="1" applyAlignment="1">
      <alignment horizontal="right" vertical="center"/>
    </xf>
    <xf numFmtId="166" fontId="58" fillId="0" borderId="0" xfId="12" applyFont="1" applyBorder="1" applyAlignment="1">
      <alignment horizontal="right" vertical="center"/>
    </xf>
    <xf numFmtId="43" fontId="54" fillId="0" borderId="121" xfId="0" applyNumberFormat="1" applyFont="1" applyBorder="1" applyAlignment="1">
      <alignment vertical="center"/>
    </xf>
    <xf numFmtId="166" fontId="58" fillId="17" borderId="38" xfId="12" applyFont="1" applyFill="1" applyBorder="1" applyAlignment="1">
      <alignment horizontal="right" vertical="center"/>
    </xf>
    <xf numFmtId="43" fontId="54" fillId="17" borderId="122" xfId="0" applyNumberFormat="1" applyFont="1" applyFill="1" applyBorder="1" applyAlignment="1">
      <alignment vertical="center"/>
    </xf>
    <xf numFmtId="43" fontId="54" fillId="17" borderId="123" xfId="0" applyNumberFormat="1" applyFont="1" applyFill="1" applyBorder="1" applyAlignment="1">
      <alignment vertical="center"/>
    </xf>
    <xf numFmtId="43" fontId="54" fillId="0" borderId="124" xfId="0" applyNumberFormat="1" applyFont="1" applyBorder="1" applyAlignment="1">
      <alignment vertical="center"/>
    </xf>
    <xf numFmtId="43" fontId="54" fillId="0" borderId="125" xfId="0" applyNumberFormat="1" applyFont="1" applyBorder="1" applyAlignment="1">
      <alignment vertical="center"/>
    </xf>
    <xf numFmtId="43" fontId="54" fillId="17" borderId="55" xfId="0" applyNumberFormat="1" applyFont="1" applyFill="1" applyBorder="1" applyAlignment="1">
      <alignment vertical="center"/>
    </xf>
    <xf numFmtId="43" fontId="54" fillId="17" borderId="14" xfId="0" applyNumberFormat="1" applyFont="1" applyFill="1" applyBorder="1" applyAlignment="1">
      <alignment vertical="center"/>
    </xf>
    <xf numFmtId="166" fontId="58" fillId="0" borderId="21" xfId="12" applyFont="1" applyBorder="1" applyAlignment="1">
      <alignment horizontal="right" vertical="center"/>
    </xf>
    <xf numFmtId="166" fontId="58" fillId="0" borderId="126" xfId="12" applyFont="1" applyBorder="1" applyAlignment="1">
      <alignment horizontal="right" vertical="center"/>
    </xf>
    <xf numFmtId="0" fontId="59" fillId="0" borderId="17" xfId="0" quotePrefix="1" applyFont="1" applyBorder="1" applyAlignment="1">
      <alignment horizontal="left" vertical="center"/>
    </xf>
    <xf numFmtId="166" fontId="58" fillId="0" borderId="18" xfId="12" applyFont="1" applyBorder="1" applyAlignment="1">
      <alignment horizontal="right" vertical="center"/>
    </xf>
    <xf numFmtId="166" fontId="58" fillId="0" borderId="70" xfId="12" applyFont="1" applyBorder="1" applyAlignment="1">
      <alignment horizontal="right" vertical="center"/>
    </xf>
    <xf numFmtId="43" fontId="54" fillId="18" borderId="99" xfId="0" applyNumberFormat="1" applyFont="1" applyFill="1" applyBorder="1" applyAlignment="1">
      <alignment vertical="center"/>
    </xf>
    <xf numFmtId="43" fontId="54" fillId="18" borderId="100" xfId="0" applyNumberFormat="1" applyFont="1" applyFill="1" applyBorder="1" applyAlignment="1">
      <alignment vertical="center"/>
    </xf>
    <xf numFmtId="0" fontId="59" fillId="0" borderId="23" xfId="0" quotePrefix="1" applyFont="1" applyBorder="1" applyAlignment="1">
      <alignment horizontal="left" vertical="center"/>
    </xf>
    <xf numFmtId="166" fontId="59" fillId="0" borderId="23" xfId="12" applyFont="1" applyBorder="1" applyAlignment="1">
      <alignment horizontal="right" vertical="center"/>
    </xf>
    <xf numFmtId="166" fontId="59" fillId="0" borderId="24" xfId="12" applyFont="1" applyBorder="1" applyAlignment="1">
      <alignment horizontal="right" vertical="center"/>
    </xf>
    <xf numFmtId="166" fontId="59" fillId="0" borderId="25" xfId="12" applyFont="1" applyBorder="1" applyAlignment="1">
      <alignment horizontal="right" vertical="center"/>
    </xf>
    <xf numFmtId="166" fontId="58" fillId="0" borderId="91" xfId="12" applyFont="1" applyBorder="1" applyAlignment="1">
      <alignment horizontal="right" vertical="center"/>
    </xf>
    <xf numFmtId="0" fontId="59" fillId="0" borderId="52" xfId="0" quotePrefix="1" applyFont="1" applyBorder="1" applyAlignment="1">
      <alignment horizontal="right" vertical="center"/>
    </xf>
    <xf numFmtId="43" fontId="54" fillId="0" borderId="97" xfId="0" applyNumberFormat="1" applyFont="1" applyBorder="1" applyAlignment="1">
      <alignment vertical="center"/>
    </xf>
    <xf numFmtId="43" fontId="54" fillId="17" borderId="127" xfId="0" applyNumberFormat="1" applyFont="1" applyFill="1" applyBorder="1" applyAlignment="1">
      <alignment vertical="center"/>
    </xf>
    <xf numFmtId="43" fontId="54" fillId="17" borderId="81" xfId="0" applyNumberFormat="1" applyFont="1" applyFill="1" applyBorder="1" applyAlignment="1">
      <alignment vertical="center"/>
    </xf>
    <xf numFmtId="0" fontId="59" fillId="0" borderId="128" xfId="0" applyFont="1" applyBorder="1" applyAlignment="1">
      <alignment horizontal="right" vertical="center"/>
    </xf>
    <xf numFmtId="0" fontId="59" fillId="0" borderId="0" xfId="0" applyFont="1" applyAlignment="1">
      <alignment horizontal="right" vertical="center"/>
    </xf>
    <xf numFmtId="166" fontId="59" fillId="0" borderId="0" xfId="12" applyFont="1" applyFill="1" applyBorder="1" applyAlignment="1">
      <alignment horizontal="right" vertical="center"/>
    </xf>
    <xf numFmtId="166" fontId="58" fillId="0" borderId="0" xfId="12" applyFont="1" applyFill="1" applyBorder="1" applyAlignment="1">
      <alignment horizontal="right" vertical="center"/>
    </xf>
    <xf numFmtId="0" fontId="59" fillId="0" borderId="0" xfId="0" applyFont="1" applyAlignment="1">
      <alignment horizontal="center" vertical="center"/>
    </xf>
    <xf numFmtId="167" fontId="58" fillId="0" borderId="0" xfId="0" applyNumberFormat="1" applyFont="1" applyAlignment="1">
      <alignment horizontal="right" vertical="center"/>
    </xf>
    <xf numFmtId="0" fontId="59" fillId="0" borderId="0" xfId="0" quotePrefix="1" applyFont="1" applyAlignment="1">
      <alignment horizontal="left" vertical="center"/>
    </xf>
    <xf numFmtId="0" fontId="58" fillId="0" borderId="0" xfId="0" applyFont="1" applyAlignment="1">
      <alignment horizontal="right" vertical="center"/>
    </xf>
    <xf numFmtId="166" fontId="58" fillId="0" borderId="0" xfId="12" applyFont="1" applyFill="1" applyBorder="1" applyAlignment="1">
      <alignment vertical="center"/>
    </xf>
    <xf numFmtId="10" fontId="58" fillId="0" borderId="0" xfId="0" applyNumberFormat="1" applyFont="1" applyAlignment="1">
      <alignment horizontal="right" vertical="center"/>
    </xf>
    <xf numFmtId="166" fontId="59" fillId="0" borderId="0" xfId="12" applyFont="1" applyFill="1" applyBorder="1" applyAlignment="1">
      <alignment vertical="center"/>
    </xf>
    <xf numFmtId="2" fontId="58" fillId="0" borderId="0" xfId="0" applyNumberFormat="1" applyFont="1" applyAlignment="1">
      <alignment horizontal="right" vertical="center"/>
    </xf>
    <xf numFmtId="2" fontId="58" fillId="0" borderId="0" xfId="12" applyNumberFormat="1" applyFont="1" applyFill="1" applyBorder="1" applyAlignment="1">
      <alignment horizontal="right" vertical="center"/>
    </xf>
    <xf numFmtId="0" fontId="58" fillId="0" borderId="0" xfId="12" applyNumberFormat="1" applyFont="1" applyFill="1" applyBorder="1" applyAlignment="1">
      <alignment horizontal="right" vertical="center"/>
    </xf>
    <xf numFmtId="2" fontId="59" fillId="0" borderId="0" xfId="0" applyNumberFormat="1" applyFont="1" applyAlignment="1">
      <alignment horizontal="right" vertical="center"/>
    </xf>
    <xf numFmtId="0" fontId="58" fillId="0" borderId="0" xfId="0" applyFont="1" applyAlignment="1">
      <alignment horizontal="left" vertical="center"/>
    </xf>
    <xf numFmtId="2" fontId="58" fillId="0" borderId="0" xfId="0" quotePrefix="1" applyNumberFormat="1" applyFont="1" applyAlignment="1">
      <alignment horizontal="right" vertical="center"/>
    </xf>
    <xf numFmtId="2" fontId="59" fillId="0" borderId="0" xfId="0" quotePrefix="1" applyNumberFormat="1" applyFont="1" applyAlignment="1">
      <alignment horizontal="right" vertical="center"/>
    </xf>
    <xf numFmtId="2" fontId="59" fillId="0" borderId="0" xfId="12" applyNumberFormat="1" applyFont="1" applyFill="1" applyBorder="1" applyAlignment="1">
      <alignment horizontal="left" vertical="center"/>
    </xf>
    <xf numFmtId="2" fontId="59" fillId="0" borderId="0" xfId="12" applyNumberFormat="1" applyFont="1" applyFill="1" applyBorder="1" applyAlignment="1">
      <alignment horizontal="center" vertical="center"/>
    </xf>
    <xf numFmtId="0" fontId="58" fillId="0" borderId="0" xfId="0" quotePrefix="1" applyFont="1" applyAlignment="1">
      <alignment horizontal="left" vertical="center"/>
    </xf>
    <xf numFmtId="2" fontId="59" fillId="0" borderId="0" xfId="0" applyNumberFormat="1" applyFont="1" applyAlignment="1">
      <alignment horizontal="center" vertical="center"/>
    </xf>
    <xf numFmtId="167" fontId="58" fillId="0" borderId="0" xfId="0" applyNumberFormat="1" applyFont="1" applyAlignment="1">
      <alignment horizontal="center" vertical="center"/>
    </xf>
    <xf numFmtId="0" fontId="58" fillId="0" borderId="0" xfId="0" quotePrefix="1" applyFont="1" applyAlignment="1">
      <alignment horizontal="right" vertical="center"/>
    </xf>
    <xf numFmtId="2" fontId="58" fillId="0" borderId="0" xfId="12" applyNumberFormat="1" applyFont="1" applyFill="1" applyBorder="1" applyAlignment="1">
      <alignment horizontal="center" vertical="center"/>
    </xf>
    <xf numFmtId="0" fontId="63" fillId="0" borderId="0" xfId="0" applyFont="1" applyAlignment="1">
      <alignment horizontal="left" vertical="center"/>
    </xf>
    <xf numFmtId="0" fontId="63" fillId="0" borderId="0" xfId="0" quotePrefix="1" applyFont="1" applyAlignment="1">
      <alignment horizontal="left" vertical="center"/>
    </xf>
    <xf numFmtId="0" fontId="63" fillId="0" borderId="0" xfId="0" quotePrefix="1" applyFont="1" applyAlignment="1">
      <alignment horizontal="right" vertical="center"/>
    </xf>
    <xf numFmtId="0" fontId="59" fillId="0" borderId="0" xfId="0" applyFont="1" applyAlignment="1">
      <alignment horizontal="left" vertical="center"/>
    </xf>
    <xf numFmtId="0" fontId="59" fillId="0" borderId="0" xfId="0" quotePrefix="1" applyFont="1" applyAlignment="1">
      <alignment horizontal="right" vertical="center"/>
    </xf>
    <xf numFmtId="166" fontId="58" fillId="0" borderId="15" xfId="1" applyFont="1" applyBorder="1" applyAlignment="1">
      <alignment horizontal="right" vertical="center"/>
    </xf>
    <xf numFmtId="0" fontId="58" fillId="0" borderId="22" xfId="0" applyFont="1" applyBorder="1" applyAlignment="1">
      <alignment horizontal="left" vertical="center"/>
    </xf>
    <xf numFmtId="0" fontId="58" fillId="0" borderId="17" xfId="0" applyFont="1" applyBorder="1" applyAlignment="1">
      <alignment horizontal="left" vertical="center"/>
    </xf>
    <xf numFmtId="0" fontId="58" fillId="0" borderId="18" xfId="0" quotePrefix="1" applyFont="1" applyBorder="1" applyAlignment="1">
      <alignment horizontal="right" vertical="center"/>
    </xf>
    <xf numFmtId="166" fontId="58" fillId="0" borderId="17" xfId="0" applyNumberFormat="1" applyFont="1" applyBorder="1" applyAlignment="1">
      <alignment horizontal="right" vertical="center"/>
    </xf>
    <xf numFmtId="0" fontId="59" fillId="0" borderId="17" xfId="1" applyNumberFormat="1" applyFont="1" applyBorder="1" applyAlignment="1">
      <alignment horizontal="left" vertical="center"/>
    </xf>
    <xf numFmtId="0" fontId="58" fillId="0" borderId="17" xfId="1" applyNumberFormat="1" applyFont="1" applyBorder="1" applyAlignment="1">
      <alignment horizontal="right" vertical="center"/>
    </xf>
    <xf numFmtId="0" fontId="59" fillId="0" borderId="17" xfId="0" applyFont="1" applyBorder="1" applyAlignment="1">
      <alignment horizontal="center" vertical="center"/>
    </xf>
    <xf numFmtId="166" fontId="58" fillId="0" borderId="18" xfId="0" applyNumberFormat="1" applyFont="1" applyBorder="1" applyAlignment="1">
      <alignment horizontal="right" vertical="center"/>
    </xf>
    <xf numFmtId="0" fontId="59" fillId="18" borderId="53" xfId="0" applyFont="1" applyFill="1" applyBorder="1" applyAlignment="1">
      <alignment horizontal="left" vertical="center"/>
    </xf>
    <xf numFmtId="0" fontId="58" fillId="18" borderId="23" xfId="0" applyFont="1" applyFill="1" applyBorder="1" applyAlignment="1">
      <alignment horizontal="left" vertical="center"/>
    </xf>
    <xf numFmtId="0" fontId="58" fillId="18" borderId="23" xfId="0" quotePrefix="1" applyFont="1" applyFill="1" applyBorder="1" applyAlignment="1">
      <alignment horizontal="left" vertical="center"/>
    </xf>
    <xf numFmtId="0" fontId="58" fillId="18" borderId="24" xfId="0" quotePrefix="1" applyFont="1" applyFill="1" applyBorder="1" applyAlignment="1">
      <alignment horizontal="right" vertical="center"/>
    </xf>
    <xf numFmtId="0" fontId="58" fillId="18" borderId="24" xfId="0" applyFont="1" applyFill="1" applyBorder="1" applyAlignment="1">
      <alignment horizontal="right" vertical="center"/>
    </xf>
    <xf numFmtId="0" fontId="58" fillId="18" borderId="23" xfId="1" applyNumberFormat="1" applyFont="1" applyFill="1" applyBorder="1" applyAlignment="1">
      <alignment horizontal="right" vertical="center"/>
    </xf>
    <xf numFmtId="167" fontId="58" fillId="18" borderId="45" xfId="0" applyNumberFormat="1" applyFont="1" applyFill="1" applyBorder="1" applyAlignment="1">
      <alignment horizontal="right" vertical="center"/>
    </xf>
    <xf numFmtId="0" fontId="59" fillId="31" borderId="54" xfId="0" applyFont="1" applyFill="1" applyBorder="1" applyAlignment="1">
      <alignment horizontal="left" vertical="center"/>
    </xf>
    <xf numFmtId="0" fontId="58" fillId="31" borderId="38" xfId="0" applyFont="1" applyFill="1" applyBorder="1" applyAlignment="1">
      <alignment horizontal="left" vertical="center"/>
    </xf>
    <xf numFmtId="0" fontId="58" fillId="31" borderId="55" xfId="0" quotePrefix="1" applyFont="1" applyFill="1" applyBorder="1" applyAlignment="1">
      <alignment horizontal="right" vertical="center"/>
    </xf>
    <xf numFmtId="0" fontId="58" fillId="0" borderId="49" xfId="0" applyFont="1" applyBorder="1" applyAlignment="1">
      <alignment horizontal="left" vertical="center"/>
    </xf>
    <xf numFmtId="0" fontId="58" fillId="0" borderId="15" xfId="0" applyFont="1" applyBorder="1" applyAlignment="1">
      <alignment horizontal="left" vertical="center"/>
    </xf>
    <xf numFmtId="0" fontId="59" fillId="0" borderId="21" xfId="0" applyFont="1" applyBorder="1" applyAlignment="1">
      <alignment horizontal="center" vertical="center"/>
    </xf>
    <xf numFmtId="166" fontId="58" fillId="0" borderId="21" xfId="0" quotePrefix="1" applyNumberFormat="1" applyFont="1" applyBorder="1" applyAlignment="1">
      <alignment horizontal="right" vertical="center"/>
    </xf>
    <xf numFmtId="166" fontId="59" fillId="0" borderId="18" xfId="0" applyNumberFormat="1" applyFont="1" applyBorder="1" applyAlignment="1">
      <alignment horizontal="center" vertical="center"/>
    </xf>
    <xf numFmtId="43" fontId="58" fillId="0" borderId="18" xfId="1" quotePrefix="1" applyNumberFormat="1" applyFont="1" applyBorder="1" applyAlignment="1">
      <alignment horizontal="right" vertical="center"/>
    </xf>
    <xf numFmtId="0" fontId="58" fillId="0" borderId="39" xfId="0" applyFont="1" applyBorder="1" applyAlignment="1">
      <alignment horizontal="left" vertical="center"/>
    </xf>
    <xf numFmtId="0" fontId="58" fillId="0" borderId="27" xfId="0" applyFont="1" applyBorder="1" applyAlignment="1">
      <alignment horizontal="left" vertical="center"/>
    </xf>
    <xf numFmtId="0" fontId="58" fillId="0" borderId="28" xfId="0" quotePrefix="1" applyFont="1" applyBorder="1" applyAlignment="1">
      <alignment horizontal="right" vertical="center"/>
    </xf>
    <xf numFmtId="166" fontId="58" fillId="0" borderId="28" xfId="0" quotePrefix="1" applyNumberFormat="1" applyFont="1" applyBorder="1" applyAlignment="1">
      <alignment horizontal="right" vertical="center"/>
    </xf>
    <xf numFmtId="0" fontId="58" fillId="0" borderId="28" xfId="1" quotePrefix="1" applyNumberFormat="1" applyFont="1" applyBorder="1" applyAlignment="1">
      <alignment horizontal="right" vertical="center"/>
    </xf>
    <xf numFmtId="0" fontId="58" fillId="0" borderId="59" xfId="0" applyFont="1" applyBorder="1" applyAlignment="1">
      <alignment horizontal="center" vertical="center"/>
    </xf>
    <xf numFmtId="0" fontId="58" fillId="0" borderId="25" xfId="0" applyFont="1" applyBorder="1" applyAlignment="1">
      <alignment horizontal="left" vertical="center"/>
    </xf>
    <xf numFmtId="0" fontId="58" fillId="0" borderId="51" xfId="0" quotePrefix="1" applyFont="1" applyBorder="1" applyAlignment="1">
      <alignment horizontal="right" vertical="center"/>
    </xf>
    <xf numFmtId="166" fontId="58" fillId="0" borderId="51" xfId="0" quotePrefix="1" applyNumberFormat="1" applyFont="1" applyBorder="1" applyAlignment="1">
      <alignment horizontal="right" vertical="center"/>
    </xf>
    <xf numFmtId="0" fontId="58" fillId="0" borderId="51" xfId="1" quotePrefix="1" applyNumberFormat="1" applyFont="1" applyBorder="1" applyAlignment="1">
      <alignment horizontal="right" vertical="center"/>
    </xf>
    <xf numFmtId="167" fontId="58" fillId="0" borderId="10" xfId="0" applyNumberFormat="1" applyFont="1" applyBorder="1" applyAlignment="1">
      <alignment horizontal="right" vertical="center"/>
    </xf>
    <xf numFmtId="166" fontId="58" fillId="31" borderId="38" xfId="0" quotePrefix="1" applyNumberFormat="1" applyFont="1" applyFill="1" applyBorder="1" applyAlignment="1">
      <alignment horizontal="right" vertical="center"/>
    </xf>
    <xf numFmtId="0" fontId="58" fillId="0" borderId="21" xfId="0" quotePrefix="1" applyFont="1" applyBorder="1" applyAlignment="1">
      <alignment horizontal="right" vertical="center"/>
    </xf>
    <xf numFmtId="166" fontId="58" fillId="0" borderId="18" xfId="1" quotePrefix="1" applyFont="1" applyBorder="1" applyAlignment="1">
      <alignment horizontal="right" vertical="center"/>
    </xf>
    <xf numFmtId="166" fontId="58" fillId="0" borderId="18" xfId="0" quotePrefix="1" applyNumberFormat="1" applyFont="1" applyBorder="1" applyAlignment="1">
      <alignment horizontal="right" vertical="center"/>
    </xf>
    <xf numFmtId="0" fontId="58" fillId="0" borderId="49" xfId="0" applyFont="1" applyBorder="1" applyAlignment="1">
      <alignment horizontal="center" vertical="center"/>
    </xf>
    <xf numFmtId="0" fontId="58" fillId="0" borderId="21" xfId="1" quotePrefix="1" applyNumberFormat="1" applyFont="1" applyBorder="1" applyAlignment="1">
      <alignment horizontal="right" vertical="center"/>
    </xf>
    <xf numFmtId="0" fontId="59" fillId="0" borderId="15" xfId="1" applyNumberFormat="1" applyFont="1" applyBorder="1" applyAlignment="1">
      <alignment horizontal="left" vertical="center"/>
    </xf>
    <xf numFmtId="167" fontId="58" fillId="0" borderId="37" xfId="0" applyNumberFormat="1" applyFont="1" applyBorder="1" applyAlignment="1">
      <alignment horizontal="right" vertical="center"/>
    </xf>
    <xf numFmtId="0" fontId="58" fillId="0" borderId="18" xfId="1" quotePrefix="1" applyNumberFormat="1" applyFont="1" applyBorder="1" applyAlignment="1">
      <alignment horizontal="right" vertical="center"/>
    </xf>
    <xf numFmtId="0" fontId="59" fillId="0" borderId="22" xfId="0" applyFont="1" applyBorder="1" applyAlignment="1">
      <alignment horizontal="left" vertical="center"/>
    </xf>
    <xf numFmtId="43" fontId="57" fillId="0" borderId="8" xfId="0" applyNumberFormat="1" applyFont="1" applyBorder="1"/>
    <xf numFmtId="43" fontId="54" fillId="0" borderId="6" xfId="0" applyNumberFormat="1" applyFont="1" applyBorder="1" applyAlignment="1">
      <alignment horizontal="left"/>
    </xf>
    <xf numFmtId="43" fontId="54" fillId="0" borderId="1" xfId="0" applyNumberFormat="1" applyFont="1" applyBorder="1" applyAlignment="1">
      <alignment horizontal="center"/>
    </xf>
    <xf numFmtId="43" fontId="54" fillId="0" borderId="2" xfId="0" applyNumberFormat="1" applyFont="1" applyBorder="1" applyAlignment="1">
      <alignment horizontal="center"/>
    </xf>
    <xf numFmtId="43" fontId="54" fillId="0" borderId="14" xfId="0" applyNumberFormat="1" applyFont="1" applyBorder="1" applyAlignment="1">
      <alignment horizontal="center"/>
    </xf>
    <xf numFmtId="167" fontId="55" fillId="0" borderId="17" xfId="0" applyNumberFormat="1" applyFont="1" applyBorder="1" applyAlignment="1">
      <alignment vertical="center"/>
    </xf>
    <xf numFmtId="43" fontId="55" fillId="0" borderId="0" xfId="30" applyNumberFormat="1" applyFont="1" applyBorder="1" applyAlignment="1" applyProtection="1">
      <alignment horizontal="center"/>
    </xf>
    <xf numFmtId="43" fontId="57" fillId="0" borderId="0" xfId="0" applyNumberFormat="1" applyFont="1"/>
    <xf numFmtId="167" fontId="55" fillId="0" borderId="22" xfId="0" applyNumberFormat="1" applyFont="1" applyBorder="1" applyAlignment="1">
      <alignment vertical="center"/>
    </xf>
    <xf numFmtId="43" fontId="55" fillId="0" borderId="0" xfId="0" applyNumberFormat="1" applyFont="1" applyAlignment="1">
      <alignment horizontal="centerContinuous"/>
    </xf>
    <xf numFmtId="43" fontId="54" fillId="0" borderId="0" xfId="0" applyNumberFormat="1" applyFont="1" applyAlignment="1">
      <alignment horizontal="centerContinuous"/>
    </xf>
    <xf numFmtId="43" fontId="55" fillId="0" borderId="0" xfId="0" applyNumberFormat="1" applyFont="1" applyAlignment="1">
      <alignment vertical="top"/>
    </xf>
    <xf numFmtId="43" fontId="55" fillId="0" borderId="5" xfId="0" applyNumberFormat="1" applyFont="1" applyBorder="1" applyAlignment="1">
      <alignment vertical="top"/>
    </xf>
    <xf numFmtId="1" fontId="55" fillId="19" borderId="2" xfId="0" quotePrefix="1" applyNumberFormat="1" applyFont="1" applyFill="1" applyBorder="1" applyAlignment="1">
      <alignment horizontal="left" vertical="top"/>
    </xf>
    <xf numFmtId="43" fontId="54" fillId="0" borderId="0" xfId="0" applyNumberFormat="1" applyFont="1" applyAlignment="1">
      <alignment vertical="top"/>
    </xf>
    <xf numFmtId="43" fontId="56" fillId="0" borderId="0" xfId="0" applyNumberFormat="1" applyFont="1" applyAlignment="1">
      <alignment horizontal="left" vertical="top"/>
    </xf>
    <xf numFmtId="43" fontId="55" fillId="0" borderId="5" xfId="0" applyNumberFormat="1" applyFont="1" applyBorder="1" applyAlignment="1">
      <alignment horizontal="left"/>
    </xf>
    <xf numFmtId="43" fontId="54" fillId="0" borderId="1" xfId="0" applyNumberFormat="1" applyFont="1" applyBorder="1" applyAlignment="1">
      <alignment horizontal="left" vertical="top"/>
    </xf>
    <xf numFmtId="43" fontId="54" fillId="0" borderId="0" xfId="0" applyNumberFormat="1" applyFont="1" applyAlignment="1">
      <alignment horizontal="left" vertical="top"/>
    </xf>
    <xf numFmtId="43" fontId="54" fillId="0" borderId="0" xfId="0" quotePrefix="1" applyNumberFormat="1" applyFont="1" applyAlignment="1">
      <alignment vertical="top"/>
    </xf>
    <xf numFmtId="43" fontId="54" fillId="0" borderId="0" xfId="33" applyNumberFormat="1" applyFont="1" applyBorder="1" applyAlignment="1" applyProtection="1">
      <alignment vertical="top"/>
    </xf>
    <xf numFmtId="43" fontId="54" fillId="0" borderId="0" xfId="33" applyNumberFormat="1" applyFont="1" applyBorder="1" applyAlignment="1" applyProtection="1">
      <alignment horizontal="center" vertical="top"/>
    </xf>
    <xf numFmtId="43" fontId="55" fillId="0" borderId="0" xfId="0" applyNumberFormat="1" applyFont="1" applyAlignment="1">
      <alignment horizontal="left" vertical="top"/>
    </xf>
    <xf numFmtId="43" fontId="54" fillId="0" borderId="2" xfId="0" applyNumberFormat="1" applyFont="1" applyBorder="1" applyAlignment="1">
      <alignment horizontal="left" vertical="top"/>
    </xf>
    <xf numFmtId="43" fontId="54" fillId="0" borderId="2" xfId="0" applyNumberFormat="1" applyFont="1" applyBorder="1" applyAlignment="1">
      <alignment vertical="top"/>
    </xf>
    <xf numFmtId="0" fontId="55" fillId="19" borderId="5" xfId="30" applyFont="1" applyFill="1" applyBorder="1" applyAlignment="1" applyProtection="1">
      <alignment horizontal="center"/>
    </xf>
    <xf numFmtId="43" fontId="55" fillId="19" borderId="5" xfId="30" applyNumberFormat="1" applyFont="1" applyFill="1" applyBorder="1" applyAlignment="1" applyProtection="1">
      <alignment horizontal="center" vertical="top"/>
    </xf>
    <xf numFmtId="43" fontId="52" fillId="19" borderId="5" xfId="30" applyNumberFormat="1" applyFont="1" applyFill="1" applyBorder="1" applyAlignment="1" applyProtection="1">
      <alignment horizontal="center" vertical="top"/>
    </xf>
    <xf numFmtId="43" fontId="54" fillId="0" borderId="1" xfId="0" applyNumberFormat="1" applyFont="1" applyBorder="1"/>
    <xf numFmtId="43" fontId="54" fillId="0" borderId="0" xfId="30" applyNumberFormat="1" applyFont="1" applyFill="1" applyBorder="1" applyAlignment="1" applyProtection="1">
      <alignment horizontal="center" vertical="top"/>
    </xf>
    <xf numFmtId="43" fontId="54" fillId="0" borderId="0" xfId="33" applyNumberFormat="1" applyFont="1" applyFill="1" applyBorder="1" applyAlignment="1" applyProtection="1">
      <alignment horizontal="center" vertical="top"/>
    </xf>
    <xf numFmtId="43" fontId="54" fillId="0" borderId="14" xfId="0" applyNumberFormat="1" applyFont="1" applyBorder="1" applyAlignment="1">
      <alignment vertical="top"/>
    </xf>
    <xf numFmtId="43" fontId="55" fillId="19" borderId="5" xfId="30" applyNumberFormat="1" applyFont="1" applyFill="1" applyBorder="1" applyAlignment="1" applyProtection="1">
      <alignment horizontal="center"/>
    </xf>
    <xf numFmtId="43" fontId="54" fillId="0" borderId="12" xfId="0" applyNumberFormat="1" applyFont="1" applyBorder="1" applyAlignment="1">
      <alignment horizontal="left" vertical="top"/>
    </xf>
    <xf numFmtId="43" fontId="54" fillId="0" borderId="13" xfId="0" applyNumberFormat="1" applyFont="1" applyBorder="1" applyAlignment="1">
      <alignment vertical="top"/>
    </xf>
    <xf numFmtId="43" fontId="52" fillId="19" borderId="5" xfId="30" applyNumberFormat="1" applyFont="1" applyFill="1" applyBorder="1" applyAlignment="1" applyProtection="1">
      <alignment horizontal="center"/>
    </xf>
    <xf numFmtId="166" fontId="59" fillId="0" borderId="27" xfId="12" applyFont="1" applyBorder="1" applyAlignment="1">
      <alignment horizontal="right" vertical="center"/>
    </xf>
    <xf numFmtId="167" fontId="9" fillId="0" borderId="17" xfId="0" applyNumberFormat="1" applyFont="1" applyBorder="1" applyAlignment="1">
      <alignment horizontal="left" vertical="center"/>
    </xf>
    <xf numFmtId="49" fontId="20" fillId="0" borderId="17" xfId="4" applyNumberFormat="1" applyFont="1" applyBorder="1" applyAlignment="1">
      <alignment horizontal="center" vertical="center"/>
    </xf>
    <xf numFmtId="166" fontId="19" fillId="19" borderId="52" xfId="4" quotePrefix="1" applyFont="1" applyFill="1" applyBorder="1" applyAlignment="1">
      <alignment vertical="center"/>
    </xf>
    <xf numFmtId="43" fontId="53" fillId="0" borderId="0" xfId="0" applyNumberFormat="1" applyFont="1"/>
    <xf numFmtId="43" fontId="25" fillId="0" borderId="0" xfId="0" applyNumberFormat="1" applyFont="1" applyProtection="1">
      <protection locked="0"/>
    </xf>
    <xf numFmtId="43" fontId="24" fillId="0" borderId="1" xfId="0" applyNumberFormat="1" applyFont="1" applyBorder="1" applyProtection="1">
      <protection locked="0"/>
    </xf>
    <xf numFmtId="0" fontId="24" fillId="0" borderId="1" xfId="0" applyFont="1" applyBorder="1" applyProtection="1">
      <protection locked="0"/>
    </xf>
    <xf numFmtId="43" fontId="24" fillId="0" borderId="2" xfId="0" applyNumberFormat="1" applyFont="1" applyBorder="1" applyProtection="1">
      <protection locked="0"/>
    </xf>
    <xf numFmtId="43" fontId="28" fillId="0" borderId="14" xfId="0" applyNumberFormat="1" applyFont="1" applyBorder="1" applyProtection="1">
      <protection locked="0"/>
    </xf>
    <xf numFmtId="43" fontId="24" fillId="0" borderId="0" xfId="0" applyNumberFormat="1" applyFont="1" applyProtection="1">
      <protection locked="0"/>
    </xf>
    <xf numFmtId="43" fontId="24" fillId="0" borderId="1" xfId="0" applyNumberFormat="1" applyFont="1" applyBorder="1" applyAlignment="1" applyProtection="1">
      <alignment horizontal="left"/>
      <protection locked="0"/>
    </xf>
    <xf numFmtId="43" fontId="34" fillId="0" borderId="96" xfId="0" applyNumberFormat="1" applyFont="1" applyBorder="1" applyAlignment="1" applyProtection="1">
      <alignment horizontal="center"/>
      <protection locked="0"/>
    </xf>
    <xf numFmtId="43" fontId="25" fillId="0" borderId="0" xfId="33" applyNumberFormat="1" applyFont="1" applyAlignment="1" applyProtection="1">
      <protection locked="0"/>
    </xf>
    <xf numFmtId="43" fontId="24" fillId="0" borderId="1" xfId="0" quotePrefix="1" applyNumberFormat="1" applyFont="1" applyBorder="1" applyAlignment="1" applyProtection="1">
      <alignment horizontal="left"/>
      <protection locked="0"/>
    </xf>
    <xf numFmtId="169" fontId="25" fillId="0" borderId="14" xfId="0" quotePrefix="1" applyNumberFormat="1" applyFont="1" applyBorder="1" applyAlignment="1" applyProtection="1">
      <alignment horizontal="left"/>
      <protection locked="0"/>
    </xf>
    <xf numFmtId="0" fontId="25" fillId="0" borderId="0" xfId="0" applyFont="1" applyProtection="1">
      <protection locked="0"/>
    </xf>
    <xf numFmtId="15" fontId="25" fillId="0" borderId="14" xfId="0" applyNumberFormat="1" applyFont="1" applyBorder="1" applyProtection="1">
      <protection locked="0"/>
    </xf>
    <xf numFmtId="0" fontId="64" fillId="0" borderId="0" xfId="0" applyFont="1" applyProtection="1">
      <protection locked="0"/>
    </xf>
    <xf numFmtId="43" fontId="64" fillId="0" borderId="0" xfId="0" applyNumberFormat="1" applyFont="1" applyProtection="1">
      <protection locked="0"/>
    </xf>
    <xf numFmtId="43" fontId="24" fillId="0" borderId="0" xfId="0" applyNumberFormat="1" applyFont="1" applyAlignment="1" applyProtection="1">
      <alignment vertical="center"/>
      <protection locked="0"/>
    </xf>
    <xf numFmtId="0" fontId="24" fillId="0" borderId="0" xfId="17" applyNumberFormat="1" applyFont="1" applyProtection="1">
      <protection locked="0"/>
    </xf>
    <xf numFmtId="0" fontId="64" fillId="0" borderId="0" xfId="17" applyNumberFormat="1" applyFont="1" applyProtection="1">
      <protection locked="0"/>
    </xf>
    <xf numFmtId="0" fontId="24" fillId="0" borderId="0" xfId="0" applyFont="1" applyProtection="1">
      <protection locked="0"/>
    </xf>
    <xf numFmtId="0" fontId="25" fillId="16" borderId="1" xfId="0" applyFont="1" applyFill="1" applyBorder="1" applyAlignment="1" applyProtection="1">
      <alignment horizontal="left"/>
      <protection locked="0"/>
    </xf>
    <xf numFmtId="0" fontId="25" fillId="16" borderId="2" xfId="0" applyFont="1" applyFill="1" applyBorder="1" applyAlignment="1" applyProtection="1">
      <alignment horizontal="center" vertical="center"/>
      <protection locked="0"/>
    </xf>
    <xf numFmtId="0" fontId="25" fillId="16" borderId="2" xfId="0" applyFont="1" applyFill="1" applyBorder="1" applyAlignment="1" applyProtection="1">
      <alignment horizontal="center" vertical="center" wrapText="1"/>
      <protection locked="0"/>
    </xf>
    <xf numFmtId="0" fontId="25" fillId="16" borderId="14" xfId="0" applyFont="1" applyFill="1" applyBorder="1" applyAlignment="1" applyProtection="1">
      <alignment horizontal="center" vertical="center"/>
      <protection locked="0"/>
    </xf>
    <xf numFmtId="0" fontId="24" fillId="17" borderId="47" xfId="17" applyNumberFormat="1" applyFont="1" applyFill="1" applyBorder="1" applyAlignment="1" applyProtection="1">
      <alignment horizontal="left"/>
      <protection locked="0"/>
    </xf>
    <xf numFmtId="166" fontId="24" fillId="21" borderId="47" xfId="17" applyFont="1" applyFill="1" applyBorder="1" applyAlignment="1" applyProtection="1">
      <alignment horizontal="left"/>
      <protection locked="0"/>
    </xf>
    <xf numFmtId="166" fontId="24" fillId="17" borderId="47" xfId="17" applyFont="1" applyFill="1" applyBorder="1" applyAlignment="1" applyProtection="1">
      <alignment horizontal="left"/>
    </xf>
    <xf numFmtId="0" fontId="24" fillId="17" borderId="47" xfId="17" applyNumberFormat="1" applyFont="1" applyFill="1" applyBorder="1" applyAlignment="1" applyProtection="1">
      <alignment horizontal="center"/>
      <protection locked="0"/>
    </xf>
    <xf numFmtId="0" fontId="24" fillId="17" borderId="5" xfId="17" applyNumberFormat="1" applyFont="1" applyFill="1" applyBorder="1" applyAlignment="1" applyProtection="1">
      <alignment horizontal="left"/>
      <protection locked="0"/>
    </xf>
    <xf numFmtId="166" fontId="24" fillId="21" borderId="5" xfId="17" applyFont="1" applyFill="1" applyBorder="1" applyAlignment="1" applyProtection="1">
      <alignment horizontal="left"/>
      <protection locked="0"/>
    </xf>
    <xf numFmtId="0" fontId="24" fillId="17" borderId="5" xfId="17" applyNumberFormat="1" applyFont="1" applyFill="1" applyBorder="1" applyAlignment="1" applyProtection="1">
      <alignment horizontal="center"/>
      <protection locked="0"/>
    </xf>
    <xf numFmtId="166" fontId="24" fillId="17" borderId="5" xfId="17" applyFont="1" applyFill="1" applyBorder="1" applyAlignment="1" applyProtection="1">
      <alignment horizontal="left"/>
    </xf>
    <xf numFmtId="0" fontId="24" fillId="0" borderId="5" xfId="17" applyNumberFormat="1" applyFont="1" applyFill="1" applyBorder="1" applyAlignment="1" applyProtection="1">
      <alignment horizontal="left"/>
      <protection locked="0"/>
    </xf>
    <xf numFmtId="166" fontId="24" fillId="0" borderId="5" xfId="17" applyFont="1" applyFill="1" applyBorder="1" applyAlignment="1" applyProtection="1">
      <alignment horizontal="left"/>
      <protection locked="0"/>
    </xf>
    <xf numFmtId="166" fontId="24" fillId="0" borderId="47" xfId="17" applyFont="1" applyFill="1" applyBorder="1" applyAlignment="1" applyProtection="1">
      <alignment horizontal="left"/>
      <protection locked="0"/>
    </xf>
    <xf numFmtId="0" fontId="24" fillId="0" borderId="5" xfId="17" applyNumberFormat="1" applyFont="1" applyFill="1" applyBorder="1" applyAlignment="1" applyProtection="1">
      <alignment horizontal="center"/>
      <protection locked="0"/>
    </xf>
    <xf numFmtId="0" fontId="24" fillId="17" borderId="90" xfId="17" applyNumberFormat="1" applyFont="1" applyFill="1" applyBorder="1" applyAlignment="1" applyProtection="1">
      <alignment horizontal="left"/>
      <protection locked="0"/>
    </xf>
    <xf numFmtId="166" fontId="24" fillId="21" borderId="90" xfId="17" applyFont="1" applyFill="1" applyBorder="1" applyAlignment="1" applyProtection="1">
      <alignment horizontal="left"/>
      <protection locked="0"/>
    </xf>
    <xf numFmtId="166" fontId="24" fillId="17" borderId="4" xfId="17" applyFont="1" applyFill="1" applyBorder="1" applyAlignment="1" applyProtection="1">
      <alignment horizontal="left"/>
    </xf>
    <xf numFmtId="0" fontId="24" fillId="17" borderId="90" xfId="17" applyNumberFormat="1" applyFont="1" applyFill="1" applyBorder="1" applyAlignment="1" applyProtection="1">
      <alignment horizontal="center"/>
      <protection locked="0"/>
    </xf>
    <xf numFmtId="0" fontId="28" fillId="0" borderId="1" xfId="17" applyNumberFormat="1" applyFont="1" applyFill="1" applyBorder="1" applyAlignment="1" applyProtection="1">
      <alignment horizontal="left"/>
      <protection locked="0"/>
    </xf>
    <xf numFmtId="166" fontId="24" fillId="0" borderId="2" xfId="17" applyFont="1" applyFill="1" applyBorder="1" applyAlignment="1" applyProtection="1">
      <alignment horizontal="left"/>
      <protection locked="0"/>
    </xf>
    <xf numFmtId="166" fontId="24" fillId="0" borderId="2" xfId="17" applyFont="1" applyFill="1" applyBorder="1" applyAlignment="1" applyProtection="1">
      <alignment horizontal="left"/>
    </xf>
    <xf numFmtId="0" fontId="24" fillId="0" borderId="14" xfId="17" applyNumberFormat="1" applyFont="1" applyFill="1" applyBorder="1" applyAlignment="1" applyProtection="1">
      <alignment horizontal="center"/>
      <protection locked="0"/>
    </xf>
    <xf numFmtId="0" fontId="24" fillId="0" borderId="47" xfId="17" applyNumberFormat="1" applyFont="1" applyFill="1" applyBorder="1" applyAlignment="1" applyProtection="1">
      <alignment horizontal="left"/>
      <protection locked="0"/>
    </xf>
    <xf numFmtId="0" fontId="24" fillId="0" borderId="47" xfId="17" applyNumberFormat="1" applyFont="1" applyFill="1" applyBorder="1" applyAlignment="1" applyProtection="1">
      <alignment horizontal="center"/>
      <protection locked="0"/>
    </xf>
    <xf numFmtId="0" fontId="25" fillId="16" borderId="1" xfId="17" applyNumberFormat="1" applyFont="1" applyFill="1" applyBorder="1" applyAlignment="1" applyProtection="1">
      <alignment horizontal="left"/>
      <protection locked="0"/>
    </xf>
    <xf numFmtId="166" fontId="24" fillId="16" borderId="2" xfId="17" applyFont="1" applyFill="1" applyBorder="1" applyAlignment="1" applyProtection="1">
      <alignment horizontal="left"/>
      <protection locked="0"/>
    </xf>
    <xf numFmtId="0" fontId="24" fillId="16" borderId="14" xfId="17" applyNumberFormat="1" applyFont="1" applyFill="1" applyBorder="1" applyAlignment="1" applyProtection="1">
      <alignment horizontal="center"/>
      <protection locked="0"/>
    </xf>
    <xf numFmtId="0" fontId="24" fillId="21" borderId="5" xfId="17" applyNumberFormat="1" applyFont="1" applyFill="1" applyBorder="1" applyAlignment="1" applyProtection="1">
      <alignment horizontal="left" indent="1"/>
      <protection locked="0"/>
    </xf>
    <xf numFmtId="166" fontId="24" fillId="32" borderId="47" xfId="17" applyFont="1" applyFill="1" applyBorder="1" applyAlignment="1" applyProtection="1">
      <alignment horizontal="left"/>
    </xf>
    <xf numFmtId="0" fontId="25" fillId="17" borderId="5" xfId="17" applyNumberFormat="1" applyFont="1" applyFill="1" applyBorder="1" applyAlignment="1" applyProtection="1">
      <alignment horizontal="left"/>
      <protection locked="0"/>
    </xf>
    <xf numFmtId="166" fontId="65" fillId="17" borderId="1" xfId="17" applyFont="1" applyFill="1" applyBorder="1" applyAlignment="1" applyProtection="1">
      <alignment horizontal="left"/>
    </xf>
    <xf numFmtId="166" fontId="65" fillId="17" borderId="5" xfId="17" applyFont="1" applyFill="1" applyBorder="1" applyAlignment="1" applyProtection="1">
      <alignment horizontal="left"/>
    </xf>
    <xf numFmtId="167" fontId="19" fillId="0" borderId="0" xfId="0" applyNumberFormat="1" applyFont="1" applyAlignment="1" applyProtection="1">
      <alignment horizontal="right" vertical="center"/>
      <protection locked="0"/>
    </xf>
    <xf numFmtId="167" fontId="19" fillId="0" borderId="0" xfId="0" applyNumberFormat="1" applyFont="1" applyAlignment="1" applyProtection="1">
      <alignment horizontal="left" vertical="center"/>
      <protection locked="0"/>
    </xf>
    <xf numFmtId="167" fontId="19" fillId="17" borderId="1" xfId="0" applyNumberFormat="1" applyFont="1" applyFill="1" applyBorder="1" applyAlignment="1" applyProtection="1">
      <alignment horizontal="right" vertical="center"/>
      <protection locked="0"/>
    </xf>
    <xf numFmtId="167" fontId="19" fillId="17" borderId="2" xfId="0" applyNumberFormat="1" applyFont="1" applyFill="1" applyBorder="1" applyAlignment="1" applyProtection="1">
      <alignment horizontal="right" vertical="center"/>
      <protection locked="0"/>
    </xf>
    <xf numFmtId="167" fontId="65" fillId="17" borderId="5" xfId="0" applyNumberFormat="1" applyFont="1" applyFill="1" applyBorder="1" applyAlignment="1" applyProtection="1">
      <alignment horizontal="right" vertical="center"/>
      <protection locked="0"/>
    </xf>
    <xf numFmtId="167" fontId="20" fillId="0" borderId="90" xfId="0" applyNumberFormat="1" applyFont="1" applyBorder="1" applyAlignment="1" applyProtection="1">
      <alignment horizontal="left" vertical="center"/>
      <protection locked="0"/>
    </xf>
    <xf numFmtId="167" fontId="20" fillId="0" borderId="47" xfId="0" applyNumberFormat="1" applyFont="1" applyBorder="1" applyAlignment="1" applyProtection="1">
      <alignment horizontal="left" vertical="center"/>
      <protection locked="0"/>
    </xf>
    <xf numFmtId="167" fontId="19" fillId="0" borderId="48" xfId="0" applyNumberFormat="1" applyFont="1" applyBorder="1" applyAlignment="1" applyProtection="1">
      <alignment vertical="center"/>
      <protection locked="0"/>
    </xf>
    <xf numFmtId="167" fontId="19" fillId="21" borderId="48" xfId="0" applyNumberFormat="1" applyFont="1" applyFill="1" applyBorder="1" applyAlignment="1" applyProtection="1">
      <alignment vertical="center"/>
      <protection locked="0"/>
    </xf>
    <xf numFmtId="167" fontId="20" fillId="21" borderId="48" xfId="0" applyNumberFormat="1" applyFont="1" applyFill="1" applyBorder="1" applyAlignment="1" applyProtection="1">
      <alignment vertical="center"/>
      <protection locked="0"/>
    </xf>
    <xf numFmtId="1" fontId="19" fillId="21" borderId="48" xfId="0" applyNumberFormat="1" applyFont="1" applyFill="1" applyBorder="1" applyAlignment="1" applyProtection="1">
      <alignment horizontal="center" vertical="center"/>
      <protection locked="0"/>
    </xf>
    <xf numFmtId="167" fontId="19" fillId="0" borderId="43" xfId="0" applyNumberFormat="1" applyFont="1" applyBorder="1" applyAlignment="1" applyProtection="1">
      <alignment vertical="center"/>
      <protection locked="0"/>
    </xf>
    <xf numFmtId="167" fontId="19" fillId="21" borderId="43" xfId="0" applyNumberFormat="1" applyFont="1" applyFill="1" applyBorder="1" applyAlignment="1" applyProtection="1">
      <alignment vertical="center"/>
      <protection locked="0"/>
    </xf>
    <xf numFmtId="167" fontId="19" fillId="21" borderId="94" xfId="0" applyNumberFormat="1" applyFont="1" applyFill="1" applyBorder="1" applyAlignment="1" applyProtection="1">
      <alignment vertical="center"/>
      <protection locked="0"/>
    </xf>
    <xf numFmtId="1" fontId="19" fillId="21" borderId="94" xfId="0" applyNumberFormat="1" applyFont="1" applyFill="1" applyBorder="1" applyAlignment="1" applyProtection="1">
      <alignment horizontal="center" vertical="center"/>
      <protection locked="0"/>
    </xf>
    <xf numFmtId="166" fontId="19" fillId="21" borderId="94" xfId="17" applyFont="1" applyFill="1" applyBorder="1" applyAlignment="1" applyProtection="1">
      <alignment vertical="center"/>
      <protection locked="0"/>
    </xf>
    <xf numFmtId="1" fontId="19" fillId="21" borderId="43" xfId="0" applyNumberFormat="1" applyFont="1" applyFill="1" applyBorder="1" applyAlignment="1" applyProtection="1">
      <alignment horizontal="center" vertical="center"/>
      <protection locked="0"/>
    </xf>
    <xf numFmtId="167" fontId="19" fillId="21" borderId="43" xfId="0" quotePrefix="1" applyNumberFormat="1" applyFont="1" applyFill="1" applyBorder="1" applyAlignment="1" applyProtection="1">
      <alignment vertical="center"/>
      <protection locked="0"/>
    </xf>
    <xf numFmtId="167" fontId="20" fillId="21" borderId="43" xfId="0" applyNumberFormat="1" applyFont="1" applyFill="1" applyBorder="1" applyAlignment="1" applyProtection="1">
      <alignment vertical="center"/>
      <protection locked="0"/>
    </xf>
    <xf numFmtId="167" fontId="19" fillId="0" borderId="44" xfId="0" applyNumberFormat="1" applyFont="1" applyBorder="1" applyAlignment="1" applyProtection="1">
      <alignment vertical="center"/>
      <protection locked="0"/>
    </xf>
    <xf numFmtId="167" fontId="19" fillId="21" borderId="44" xfId="0" quotePrefix="1" applyNumberFormat="1" applyFont="1" applyFill="1" applyBorder="1" applyAlignment="1" applyProtection="1">
      <alignment vertical="center"/>
      <protection locked="0"/>
    </xf>
    <xf numFmtId="167" fontId="19" fillId="21" borderId="44" xfId="0" applyNumberFormat="1" applyFont="1" applyFill="1" applyBorder="1" applyAlignment="1" applyProtection="1">
      <alignment vertical="center"/>
      <protection locked="0"/>
    </xf>
    <xf numFmtId="167" fontId="20" fillId="21" borderId="44" xfId="0" applyNumberFormat="1" applyFont="1" applyFill="1" applyBorder="1" applyAlignment="1" applyProtection="1">
      <alignment vertical="center"/>
      <protection locked="0"/>
    </xf>
    <xf numFmtId="1" fontId="19" fillId="21" borderId="44" xfId="0" applyNumberFormat="1" applyFont="1" applyFill="1" applyBorder="1" applyAlignment="1" applyProtection="1">
      <alignment horizontal="center" vertical="center"/>
      <protection locked="0"/>
    </xf>
    <xf numFmtId="167" fontId="20" fillId="0" borderId="5" xfId="0" applyNumberFormat="1" applyFont="1" applyBorder="1" applyAlignment="1" applyProtection="1">
      <alignment vertical="center"/>
      <protection locked="0"/>
    </xf>
    <xf numFmtId="166" fontId="25" fillId="17" borderId="1" xfId="17" applyFont="1" applyFill="1" applyBorder="1" applyAlignment="1" applyProtection="1"/>
    <xf numFmtId="43" fontId="24" fillId="0" borderId="5" xfId="0" applyNumberFormat="1" applyFont="1" applyBorder="1" applyAlignment="1" applyProtection="1">
      <alignment horizontal="center" vertical="center"/>
      <protection locked="0"/>
    </xf>
    <xf numFmtId="167" fontId="20" fillId="0" borderId="1" xfId="0" applyNumberFormat="1" applyFont="1" applyBorder="1" applyAlignment="1" applyProtection="1">
      <alignment vertical="center"/>
      <protection locked="0"/>
    </xf>
    <xf numFmtId="167" fontId="20" fillId="0" borderId="0" xfId="0" applyNumberFormat="1" applyFont="1" applyAlignment="1" applyProtection="1">
      <alignment horizontal="center" vertical="center"/>
      <protection locked="0"/>
    </xf>
    <xf numFmtId="167" fontId="19" fillId="21" borderId="5" xfId="0" quotePrefix="1" applyNumberFormat="1" applyFont="1" applyFill="1" applyBorder="1" applyAlignment="1" applyProtection="1">
      <alignment horizontal="left" vertical="center"/>
      <protection locked="0"/>
    </xf>
    <xf numFmtId="167" fontId="19" fillId="21" borderId="5" xfId="0" applyNumberFormat="1" applyFont="1" applyFill="1" applyBorder="1" applyAlignment="1" applyProtection="1">
      <alignment horizontal="left" vertical="center"/>
      <protection locked="0"/>
    </xf>
    <xf numFmtId="167" fontId="19" fillId="21" borderId="5" xfId="0" quotePrefix="1" applyNumberFormat="1" applyFont="1" applyFill="1" applyBorder="1" applyAlignment="1" applyProtection="1">
      <alignment horizontal="right" vertical="center"/>
      <protection locked="0"/>
    </xf>
    <xf numFmtId="167" fontId="20" fillId="21" borderId="5" xfId="0" applyNumberFormat="1" applyFont="1" applyFill="1" applyBorder="1" applyAlignment="1" applyProtection="1">
      <alignment horizontal="left" vertical="center"/>
      <protection locked="0"/>
    </xf>
    <xf numFmtId="167" fontId="19" fillId="0" borderId="0" xfId="0" quotePrefix="1" applyNumberFormat="1" applyFont="1" applyAlignment="1" applyProtection="1">
      <alignment horizontal="right" vertical="center"/>
      <protection locked="0"/>
    </xf>
    <xf numFmtId="167" fontId="20" fillId="0" borderId="0" xfId="0" applyNumberFormat="1" applyFont="1" applyAlignment="1" applyProtection="1">
      <alignment horizontal="left" vertical="center"/>
      <protection locked="0"/>
    </xf>
    <xf numFmtId="167" fontId="20" fillId="16" borderId="1" xfId="0" applyNumberFormat="1" applyFont="1" applyFill="1" applyBorder="1" applyAlignment="1" applyProtection="1">
      <alignment vertical="center"/>
      <protection locked="0"/>
    </xf>
    <xf numFmtId="167" fontId="20" fillId="16" borderId="2" xfId="0" applyNumberFormat="1" applyFont="1" applyFill="1" applyBorder="1" applyAlignment="1" applyProtection="1">
      <alignment vertical="center"/>
      <protection locked="0"/>
    </xf>
    <xf numFmtId="167" fontId="20" fillId="16" borderId="14" xfId="0" applyNumberFormat="1" applyFont="1" applyFill="1" applyBorder="1" applyAlignment="1" applyProtection="1">
      <alignment vertical="center"/>
      <protection locked="0"/>
    </xf>
    <xf numFmtId="43" fontId="24" fillId="17" borderId="14" xfId="0" applyNumberFormat="1" applyFont="1" applyFill="1" applyBorder="1" applyAlignment="1">
      <alignment vertical="center"/>
    </xf>
    <xf numFmtId="167" fontId="20" fillId="16" borderId="1" xfId="0" applyNumberFormat="1" applyFont="1" applyFill="1" applyBorder="1" applyAlignment="1" applyProtection="1">
      <alignment horizontal="left" vertical="center"/>
      <protection locked="0"/>
    </xf>
    <xf numFmtId="167" fontId="20" fillId="16" borderId="2" xfId="0" applyNumberFormat="1" applyFont="1" applyFill="1" applyBorder="1" applyAlignment="1" applyProtection="1">
      <alignment horizontal="left" vertical="center"/>
      <protection locked="0"/>
    </xf>
    <xf numFmtId="167" fontId="19" fillId="16" borderId="2" xfId="0" applyNumberFormat="1" applyFont="1" applyFill="1" applyBorder="1" applyAlignment="1" applyProtection="1">
      <alignment horizontal="left" vertical="center"/>
      <protection locked="0"/>
    </xf>
    <xf numFmtId="167" fontId="19" fillId="16" borderId="2" xfId="0" quotePrefix="1" applyNumberFormat="1" applyFont="1" applyFill="1" applyBorder="1" applyAlignment="1" applyProtection="1">
      <alignment horizontal="right" vertical="center"/>
      <protection locked="0"/>
    </xf>
    <xf numFmtId="167" fontId="19" fillId="16" borderId="14" xfId="0" quotePrefix="1" applyNumberFormat="1" applyFont="1" applyFill="1" applyBorder="1" applyAlignment="1" applyProtection="1">
      <alignment horizontal="right" vertical="center"/>
      <protection locked="0"/>
    </xf>
    <xf numFmtId="0" fontId="25" fillId="0" borderId="1" xfId="0" applyFont="1" applyBorder="1" applyAlignment="1" applyProtection="1">
      <alignment horizontal="left"/>
      <protection locked="0"/>
    </xf>
    <xf numFmtId="0" fontId="25" fillId="0" borderId="5" xfId="0" applyFont="1" applyBorder="1" applyAlignment="1" applyProtection="1">
      <alignment horizontal="center"/>
      <protection locked="0"/>
    </xf>
    <xf numFmtId="0" fontId="36" fillId="0" borderId="2" xfId="0" applyFont="1" applyBorder="1" applyAlignment="1" applyProtection="1">
      <alignment horizontal="center" wrapText="1"/>
      <protection locked="0"/>
    </xf>
    <xf numFmtId="0" fontId="21" fillId="0" borderId="5" xfId="0" applyFont="1" applyBorder="1" applyAlignment="1" applyProtection="1">
      <alignment horizontal="center"/>
      <protection locked="0"/>
    </xf>
    <xf numFmtId="166" fontId="20" fillId="17" borderId="5" xfId="17" applyFont="1" applyFill="1" applyBorder="1" applyAlignment="1" applyProtection="1">
      <alignment horizontal="right" vertical="center"/>
    </xf>
    <xf numFmtId="169" fontId="19" fillId="21" borderId="5" xfId="0" applyNumberFormat="1" applyFont="1" applyFill="1" applyBorder="1" applyAlignment="1" applyProtection="1">
      <alignment horizontal="right" vertical="center"/>
      <protection locked="0"/>
    </xf>
    <xf numFmtId="167" fontId="19" fillId="21" borderId="5" xfId="0" applyNumberFormat="1" applyFont="1" applyFill="1" applyBorder="1" applyAlignment="1" applyProtection="1">
      <alignment horizontal="center" vertical="center"/>
      <protection locked="0"/>
    </xf>
    <xf numFmtId="178" fontId="19" fillId="21" borderId="5" xfId="0" quotePrefix="1" applyNumberFormat="1" applyFont="1" applyFill="1" applyBorder="1" applyAlignment="1" applyProtection="1">
      <alignment vertical="center"/>
      <protection locked="0"/>
    </xf>
    <xf numFmtId="10" fontId="19" fillId="21" borderId="5" xfId="47" quotePrefix="1" applyNumberFormat="1" applyFont="1" applyFill="1" applyBorder="1" applyAlignment="1" applyProtection="1">
      <alignment vertical="center"/>
      <protection locked="0"/>
    </xf>
    <xf numFmtId="167" fontId="19" fillId="0" borderId="0" xfId="0" applyNumberFormat="1" applyFont="1" applyAlignment="1" applyProtection="1">
      <alignment horizontal="center" vertical="center"/>
      <protection locked="0"/>
    </xf>
    <xf numFmtId="43" fontId="24" fillId="21" borderId="5" xfId="0" applyNumberFormat="1" applyFont="1" applyFill="1" applyBorder="1" applyAlignment="1" applyProtection="1">
      <alignment horizontal="center" vertical="center"/>
      <protection locked="0"/>
    </xf>
    <xf numFmtId="167" fontId="20" fillId="16" borderId="5" xfId="0" applyNumberFormat="1" applyFont="1" applyFill="1" applyBorder="1" applyAlignment="1" applyProtection="1">
      <alignment horizontal="center" vertical="center"/>
      <protection locked="0"/>
    </xf>
    <xf numFmtId="167" fontId="20" fillId="0" borderId="6" xfId="0" applyNumberFormat="1" applyFont="1" applyBorder="1" applyAlignment="1" applyProtection="1">
      <alignment horizontal="left" vertical="center"/>
      <protection locked="0"/>
    </xf>
    <xf numFmtId="9" fontId="20" fillId="21" borderId="6" xfId="47" applyFont="1" applyFill="1" applyBorder="1" applyAlignment="1" applyProtection="1">
      <alignment horizontal="center" vertical="center"/>
      <protection locked="0"/>
    </xf>
    <xf numFmtId="166" fontId="19" fillId="17" borderId="90" xfId="17" applyFont="1" applyFill="1" applyBorder="1" applyAlignment="1" applyProtection="1">
      <alignment vertical="center"/>
    </xf>
    <xf numFmtId="9" fontId="20" fillId="21" borderId="9" xfId="47" applyFont="1" applyFill="1" applyBorder="1" applyAlignment="1" applyProtection="1">
      <alignment horizontal="center" vertical="center"/>
      <protection locked="0"/>
    </xf>
    <xf numFmtId="166" fontId="19" fillId="17" borderId="4" xfId="17" applyFont="1" applyFill="1" applyBorder="1" applyAlignment="1" applyProtection="1">
      <alignment vertical="center"/>
    </xf>
    <xf numFmtId="9" fontId="20" fillId="21" borderId="11" xfId="47" applyFont="1" applyFill="1" applyBorder="1" applyAlignment="1" applyProtection="1">
      <alignment horizontal="center" vertical="center"/>
      <protection locked="0"/>
    </xf>
    <xf numFmtId="166" fontId="19" fillId="17" borderId="47" xfId="17" applyFont="1" applyFill="1" applyBorder="1" applyAlignment="1" applyProtection="1">
      <alignment vertical="center"/>
    </xf>
    <xf numFmtId="166" fontId="19" fillId="17" borderId="5" xfId="17" quotePrefix="1" applyFont="1" applyFill="1" applyBorder="1" applyAlignment="1" applyProtection="1">
      <alignment horizontal="right" vertical="center"/>
    </xf>
    <xf numFmtId="167" fontId="20" fillId="0" borderId="7" xfId="0" applyNumberFormat="1" applyFont="1" applyBorder="1" applyAlignment="1" applyProtection="1">
      <alignment horizontal="center" vertical="center"/>
      <protection locked="0"/>
    </xf>
    <xf numFmtId="167" fontId="20" fillId="0" borderId="8" xfId="0" applyNumberFormat="1" applyFont="1" applyBorder="1" applyAlignment="1" applyProtection="1">
      <alignment horizontal="center" vertical="center"/>
      <protection locked="0"/>
    </xf>
    <xf numFmtId="167" fontId="20" fillId="0" borderId="11" xfId="0" applyNumberFormat="1" applyFont="1" applyBorder="1" applyAlignment="1" applyProtection="1">
      <alignment horizontal="center" vertical="center"/>
      <protection locked="0"/>
    </xf>
    <xf numFmtId="167" fontId="20" fillId="0" borderId="12" xfId="0" applyNumberFormat="1" applyFont="1" applyBorder="1" applyAlignment="1" applyProtection="1">
      <alignment horizontal="center" vertical="center"/>
      <protection locked="0"/>
    </xf>
    <xf numFmtId="167" fontId="20" fillId="0" borderId="13" xfId="0" applyNumberFormat="1" applyFont="1" applyBorder="1" applyAlignment="1" applyProtection="1">
      <alignment horizontal="center" vertical="center"/>
      <protection locked="0"/>
    </xf>
    <xf numFmtId="0" fontId="19" fillId="0" borderId="38" xfId="0" quotePrefix="1" applyFont="1" applyBorder="1" applyAlignment="1">
      <alignment horizontal="right" vertical="center"/>
    </xf>
    <xf numFmtId="167" fontId="59" fillId="0" borderId="17" xfId="0" quotePrefix="1" applyNumberFormat="1" applyFont="1" applyBorder="1" applyAlignment="1">
      <alignment vertical="center"/>
    </xf>
    <xf numFmtId="0" fontId="56" fillId="0" borderId="0" xfId="0" applyFont="1" applyAlignment="1">
      <alignment horizontal="left"/>
    </xf>
    <xf numFmtId="0" fontId="56" fillId="0" borderId="0" xfId="0" quotePrefix="1" applyFont="1" applyAlignment="1">
      <alignment horizontal="left"/>
    </xf>
    <xf numFmtId="0" fontId="56" fillId="0" borderId="12" xfId="0" quotePrefix="1" applyFont="1" applyBorder="1" applyAlignment="1">
      <alignment horizontal="left"/>
    </xf>
    <xf numFmtId="178" fontId="58" fillId="21" borderId="17" xfId="0" applyNumberFormat="1" applyFont="1" applyFill="1" applyBorder="1" applyAlignment="1">
      <alignment horizontal="left" vertical="center"/>
    </xf>
    <xf numFmtId="166" fontId="58" fillId="0" borderId="17" xfId="1" applyFont="1" applyFill="1" applyBorder="1" applyAlignment="1">
      <alignment vertical="center"/>
    </xf>
    <xf numFmtId="166" fontId="58" fillId="0" borderId="18" xfId="1" quotePrefix="1" applyFont="1" applyFill="1" applyBorder="1" applyAlignment="1">
      <alignment vertical="center"/>
    </xf>
    <xf numFmtId="178" fontId="58" fillId="21" borderId="17" xfId="0" applyNumberFormat="1" applyFont="1" applyFill="1" applyBorder="1" applyAlignment="1">
      <alignment horizontal="right" vertical="center"/>
    </xf>
    <xf numFmtId="178" fontId="58" fillId="21" borderId="17" xfId="0" applyNumberFormat="1" applyFont="1" applyFill="1" applyBorder="1" applyAlignment="1">
      <alignment horizontal="right" vertical="center" indent="2"/>
    </xf>
    <xf numFmtId="166" fontId="58" fillId="17" borderId="17" xfId="1" applyFont="1" applyFill="1" applyBorder="1" applyAlignment="1">
      <alignment vertical="center"/>
    </xf>
    <xf numFmtId="167" fontId="59" fillId="0" borderId="17" xfId="0" applyNumberFormat="1" applyFont="1" applyBorder="1" applyAlignment="1">
      <alignment horizontal="center" vertical="center" wrapText="1"/>
    </xf>
    <xf numFmtId="167" fontId="58" fillId="21" borderId="17" xfId="0" applyNumberFormat="1" applyFont="1" applyFill="1" applyBorder="1" applyAlignment="1">
      <alignment vertical="center"/>
    </xf>
    <xf numFmtId="166" fontId="59" fillId="0" borderId="17" xfId="1" applyFont="1" applyFill="1" applyBorder="1" applyAlignment="1">
      <alignment vertical="center"/>
    </xf>
    <xf numFmtId="166" fontId="59" fillId="0" borderId="17" xfId="1" applyFont="1" applyBorder="1" applyAlignment="1">
      <alignment horizontal="center" vertical="center" wrapText="1"/>
    </xf>
    <xf numFmtId="167" fontId="58" fillId="0" borderId="17" xfId="0" applyNumberFormat="1" applyFont="1" applyBorder="1" applyAlignment="1">
      <alignment horizontal="center" vertical="center"/>
    </xf>
    <xf numFmtId="4" fontId="19" fillId="23" borderId="17" xfId="0" applyNumberFormat="1" applyFont="1" applyFill="1" applyBorder="1" applyAlignment="1">
      <alignment vertical="center"/>
    </xf>
    <xf numFmtId="167" fontId="6" fillId="24" borderId="129" xfId="30" applyNumberFormat="1" applyFill="1" applyBorder="1" applyAlignment="1" applyProtection="1">
      <alignment vertical="center"/>
    </xf>
    <xf numFmtId="178" fontId="62" fillId="0" borderId="42" xfId="0" applyNumberFormat="1" applyFont="1" applyBorder="1" applyAlignment="1">
      <alignment horizontal="left" vertical="center"/>
    </xf>
    <xf numFmtId="178" fontId="62" fillId="0" borderId="42" xfId="0" applyNumberFormat="1" applyFont="1" applyBorder="1" applyAlignment="1">
      <alignment horizontal="left" vertical="center" indent="2"/>
    </xf>
    <xf numFmtId="178" fontId="58" fillId="0" borderId="42" xfId="0" applyNumberFormat="1" applyFont="1" applyBorder="1" applyAlignment="1">
      <alignment horizontal="left" vertical="center" indent="2"/>
    </xf>
    <xf numFmtId="178" fontId="59" fillId="0" borderId="42" xfId="0" applyNumberFormat="1" applyFont="1" applyBorder="1" applyAlignment="1">
      <alignment horizontal="left" vertical="center" indent="2"/>
    </xf>
    <xf numFmtId="0" fontId="59" fillId="0" borderId="16" xfId="1" applyNumberFormat="1" applyFont="1" applyBorder="1" applyAlignment="1">
      <alignment horizontal="center" vertical="center"/>
    </xf>
    <xf numFmtId="0" fontId="58" fillId="0" borderId="16" xfId="0" applyFont="1" applyBorder="1" applyAlignment="1">
      <alignment horizontal="left" vertical="center"/>
    </xf>
    <xf numFmtId="0" fontId="58" fillId="0" borderId="16" xfId="0" applyFont="1" applyBorder="1" applyAlignment="1">
      <alignment horizontal="left" vertical="center" indent="2"/>
    </xf>
    <xf numFmtId="166" fontId="58" fillId="0" borderId="23" xfId="1" applyFont="1" applyFill="1" applyBorder="1" applyAlignment="1">
      <alignment vertical="center"/>
    </xf>
    <xf numFmtId="166" fontId="59" fillId="17" borderId="36" xfId="1" applyFont="1" applyFill="1" applyBorder="1" applyAlignment="1">
      <alignment horizontal="center" vertical="center"/>
    </xf>
    <xf numFmtId="167" fontId="58" fillId="17" borderId="53" xfId="0" applyNumberFormat="1" applyFont="1" applyFill="1" applyBorder="1" applyAlignment="1">
      <alignment vertical="center"/>
    </xf>
    <xf numFmtId="166" fontId="58" fillId="17" borderId="20" xfId="1" applyFont="1" applyFill="1" applyBorder="1" applyAlignment="1">
      <alignment vertical="center"/>
    </xf>
    <xf numFmtId="167" fontId="58" fillId="17" borderId="39" xfId="0" applyNumberFormat="1" applyFont="1" applyFill="1" applyBorder="1" applyAlignment="1">
      <alignment vertical="center" wrapText="1"/>
    </xf>
    <xf numFmtId="178" fontId="58" fillId="21" borderId="27" xfId="0" applyNumberFormat="1" applyFont="1" applyFill="1" applyBorder="1" applyAlignment="1">
      <alignment horizontal="right" vertical="top"/>
    </xf>
    <xf numFmtId="178" fontId="58" fillId="21" borderId="28" xfId="0" applyNumberFormat="1" applyFont="1" applyFill="1" applyBorder="1" applyAlignment="1">
      <alignment horizontal="right" vertical="top"/>
    </xf>
    <xf numFmtId="166" fontId="58" fillId="17" borderId="19" xfId="1" applyFont="1" applyFill="1" applyBorder="1" applyAlignment="1">
      <alignment vertical="top"/>
    </xf>
    <xf numFmtId="43" fontId="65" fillId="0" borderId="0" xfId="0" applyNumberFormat="1" applyFont="1" applyProtection="1">
      <protection locked="0"/>
    </xf>
    <xf numFmtId="0" fontId="0" fillId="0" borderId="0" xfId="0" applyProtection="1">
      <protection locked="0"/>
    </xf>
    <xf numFmtId="0" fontId="66" fillId="0" borderId="0" xfId="0" applyFont="1" applyAlignment="1" applyProtection="1">
      <alignment horizontal="center"/>
      <protection locked="0"/>
    </xf>
    <xf numFmtId="173" fontId="67" fillId="0" borderId="0" xfId="0" applyNumberFormat="1" applyFont="1" applyProtection="1">
      <protection locked="0"/>
    </xf>
    <xf numFmtId="167" fontId="54" fillId="0" borderId="130" xfId="0" applyNumberFormat="1" applyFont="1" applyBorder="1" applyAlignment="1">
      <alignment vertical="center"/>
    </xf>
    <xf numFmtId="167" fontId="54" fillId="0" borderId="106" xfId="0" applyNumberFormat="1" applyFont="1" applyBorder="1" applyAlignment="1">
      <alignment vertical="center"/>
    </xf>
    <xf numFmtId="167" fontId="54" fillId="0" borderId="106" xfId="0" quotePrefix="1" applyNumberFormat="1" applyFont="1" applyBorder="1" applyAlignment="1">
      <alignment vertical="center"/>
    </xf>
    <xf numFmtId="167" fontId="54" fillId="0" borderId="131" xfId="0" applyNumberFormat="1" applyFont="1" applyBorder="1" applyAlignment="1">
      <alignment vertical="center"/>
    </xf>
    <xf numFmtId="167" fontId="55" fillId="0" borderId="98" xfId="0" applyNumberFormat="1" applyFont="1" applyBorder="1" applyAlignment="1">
      <alignment vertical="center"/>
    </xf>
    <xf numFmtId="167" fontId="68" fillId="0" borderId="99" xfId="0" applyNumberFormat="1" applyFont="1" applyBorder="1" applyAlignment="1">
      <alignment vertical="center"/>
    </xf>
    <xf numFmtId="167" fontId="54" fillId="0" borderId="99" xfId="0" applyNumberFormat="1" applyFont="1" applyBorder="1" applyAlignment="1">
      <alignment vertical="center"/>
    </xf>
    <xf numFmtId="167" fontId="54" fillId="0" borderId="100" xfId="0" applyNumberFormat="1" applyFont="1" applyBorder="1" applyAlignment="1">
      <alignment vertical="center"/>
    </xf>
    <xf numFmtId="0" fontId="69" fillId="0" borderId="98" xfId="0" applyFont="1" applyBorder="1" applyProtection="1">
      <protection locked="0"/>
    </xf>
    <xf numFmtId="0" fontId="0" fillId="0" borderId="99" xfId="0" applyBorder="1" applyProtection="1">
      <protection locked="0"/>
    </xf>
    <xf numFmtId="0" fontId="0" fillId="0" borderId="100" xfId="0" applyBorder="1" applyProtection="1">
      <protection locked="0"/>
    </xf>
    <xf numFmtId="0" fontId="4" fillId="0" borderId="99" xfId="0" applyFont="1" applyBorder="1" applyAlignment="1" applyProtection="1">
      <alignment horizontal="right"/>
      <protection locked="0"/>
    </xf>
    <xf numFmtId="0" fontId="39" fillId="0" borderId="98" xfId="0" applyFont="1" applyBorder="1" applyProtection="1">
      <protection locked="0"/>
    </xf>
    <xf numFmtId="0" fontId="0" fillId="0" borderId="98" xfId="0" applyBorder="1" applyProtection="1">
      <protection locked="0"/>
    </xf>
    <xf numFmtId="173" fontId="40" fillId="17" borderId="99" xfId="4" applyNumberFormat="1" applyFont="1" applyFill="1" applyBorder="1" applyProtection="1"/>
    <xf numFmtId="0" fontId="4" fillId="17" borderId="99" xfId="4" applyNumberFormat="1" applyFont="1" applyFill="1" applyBorder="1" applyProtection="1"/>
    <xf numFmtId="0" fontId="0" fillId="21" borderId="99" xfId="0" applyFill="1" applyBorder="1" applyProtection="1">
      <protection locked="0"/>
    </xf>
    <xf numFmtId="0" fontId="0" fillId="17" borderId="99" xfId="0" applyFill="1" applyBorder="1"/>
    <xf numFmtId="0" fontId="4" fillId="0" borderId="99" xfId="0" applyFont="1" applyBorder="1" applyAlignment="1" applyProtection="1">
      <alignment horizontal="center"/>
      <protection locked="0"/>
    </xf>
    <xf numFmtId="0" fontId="4" fillId="0" borderId="98" xfId="0" applyFont="1" applyBorder="1" applyProtection="1">
      <protection locked="0"/>
    </xf>
    <xf numFmtId="0" fontId="66" fillId="0" borderId="100" xfId="0" applyFont="1" applyBorder="1" applyAlignment="1" applyProtection="1">
      <alignment horizontal="center"/>
      <protection locked="0"/>
    </xf>
    <xf numFmtId="0" fontId="5" fillId="0" borderId="98" xfId="0" applyFont="1" applyBorder="1" applyProtection="1">
      <protection locked="0"/>
    </xf>
    <xf numFmtId="173" fontId="40" fillId="21" borderId="99" xfId="4" applyNumberFormat="1" applyFont="1" applyFill="1" applyBorder="1" applyProtection="1">
      <protection locked="0"/>
    </xf>
    <xf numFmtId="173" fontId="0" fillId="17" borderId="99" xfId="0" applyNumberFormat="1" applyFill="1" applyBorder="1"/>
    <xf numFmtId="0" fontId="5" fillId="0" borderId="99" xfId="0" applyFont="1" applyBorder="1" applyProtection="1">
      <protection locked="0"/>
    </xf>
    <xf numFmtId="0" fontId="67" fillId="0" borderId="100" xfId="0" applyFont="1" applyBorder="1" applyProtection="1">
      <protection locked="0"/>
    </xf>
    <xf numFmtId="2" fontId="0" fillId="21" borderId="99" xfId="0" applyNumberFormat="1" applyFill="1" applyBorder="1" applyProtection="1">
      <protection locked="0"/>
    </xf>
    <xf numFmtId="2" fontId="0" fillId="17" borderId="99" xfId="0" applyNumberFormat="1" applyFill="1" applyBorder="1" applyProtection="1">
      <protection locked="0"/>
    </xf>
    <xf numFmtId="2" fontId="0" fillId="0" borderId="99" xfId="0" applyNumberFormat="1" applyBorder="1" applyProtection="1">
      <protection locked="0"/>
    </xf>
    <xf numFmtId="0" fontId="0" fillId="0" borderId="98" xfId="0" applyBorder="1" applyAlignment="1" applyProtection="1">
      <alignment horizontal="left" indent="1"/>
      <protection locked="0"/>
    </xf>
    <xf numFmtId="3" fontId="4" fillId="17" borderId="99" xfId="0" applyNumberFormat="1" applyFont="1" applyFill="1" applyBorder="1" applyProtection="1">
      <protection locked="0"/>
    </xf>
    <xf numFmtId="0" fontId="4" fillId="0" borderId="99" xfId="0" applyFont="1" applyBorder="1" applyProtection="1">
      <protection locked="0"/>
    </xf>
    <xf numFmtId="0" fontId="0" fillId="21" borderId="98" xfId="0" applyFill="1" applyBorder="1" applyProtection="1">
      <protection locked="0"/>
    </xf>
    <xf numFmtId="43" fontId="54" fillId="0" borderId="132" xfId="0" applyNumberFormat="1" applyFont="1" applyBorder="1"/>
    <xf numFmtId="43" fontId="54" fillId="0" borderId="133" xfId="0" applyNumberFormat="1" applyFont="1" applyBorder="1"/>
    <xf numFmtId="43" fontId="54" fillId="0" borderId="134" xfId="0" applyNumberFormat="1" applyFont="1" applyBorder="1"/>
    <xf numFmtId="173" fontId="40" fillId="17" borderId="107" xfId="4" applyNumberFormat="1" applyFont="1" applyFill="1" applyBorder="1" applyProtection="1"/>
    <xf numFmtId="0" fontId="4" fillId="17" borderId="107" xfId="4" applyNumberFormat="1" applyFont="1" applyFill="1" applyBorder="1" applyProtection="1"/>
    <xf numFmtId="0" fontId="0" fillId="0" borderId="104" xfId="0" applyBorder="1" applyProtection="1">
      <protection locked="0"/>
    </xf>
    <xf numFmtId="173" fontId="40" fillId="17" borderId="97" xfId="4" applyNumberFormat="1" applyFont="1" applyFill="1" applyBorder="1" applyProtection="1"/>
    <xf numFmtId="0" fontId="4" fillId="17" borderId="97" xfId="4" applyNumberFormat="1" applyFont="1" applyFill="1" applyBorder="1" applyProtection="1"/>
    <xf numFmtId="173" fontId="40" fillId="21" borderId="107" xfId="4" applyNumberFormat="1" applyFont="1" applyFill="1" applyBorder="1" applyProtection="1">
      <protection locked="0"/>
    </xf>
    <xf numFmtId="173" fontId="0" fillId="17" borderId="107" xfId="0" applyNumberFormat="1" applyFill="1" applyBorder="1"/>
    <xf numFmtId="173" fontId="40" fillId="17" borderId="97" xfId="4" applyNumberFormat="1" applyFont="1" applyFill="1" applyBorder="1" applyProtection="1">
      <protection locked="0"/>
    </xf>
    <xf numFmtId="2" fontId="0" fillId="21" borderId="107" xfId="0" applyNumberFormat="1" applyFill="1" applyBorder="1" applyProtection="1">
      <protection locked="0"/>
    </xf>
    <xf numFmtId="2" fontId="40" fillId="17" borderId="106" xfId="4" applyNumberFormat="1" applyFont="1" applyFill="1" applyBorder="1" applyProtection="1">
      <protection locked="0"/>
    </xf>
    <xf numFmtId="2" fontId="0" fillId="17" borderId="107" xfId="0" applyNumberFormat="1" applyFill="1" applyBorder="1" applyProtection="1">
      <protection locked="0"/>
    </xf>
    <xf numFmtId="2" fontId="0" fillId="17" borderId="97" xfId="0" applyNumberFormat="1" applyFill="1" applyBorder="1" applyProtection="1">
      <protection locked="0"/>
    </xf>
    <xf numFmtId="2" fontId="0" fillId="0" borderId="104" xfId="0" applyNumberFormat="1" applyBorder="1" applyProtection="1">
      <protection locked="0"/>
    </xf>
    <xf numFmtId="2" fontId="0" fillId="21" borderId="133" xfId="0" applyNumberFormat="1" applyFill="1" applyBorder="1" applyProtection="1">
      <protection locked="0"/>
    </xf>
    <xf numFmtId="2" fontId="0" fillId="0" borderId="107" xfId="0" applyNumberFormat="1" applyBorder="1" applyProtection="1">
      <protection locked="0"/>
    </xf>
    <xf numFmtId="0" fontId="0" fillId="21" borderId="107" xfId="0" applyFill="1" applyBorder="1" applyProtection="1">
      <protection locked="0"/>
    </xf>
    <xf numFmtId="43" fontId="54" fillId="0" borderId="135" xfId="0" applyNumberFormat="1" applyFont="1" applyBorder="1"/>
    <xf numFmtId="0" fontId="0" fillId="17" borderId="97" xfId="0" applyFill="1" applyBorder="1" applyProtection="1">
      <protection locked="0"/>
    </xf>
    <xf numFmtId="167" fontId="58" fillId="0" borderId="45" xfId="0" applyNumberFormat="1" applyFont="1" applyBorder="1" applyAlignment="1">
      <alignment horizontal="right" vertical="center"/>
    </xf>
    <xf numFmtId="0" fontId="59" fillId="0" borderId="22" xfId="1" applyNumberFormat="1" applyFont="1" applyFill="1" applyBorder="1" applyAlignment="1">
      <alignment horizontal="left" vertical="center"/>
    </xf>
    <xf numFmtId="0" fontId="59" fillId="0" borderId="22" xfId="1" applyNumberFormat="1" applyFont="1" applyBorder="1" applyAlignment="1">
      <alignment horizontal="left" vertical="center"/>
    </xf>
    <xf numFmtId="0" fontId="59" fillId="0" borderId="39" xfId="1" applyNumberFormat="1" applyFont="1" applyFill="1" applyBorder="1" applyAlignment="1">
      <alignment horizontal="left" vertical="center"/>
    </xf>
    <xf numFmtId="166" fontId="58" fillId="21" borderId="18" xfId="0" applyNumberFormat="1" applyFont="1" applyFill="1" applyBorder="1" applyAlignment="1">
      <alignment horizontal="right" vertical="center"/>
    </xf>
    <xf numFmtId="166" fontId="58" fillId="17" borderId="18" xfId="0" applyNumberFormat="1" applyFont="1" applyFill="1" applyBorder="1" applyAlignment="1">
      <alignment horizontal="right" vertical="center"/>
    </xf>
    <xf numFmtId="0" fontId="54" fillId="0" borderId="0" xfId="0" applyFont="1" applyAlignment="1">
      <alignment vertical="center"/>
    </xf>
    <xf numFmtId="0" fontId="70" fillId="0" borderId="22" xfId="0" applyFont="1" applyBorder="1" applyAlignment="1">
      <alignment horizontal="left" vertical="center"/>
    </xf>
    <xf numFmtId="0" fontId="53" fillId="0" borderId="15" xfId="1" applyNumberFormat="1" applyFont="1" applyBorder="1" applyAlignment="1">
      <alignment horizontal="left" vertical="center"/>
    </xf>
    <xf numFmtId="166" fontId="59" fillId="0" borderId="24" xfId="0" applyNumberFormat="1" applyFont="1" applyBorder="1" applyAlignment="1">
      <alignment horizontal="center" vertical="center"/>
    </xf>
    <xf numFmtId="43" fontId="58" fillId="0" borderId="24" xfId="1" quotePrefix="1" applyNumberFormat="1" applyFont="1" applyBorder="1" applyAlignment="1">
      <alignment horizontal="right" vertical="center"/>
    </xf>
    <xf numFmtId="0" fontId="58" fillId="0" borderId="26" xfId="1" applyNumberFormat="1" applyFont="1" applyBorder="1" applyAlignment="1">
      <alignment horizontal="right" vertical="center"/>
    </xf>
    <xf numFmtId="0" fontId="58" fillId="0" borderId="51" xfId="0" applyFont="1" applyBorder="1" applyAlignment="1">
      <alignment horizontal="left" vertical="center"/>
    </xf>
    <xf numFmtId="43" fontId="58" fillId="0" borderId="17" xfId="1" quotePrefix="1" applyNumberFormat="1" applyFont="1" applyBorder="1" applyAlignment="1">
      <alignment horizontal="right" vertical="center"/>
    </xf>
    <xf numFmtId="0" fontId="59" fillId="0" borderId="40" xfId="1" applyNumberFormat="1" applyFont="1" applyBorder="1" applyAlignment="1">
      <alignment horizontal="left" vertical="center"/>
    </xf>
    <xf numFmtId="43" fontId="58" fillId="0" borderId="27" xfId="1" quotePrefix="1" applyNumberFormat="1" applyFont="1" applyBorder="1" applyAlignment="1">
      <alignment horizontal="right" vertical="center"/>
    </xf>
    <xf numFmtId="166" fontId="58" fillId="0" borderId="21" xfId="1" quotePrefix="1" applyFont="1" applyBorder="1" applyAlignment="1">
      <alignment horizontal="right" vertical="center"/>
    </xf>
    <xf numFmtId="0" fontId="58" fillId="31" borderId="55" xfId="1" quotePrefix="1" applyNumberFormat="1" applyFont="1" applyFill="1" applyBorder="1" applyAlignment="1">
      <alignment horizontal="right" vertical="center"/>
    </xf>
    <xf numFmtId="0" fontId="59" fillId="31" borderId="38" xfId="1" applyNumberFormat="1" applyFont="1" applyFill="1" applyBorder="1" applyAlignment="1">
      <alignment horizontal="left" vertical="center"/>
    </xf>
    <xf numFmtId="167" fontId="58" fillId="31" borderId="14" xfId="0" applyNumberFormat="1" applyFont="1" applyFill="1" applyBorder="1" applyAlignment="1">
      <alignment horizontal="right" vertical="center"/>
    </xf>
    <xf numFmtId="0" fontId="58" fillId="0" borderId="30" xfId="1" applyNumberFormat="1" applyFont="1" applyBorder="1" applyAlignment="1">
      <alignment horizontal="right" vertical="center"/>
    </xf>
    <xf numFmtId="0" fontId="58" fillId="21" borderId="17" xfId="0" applyFont="1" applyFill="1" applyBorder="1" applyAlignment="1">
      <alignment vertical="center"/>
    </xf>
    <xf numFmtId="0" fontId="58" fillId="21" borderId="18" xfId="0" applyFont="1" applyFill="1" applyBorder="1" applyAlignment="1">
      <alignment vertical="center"/>
    </xf>
    <xf numFmtId="166" fontId="58" fillId="21" borderId="21" xfId="1" applyFont="1" applyFill="1" applyBorder="1" applyAlignment="1">
      <alignment vertical="center"/>
    </xf>
    <xf numFmtId="166" fontId="58" fillId="21" borderId="18" xfId="1" applyFont="1" applyFill="1" applyBorder="1" applyAlignment="1">
      <alignment vertical="center"/>
    </xf>
    <xf numFmtId="0" fontId="59" fillId="21" borderId="15" xfId="0" applyFont="1" applyFill="1" applyBorder="1" applyAlignment="1">
      <alignment horizontal="center" vertical="center"/>
    </xf>
    <xf numFmtId="0" fontId="58" fillId="21" borderId="17" xfId="1" applyNumberFormat="1" applyFont="1" applyFill="1" applyBorder="1" applyAlignment="1">
      <alignment vertical="center"/>
    </xf>
    <xf numFmtId="166" fontId="59" fillId="0" borderId="15" xfId="1" applyFont="1" applyBorder="1" applyAlignment="1">
      <alignment horizontal="center" vertical="center"/>
    </xf>
    <xf numFmtId="14" fontId="58" fillId="21" borderId="22" xfId="0" applyNumberFormat="1" applyFont="1" applyFill="1" applyBorder="1" applyAlignment="1">
      <alignment horizontal="left" vertical="center"/>
    </xf>
    <xf numFmtId="166" fontId="58" fillId="21" borderId="17" xfId="1" applyFont="1" applyFill="1" applyBorder="1" applyAlignment="1">
      <alignment vertical="center"/>
    </xf>
    <xf numFmtId="14" fontId="58" fillId="21" borderId="39" xfId="0" applyNumberFormat="1" applyFont="1" applyFill="1" applyBorder="1" applyAlignment="1">
      <alignment horizontal="left" vertical="center"/>
    </xf>
    <xf numFmtId="43" fontId="58" fillId="21" borderId="70" xfId="1" applyNumberFormat="1" applyFont="1" applyFill="1" applyBorder="1" applyAlignment="1">
      <alignment vertical="center"/>
    </xf>
    <xf numFmtId="166" fontId="19" fillId="21" borderId="17" xfId="1" applyFont="1" applyFill="1" applyBorder="1" applyAlignment="1">
      <alignment vertical="center"/>
    </xf>
    <xf numFmtId="166" fontId="19" fillId="21" borderId="18" xfId="1" quotePrefix="1" applyFont="1" applyFill="1" applyBorder="1" applyAlignment="1">
      <alignment vertical="center"/>
    </xf>
    <xf numFmtId="14" fontId="24" fillId="21" borderId="17" xfId="0" applyNumberFormat="1" applyFont="1" applyFill="1" applyBorder="1" applyAlignment="1">
      <alignment vertical="center"/>
    </xf>
    <xf numFmtId="166" fontId="24" fillId="21" borderId="17" xfId="4" applyFont="1" applyFill="1" applyBorder="1" applyAlignment="1">
      <alignment vertical="center"/>
    </xf>
    <xf numFmtId="0" fontId="24" fillId="21" borderId="17" xfId="0" quotePrefix="1" applyFont="1" applyFill="1" applyBorder="1" applyAlignment="1">
      <alignment vertical="center"/>
    </xf>
    <xf numFmtId="166" fontId="24" fillId="21" borderId="17" xfId="4" applyFont="1" applyFill="1" applyBorder="1" applyAlignment="1">
      <alignment horizontal="right" vertical="center"/>
    </xf>
    <xf numFmtId="9" fontId="24" fillId="21" borderId="17" xfId="40" applyFont="1" applyFill="1" applyBorder="1" applyAlignment="1">
      <alignment vertical="center"/>
    </xf>
    <xf numFmtId="166" fontId="24" fillId="21" borderId="99" xfId="4" applyFont="1" applyFill="1" applyBorder="1" applyAlignment="1">
      <alignment vertical="center"/>
    </xf>
    <xf numFmtId="0" fontId="24" fillId="21" borderId="105" xfId="0" quotePrefix="1" applyFont="1" applyFill="1" applyBorder="1" applyAlignment="1">
      <alignment vertical="center"/>
    </xf>
    <xf numFmtId="166" fontId="24" fillId="21" borderId="0" xfId="4" applyFont="1" applyFill="1" applyBorder="1" applyAlignment="1">
      <alignment vertical="center"/>
    </xf>
    <xf numFmtId="43" fontId="24" fillId="21" borderId="99" xfId="0" applyNumberFormat="1" applyFont="1" applyFill="1" applyBorder="1" applyAlignment="1">
      <alignment horizontal="center" vertical="center"/>
    </xf>
    <xf numFmtId="179" fontId="24" fillId="21" borderId="99" xfId="0" applyNumberFormat="1" applyFont="1" applyFill="1" applyBorder="1" applyAlignment="1">
      <alignment horizontal="center" vertical="center"/>
    </xf>
    <xf numFmtId="179" fontId="24" fillId="21" borderId="107" xfId="0" applyNumberFormat="1" applyFont="1" applyFill="1" applyBorder="1" applyAlignment="1">
      <alignment vertical="center"/>
    </xf>
    <xf numFmtId="9" fontId="24" fillId="21" borderId="99" xfId="0" applyNumberFormat="1" applyFont="1" applyFill="1" applyBorder="1" applyAlignment="1">
      <alignment vertical="center"/>
    </xf>
    <xf numFmtId="166" fontId="19" fillId="21" borderId="17" xfId="4" applyFont="1" applyFill="1" applyBorder="1" applyAlignment="1">
      <alignment horizontal="center" vertical="center"/>
    </xf>
    <xf numFmtId="167" fontId="19" fillId="21" borderId="17" xfId="35" applyNumberFormat="1" applyFont="1" applyFill="1" applyBorder="1" applyAlignment="1">
      <alignment horizontal="right" vertical="center"/>
    </xf>
    <xf numFmtId="166" fontId="19" fillId="21" borderId="15" xfId="4" applyFont="1" applyFill="1" applyBorder="1" applyAlignment="1">
      <alignment horizontal="center" vertical="center"/>
    </xf>
    <xf numFmtId="167" fontId="19" fillId="21" borderId="17" xfId="0" applyNumberFormat="1" applyFont="1" applyFill="1" applyBorder="1" applyAlignment="1">
      <alignment vertical="center"/>
    </xf>
    <xf numFmtId="167" fontId="20" fillId="0" borderId="16" xfId="0" applyNumberFormat="1" applyFont="1" applyBorder="1" applyAlignment="1">
      <alignment vertical="center"/>
    </xf>
    <xf numFmtId="167" fontId="19" fillId="17" borderId="17" xfId="0" applyNumberFormat="1" applyFont="1" applyFill="1" applyBorder="1" applyAlignment="1">
      <alignment vertical="center"/>
    </xf>
    <xf numFmtId="167" fontId="19" fillId="17" borderId="52" xfId="0" applyNumberFormat="1" applyFont="1" applyFill="1" applyBorder="1" applyAlignment="1">
      <alignment vertical="center"/>
    </xf>
    <xf numFmtId="4" fontId="19" fillId="17" borderId="17" xfId="0" applyNumberFormat="1" applyFont="1" applyFill="1" applyBorder="1" applyAlignment="1">
      <alignment vertical="center"/>
    </xf>
    <xf numFmtId="10" fontId="19" fillId="17" borderId="17" xfId="0" applyNumberFormat="1" applyFont="1" applyFill="1" applyBorder="1" applyAlignment="1">
      <alignment vertical="center"/>
    </xf>
    <xf numFmtId="167" fontId="19" fillId="21" borderId="23" xfId="0" applyNumberFormat="1" applyFont="1" applyFill="1" applyBorder="1" applyAlignment="1">
      <alignment vertical="center"/>
    </xf>
    <xf numFmtId="167" fontId="19" fillId="17" borderId="34" xfId="0" applyNumberFormat="1" applyFont="1" applyFill="1" applyBorder="1" applyAlignment="1">
      <alignment vertical="center"/>
    </xf>
    <xf numFmtId="15" fontId="19" fillId="0" borderId="49" xfId="0" applyNumberFormat="1" applyFont="1" applyBorder="1" applyAlignment="1">
      <alignment vertical="center"/>
    </xf>
    <xf numFmtId="176" fontId="19" fillId="0" borderId="29" xfId="0" applyNumberFormat="1" applyFont="1" applyBorder="1" applyAlignment="1">
      <alignment vertical="center"/>
    </xf>
    <xf numFmtId="166" fontId="19" fillId="18" borderId="21" xfId="1" quotePrefix="1" applyFont="1" applyFill="1" applyBorder="1" applyAlignment="1">
      <alignment horizontal="center" vertical="center"/>
    </xf>
    <xf numFmtId="15" fontId="19" fillId="0" borderId="39" xfId="0" applyNumberFormat="1" applyFont="1" applyBorder="1" applyAlignment="1">
      <alignment vertical="center"/>
    </xf>
    <xf numFmtId="176" fontId="19" fillId="0" borderId="84" xfId="0" applyNumberFormat="1" applyFont="1" applyBorder="1" applyAlignment="1">
      <alignment vertical="center"/>
    </xf>
    <xf numFmtId="166" fontId="19" fillId="18" borderId="28" xfId="1" quotePrefix="1" applyFont="1" applyFill="1" applyBorder="1" applyAlignment="1">
      <alignment horizontal="center" vertical="center"/>
    </xf>
    <xf numFmtId="166" fontId="19" fillId="20" borderId="27" xfId="1" applyFont="1" applyFill="1" applyBorder="1" applyAlignment="1">
      <alignment vertical="center"/>
    </xf>
    <xf numFmtId="10" fontId="19" fillId="20" borderId="17" xfId="39" applyNumberFormat="1" applyFont="1" applyFill="1" applyBorder="1" applyAlignment="1">
      <alignment vertical="center"/>
    </xf>
    <xf numFmtId="10" fontId="19" fillId="20" borderId="27" xfId="39" applyNumberFormat="1" applyFont="1" applyFill="1" applyBorder="1" applyAlignment="1">
      <alignment vertical="center"/>
    </xf>
    <xf numFmtId="10" fontId="19" fillId="20" borderId="15" xfId="39" applyNumberFormat="1" applyFont="1" applyFill="1" applyBorder="1" applyAlignment="1">
      <alignment vertical="center"/>
    </xf>
    <xf numFmtId="166" fontId="71" fillId="33" borderId="5" xfId="18" applyFont="1" applyFill="1" applyBorder="1" applyAlignment="1">
      <alignment horizontal="left"/>
    </xf>
    <xf numFmtId="166" fontId="72" fillId="0" borderId="5" xfId="18" applyFont="1" applyFill="1" applyBorder="1" applyAlignment="1"/>
    <xf numFmtId="166" fontId="73" fillId="0" borderId="5" xfId="18" applyFont="1" applyFill="1" applyBorder="1" applyAlignment="1">
      <alignment horizontal="center"/>
    </xf>
    <xf numFmtId="0" fontId="72" fillId="0" borderId="0" xfId="0" applyFont="1"/>
    <xf numFmtId="166" fontId="71" fillId="33" borderId="136" xfId="18" applyFont="1" applyFill="1" applyBorder="1"/>
    <xf numFmtId="0" fontId="55" fillId="0" borderId="5" xfId="0" applyFont="1" applyBorder="1" applyAlignment="1">
      <alignment vertical="center"/>
    </xf>
    <xf numFmtId="0" fontId="54" fillId="0" borderId="2" xfId="0" applyFont="1" applyBorder="1"/>
    <xf numFmtId="43" fontId="57" fillId="0" borderId="14" xfId="0" applyNumberFormat="1" applyFont="1" applyBorder="1"/>
    <xf numFmtId="43" fontId="54" fillId="0" borderId="1" xfId="0" applyNumberFormat="1" applyFont="1" applyBorder="1" applyAlignment="1">
      <alignment horizontal="left"/>
    </xf>
    <xf numFmtId="0" fontId="54" fillId="0" borderId="14" xfId="0" quotePrefix="1" applyFont="1" applyBorder="1" applyAlignment="1">
      <alignment horizontal="left"/>
    </xf>
    <xf numFmtId="43" fontId="54" fillId="0" borderId="1" xfId="0" quotePrefix="1" applyNumberFormat="1" applyFont="1" applyBorder="1" applyAlignment="1">
      <alignment horizontal="left"/>
    </xf>
    <xf numFmtId="169" fontId="55" fillId="0" borderId="14" xfId="0" quotePrefix="1" applyNumberFormat="1" applyFont="1" applyBorder="1" applyAlignment="1">
      <alignment horizontal="left"/>
    </xf>
    <xf numFmtId="169" fontId="55" fillId="0" borderId="0" xfId="0" quotePrefix="1" applyNumberFormat="1" applyFont="1" applyAlignment="1">
      <alignment horizontal="left"/>
    </xf>
    <xf numFmtId="0" fontId="55" fillId="0" borderId="0" xfId="0" applyFont="1" applyProtection="1">
      <protection locked="0"/>
    </xf>
    <xf numFmtId="15" fontId="54" fillId="0" borderId="2" xfId="0" quotePrefix="1" applyNumberFormat="1" applyFont="1" applyBorder="1"/>
    <xf numFmtId="15" fontId="55" fillId="0" borderId="14" xfId="0" applyNumberFormat="1" applyFont="1" applyBorder="1"/>
    <xf numFmtId="15" fontId="55" fillId="0" borderId="0" xfId="0" applyNumberFormat="1" applyFont="1"/>
    <xf numFmtId="15" fontId="54" fillId="0" borderId="0" xfId="0" quotePrefix="1" applyNumberFormat="1" applyFont="1"/>
    <xf numFmtId="43" fontId="54" fillId="0" borderId="0" xfId="0" quotePrefix="1" applyNumberFormat="1" applyFont="1" applyAlignment="1">
      <alignment horizontal="left"/>
    </xf>
    <xf numFmtId="43" fontId="74" fillId="0" borderId="0" xfId="0" applyNumberFormat="1" applyFont="1" applyAlignment="1">
      <alignment vertical="center"/>
    </xf>
    <xf numFmtId="166" fontId="71" fillId="0" borderId="0" xfId="18" applyFont="1" applyFill="1" applyBorder="1"/>
    <xf numFmtId="0" fontId="75" fillId="0" borderId="5" xfId="50" applyFont="1" applyBorder="1" applyAlignment="1">
      <alignment horizontal="center" vertical="center" wrapText="1"/>
    </xf>
    <xf numFmtId="0" fontId="75" fillId="0" borderId="1" xfId="50" applyFont="1" applyBorder="1" applyAlignment="1">
      <alignment horizontal="center" vertical="center" wrapText="1"/>
    </xf>
    <xf numFmtId="0" fontId="75" fillId="0" borderId="5" xfId="0" applyFont="1" applyBorder="1" applyAlignment="1">
      <alignment horizontal="center" vertical="center" wrapText="1"/>
    </xf>
    <xf numFmtId="0" fontId="75" fillId="0" borderId="5" xfId="0" applyFont="1" applyBorder="1" applyAlignment="1">
      <alignment horizontal="center" vertical="center"/>
    </xf>
    <xf numFmtId="0" fontId="54" fillId="0" borderId="1" xfId="0" applyFont="1" applyBorder="1"/>
    <xf numFmtId="166" fontId="71" fillId="17" borderId="5" xfId="18" applyFont="1" applyFill="1" applyBorder="1" applyAlignment="1">
      <alignment horizontal="center"/>
    </xf>
    <xf numFmtId="0" fontId="72" fillId="21" borderId="1" xfId="18" applyNumberFormat="1" applyFont="1" applyFill="1" applyBorder="1" applyAlignment="1"/>
    <xf numFmtId="166" fontId="72" fillId="21" borderId="4" xfId="18" applyFont="1" applyFill="1" applyBorder="1" applyAlignment="1"/>
    <xf numFmtId="166" fontId="72" fillId="21" borderId="9" xfId="18" applyFont="1" applyFill="1" applyBorder="1" applyAlignment="1"/>
    <xf numFmtId="166" fontId="72" fillId="21" borderId="5" xfId="18" applyFont="1" applyFill="1" applyBorder="1" applyAlignment="1"/>
    <xf numFmtId="166" fontId="71" fillId="33" borderId="137" xfId="18" applyFont="1" applyFill="1" applyBorder="1"/>
    <xf numFmtId="43" fontId="54" fillId="21" borderId="5" xfId="0" applyNumberFormat="1" applyFont="1" applyFill="1" applyBorder="1" applyAlignment="1">
      <alignment vertical="center"/>
    </xf>
    <xf numFmtId="43" fontId="54" fillId="21" borderId="5" xfId="0" applyNumberFormat="1" applyFont="1" applyFill="1" applyBorder="1"/>
    <xf numFmtId="43" fontId="54" fillId="17" borderId="5" xfId="0" applyNumberFormat="1" applyFont="1" applyFill="1" applyBorder="1" applyAlignment="1">
      <alignment vertical="center"/>
    </xf>
    <xf numFmtId="43" fontId="54" fillId="17" borderId="5" xfId="0" applyNumberFormat="1" applyFont="1" applyFill="1" applyBorder="1"/>
    <xf numFmtId="0" fontId="54" fillId="0" borderId="0" xfId="0" quotePrefix="1" applyFont="1" applyAlignment="1">
      <alignment horizontal="left"/>
    </xf>
    <xf numFmtId="43" fontId="55" fillId="0" borderId="1" xfId="0" applyNumberFormat="1" applyFont="1" applyBorder="1"/>
    <xf numFmtId="0" fontId="68" fillId="21" borderId="1" xfId="0" applyFont="1" applyFill="1" applyBorder="1" applyAlignment="1">
      <alignment horizontal="left"/>
    </xf>
    <xf numFmtId="43" fontId="55" fillId="21" borderId="2" xfId="0" applyNumberFormat="1" applyFont="1" applyFill="1" applyBorder="1" applyAlignment="1">
      <alignment horizontal="left"/>
    </xf>
    <xf numFmtId="43" fontId="54" fillId="21" borderId="2" xfId="0" applyNumberFormat="1" applyFont="1" applyFill="1" applyBorder="1"/>
    <xf numFmtId="43" fontId="54" fillId="21" borderId="14" xfId="0" applyNumberFormat="1" applyFont="1" applyFill="1" applyBorder="1"/>
    <xf numFmtId="0" fontId="55" fillId="21" borderId="1" xfId="0" applyFont="1" applyFill="1" applyBorder="1" applyAlignment="1">
      <alignment horizontal="left" vertical="top"/>
    </xf>
    <xf numFmtId="0" fontId="55" fillId="21" borderId="2" xfId="0" applyFont="1" applyFill="1" applyBorder="1" applyAlignment="1">
      <alignment horizontal="left" vertical="top"/>
    </xf>
    <xf numFmtId="0" fontId="55" fillId="21" borderId="14" xfId="0" applyFont="1" applyFill="1" applyBorder="1" applyAlignment="1">
      <alignment horizontal="left" vertical="top"/>
    </xf>
    <xf numFmtId="43" fontId="55" fillId="21" borderId="2" xfId="0" applyNumberFormat="1" applyFont="1" applyFill="1" applyBorder="1" applyAlignment="1">
      <alignment horizontal="left" vertical="top"/>
    </xf>
    <xf numFmtId="43" fontId="55" fillId="21" borderId="14" xfId="0" applyNumberFormat="1" applyFont="1" applyFill="1" applyBorder="1" applyAlignment="1">
      <alignment horizontal="left" vertical="top"/>
    </xf>
    <xf numFmtId="43" fontId="54" fillId="21" borderId="1" xfId="0" applyNumberFormat="1" applyFont="1" applyFill="1" applyBorder="1" applyAlignment="1">
      <alignment horizontal="left" vertical="top"/>
    </xf>
    <xf numFmtId="43" fontId="54" fillId="21" borderId="2" xfId="0" applyNumberFormat="1" applyFont="1" applyFill="1" applyBorder="1" applyAlignment="1">
      <alignment vertical="top"/>
    </xf>
    <xf numFmtId="43" fontId="54" fillId="21" borderId="2" xfId="0" applyNumberFormat="1" applyFont="1" applyFill="1" applyBorder="1" applyAlignment="1">
      <alignment horizontal="left" vertical="top"/>
    </xf>
    <xf numFmtId="43" fontId="54" fillId="21" borderId="14" xfId="0" applyNumberFormat="1" applyFont="1" applyFill="1" applyBorder="1" applyAlignment="1">
      <alignment vertical="top"/>
    </xf>
    <xf numFmtId="170" fontId="4" fillId="16" borderId="2" xfId="0" applyNumberFormat="1" applyFont="1" applyFill="1" applyBorder="1" applyAlignment="1">
      <alignment horizontal="center" wrapText="1"/>
    </xf>
    <xf numFmtId="170" fontId="4" fillId="16" borderId="14" xfId="0" applyNumberFormat="1" applyFont="1" applyFill="1" applyBorder="1" applyAlignment="1">
      <alignment horizontal="center" wrapText="1"/>
    </xf>
    <xf numFmtId="170" fontId="4" fillId="16" borderId="2" xfId="13" applyNumberFormat="1" applyFont="1" applyFill="1" applyBorder="1" applyAlignment="1">
      <alignment horizontal="center" wrapText="1"/>
    </xf>
    <xf numFmtId="181" fontId="4" fillId="17" borderId="3" xfId="0" applyNumberFormat="1" applyFont="1" applyFill="1" applyBorder="1"/>
    <xf numFmtId="43" fontId="4" fillId="17" borderId="3" xfId="0" applyNumberFormat="1" applyFont="1" applyFill="1" applyBorder="1" applyAlignment="1">
      <alignment horizontal="left"/>
    </xf>
    <xf numFmtId="43" fontId="5" fillId="34" borderId="0" xfId="4" applyNumberFormat="1" applyFont="1" applyFill="1" applyBorder="1" applyAlignment="1">
      <alignment horizontal="left"/>
    </xf>
    <xf numFmtId="172" fontId="4" fillId="0" borderId="0" xfId="0" applyNumberFormat="1" applyFont="1" applyAlignment="1">
      <alignment horizontal="left"/>
    </xf>
    <xf numFmtId="14" fontId="5" fillId="21" borderId="99" xfId="0" applyNumberFormat="1" applyFont="1" applyFill="1" applyBorder="1" applyAlignment="1">
      <alignment horizontal="left"/>
    </xf>
    <xf numFmtId="14" fontId="5" fillId="21" borderId="107" xfId="0" applyNumberFormat="1" applyFont="1" applyFill="1" applyBorder="1" applyAlignment="1">
      <alignment horizontal="left"/>
    </xf>
    <xf numFmtId="177" fontId="5" fillId="17" borderId="138" xfId="0" applyNumberFormat="1" applyFont="1" applyFill="1" applyBorder="1"/>
    <xf numFmtId="177" fontId="5" fillId="17" borderId="139" xfId="0" applyNumberFormat="1" applyFont="1" applyFill="1" applyBorder="1"/>
    <xf numFmtId="14" fontId="5" fillId="21" borderId="105" xfId="0" applyNumberFormat="1" applyFont="1" applyFill="1" applyBorder="1" applyAlignment="1">
      <alignment horizontal="left"/>
    </xf>
    <xf numFmtId="172" fontId="5" fillId="21" borderId="99" xfId="0" applyNumberFormat="1" applyFont="1" applyFill="1" applyBorder="1" applyAlignment="1">
      <alignment horizontal="left"/>
    </xf>
    <xf numFmtId="181" fontId="5" fillId="21" borderId="99" xfId="0" applyNumberFormat="1" applyFont="1" applyFill="1" applyBorder="1"/>
    <xf numFmtId="177" fontId="5" fillId="21" borderId="99" xfId="0" applyNumberFormat="1" applyFont="1" applyFill="1" applyBorder="1"/>
    <xf numFmtId="177" fontId="5" fillId="17" borderId="99" xfId="0" applyNumberFormat="1" applyFont="1" applyFill="1" applyBorder="1"/>
    <xf numFmtId="14" fontId="5" fillId="21" borderId="140" xfId="0" applyNumberFormat="1" applyFont="1" applyFill="1" applyBorder="1" applyAlignment="1">
      <alignment horizontal="left"/>
    </xf>
    <xf numFmtId="172" fontId="5" fillId="21" borderId="107" xfId="0" applyNumberFormat="1" applyFont="1" applyFill="1" applyBorder="1" applyAlignment="1">
      <alignment horizontal="left"/>
    </xf>
    <xf numFmtId="181" fontId="5" fillId="21" borderId="107" xfId="0" applyNumberFormat="1" applyFont="1" applyFill="1" applyBorder="1"/>
    <xf numFmtId="177" fontId="5" fillId="21" borderId="107" xfId="0" applyNumberFormat="1" applyFont="1" applyFill="1" applyBorder="1"/>
    <xf numFmtId="177" fontId="5" fillId="17" borderId="107" xfId="0" applyNumberFormat="1" applyFont="1" applyFill="1" applyBorder="1"/>
    <xf numFmtId="172" fontId="5" fillId="21" borderId="105" xfId="0" applyNumberFormat="1" applyFont="1" applyFill="1" applyBorder="1" applyAlignment="1">
      <alignment horizontal="left"/>
    </xf>
    <xf numFmtId="49" fontId="4" fillId="21" borderId="6" xfId="0" applyNumberFormat="1" applyFont="1" applyFill="1" applyBorder="1" applyAlignment="1">
      <alignment horizontal="left"/>
    </xf>
    <xf numFmtId="14" fontId="5" fillId="34" borderId="7" xfId="0" applyNumberFormat="1" applyFont="1" applyFill="1" applyBorder="1" applyAlignment="1">
      <alignment horizontal="left"/>
    </xf>
    <xf numFmtId="43" fontId="5" fillId="34" borderId="7" xfId="4" applyNumberFormat="1" applyFont="1" applyFill="1" applyBorder="1" applyAlignment="1">
      <alignment horizontal="left"/>
    </xf>
    <xf numFmtId="43" fontId="5" fillId="34" borderId="8" xfId="4" applyNumberFormat="1" applyFont="1" applyFill="1" applyBorder="1" applyAlignment="1">
      <alignment horizontal="left"/>
    </xf>
    <xf numFmtId="49" fontId="5" fillId="21" borderId="98" xfId="0" applyNumberFormat="1" applyFont="1" applyFill="1" applyBorder="1" applyAlignment="1">
      <alignment horizontal="left"/>
    </xf>
    <xf numFmtId="177" fontId="5" fillId="17" borderId="100" xfId="0" applyNumberFormat="1" applyFont="1" applyFill="1" applyBorder="1"/>
    <xf numFmtId="49" fontId="5" fillId="21" borderId="141" xfId="0" applyNumberFormat="1" applyFont="1" applyFill="1" applyBorder="1" applyAlignment="1">
      <alignment horizontal="left"/>
    </xf>
    <xf numFmtId="177" fontId="5" fillId="17" borderId="114" xfId="0" applyNumberFormat="1" applyFont="1" applyFill="1" applyBorder="1"/>
    <xf numFmtId="49" fontId="4" fillId="0" borderId="9" xfId="0" applyNumberFormat="1" applyFont="1" applyBorder="1" applyAlignment="1">
      <alignment horizontal="left"/>
    </xf>
    <xf numFmtId="43" fontId="4" fillId="17" borderId="81" xfId="0" applyNumberFormat="1" applyFont="1" applyFill="1" applyBorder="1" applyAlignment="1">
      <alignment horizontal="left"/>
    </xf>
    <xf numFmtId="49" fontId="4" fillId="21" borderId="9" xfId="0" applyNumberFormat="1" applyFont="1" applyFill="1" applyBorder="1" applyAlignment="1">
      <alignment horizontal="left"/>
    </xf>
    <xf numFmtId="14" fontId="5" fillId="34" borderId="0" xfId="0" applyNumberFormat="1" applyFont="1" applyFill="1" applyAlignment="1">
      <alignment horizontal="left"/>
    </xf>
    <xf numFmtId="43" fontId="5" fillId="34" borderId="10" xfId="4" applyNumberFormat="1" applyFont="1" applyFill="1" applyBorder="1" applyAlignment="1">
      <alignment horizontal="left"/>
    </xf>
    <xf numFmtId="0" fontId="4" fillId="0" borderId="9" xfId="0" applyFont="1" applyBorder="1" applyAlignment="1">
      <alignment horizontal="left"/>
    </xf>
    <xf numFmtId="170" fontId="4" fillId="0" borderId="10" xfId="0" applyNumberFormat="1" applyFont="1" applyBorder="1" applyAlignment="1">
      <alignment horizontal="left"/>
    </xf>
    <xf numFmtId="177" fontId="4" fillId="17" borderId="81" xfId="0" applyNumberFormat="1" applyFont="1" applyFill="1" applyBorder="1" applyAlignment="1">
      <alignment horizontal="left"/>
    </xf>
    <xf numFmtId="0" fontId="0" fillId="0" borderId="12" xfId="0" applyBorder="1"/>
    <xf numFmtId="0" fontId="0" fillId="0" borderId="9" xfId="0" applyBorder="1"/>
    <xf numFmtId="0" fontId="0" fillId="0" borderId="11" xfId="0" applyBorder="1"/>
    <xf numFmtId="0" fontId="0" fillId="0" borderId="10" xfId="0" applyBorder="1"/>
    <xf numFmtId="0" fontId="0" fillId="0" borderId="13" xfId="0" applyBorder="1"/>
    <xf numFmtId="39" fontId="58" fillId="0" borderId="24" xfId="1" quotePrefix="1" applyNumberFormat="1" applyFont="1" applyBorder="1" applyAlignment="1">
      <alignment horizontal="right" vertical="center"/>
    </xf>
    <xf numFmtId="43" fontId="58" fillId="0" borderId="23" xfId="1" quotePrefix="1" applyNumberFormat="1" applyFont="1" applyBorder="1" applyAlignment="1">
      <alignment horizontal="right" vertical="center"/>
    </xf>
    <xf numFmtId="166" fontId="59" fillId="17" borderId="18" xfId="0" applyNumberFormat="1" applyFont="1" applyFill="1" applyBorder="1" applyAlignment="1">
      <alignment horizontal="right" vertical="center"/>
    </xf>
    <xf numFmtId="0" fontId="59" fillId="31" borderId="59" xfId="0" applyFont="1" applyFill="1" applyBorder="1" applyAlignment="1">
      <alignment horizontal="left" vertical="center"/>
    </xf>
    <xf numFmtId="0" fontId="58" fillId="31" borderId="25" xfId="0" applyFont="1" applyFill="1" applyBorder="1" applyAlignment="1">
      <alignment horizontal="left" vertical="center"/>
    </xf>
    <xf numFmtId="0" fontId="58" fillId="31" borderId="51" xfId="0" quotePrefix="1" applyFont="1" applyFill="1" applyBorder="1" applyAlignment="1">
      <alignment horizontal="right" vertical="center"/>
    </xf>
    <xf numFmtId="43" fontId="54" fillId="31" borderId="0" xfId="0" applyNumberFormat="1" applyFont="1" applyFill="1" applyAlignment="1">
      <alignment vertical="center"/>
    </xf>
    <xf numFmtId="0" fontId="59" fillId="31" borderId="25" xfId="0" applyFont="1" applyFill="1" applyBorder="1" applyAlignment="1">
      <alignment horizontal="left" vertical="center"/>
    </xf>
    <xf numFmtId="43" fontId="55" fillId="31" borderId="0" xfId="0" applyNumberFormat="1" applyFont="1" applyFill="1" applyAlignment="1">
      <alignment horizontal="center" vertical="center"/>
    </xf>
    <xf numFmtId="43" fontId="54" fillId="31" borderId="2" xfId="0" applyNumberFormat="1" applyFont="1" applyFill="1" applyBorder="1" applyAlignment="1">
      <alignment vertical="center"/>
    </xf>
    <xf numFmtId="167" fontId="58" fillId="31" borderId="10" xfId="0" applyNumberFormat="1" applyFont="1" applyFill="1" applyBorder="1" applyAlignment="1">
      <alignment horizontal="right" vertical="center"/>
    </xf>
    <xf numFmtId="0" fontId="59" fillId="31" borderId="2" xfId="1" applyNumberFormat="1" applyFont="1" applyFill="1" applyBorder="1" applyAlignment="1">
      <alignment horizontal="center" vertical="center"/>
    </xf>
    <xf numFmtId="167" fontId="68" fillId="0" borderId="32" xfId="0" applyNumberFormat="1" applyFont="1" applyBorder="1" applyAlignment="1">
      <alignment horizontal="right" vertical="center"/>
    </xf>
    <xf numFmtId="167" fontId="68" fillId="0" borderId="45" xfId="0" applyNumberFormat="1" applyFont="1" applyBorder="1" applyAlignment="1">
      <alignment horizontal="right" vertical="center"/>
    </xf>
    <xf numFmtId="167" fontId="58" fillId="21" borderId="17" xfId="0" applyNumberFormat="1" applyFont="1" applyFill="1" applyBorder="1" applyAlignment="1">
      <alignment horizontal="right" vertical="center"/>
    </xf>
    <xf numFmtId="0" fontId="20" fillId="0" borderId="18" xfId="0" quotePrefix="1" applyFont="1" applyBorder="1" applyAlignment="1">
      <alignment horizontal="right" vertical="center"/>
    </xf>
    <xf numFmtId="167" fontId="65" fillId="0" borderId="17" xfId="0" applyNumberFormat="1" applyFont="1" applyBorder="1" applyAlignment="1">
      <alignment horizontal="left" vertical="center"/>
    </xf>
    <xf numFmtId="167" fontId="76" fillId="0" borderId="17" xfId="0" applyNumberFormat="1" applyFont="1" applyBorder="1" applyAlignment="1">
      <alignment horizontal="left" vertical="center"/>
    </xf>
    <xf numFmtId="0" fontId="20" fillId="0" borderId="22" xfId="0" applyFont="1" applyBorder="1" applyAlignment="1">
      <alignment horizontal="left" vertical="center"/>
    </xf>
    <xf numFmtId="166" fontId="19" fillId="17" borderId="17" xfId="1" applyFont="1" applyFill="1" applyBorder="1" applyAlignment="1">
      <alignment horizontal="center" vertical="center"/>
    </xf>
    <xf numFmtId="49" fontId="24" fillId="0" borderId="0" xfId="35" applyNumberFormat="1" applyFont="1" applyAlignment="1">
      <alignment horizontal="right"/>
    </xf>
    <xf numFmtId="0" fontId="75" fillId="0" borderId="0" xfId="0" applyFont="1" applyAlignment="1">
      <alignment horizontal="center" vertical="center"/>
    </xf>
    <xf numFmtId="166" fontId="58" fillId="24" borderId="18" xfId="1" quotePrefix="1" applyFont="1" applyFill="1" applyBorder="1" applyAlignment="1">
      <alignment vertical="center"/>
    </xf>
    <xf numFmtId="15" fontId="55" fillId="19" borderId="1" xfId="0" quotePrefix="1" applyNumberFormat="1" applyFont="1" applyFill="1" applyBorder="1" applyAlignment="1">
      <alignment vertical="top"/>
    </xf>
    <xf numFmtId="49" fontId="79" fillId="0" borderId="165" xfId="155" applyBorder="1">
      <alignment horizontal="center" vertical="center" wrapText="1"/>
    </xf>
    <xf numFmtId="49" fontId="79" fillId="0" borderId="166" xfId="155" applyBorder="1">
      <alignment horizontal="center" vertical="center" wrapText="1"/>
    </xf>
    <xf numFmtId="49" fontId="79" fillId="0" borderId="0" xfId="155">
      <alignment horizontal="center" vertical="center" wrapText="1"/>
    </xf>
    <xf numFmtId="41" fontId="83" fillId="36" borderId="149" xfId="87">
      <alignment vertical="center"/>
      <protection locked="0"/>
    </xf>
    <xf numFmtId="41" fontId="83" fillId="35" borderId="149" xfId="92">
      <alignment vertical="center"/>
    </xf>
    <xf numFmtId="49" fontId="83" fillId="0" borderId="0" xfId="154">
      <alignment horizontal="left" vertical="center" wrapText="1"/>
    </xf>
    <xf numFmtId="42" fontId="83" fillId="35" borderId="149" xfId="69">
      <alignment vertical="center"/>
    </xf>
    <xf numFmtId="49" fontId="79" fillId="0" borderId="0" xfId="83" applyAlignment="1">
      <alignment vertical="center" wrapText="1"/>
    </xf>
    <xf numFmtId="49" fontId="79" fillId="0" borderId="0" xfId="83" applyAlignment="1">
      <alignment horizontal="center"/>
    </xf>
    <xf numFmtId="49" fontId="79" fillId="0" borderId="0" xfId="83" applyAlignment="1">
      <alignment vertical="center"/>
    </xf>
    <xf numFmtId="49" fontId="79" fillId="0" borderId="0" xfId="83" applyAlignment="1">
      <alignment horizontal="right" vertical="center" wrapText="1"/>
    </xf>
    <xf numFmtId="49" fontId="79" fillId="35" borderId="149" xfId="92" applyNumberFormat="1" applyFont="1" applyAlignment="1">
      <alignment horizontal="center" vertical="center"/>
    </xf>
    <xf numFmtId="41" fontId="79" fillId="35" borderId="149" xfId="92" applyFont="1">
      <alignment vertical="center"/>
    </xf>
    <xf numFmtId="49" fontId="83" fillId="0" borderId="0" xfId="154" applyAlignment="1">
      <alignment vertical="center" wrapText="1"/>
    </xf>
    <xf numFmtId="0" fontId="82" fillId="35" borderId="0" xfId="81" applyAlignment="1">
      <alignment vertical="center"/>
    </xf>
    <xf numFmtId="0" fontId="83" fillId="0" borderId="0" xfId="58">
      <alignment horizontal="left" vertical="center" wrapText="1"/>
    </xf>
    <xf numFmtId="41" fontId="83" fillId="36" borderId="173" xfId="87" applyBorder="1">
      <alignment vertical="center"/>
      <protection locked="0"/>
    </xf>
    <xf numFmtId="49" fontId="79" fillId="35" borderId="149" xfId="92" applyNumberFormat="1" applyFont="1" applyAlignment="1">
      <alignment horizontal="right" vertical="center"/>
    </xf>
    <xf numFmtId="0" fontId="79" fillId="36" borderId="168" xfId="57" applyFont="1" applyBorder="1" applyAlignment="1">
      <alignment horizontal="right" vertical="center" wrapText="1"/>
      <protection locked="0"/>
    </xf>
    <xf numFmtId="49" fontId="79" fillId="0" borderId="0" xfId="83">
      <alignment horizontal="left" vertical="center" wrapText="1"/>
    </xf>
    <xf numFmtId="42" fontId="79" fillId="35" borderId="149" xfId="69" applyFont="1">
      <alignment vertical="center"/>
    </xf>
    <xf numFmtId="167" fontId="19" fillId="0" borderId="113" xfId="0" applyNumberFormat="1" applyFont="1" applyBorder="1" applyAlignment="1">
      <alignment horizontal="right" vertical="center"/>
    </xf>
    <xf numFmtId="0" fontId="79" fillId="0" borderId="105" xfId="93" applyBorder="1">
      <alignment horizontal="center" vertical="center" wrapText="1"/>
    </xf>
    <xf numFmtId="0" fontId="79" fillId="0" borderId="99" xfId="93" applyBorder="1">
      <alignment horizontal="center" vertical="center" wrapText="1"/>
    </xf>
    <xf numFmtId="0" fontId="0" fillId="0" borderId="160" xfId="0" applyBorder="1" applyAlignment="1">
      <alignment wrapText="1"/>
    </xf>
    <xf numFmtId="0" fontId="0" fillId="0" borderId="161" xfId="0" applyBorder="1"/>
    <xf numFmtId="0" fontId="0" fillId="0" borderId="160" xfId="0" applyBorder="1"/>
    <xf numFmtId="0" fontId="0" fillId="0" borderId="172" xfId="0" applyBorder="1"/>
    <xf numFmtId="0" fontId="0" fillId="0" borderId="162" xfId="0" applyBorder="1"/>
    <xf numFmtId="0" fontId="0" fillId="0" borderId="159" xfId="0" applyBorder="1"/>
    <xf numFmtId="0" fontId="0" fillId="0" borderId="163" xfId="0" applyBorder="1"/>
    <xf numFmtId="0" fontId="0" fillId="0" borderId="151" xfId="0" applyBorder="1"/>
    <xf numFmtId="0" fontId="0" fillId="0" borderId="152" xfId="0" applyBorder="1"/>
    <xf numFmtId="0" fontId="0" fillId="0" borderId="153" xfId="0" applyBorder="1"/>
    <xf numFmtId="0" fontId="0" fillId="0" borderId="154" xfId="0" applyBorder="1"/>
    <xf numFmtId="0" fontId="0" fillId="0" borderId="155" xfId="0" applyBorder="1"/>
    <xf numFmtId="0" fontId="0" fillId="0" borderId="156" xfId="0" applyBorder="1"/>
    <xf numFmtId="0" fontId="0" fillId="0" borderId="150" xfId="0" applyBorder="1"/>
    <xf numFmtId="0" fontId="0" fillId="0" borderId="157" xfId="0" applyBorder="1"/>
    <xf numFmtId="0" fontId="0" fillId="0" borderId="0" xfId="0" applyAlignment="1">
      <alignment wrapText="1"/>
    </xf>
    <xf numFmtId="49" fontId="90" fillId="0" borderId="154" xfId="0" applyNumberFormat="1" applyFont="1" applyBorder="1" applyAlignment="1">
      <alignment horizontal="center"/>
    </xf>
    <xf numFmtId="49" fontId="90" fillId="0" borderId="0" xfId="0" applyNumberFormat="1" applyFont="1" applyAlignment="1">
      <alignment horizontal="center"/>
    </xf>
    <xf numFmtId="0" fontId="90" fillId="0" borderId="0" xfId="0" applyFont="1" applyAlignment="1">
      <alignment horizontal="center"/>
    </xf>
    <xf numFmtId="0" fontId="90" fillId="0" borderId="171" xfId="0" applyFont="1" applyBorder="1" applyAlignment="1">
      <alignment horizontal="left"/>
    </xf>
    <xf numFmtId="164" fontId="46" fillId="0" borderId="0" xfId="0" applyNumberFormat="1" applyFont="1"/>
    <xf numFmtId="0" fontId="52" fillId="0" borderId="0" xfId="0" applyFont="1"/>
    <xf numFmtId="0" fontId="52" fillId="0" borderId="0" xfId="0" applyFont="1" applyAlignment="1">
      <alignment horizontal="center"/>
    </xf>
    <xf numFmtId="164" fontId="52" fillId="0" borderId="0" xfId="0" applyNumberFormat="1" applyFont="1"/>
    <xf numFmtId="0" fontId="90" fillId="0" borderId="0" xfId="0" applyFont="1" applyAlignment="1">
      <alignment horizontal="left"/>
    </xf>
    <xf numFmtId="0" fontId="0" fillId="0" borderId="0" xfId="0" applyAlignment="1">
      <alignment horizontal="left" wrapText="1"/>
    </xf>
    <xf numFmtId="0" fontId="90" fillId="0" borderId="158" xfId="0" applyFont="1" applyBorder="1" applyAlignment="1">
      <alignment horizontal="left"/>
    </xf>
    <xf numFmtId="0" fontId="91" fillId="0" borderId="0" xfId="0" applyFont="1" applyAlignment="1">
      <alignment horizontal="left"/>
    </xf>
    <xf numFmtId="0" fontId="20" fillId="0" borderId="29" xfId="0" applyFont="1" applyBorder="1" applyAlignment="1">
      <alignment vertical="center"/>
    </xf>
    <xf numFmtId="180" fontId="19" fillId="0" borderId="17" xfId="0" applyNumberFormat="1" applyFont="1" applyBorder="1" applyAlignment="1">
      <alignment horizontal="left" vertical="center"/>
    </xf>
    <xf numFmtId="180" fontId="19" fillId="0" borderId="18" xfId="0" quotePrefix="1" applyNumberFormat="1" applyFont="1" applyBorder="1" applyAlignment="1">
      <alignment horizontal="right" vertical="center"/>
    </xf>
    <xf numFmtId="180" fontId="19" fillId="0" borderId="17" xfId="0" applyNumberFormat="1" applyFont="1" applyBorder="1" applyAlignment="1">
      <alignment horizontal="right" vertical="center"/>
    </xf>
    <xf numFmtId="180" fontId="19" fillId="0" borderId="17" xfId="0" quotePrefix="1" applyNumberFormat="1" applyFont="1" applyBorder="1" applyAlignment="1">
      <alignment horizontal="left" vertical="center"/>
    </xf>
    <xf numFmtId="180" fontId="19" fillId="0" borderId="18" xfId="0" quotePrefix="1" applyNumberFormat="1" applyFont="1" applyBorder="1" applyAlignment="1">
      <alignment horizontal="left" vertical="center"/>
    </xf>
    <xf numFmtId="180" fontId="19" fillId="0" borderId="17" xfId="0" quotePrefix="1" applyNumberFormat="1" applyFont="1" applyBorder="1" applyAlignment="1">
      <alignment vertical="center"/>
    </xf>
    <xf numFmtId="180" fontId="19" fillId="0" borderId="18" xfId="0" quotePrefix="1" applyNumberFormat="1" applyFont="1" applyBorder="1" applyAlignment="1">
      <alignment vertical="center"/>
    </xf>
    <xf numFmtId="180" fontId="19" fillId="0" borderId="17" xfId="0" applyNumberFormat="1" applyFont="1" applyBorder="1" applyAlignment="1">
      <alignment vertical="center"/>
    </xf>
    <xf numFmtId="180" fontId="19" fillId="0" borderId="18" xfId="0" applyNumberFormat="1" applyFont="1" applyBorder="1" applyAlignment="1">
      <alignment vertical="center"/>
    </xf>
    <xf numFmtId="180" fontId="19" fillId="0" borderId="23" xfId="0" applyNumberFormat="1" applyFont="1" applyBorder="1" applyAlignment="1">
      <alignment horizontal="left" vertical="center"/>
    </xf>
    <xf numFmtId="180" fontId="19" fillId="0" borderId="23" xfId="0" applyNumberFormat="1" applyFont="1" applyBorder="1" applyAlignment="1">
      <alignment horizontal="right" vertical="center"/>
    </xf>
    <xf numFmtId="180" fontId="19" fillId="0" borderId="23" xfId="0" applyNumberFormat="1" applyFont="1" applyBorder="1" applyAlignment="1">
      <alignment vertical="center"/>
    </xf>
    <xf numFmtId="180" fontId="19" fillId="0" borderId="74" xfId="0" applyNumberFormat="1" applyFont="1" applyBorder="1" applyAlignment="1">
      <alignment vertical="center"/>
    </xf>
    <xf numFmtId="180" fontId="19" fillId="0" borderId="75" xfId="0" applyNumberFormat="1" applyFont="1" applyBorder="1" applyAlignment="1">
      <alignment vertical="center"/>
    </xf>
    <xf numFmtId="180" fontId="19" fillId="0" borderId="70" xfId="0" quotePrefix="1" applyNumberFormat="1" applyFont="1" applyBorder="1" applyAlignment="1">
      <alignment vertical="center"/>
    </xf>
    <xf numFmtId="180" fontId="19" fillId="0" borderId="174" xfId="0" applyNumberFormat="1" applyFont="1" applyBorder="1" applyAlignment="1">
      <alignment vertical="center"/>
    </xf>
    <xf numFmtId="10" fontId="20" fillId="0" borderId="15" xfId="39" applyNumberFormat="1" applyFont="1" applyBorder="1" applyAlignment="1">
      <alignment vertical="center"/>
    </xf>
    <xf numFmtId="189" fontId="19" fillId="0" borderId="18" xfId="0" quotePrefix="1" applyNumberFormat="1" applyFont="1" applyBorder="1" applyAlignment="1">
      <alignment vertical="center"/>
    </xf>
    <xf numFmtId="15" fontId="24" fillId="0" borderId="0" xfId="0" quotePrefix="1" applyNumberFormat="1" applyFont="1"/>
    <xf numFmtId="43" fontId="28" fillId="0" borderId="0" xfId="0" applyNumberFormat="1" applyFont="1"/>
    <xf numFmtId="43" fontId="26" fillId="0" borderId="0" xfId="0" quotePrefix="1" applyNumberFormat="1" applyFont="1" applyAlignment="1">
      <alignment horizontal="left"/>
    </xf>
    <xf numFmtId="15" fontId="25" fillId="0" borderId="0" xfId="0" applyNumberFormat="1" applyFont="1"/>
    <xf numFmtId="0" fontId="5" fillId="0" borderId="0" xfId="35"/>
    <xf numFmtId="43" fontId="21" fillId="0" borderId="0" xfId="35" applyNumberFormat="1" applyFont="1"/>
    <xf numFmtId="43" fontId="22" fillId="0" borderId="0" xfId="35" applyNumberFormat="1" applyFont="1" applyAlignment="1">
      <alignment horizontal="center"/>
    </xf>
    <xf numFmtId="43" fontId="21" fillId="0" borderId="0" xfId="33" applyNumberFormat="1" applyFont="1" applyAlignment="1" applyProtection="1"/>
    <xf numFmtId="43" fontId="43" fillId="0" borderId="0" xfId="35" applyNumberFormat="1" applyFont="1"/>
    <xf numFmtId="43" fontId="43" fillId="0" borderId="6" xfId="35" applyNumberFormat="1" applyFont="1" applyBorder="1" applyAlignment="1">
      <alignment horizontal="left"/>
    </xf>
    <xf numFmtId="0" fontId="43" fillId="0" borderId="7" xfId="35" applyFont="1" applyBorder="1"/>
    <xf numFmtId="43" fontId="94" fillId="0" borderId="8" xfId="35" applyNumberFormat="1" applyFont="1" applyBorder="1"/>
    <xf numFmtId="43" fontId="43" fillId="0" borderId="0" xfId="35" applyNumberFormat="1" applyFont="1" applyAlignment="1">
      <alignment horizontal="left"/>
    </xf>
    <xf numFmtId="43" fontId="43" fillId="0" borderId="6" xfId="35" applyNumberFormat="1" applyFont="1" applyBorder="1"/>
    <xf numFmtId="43" fontId="43" fillId="0" borderId="7" xfId="35" applyNumberFormat="1" applyFont="1" applyBorder="1"/>
    <xf numFmtId="43" fontId="43" fillId="0" borderId="8" xfId="35" applyNumberFormat="1" applyFont="1" applyBorder="1"/>
    <xf numFmtId="43" fontId="43" fillId="0" borderId="9" xfId="35" applyNumberFormat="1" applyFont="1" applyBorder="1"/>
    <xf numFmtId="43" fontId="94" fillId="0" borderId="10" xfId="35" applyNumberFormat="1" applyFont="1" applyBorder="1"/>
    <xf numFmtId="43" fontId="43" fillId="0" borderId="9" xfId="35" quotePrefix="1" applyNumberFormat="1" applyFont="1" applyBorder="1" applyAlignment="1">
      <alignment horizontal="left"/>
    </xf>
    <xf numFmtId="169" fontId="21" fillId="0" borderId="10" xfId="35" quotePrefix="1" applyNumberFormat="1" applyFont="1" applyBorder="1" applyAlignment="1">
      <alignment horizontal="left"/>
    </xf>
    <xf numFmtId="43" fontId="43" fillId="0" borderId="11" xfId="35" applyNumberFormat="1" applyFont="1" applyBorder="1"/>
    <xf numFmtId="43" fontId="94" fillId="0" borderId="13" xfId="35" applyNumberFormat="1" applyFont="1" applyBorder="1"/>
    <xf numFmtId="43" fontId="43" fillId="0" borderId="11" xfId="35" quotePrefix="1" applyNumberFormat="1" applyFont="1" applyBorder="1" applyAlignment="1">
      <alignment horizontal="left"/>
    </xf>
    <xf numFmtId="43" fontId="43" fillId="0" borderId="12" xfId="35" applyNumberFormat="1" applyFont="1" applyBorder="1"/>
    <xf numFmtId="169" fontId="21" fillId="0" borderId="13" xfId="35" applyNumberFormat="1" applyFont="1" applyBorder="1"/>
    <xf numFmtId="0" fontId="5" fillId="0" borderId="4" xfId="35" applyBorder="1"/>
    <xf numFmtId="0" fontId="5" fillId="0" borderId="9" xfId="35" applyBorder="1"/>
    <xf numFmtId="0" fontId="5" fillId="0" borderId="47" xfId="35" applyBorder="1"/>
    <xf numFmtId="0" fontId="5" fillId="0" borderId="11" xfId="35" applyBorder="1"/>
    <xf numFmtId="0" fontId="43" fillId="0" borderId="0" xfId="35" quotePrefix="1" applyFont="1" applyAlignment="1">
      <alignment horizontal="right"/>
    </xf>
    <xf numFmtId="0" fontId="43" fillId="0" borderId="12" xfId="35" quotePrefix="1" applyFont="1" applyBorder="1" applyAlignment="1">
      <alignment horizontal="right"/>
    </xf>
    <xf numFmtId="0" fontId="20" fillId="0" borderId="15" xfId="35" applyFont="1" applyBorder="1" applyAlignment="1">
      <alignment horizontal="left" vertical="center"/>
    </xf>
    <xf numFmtId="166" fontId="19" fillId="0" borderId="26" xfId="1" applyFont="1" applyBorder="1" applyAlignment="1">
      <alignment horizontal="left" vertical="center"/>
    </xf>
    <xf numFmtId="166" fontId="19" fillId="0" borderId="31" xfId="1" applyFont="1" applyBorder="1" applyAlignment="1">
      <alignment horizontal="left" vertical="center"/>
    </xf>
    <xf numFmtId="0" fontId="26" fillId="0" borderId="0" xfId="0" applyFont="1" applyAlignment="1">
      <alignment horizontal="center"/>
    </xf>
    <xf numFmtId="169" fontId="25" fillId="0" borderId="10" xfId="0" quotePrefix="1" applyNumberFormat="1" applyFont="1" applyBorder="1" applyAlignment="1">
      <alignment horizontal="center"/>
    </xf>
    <xf numFmtId="0" fontId="26" fillId="0" borderId="12" xfId="0" applyFont="1" applyBorder="1" applyAlignment="1">
      <alignment horizontal="center"/>
    </xf>
    <xf numFmtId="15" fontId="25" fillId="0" borderId="13" xfId="0" applyNumberFormat="1" applyFont="1" applyBorder="1" applyAlignment="1">
      <alignment horizontal="center"/>
    </xf>
    <xf numFmtId="166" fontId="19" fillId="0" borderId="25" xfId="1" applyFont="1" applyBorder="1" applyAlignment="1">
      <alignment vertical="center"/>
    </xf>
    <xf numFmtId="167" fontId="20" fillId="0" borderId="22" xfId="0" applyNumberFormat="1" applyFont="1" applyBorder="1" applyAlignment="1">
      <alignment horizontal="right" vertical="center"/>
    </xf>
    <xf numFmtId="43" fontId="25" fillId="0" borderId="0" xfId="0" applyNumberFormat="1" applyFont="1" applyAlignment="1">
      <alignment vertical="center"/>
    </xf>
    <xf numFmtId="167" fontId="20" fillId="0" borderId="5" xfId="0" applyNumberFormat="1" applyFont="1" applyBorder="1" applyAlignment="1">
      <alignment horizontal="center" vertical="center"/>
    </xf>
    <xf numFmtId="167" fontId="20" fillId="0" borderId="5" xfId="0" applyNumberFormat="1" applyFont="1" applyBorder="1" applyAlignment="1">
      <alignment horizontal="center" vertical="center" wrapText="1"/>
    </xf>
    <xf numFmtId="166" fontId="20" fillId="0" borderId="5" xfId="1" applyFont="1" applyBorder="1" applyAlignment="1">
      <alignment horizontal="center" vertical="center"/>
    </xf>
    <xf numFmtId="167" fontId="19" fillId="21" borderId="18" xfId="0" applyNumberFormat="1" applyFont="1" applyFill="1" applyBorder="1" applyAlignment="1">
      <alignment vertical="center"/>
    </xf>
    <xf numFmtId="167" fontId="19" fillId="0" borderId="18" xfId="0" applyNumberFormat="1" applyFont="1" applyBorder="1" applyAlignment="1">
      <alignment horizontal="center" vertical="center"/>
    </xf>
    <xf numFmtId="167" fontId="19" fillId="0" borderId="5" xfId="0" applyNumberFormat="1" applyFont="1" applyBorder="1" applyAlignment="1">
      <alignment horizontal="center" vertical="center"/>
    </xf>
    <xf numFmtId="166" fontId="19" fillId="0" borderId="5" xfId="1" applyFont="1" applyBorder="1" applyAlignment="1">
      <alignment horizontal="center" vertical="center"/>
    </xf>
    <xf numFmtId="180" fontId="24" fillId="0" borderId="5" xfId="161" applyNumberFormat="1" applyFont="1" applyBorder="1" applyAlignment="1">
      <alignment horizontal="center" vertical="center"/>
    </xf>
    <xf numFmtId="180" fontId="19" fillId="0" borderId="5" xfId="161" applyNumberFormat="1" applyFont="1" applyFill="1" applyBorder="1" applyAlignment="1">
      <alignment horizontal="center" vertical="center"/>
    </xf>
    <xf numFmtId="167" fontId="96" fillId="0" borderId="17" xfId="0" quotePrefix="1" applyNumberFormat="1" applyFont="1" applyBorder="1" applyAlignment="1">
      <alignment vertical="center"/>
    </xf>
    <xf numFmtId="167" fontId="19" fillId="21" borderId="18" xfId="0" quotePrefix="1" applyNumberFormat="1" applyFont="1" applyFill="1" applyBorder="1" applyAlignment="1">
      <alignment vertical="center"/>
    </xf>
    <xf numFmtId="167" fontId="19" fillId="0" borderId="18" xfId="0" quotePrefix="1" applyNumberFormat="1" applyFont="1" applyBorder="1" applyAlignment="1">
      <alignment horizontal="center" vertical="center"/>
    </xf>
    <xf numFmtId="167" fontId="19" fillId="0" borderId="5" xfId="0" quotePrefix="1" applyNumberFormat="1" applyFont="1" applyBorder="1" applyAlignment="1">
      <alignment horizontal="center" vertical="center"/>
    </xf>
    <xf numFmtId="167" fontId="96" fillId="0" borderId="17" xfId="0" applyNumberFormat="1" applyFont="1" applyBorder="1" applyAlignment="1">
      <alignment vertical="center"/>
    </xf>
    <xf numFmtId="166" fontId="19" fillId="0" borderId="15" xfId="1" applyFont="1" applyFill="1" applyBorder="1" applyAlignment="1">
      <alignment vertical="center"/>
    </xf>
    <xf numFmtId="0" fontId="20" fillId="0" borderId="15" xfId="1" applyNumberFormat="1" applyFont="1" applyBorder="1" applyAlignment="1">
      <alignment horizontal="center" vertical="center"/>
    </xf>
    <xf numFmtId="166" fontId="19" fillId="0" borderId="17" xfId="1" applyFont="1" applyFill="1" applyBorder="1" applyAlignment="1">
      <alignment vertical="center"/>
    </xf>
    <xf numFmtId="167" fontId="20" fillId="40" borderId="17" xfId="0" applyNumberFormat="1" applyFont="1" applyFill="1" applyBorder="1" applyAlignment="1">
      <alignment vertical="center"/>
    </xf>
    <xf numFmtId="167" fontId="30" fillId="0" borderId="17" xfId="0" applyNumberFormat="1" applyFont="1" applyBorder="1" applyAlignment="1">
      <alignment vertical="center"/>
    </xf>
    <xf numFmtId="167" fontId="20" fillId="0" borderId="17" xfId="0" applyNumberFormat="1" applyFont="1" applyBorder="1" applyAlignment="1">
      <alignment horizontal="left" vertical="center" indent="2"/>
    </xf>
    <xf numFmtId="167" fontId="20" fillId="0" borderId="18" xfId="0" applyNumberFormat="1" applyFont="1" applyBorder="1" applyAlignment="1">
      <alignment horizontal="left" vertical="center" indent="2"/>
    </xf>
    <xf numFmtId="166" fontId="19" fillId="0" borderId="18" xfId="1" applyFont="1" applyFill="1" applyBorder="1" applyAlignment="1">
      <alignment vertical="center"/>
    </xf>
    <xf numFmtId="166" fontId="19" fillId="0" borderId="18" xfId="1" quotePrefix="1" applyFont="1" applyFill="1" applyBorder="1" applyAlignment="1">
      <alignment vertical="center"/>
    </xf>
    <xf numFmtId="9" fontId="29" fillId="0" borderId="17" xfId="161" applyFont="1" applyBorder="1" applyAlignment="1">
      <alignment horizontal="left" vertical="center" indent="2"/>
    </xf>
    <xf numFmtId="166" fontId="19" fillId="0" borderId="51" xfId="1" quotePrefix="1" applyFont="1" applyFill="1" applyBorder="1" applyAlignment="1">
      <alignment vertical="center"/>
    </xf>
    <xf numFmtId="0" fontId="19" fillId="0" borderId="17" xfId="0" quotePrefix="1" applyFont="1" applyBorder="1" applyAlignment="1">
      <alignment horizontal="right" vertical="center"/>
    </xf>
    <xf numFmtId="167" fontId="29" fillId="0" borderId="23" xfId="0" applyNumberFormat="1" applyFont="1" applyBorder="1" applyAlignment="1">
      <alignment vertical="center"/>
    </xf>
    <xf numFmtId="167" fontId="20" fillId="0" borderId="23" xfId="0" applyNumberFormat="1" applyFont="1" applyBorder="1" applyAlignment="1">
      <alignment vertical="center"/>
    </xf>
    <xf numFmtId="167" fontId="20" fillId="40" borderId="23" xfId="0" applyNumberFormat="1" applyFont="1" applyFill="1" applyBorder="1" applyAlignment="1">
      <alignment vertical="center"/>
    </xf>
    <xf numFmtId="167" fontId="20" fillId="40" borderId="23" xfId="0" applyNumberFormat="1" applyFont="1" applyFill="1" applyBorder="1" applyAlignment="1">
      <alignment horizontal="right" vertical="center"/>
    </xf>
    <xf numFmtId="167" fontId="30" fillId="0" borderId="22" xfId="0" applyNumberFormat="1" applyFont="1" applyBorder="1" applyAlignment="1">
      <alignment horizontal="right" vertical="center"/>
    </xf>
    <xf numFmtId="167" fontId="6" fillId="0" borderId="23" xfId="30" applyNumberFormat="1" applyBorder="1" applyAlignment="1" applyProtection="1">
      <alignment vertical="center"/>
    </xf>
    <xf numFmtId="0" fontId="19" fillId="0" borderId="17" xfId="1" applyNumberFormat="1" applyFont="1" applyBorder="1" applyAlignment="1">
      <alignment horizontal="left" vertical="center"/>
    </xf>
    <xf numFmtId="8" fontId="24" fillId="0" borderId="0" xfId="0" applyNumberFormat="1" applyFont="1" applyAlignment="1">
      <alignment vertical="center"/>
    </xf>
    <xf numFmtId="14" fontId="19" fillId="0" borderId="60" xfId="0" applyNumberFormat="1" applyFont="1" applyBorder="1" applyAlignment="1">
      <alignment vertical="center"/>
    </xf>
    <xf numFmtId="166" fontId="19" fillId="0" borderId="144" xfId="1" applyFont="1" applyBorder="1" applyAlignment="1">
      <alignment horizontal="left" vertical="center"/>
    </xf>
    <xf numFmtId="166" fontId="19" fillId="0" borderId="42" xfId="1" applyFont="1" applyBorder="1" applyAlignment="1">
      <alignment horizontal="left" vertical="center"/>
    </xf>
    <xf numFmtId="14" fontId="24" fillId="0" borderId="42" xfId="0" applyNumberFormat="1" applyFont="1" applyBorder="1" applyAlignment="1">
      <alignment vertical="center"/>
    </xf>
    <xf numFmtId="14" fontId="19" fillId="0" borderId="70" xfId="1" applyNumberFormat="1" applyFont="1" applyBorder="1" applyAlignment="1">
      <alignment horizontal="right" vertical="center"/>
    </xf>
    <xf numFmtId="190" fontId="20" fillId="0" borderId="15" xfId="35" applyNumberFormat="1" applyFont="1" applyBorder="1" applyAlignment="1">
      <alignment horizontal="center" vertical="center"/>
    </xf>
    <xf numFmtId="1" fontId="24" fillId="0" borderId="0" xfId="0" applyNumberFormat="1" applyFont="1"/>
    <xf numFmtId="1" fontId="25" fillId="0" borderId="0" xfId="35" applyNumberFormat="1" applyFont="1"/>
    <xf numFmtId="1" fontId="25" fillId="0" borderId="0" xfId="35" applyNumberFormat="1" applyFont="1" applyAlignment="1">
      <alignment horizontal="center"/>
    </xf>
    <xf numFmtId="1" fontId="24" fillId="0" borderId="0" xfId="35" applyNumberFormat="1" applyFont="1"/>
    <xf numFmtId="1" fontId="24" fillId="0" borderId="8" xfId="0" applyNumberFormat="1" applyFont="1" applyBorder="1"/>
    <xf numFmtId="1" fontId="24" fillId="0" borderId="10" xfId="35" applyNumberFormat="1" applyFont="1" applyBorder="1"/>
    <xf numFmtId="1" fontId="25" fillId="0" borderId="10" xfId="35" quotePrefix="1" applyNumberFormat="1" applyFont="1" applyBorder="1" applyAlignment="1">
      <alignment horizontal="left"/>
    </xf>
    <xf numFmtId="1" fontId="25" fillId="0" borderId="13" xfId="35" applyNumberFormat="1" applyFont="1" applyBorder="1"/>
    <xf numFmtId="1" fontId="19" fillId="0" borderId="14" xfId="35" applyNumberFormat="1" applyFont="1" applyBorder="1" applyAlignment="1">
      <alignment horizontal="center"/>
    </xf>
    <xf numFmtId="1" fontId="19" fillId="0" borderId="36" xfId="35" applyNumberFormat="1" applyFont="1" applyBorder="1" applyAlignment="1">
      <alignment horizontal="right" vertical="center"/>
    </xf>
    <xf numFmtId="1" fontId="19" fillId="0" borderId="20" xfId="35" applyNumberFormat="1" applyFont="1" applyBorder="1" applyAlignment="1">
      <alignment horizontal="right" vertical="center"/>
    </xf>
    <xf numFmtId="1" fontId="19" fillId="0" borderId="26" xfId="35" applyNumberFormat="1" applyFont="1" applyBorder="1" applyAlignment="1">
      <alignment horizontal="right" vertical="center"/>
    </xf>
    <xf numFmtId="1" fontId="19" fillId="0" borderId="19" xfId="35" applyNumberFormat="1" applyFont="1" applyBorder="1" applyAlignment="1">
      <alignment horizontal="right" vertical="center"/>
    </xf>
    <xf numFmtId="166" fontId="24" fillId="0" borderId="0" xfId="1" applyFont="1" applyBorder="1" applyAlignment="1">
      <alignment horizontal="center"/>
    </xf>
    <xf numFmtId="166" fontId="24" fillId="0" borderId="12" xfId="1" applyFont="1" applyBorder="1" applyAlignment="1">
      <alignment horizontal="center"/>
    </xf>
    <xf numFmtId="43" fontId="26" fillId="0" borderId="0" xfId="0" applyNumberFormat="1" applyFont="1" applyAlignment="1">
      <alignment horizontal="center"/>
    </xf>
    <xf numFmtId="43" fontId="26" fillId="0" borderId="12" xfId="0" applyNumberFormat="1" applyFont="1" applyBorder="1" applyAlignment="1">
      <alignment horizontal="center"/>
    </xf>
    <xf numFmtId="166" fontId="26" fillId="0" borderId="0" xfId="1" applyFont="1" applyBorder="1" applyAlignment="1">
      <alignment horizontal="center"/>
    </xf>
    <xf numFmtId="166" fontId="26" fillId="0" borderId="12" xfId="1" applyFont="1" applyBorder="1" applyAlignment="1">
      <alignment horizontal="center"/>
    </xf>
    <xf numFmtId="166" fontId="20" fillId="19" borderId="17" xfId="1" applyFont="1" applyFill="1" applyBorder="1" applyAlignment="1">
      <alignment horizontal="right" vertical="center"/>
    </xf>
    <xf numFmtId="43" fontId="24" fillId="0" borderId="12" xfId="0" applyNumberFormat="1" applyFont="1" applyBorder="1" applyAlignment="1">
      <alignment horizontal="center"/>
    </xf>
    <xf numFmtId="167" fontId="29" fillId="0" borderId="17" xfId="0" applyNumberFormat="1" applyFont="1" applyBorder="1" applyAlignment="1">
      <alignment horizontal="right" vertical="center"/>
    </xf>
    <xf numFmtId="0" fontId="19" fillId="0" borderId="0" xfId="0" applyFont="1" applyAlignment="1">
      <alignment horizontal="center" vertical="center"/>
    </xf>
    <xf numFmtId="166" fontId="20" fillId="19" borderId="52" xfId="1" quotePrefix="1" applyFont="1" applyFill="1" applyBorder="1" applyAlignment="1">
      <alignment horizontal="center" vertical="center"/>
    </xf>
    <xf numFmtId="166" fontId="20" fillId="19" borderId="50" xfId="1" applyFont="1" applyFill="1" applyBorder="1" applyAlignment="1">
      <alignment horizontal="center" vertical="center"/>
    </xf>
    <xf numFmtId="167" fontId="29" fillId="0" borderId="16" xfId="0" applyNumberFormat="1" applyFont="1" applyBorder="1" applyAlignment="1">
      <alignment horizontal="right" vertical="center"/>
    </xf>
    <xf numFmtId="167" fontId="59" fillId="0" borderId="49" xfId="0" applyNumberFormat="1" applyFont="1" applyBorder="1" applyAlignment="1">
      <alignment horizontal="left" vertical="center"/>
    </xf>
    <xf numFmtId="43" fontId="54" fillId="0" borderId="0" xfId="0" applyNumberFormat="1" applyFont="1" applyAlignment="1">
      <alignment horizontal="center"/>
    </xf>
    <xf numFmtId="43" fontId="54" fillId="0" borderId="12" xfId="0" applyNumberFormat="1" applyFont="1" applyBorder="1" applyAlignment="1">
      <alignment horizontal="center"/>
    </xf>
    <xf numFmtId="0" fontId="56" fillId="0" borderId="0" xfId="0" applyFont="1" applyAlignment="1">
      <alignment horizontal="center"/>
    </xf>
    <xf numFmtId="0" fontId="56" fillId="0" borderId="12" xfId="0" applyFont="1" applyBorder="1" applyAlignment="1">
      <alignment horizontal="center"/>
    </xf>
    <xf numFmtId="0" fontId="0" fillId="0" borderId="175" xfId="0" applyBorder="1"/>
    <xf numFmtId="0" fontId="0" fillId="0" borderId="176" xfId="0" applyBorder="1"/>
    <xf numFmtId="0" fontId="0" fillId="0" borderId="177" xfId="0" applyBorder="1"/>
    <xf numFmtId="0" fontId="0" fillId="0" borderId="178" xfId="0" applyBorder="1"/>
    <xf numFmtId="0" fontId="0" fillId="0" borderId="179" xfId="0" applyBorder="1"/>
    <xf numFmtId="0" fontId="0" fillId="0" borderId="179" xfId="0" applyBorder="1" applyAlignment="1">
      <alignment wrapText="1"/>
    </xf>
    <xf numFmtId="41" fontId="83" fillId="16" borderId="149" xfId="87" applyFill="1">
      <alignment vertical="center"/>
      <protection locked="0"/>
    </xf>
    <xf numFmtId="49" fontId="79" fillId="0" borderId="178" xfId="83" applyBorder="1" applyAlignment="1">
      <alignment horizontal="center"/>
    </xf>
    <xf numFmtId="0" fontId="90" fillId="0" borderId="179" xfId="0" applyFont="1" applyBorder="1" applyAlignment="1">
      <alignment horizontal="left"/>
    </xf>
    <xf numFmtId="0" fontId="90" fillId="0" borderId="178" xfId="0" applyFont="1" applyBorder="1" applyAlignment="1">
      <alignment horizontal="center"/>
    </xf>
    <xf numFmtId="41" fontId="0" fillId="0" borderId="0" xfId="0" applyNumberFormat="1"/>
    <xf numFmtId="41" fontId="83" fillId="0" borderId="149" xfId="87" applyFill="1">
      <alignment vertical="center"/>
      <protection locked="0"/>
    </xf>
    <xf numFmtId="0" fontId="0" fillId="0" borderId="180" xfId="0" applyBorder="1" applyAlignment="1">
      <alignment wrapText="1"/>
    </xf>
    <xf numFmtId="0" fontId="0" fillId="0" borderId="181" xfId="0" applyBorder="1"/>
    <xf numFmtId="0" fontId="0" fillId="0" borderId="182" xfId="0" applyBorder="1"/>
    <xf numFmtId="49" fontId="79" fillId="0" borderId="149" xfId="92" applyNumberFormat="1" applyFont="1" applyFill="1" applyAlignment="1">
      <alignment horizontal="center" vertical="center"/>
    </xf>
    <xf numFmtId="41" fontId="79" fillId="0" borderId="149" xfId="92" applyFont="1" applyFill="1">
      <alignment vertical="center"/>
    </xf>
    <xf numFmtId="166" fontId="19" fillId="18" borderId="18" xfId="1" applyFont="1" applyFill="1" applyBorder="1" applyAlignment="1">
      <alignment horizontal="center" vertical="center"/>
    </xf>
    <xf numFmtId="0" fontId="19" fillId="0" borderId="71" xfId="0" applyFont="1" applyBorder="1" applyAlignment="1">
      <alignment vertical="center"/>
    </xf>
    <xf numFmtId="10" fontId="20" fillId="0" borderId="0" xfId="0" applyNumberFormat="1" applyFont="1" applyAlignment="1">
      <alignment vertical="center"/>
    </xf>
    <xf numFmtId="0" fontId="20" fillId="0" borderId="183" xfId="0" applyFont="1" applyBorder="1" applyAlignment="1">
      <alignment vertical="center"/>
    </xf>
    <xf numFmtId="1" fontId="58" fillId="21" borderId="18" xfId="0" applyNumberFormat="1" applyFont="1" applyFill="1" applyBorder="1" applyAlignment="1">
      <alignment horizontal="right" vertical="center"/>
    </xf>
    <xf numFmtId="15" fontId="24" fillId="0" borderId="1" xfId="0" quotePrefix="1" applyNumberFormat="1" applyFont="1" applyBorder="1" applyProtection="1">
      <protection locked="0"/>
    </xf>
    <xf numFmtId="0" fontId="24" fillId="0" borderId="14" xfId="0" applyFont="1" applyBorder="1" applyProtection="1">
      <protection locked="0"/>
    </xf>
    <xf numFmtId="0" fontId="20" fillId="0" borderId="21" xfId="0" applyFont="1" applyBorder="1" applyAlignment="1">
      <alignment horizontal="right" vertical="center"/>
    </xf>
    <xf numFmtId="167" fontId="58" fillId="0" borderId="24" xfId="0" applyNumberFormat="1" applyFont="1" applyBorder="1" applyAlignment="1">
      <alignment vertical="center"/>
    </xf>
    <xf numFmtId="167" fontId="59" fillId="0" borderId="23" xfId="0" applyNumberFormat="1" applyFont="1" applyBorder="1" applyAlignment="1">
      <alignment horizontal="center" vertical="center"/>
    </xf>
    <xf numFmtId="167" fontId="59" fillId="17" borderId="33" xfId="0" applyNumberFormat="1" applyFont="1" applyFill="1" applyBorder="1" applyAlignment="1">
      <alignment vertical="center"/>
    </xf>
    <xf numFmtId="167" fontId="59" fillId="0" borderId="23" xfId="0" quotePrefix="1" applyNumberFormat="1" applyFont="1" applyBorder="1" applyAlignment="1">
      <alignment vertical="center"/>
    </xf>
    <xf numFmtId="167" fontId="59" fillId="17" borderId="34" xfId="0" applyNumberFormat="1" applyFont="1" applyFill="1" applyBorder="1" applyAlignment="1">
      <alignment horizontal="center" vertical="center" wrapText="1"/>
    </xf>
    <xf numFmtId="178" fontId="59" fillId="17" borderId="34" xfId="0" applyNumberFormat="1" applyFont="1" applyFill="1" applyBorder="1" applyAlignment="1">
      <alignment horizontal="center" vertical="center" wrapText="1"/>
    </xf>
    <xf numFmtId="43" fontId="6" fillId="0" borderId="0" xfId="30" applyNumberFormat="1" applyAlignment="1" applyProtection="1"/>
    <xf numFmtId="43" fontId="55" fillId="25" borderId="0" xfId="30" applyNumberFormat="1" applyFont="1" applyFill="1" applyBorder="1" applyAlignment="1" applyProtection="1">
      <alignment horizontal="center" vertical="top"/>
    </xf>
    <xf numFmtId="43" fontId="54" fillId="25" borderId="0" xfId="0" applyNumberFormat="1" applyFont="1" applyFill="1" applyAlignment="1">
      <alignment vertical="top"/>
    </xf>
    <xf numFmtId="166" fontId="20" fillId="19" borderId="38" xfId="1" applyFont="1" applyFill="1" applyBorder="1" applyAlignment="1">
      <alignment horizontal="right" vertical="center"/>
    </xf>
    <xf numFmtId="166" fontId="20" fillId="0" borderId="0" xfId="1" applyFont="1" applyFill="1" applyBorder="1" applyAlignment="1">
      <alignment horizontal="right" vertical="center"/>
    </xf>
    <xf numFmtId="180" fontId="29" fillId="0" borderId="18" xfId="0" applyNumberFormat="1" applyFont="1" applyBorder="1" applyAlignment="1">
      <alignment horizontal="left" vertical="center"/>
    </xf>
    <xf numFmtId="166" fontId="20" fillId="0" borderId="17" xfId="1" applyFont="1" applyBorder="1" applyAlignment="1">
      <alignment horizontal="left" vertical="center"/>
    </xf>
    <xf numFmtId="1" fontId="19" fillId="0" borderId="17" xfId="0" applyNumberFormat="1" applyFont="1" applyBorder="1" applyAlignment="1">
      <alignment horizontal="center" vertical="center"/>
    </xf>
    <xf numFmtId="10" fontId="20" fillId="0" borderId="15" xfId="39" applyNumberFormat="1" applyFont="1" applyFill="1" applyBorder="1" applyAlignment="1">
      <alignment vertical="center"/>
    </xf>
    <xf numFmtId="1" fontId="20" fillId="22" borderId="17" xfId="0" applyNumberFormat="1" applyFont="1" applyFill="1" applyBorder="1" applyAlignment="1">
      <alignment horizontal="center" vertical="center"/>
    </xf>
    <xf numFmtId="0" fontId="19" fillId="0" borderId="53" xfId="0" applyFont="1" applyBorder="1" applyAlignment="1">
      <alignment vertical="center"/>
    </xf>
    <xf numFmtId="1" fontId="55" fillId="41" borderId="5" xfId="0" applyNumberFormat="1" applyFont="1" applyFill="1" applyBorder="1" applyAlignment="1">
      <alignment horizontal="left" vertical="top"/>
    </xf>
    <xf numFmtId="180" fontId="19" fillId="41" borderId="18" xfId="0" applyNumberFormat="1" applyFont="1" applyFill="1" applyBorder="1" applyAlignment="1">
      <alignment horizontal="center" vertical="center"/>
    </xf>
    <xf numFmtId="166" fontId="58" fillId="41" borderId="17" xfId="0" applyNumberFormat="1" applyFont="1" applyFill="1" applyBorder="1" applyAlignment="1">
      <alignment horizontal="right" vertical="center"/>
    </xf>
    <xf numFmtId="166" fontId="58" fillId="41" borderId="17" xfId="0" applyNumberFormat="1" applyFont="1" applyFill="1" applyBorder="1" applyAlignment="1">
      <alignment horizontal="center" vertical="center"/>
    </xf>
    <xf numFmtId="10" fontId="40" fillId="41" borderId="99" xfId="40" applyNumberFormat="1" applyFont="1" applyFill="1" applyBorder="1" applyProtection="1">
      <protection locked="0"/>
    </xf>
    <xf numFmtId="167" fontId="6" fillId="41" borderId="17" xfId="30" applyNumberFormat="1" applyFill="1" applyBorder="1" applyAlignment="1" applyProtection="1">
      <alignment vertical="center"/>
    </xf>
    <xf numFmtId="167" fontId="58" fillId="41" borderId="17" xfId="0" applyNumberFormat="1" applyFont="1" applyFill="1" applyBorder="1" applyAlignment="1">
      <alignment vertical="center"/>
    </xf>
    <xf numFmtId="167" fontId="58" fillId="41" borderId="23" xfId="0" applyNumberFormat="1" applyFont="1" applyFill="1" applyBorder="1" applyAlignment="1">
      <alignment vertical="center"/>
    </xf>
    <xf numFmtId="167" fontId="58" fillId="41" borderId="27" xfId="0" applyNumberFormat="1" applyFont="1" applyFill="1" applyBorder="1" applyAlignment="1">
      <alignment vertical="top"/>
    </xf>
    <xf numFmtId="1" fontId="24" fillId="0" borderId="14" xfId="0" applyNumberFormat="1" applyFont="1" applyBorder="1" applyProtection="1">
      <protection locked="0"/>
    </xf>
    <xf numFmtId="9" fontId="19" fillId="41" borderId="17" xfId="39" applyFont="1" applyFill="1" applyBorder="1" applyAlignment="1">
      <alignment vertical="center"/>
    </xf>
    <xf numFmtId="180" fontId="20" fillId="41" borderId="23" xfId="161" applyNumberFormat="1" applyFont="1" applyFill="1" applyBorder="1" applyAlignment="1">
      <alignment vertical="center"/>
    </xf>
    <xf numFmtId="180" fontId="24" fillId="41" borderId="47" xfId="39" applyNumberFormat="1" applyFont="1" applyFill="1" applyBorder="1" applyAlignment="1">
      <alignment horizontal="center"/>
    </xf>
    <xf numFmtId="166" fontId="24" fillId="41" borderId="5" xfId="4" applyFont="1" applyFill="1" applyBorder="1" applyAlignment="1">
      <alignment horizontal="center"/>
    </xf>
    <xf numFmtId="4" fontId="24" fillId="41" borderId="0" xfId="35" applyNumberFormat="1" applyFont="1" applyFill="1" applyAlignment="1">
      <alignment horizontal="center"/>
    </xf>
    <xf numFmtId="4" fontId="25" fillId="41" borderId="5" xfId="35" applyNumberFormat="1" applyFont="1" applyFill="1" applyBorder="1" applyAlignment="1">
      <alignment horizontal="center" vertical="center" wrapText="1"/>
    </xf>
    <xf numFmtId="4" fontId="19" fillId="41" borderId="0" xfId="35" applyNumberFormat="1" applyFont="1" applyFill="1" applyAlignment="1">
      <alignment horizontal="center" vertical="center"/>
    </xf>
    <xf numFmtId="4" fontId="19" fillId="41" borderId="0" xfId="35" quotePrefix="1" applyNumberFormat="1" applyFont="1" applyFill="1" applyAlignment="1">
      <alignment horizontal="center" vertical="center"/>
    </xf>
    <xf numFmtId="4" fontId="24" fillId="41" borderId="0" xfId="4" applyNumberFormat="1" applyFont="1" applyFill="1" applyBorder="1" applyAlignment="1">
      <alignment horizontal="center"/>
    </xf>
    <xf numFmtId="167" fontId="20" fillId="0" borderId="0" xfId="0" applyNumberFormat="1" applyFont="1" applyAlignment="1">
      <alignment horizontal="center" vertical="center" wrapText="1"/>
    </xf>
    <xf numFmtId="0" fontId="0" fillId="0" borderId="0" xfId="0" applyAlignment="1">
      <alignment horizontal="center"/>
    </xf>
    <xf numFmtId="0" fontId="99" fillId="0" borderId="0" xfId="0" applyFont="1"/>
    <xf numFmtId="167" fontId="98" fillId="0" borderId="0" xfId="0" applyNumberFormat="1" applyFont="1" applyAlignment="1">
      <alignment vertical="center" wrapText="1"/>
    </xf>
    <xf numFmtId="167" fontId="98" fillId="0" borderId="51" xfId="0" applyNumberFormat="1" applyFont="1" applyBorder="1" applyAlignment="1">
      <alignment vertical="center"/>
    </xf>
    <xf numFmtId="167" fontId="98" fillId="0" borderId="0" xfId="0" applyNumberFormat="1" applyFont="1" applyAlignment="1">
      <alignment vertical="center"/>
    </xf>
    <xf numFmtId="167" fontId="55" fillId="0" borderId="15" xfId="0" applyNumberFormat="1" applyFont="1" applyBorder="1" applyAlignment="1">
      <alignment vertical="center"/>
    </xf>
    <xf numFmtId="167" fontId="55" fillId="0" borderId="27" xfId="0" applyNumberFormat="1" applyFont="1" applyBorder="1" applyAlignment="1">
      <alignment vertical="center"/>
    </xf>
    <xf numFmtId="167" fontId="55" fillId="0" borderId="23" xfId="0" applyNumberFormat="1" applyFont="1" applyBorder="1" applyAlignment="1">
      <alignment vertical="center"/>
    </xf>
    <xf numFmtId="0" fontId="0" fillId="0" borderId="64" xfId="0" applyBorder="1"/>
    <xf numFmtId="0" fontId="4" fillId="0" borderId="65" xfId="0" applyFont="1" applyBorder="1" applyAlignment="1">
      <alignment horizontal="center"/>
    </xf>
    <xf numFmtId="0" fontId="4" fillId="0" borderId="65" xfId="0" applyFont="1" applyBorder="1" applyAlignment="1">
      <alignment horizontal="center" vertical="center"/>
    </xf>
    <xf numFmtId="167" fontId="55" fillId="0" borderId="76" xfId="0" applyNumberFormat="1" applyFont="1" applyBorder="1" applyAlignment="1">
      <alignment vertical="center"/>
    </xf>
    <xf numFmtId="0" fontId="0" fillId="0" borderId="67" xfId="0" applyBorder="1"/>
    <xf numFmtId="0" fontId="4" fillId="0" borderId="188" xfId="0" applyFont="1" applyBorder="1" applyAlignment="1">
      <alignment horizontal="center" vertical="center" wrapText="1"/>
    </xf>
    <xf numFmtId="0" fontId="4" fillId="0" borderId="189" xfId="0" applyFont="1" applyBorder="1" applyAlignment="1">
      <alignment horizontal="center" vertical="center"/>
    </xf>
    <xf numFmtId="167" fontId="55" fillId="0" borderId="186" xfId="0" applyNumberFormat="1" applyFont="1" applyBorder="1" applyAlignment="1">
      <alignment vertical="center"/>
    </xf>
    <xf numFmtId="167" fontId="55" fillId="0" borderId="174" xfId="0" applyNumberFormat="1" applyFont="1" applyBorder="1" applyAlignment="1">
      <alignment vertical="center"/>
    </xf>
    <xf numFmtId="167" fontId="55" fillId="0" borderId="192" xfId="0" applyNumberFormat="1" applyFont="1" applyBorder="1" applyAlignment="1">
      <alignment horizontal="center" vertical="center" wrapText="1"/>
    </xf>
    <xf numFmtId="0" fontId="0" fillId="0" borderId="193" xfId="0" applyBorder="1" applyAlignment="1">
      <alignment horizontal="center"/>
    </xf>
    <xf numFmtId="167" fontId="55" fillId="0" borderId="187" xfId="0" applyNumberFormat="1" applyFont="1" applyBorder="1" applyAlignment="1">
      <alignment vertical="center" wrapText="1"/>
    </xf>
    <xf numFmtId="167" fontId="54" fillId="0" borderId="192" xfId="0" applyNumberFormat="1" applyFont="1" applyBorder="1" applyAlignment="1">
      <alignment vertical="center" wrapText="1"/>
    </xf>
    <xf numFmtId="0" fontId="3" fillId="0" borderId="64" xfId="0" applyFont="1" applyBorder="1"/>
    <xf numFmtId="167" fontId="55" fillId="0" borderId="187" xfId="0" applyNumberFormat="1" applyFont="1" applyBorder="1" applyAlignment="1">
      <alignment horizontal="left" vertical="center" wrapText="1"/>
    </xf>
    <xf numFmtId="167" fontId="55" fillId="0" borderId="79" xfId="0" applyNumberFormat="1" applyFont="1" applyBorder="1" applyAlignment="1">
      <alignment vertical="center"/>
    </xf>
    <xf numFmtId="167" fontId="55" fillId="0" borderId="80" xfId="0" applyNumberFormat="1" applyFont="1" applyBorder="1" applyAlignment="1">
      <alignment vertical="center"/>
    </xf>
    <xf numFmtId="167" fontId="55" fillId="0" borderId="195" xfId="0" applyNumberFormat="1" applyFont="1" applyBorder="1" applyAlignment="1">
      <alignment vertical="center"/>
    </xf>
    <xf numFmtId="167" fontId="55" fillId="0" borderId="77" xfId="0" applyNumberFormat="1" applyFont="1" applyBorder="1" applyAlignment="1">
      <alignment horizontal="left" vertical="center" wrapText="1"/>
    </xf>
    <xf numFmtId="0" fontId="54" fillId="0" borderId="186" xfId="0" applyFont="1" applyBorder="1" applyAlignment="1">
      <alignment vertical="center"/>
    </xf>
    <xf numFmtId="44" fontId="55" fillId="0" borderId="15" xfId="214" applyFont="1" applyBorder="1" applyAlignment="1">
      <alignment vertical="center"/>
    </xf>
    <xf numFmtId="44" fontId="55" fillId="0" borderId="27" xfId="214" applyFont="1" applyBorder="1" applyAlignment="1">
      <alignment vertical="center"/>
    </xf>
    <xf numFmtId="167" fontId="55" fillId="0" borderId="187" xfId="0" applyNumberFormat="1" applyFont="1" applyBorder="1" applyAlignment="1">
      <alignment horizontal="left" vertical="top" wrapText="1"/>
    </xf>
    <xf numFmtId="167" fontId="98" fillId="0" borderId="17" xfId="0" applyNumberFormat="1" applyFont="1" applyBorder="1" applyAlignment="1">
      <alignment vertical="center"/>
    </xf>
    <xf numFmtId="44" fontId="55" fillId="0" borderId="40" xfId="214" applyFont="1" applyBorder="1" applyAlignment="1">
      <alignment vertical="center"/>
    </xf>
    <xf numFmtId="167" fontId="55" fillId="0" borderId="74" xfId="0" applyNumberFormat="1" applyFont="1" applyBorder="1" applyAlignment="1">
      <alignment vertical="center"/>
    </xf>
    <xf numFmtId="167" fontId="55" fillId="0" borderId="192" xfId="0" applyNumberFormat="1" applyFont="1" applyBorder="1" applyAlignment="1">
      <alignment vertical="center"/>
    </xf>
    <xf numFmtId="167" fontId="55" fillId="0" borderId="192" xfId="0" applyNumberFormat="1" applyFont="1" applyBorder="1" applyAlignment="1">
      <alignment vertical="center" wrapText="1"/>
    </xf>
    <xf numFmtId="0" fontId="0" fillId="0" borderId="61" xfId="0" applyBorder="1"/>
    <xf numFmtId="167" fontId="55" fillId="0" borderId="199" xfId="0" applyNumberFormat="1" applyFont="1" applyBorder="1" applyAlignment="1">
      <alignment horizontal="center" vertical="center"/>
    </xf>
    <xf numFmtId="167" fontId="55" fillId="0" borderId="197" xfId="0" applyNumberFormat="1" applyFont="1" applyBorder="1" applyAlignment="1">
      <alignment horizontal="center" vertical="center"/>
    </xf>
    <xf numFmtId="167" fontId="55" fillId="0" borderId="193" xfId="0" applyNumberFormat="1" applyFont="1" applyBorder="1" applyAlignment="1">
      <alignment horizontal="center" vertical="center"/>
    </xf>
    <xf numFmtId="0" fontId="0" fillId="0" borderId="201" xfId="0" applyBorder="1"/>
    <xf numFmtId="167" fontId="55" fillId="0" borderId="30" xfId="0" applyNumberFormat="1" applyFont="1" applyBorder="1" applyAlignment="1">
      <alignment vertical="center"/>
    </xf>
    <xf numFmtId="0" fontId="55" fillId="0" borderId="20" xfId="0" applyFont="1" applyBorder="1" applyAlignment="1">
      <alignment vertical="center"/>
    </xf>
    <xf numFmtId="0" fontId="55" fillId="0" borderId="19" xfId="0" applyFont="1" applyBorder="1" applyAlignment="1">
      <alignment vertical="center"/>
    </xf>
    <xf numFmtId="167" fontId="55" fillId="0" borderId="20" xfId="0" applyNumberFormat="1" applyFont="1" applyBorder="1" applyAlignment="1">
      <alignment vertical="center"/>
    </xf>
    <xf numFmtId="0" fontId="0" fillId="0" borderId="32" xfId="0" applyBorder="1"/>
    <xf numFmtId="43" fontId="19" fillId="0" borderId="0" xfId="0" applyNumberFormat="1" applyFont="1" applyAlignment="1">
      <alignment horizontal="center"/>
    </xf>
    <xf numFmtId="168" fontId="20" fillId="0" borderId="0" xfId="0" quotePrefix="1" applyNumberFormat="1" applyFont="1" applyAlignment="1">
      <alignment horizontal="center"/>
    </xf>
    <xf numFmtId="0" fontId="19" fillId="0" borderId="0" xfId="0" applyFont="1" applyAlignment="1">
      <alignment horizontal="center"/>
    </xf>
    <xf numFmtId="167" fontId="19" fillId="0" borderId="0" xfId="0" applyNumberFormat="1" applyFont="1" applyAlignment="1">
      <alignment horizontal="right" vertical="center"/>
    </xf>
    <xf numFmtId="167" fontId="19" fillId="0" borderId="0" xfId="0" quotePrefix="1" applyNumberFormat="1" applyFont="1" applyAlignment="1">
      <alignment horizontal="right" vertical="center"/>
    </xf>
    <xf numFmtId="0" fontId="19" fillId="0" borderId="0" xfId="0" applyFont="1" applyAlignment="1">
      <alignment horizontal="right" vertical="center"/>
    </xf>
    <xf numFmtId="167" fontId="55" fillId="0" borderId="0" xfId="0" applyNumberFormat="1" applyFont="1" applyAlignment="1">
      <alignment vertical="center"/>
    </xf>
    <xf numFmtId="167" fontId="19" fillId="0" borderId="0" xfId="0" applyNumberFormat="1" applyFont="1" applyAlignment="1">
      <alignment vertical="center"/>
    </xf>
    <xf numFmtId="0" fontId="19" fillId="0" borderId="0" xfId="1" applyNumberFormat="1" applyFont="1" applyBorder="1" applyAlignment="1">
      <alignment vertical="center"/>
    </xf>
    <xf numFmtId="166" fontId="19" fillId="0" borderId="0" xfId="1" applyFont="1" applyBorder="1" applyAlignment="1">
      <alignment vertical="center"/>
    </xf>
    <xf numFmtId="167" fontId="19" fillId="0" borderId="0" xfId="0" quotePrefix="1" applyNumberFormat="1" applyFont="1" applyAlignment="1">
      <alignment vertical="center"/>
    </xf>
    <xf numFmtId="167" fontId="20" fillId="0" borderId="0" xfId="0" applyNumberFormat="1" applyFont="1" applyAlignment="1">
      <alignment horizontal="right" vertical="center"/>
    </xf>
    <xf numFmtId="166" fontId="20" fillId="0" borderId="0" xfId="1" applyFont="1" applyBorder="1" applyAlignment="1">
      <alignment horizontal="center" vertical="center"/>
    </xf>
    <xf numFmtId="167" fontId="19" fillId="0" borderId="0" xfId="0" applyNumberFormat="1" applyFont="1" applyAlignment="1">
      <alignment horizontal="center" vertical="center"/>
    </xf>
    <xf numFmtId="166" fontId="19" fillId="0" borderId="0" xfId="1" applyFont="1" applyBorder="1" applyAlignment="1">
      <alignment horizontal="center" vertical="center"/>
    </xf>
    <xf numFmtId="180" fontId="24" fillId="0" borderId="0" xfId="161" applyNumberFormat="1" applyFont="1" applyBorder="1" applyAlignment="1">
      <alignment horizontal="center" vertical="center"/>
    </xf>
    <xf numFmtId="167" fontId="19" fillId="0" borderId="0" xfId="0" quotePrefix="1" applyNumberFormat="1" applyFont="1" applyAlignment="1">
      <alignment horizontal="center" vertical="center"/>
    </xf>
    <xf numFmtId="167" fontId="29" fillId="0" borderId="0" xfId="0" applyNumberFormat="1" applyFont="1" applyAlignment="1">
      <alignment horizontal="left" vertical="center" indent="2"/>
    </xf>
    <xf numFmtId="167" fontId="19" fillId="0" borderId="0" xfId="0" applyNumberFormat="1" applyFont="1" applyAlignment="1">
      <alignment horizontal="left" vertical="center" indent="2"/>
    </xf>
    <xf numFmtId="0" fontId="20" fillId="0" borderId="0" xfId="1" applyNumberFormat="1" applyFont="1" applyBorder="1" applyAlignment="1">
      <alignment horizontal="center" vertical="center"/>
    </xf>
    <xf numFmtId="166" fontId="19" fillId="0" borderId="0" xfId="1" quotePrefix="1" applyFont="1" applyFill="1" applyBorder="1" applyAlignment="1">
      <alignment vertical="center"/>
    </xf>
    <xf numFmtId="166" fontId="20" fillId="0" borderId="0" xfId="1" applyFont="1" applyBorder="1" applyAlignment="1">
      <alignment vertical="center"/>
    </xf>
    <xf numFmtId="167" fontId="30" fillId="0" borderId="0" xfId="0" applyNumberFormat="1" applyFont="1" applyAlignment="1">
      <alignment horizontal="right" vertical="center"/>
    </xf>
    <xf numFmtId="167" fontId="6" fillId="0" borderId="0" xfId="30" applyNumberFormat="1" applyBorder="1" applyAlignment="1" applyProtection="1">
      <alignment vertical="center"/>
    </xf>
    <xf numFmtId="0" fontId="19" fillId="0" borderId="0" xfId="0" applyFont="1" applyAlignment="1">
      <alignment vertical="center"/>
    </xf>
    <xf numFmtId="43" fontId="25" fillId="0" borderId="0" xfId="0" applyNumberFormat="1" applyFont="1" applyAlignment="1">
      <alignment vertical="center" wrapText="1"/>
    </xf>
    <xf numFmtId="167" fontId="20" fillId="0" borderId="0" xfId="0" applyNumberFormat="1" applyFont="1" applyAlignment="1">
      <alignment vertical="center" wrapText="1"/>
    </xf>
    <xf numFmtId="167" fontId="20" fillId="0" borderId="0" xfId="0" quotePrefix="1" applyNumberFormat="1" applyFont="1" applyAlignment="1">
      <alignment vertical="center"/>
    </xf>
    <xf numFmtId="167" fontId="30" fillId="0" borderId="0" xfId="0" applyNumberFormat="1" applyFont="1" applyAlignment="1">
      <alignment horizontal="center" vertical="center"/>
    </xf>
    <xf numFmtId="178" fontId="20" fillId="0" borderId="0" xfId="0" applyNumberFormat="1" applyFont="1" applyAlignment="1">
      <alignment horizontal="left" vertical="center" wrapText="1"/>
    </xf>
    <xf numFmtId="178" fontId="20" fillId="0" borderId="0" xfId="0" applyNumberFormat="1" applyFont="1" applyAlignment="1">
      <alignment horizontal="center" vertical="center" wrapText="1"/>
    </xf>
    <xf numFmtId="178" fontId="29" fillId="0" borderId="0" xfId="0" applyNumberFormat="1" applyFont="1" applyAlignment="1">
      <alignment horizontal="center" vertical="center"/>
    </xf>
    <xf numFmtId="167" fontId="29" fillId="0" borderId="0" xfId="0" applyNumberFormat="1" applyFont="1" applyAlignment="1">
      <alignment horizontal="center" vertical="center"/>
    </xf>
    <xf numFmtId="167" fontId="19" fillId="0" borderId="0" xfId="0" applyNumberFormat="1" applyFont="1" applyAlignment="1">
      <alignment vertical="center" wrapText="1"/>
    </xf>
    <xf numFmtId="167" fontId="96" fillId="0" borderId="0" xfId="0" applyNumberFormat="1" applyFont="1" applyAlignment="1">
      <alignment vertical="center"/>
    </xf>
    <xf numFmtId="167" fontId="20" fillId="41" borderId="0" xfId="0" applyNumberFormat="1" applyFont="1" applyFill="1" applyAlignment="1">
      <alignment vertical="center"/>
    </xf>
    <xf numFmtId="167" fontId="20" fillId="0" borderId="0" xfId="0" applyNumberFormat="1" applyFont="1" applyAlignment="1">
      <alignment horizontal="left" vertical="center" wrapText="1"/>
    </xf>
    <xf numFmtId="167" fontId="19" fillId="0" borderId="67" xfId="0" applyNumberFormat="1" applyFont="1" applyBorder="1" applyAlignment="1">
      <alignment horizontal="center" vertical="center"/>
    </xf>
    <xf numFmtId="167" fontId="19" fillId="0" borderId="67" xfId="0" applyNumberFormat="1" applyFont="1" applyBorder="1" applyAlignment="1">
      <alignment horizontal="center" vertical="center" wrapText="1"/>
    </xf>
    <xf numFmtId="9" fontId="19" fillId="0" borderId="68" xfId="39" applyFont="1" applyBorder="1" applyAlignment="1">
      <alignment horizontal="center" vertical="center"/>
    </xf>
    <xf numFmtId="167" fontId="102" fillId="24" borderId="205" xfId="0" applyNumberFormat="1" applyFont="1" applyFill="1" applyBorder="1" applyAlignment="1">
      <alignment horizontal="center" vertical="center"/>
    </xf>
    <xf numFmtId="167" fontId="102" fillId="42" borderId="205" xfId="0" applyNumberFormat="1" applyFont="1" applyFill="1" applyBorder="1" applyAlignment="1">
      <alignment horizontal="center" vertical="center"/>
    </xf>
    <xf numFmtId="167" fontId="102" fillId="43" borderId="206" xfId="0" applyNumberFormat="1" applyFont="1" applyFill="1" applyBorder="1" applyAlignment="1">
      <alignment horizontal="center" vertical="center"/>
    </xf>
    <xf numFmtId="167" fontId="20" fillId="0" borderId="0" xfId="0" quotePrefix="1" applyNumberFormat="1" applyFont="1" applyAlignment="1">
      <alignment horizontal="center" vertical="center"/>
    </xf>
    <xf numFmtId="167" fontId="103" fillId="0" borderId="0" xfId="0" applyNumberFormat="1" applyFont="1" applyAlignment="1">
      <alignment vertical="center" wrapText="1"/>
    </xf>
    <xf numFmtId="0" fontId="4" fillId="0" borderId="0" xfId="0" applyFont="1"/>
    <xf numFmtId="167" fontId="20" fillId="0" borderId="82" xfId="0" applyNumberFormat="1" applyFont="1" applyBorder="1" applyAlignment="1">
      <alignment horizontal="center" vertical="center" wrapText="1"/>
    </xf>
    <xf numFmtId="167" fontId="20" fillId="0" borderId="83" xfId="0" applyNumberFormat="1" applyFont="1" applyBorder="1" applyAlignment="1">
      <alignment horizontal="center" vertical="center"/>
    </xf>
    <xf numFmtId="9" fontId="20" fillId="0" borderId="62" xfId="39" applyFont="1" applyBorder="1" applyAlignment="1">
      <alignment horizontal="center" vertical="center"/>
    </xf>
    <xf numFmtId="167" fontId="19" fillId="0" borderId="129" xfId="0" applyNumberFormat="1" applyFont="1" applyBorder="1" applyAlignment="1">
      <alignment horizontal="center" vertical="center"/>
    </xf>
    <xf numFmtId="167" fontId="19" fillId="0" borderId="66" xfId="0" applyNumberFormat="1" applyFont="1" applyBorder="1" applyAlignment="1">
      <alignment horizontal="center" vertical="center"/>
    </xf>
    <xf numFmtId="0" fontId="3" fillId="0" borderId="0" xfId="0" applyFont="1"/>
    <xf numFmtId="9" fontId="19" fillId="0" borderId="0" xfId="39" applyFont="1" applyBorder="1" applyAlignment="1">
      <alignment horizontal="center" vertical="center"/>
    </xf>
    <xf numFmtId="9" fontId="19" fillId="0" borderId="0" xfId="39" applyFont="1" applyBorder="1" applyAlignment="1">
      <alignment horizontal="center" vertical="center" wrapText="1"/>
    </xf>
    <xf numFmtId="167" fontId="19" fillId="0" borderId="205" xfId="0" applyNumberFormat="1" applyFont="1" applyBorder="1" applyAlignment="1">
      <alignment horizontal="center" vertical="center" wrapText="1"/>
    </xf>
    <xf numFmtId="9" fontId="20" fillId="0" borderId="0" xfId="39" applyFont="1" applyBorder="1" applyAlignment="1">
      <alignment horizontal="center" vertical="center" wrapText="1"/>
    </xf>
    <xf numFmtId="167" fontId="19" fillId="0" borderId="210" xfId="0" applyNumberFormat="1" applyFont="1" applyBorder="1" applyAlignment="1">
      <alignment horizontal="center" vertical="center" wrapText="1"/>
    </xf>
    <xf numFmtId="178" fontId="20" fillId="0" borderId="89" xfId="0" applyNumberFormat="1" applyFont="1" applyBorder="1" applyAlignment="1">
      <alignment horizontal="center" vertical="center" wrapText="1"/>
    </xf>
    <xf numFmtId="167" fontId="19" fillId="0" borderId="82" xfId="0" applyNumberFormat="1" applyFont="1" applyBorder="1" applyAlignment="1">
      <alignment horizontal="center" vertical="center" wrapText="1"/>
    </xf>
    <xf numFmtId="167" fontId="20" fillId="0" borderId="203" xfId="0" applyNumberFormat="1" applyFont="1" applyBorder="1" applyAlignment="1">
      <alignment horizontal="center" vertical="center"/>
    </xf>
    <xf numFmtId="9" fontId="19" fillId="0" borderId="96" xfId="39" quotePrefix="1" applyFont="1" applyBorder="1" applyAlignment="1">
      <alignment vertical="center"/>
    </xf>
    <xf numFmtId="9" fontId="19" fillId="0" borderId="83" xfId="39" applyFont="1" applyBorder="1" applyAlignment="1">
      <alignment horizontal="center" vertical="center"/>
    </xf>
    <xf numFmtId="167" fontId="19" fillId="0" borderId="96" xfId="0" applyNumberFormat="1" applyFont="1" applyBorder="1" applyAlignment="1">
      <alignment vertical="center" wrapText="1"/>
    </xf>
    <xf numFmtId="178" fontId="20" fillId="0" borderId="64" xfId="0" applyNumberFormat="1" applyFont="1" applyBorder="1" applyAlignment="1">
      <alignment horizontal="center" vertical="center"/>
    </xf>
    <xf numFmtId="178" fontId="20" fillId="0" borderId="0" xfId="0" applyNumberFormat="1" applyFont="1" applyAlignment="1">
      <alignment horizontal="center" vertical="center"/>
    </xf>
    <xf numFmtId="178" fontId="20" fillId="0" borderId="65" xfId="0" applyNumberFormat="1" applyFont="1" applyBorder="1" applyAlignment="1">
      <alignment horizontal="center" vertical="center"/>
    </xf>
    <xf numFmtId="0" fontId="4" fillId="0" borderId="96" xfId="0" applyFont="1" applyBorder="1" applyAlignment="1">
      <alignment horizontal="center" vertical="center"/>
    </xf>
    <xf numFmtId="0" fontId="66" fillId="25" borderId="83" xfId="0" applyFont="1" applyFill="1" applyBorder="1" applyAlignment="1">
      <alignment horizontal="center" vertical="center"/>
    </xf>
    <xf numFmtId="0" fontId="4" fillId="0" borderId="0" xfId="0" applyFont="1" applyAlignment="1">
      <alignment horizontal="center" vertical="center"/>
    </xf>
    <xf numFmtId="0" fontId="66" fillId="25" borderId="0" xfId="0" applyFont="1" applyFill="1" applyAlignment="1">
      <alignment horizontal="center" vertical="center"/>
    </xf>
    <xf numFmtId="9" fontId="19" fillId="0" borderId="9" xfId="39" applyFont="1" applyBorder="1" applyAlignment="1">
      <alignment horizontal="center" vertical="center"/>
    </xf>
    <xf numFmtId="9" fontId="19" fillId="0" borderId="65" xfId="39" applyFont="1" applyBorder="1" applyAlignment="1">
      <alignment horizontal="center" vertical="center" wrapText="1"/>
    </xf>
    <xf numFmtId="167" fontId="19" fillId="0" borderId="203" xfId="0" applyNumberFormat="1" applyFont="1" applyBorder="1" applyAlignment="1">
      <alignment horizontal="center" vertical="center" wrapText="1"/>
    </xf>
    <xf numFmtId="178" fontId="20" fillId="0" borderId="82" xfId="0" applyNumberFormat="1" applyFont="1" applyBorder="1" applyAlignment="1">
      <alignment horizontal="center" vertical="center" wrapText="1"/>
    </xf>
    <xf numFmtId="178" fontId="20" fillId="0" borderId="83" xfId="0" applyNumberFormat="1" applyFont="1" applyBorder="1" applyAlignment="1">
      <alignment horizontal="center" vertical="center" wrapText="1"/>
    </xf>
    <xf numFmtId="0" fontId="20" fillId="0" borderId="0" xfId="39" applyNumberFormat="1" applyFont="1" applyBorder="1" applyAlignment="1">
      <alignment horizontal="center" vertical="center" wrapText="1"/>
    </xf>
    <xf numFmtId="167" fontId="6" fillId="25" borderId="0" xfId="30" applyNumberFormat="1" applyFill="1" applyBorder="1" applyAlignment="1" applyProtection="1">
      <alignment vertical="center"/>
    </xf>
    <xf numFmtId="0" fontId="24" fillId="0" borderId="10" xfId="0" applyFont="1" applyBorder="1"/>
    <xf numFmtId="15" fontId="24" fillId="0" borderId="13" xfId="0" quotePrefix="1" applyNumberFormat="1" applyFont="1" applyBorder="1"/>
    <xf numFmtId="43" fontId="25" fillId="0" borderId="7" xfId="0" applyNumberFormat="1" applyFont="1" applyBorder="1"/>
    <xf numFmtId="0" fontId="25" fillId="0" borderId="7" xfId="0" applyFont="1" applyBorder="1"/>
    <xf numFmtId="43" fontId="25" fillId="0" borderId="8" xfId="0" applyNumberFormat="1" applyFont="1" applyBorder="1" applyAlignment="1">
      <alignment horizontal="center"/>
    </xf>
    <xf numFmtId="43" fontId="25" fillId="0" borderId="9" xfId="33" applyNumberFormat="1" applyFont="1" applyBorder="1" applyAlignment="1" applyProtection="1"/>
    <xf numFmtId="167" fontId="98" fillId="0" borderId="10" xfId="0" applyNumberFormat="1" applyFont="1" applyBorder="1" applyAlignment="1">
      <alignment vertical="center"/>
    </xf>
    <xf numFmtId="167" fontId="55" fillId="0" borderId="42" xfId="0" applyNumberFormat="1" applyFont="1" applyBorder="1" applyAlignment="1">
      <alignment vertical="center"/>
    </xf>
    <xf numFmtId="167" fontId="98" fillId="0" borderId="20" xfId="0" applyNumberFormat="1" applyFont="1" applyBorder="1" applyAlignment="1">
      <alignment vertical="center"/>
    </xf>
    <xf numFmtId="167" fontId="55" fillId="0" borderId="39" xfId="0" applyNumberFormat="1" applyFont="1" applyBorder="1" applyAlignment="1">
      <alignment vertical="center"/>
    </xf>
    <xf numFmtId="167" fontId="55" fillId="0" borderId="19" xfId="0" applyNumberFormat="1" applyFont="1" applyBorder="1" applyAlignment="1">
      <alignment vertical="center"/>
    </xf>
    <xf numFmtId="44" fontId="55" fillId="0" borderId="23" xfId="214" applyFont="1" applyBorder="1" applyAlignment="1">
      <alignment vertical="center"/>
    </xf>
    <xf numFmtId="167" fontId="55" fillId="0" borderId="190" xfId="0" applyNumberFormat="1" applyFont="1" applyBorder="1" applyAlignment="1">
      <alignment vertical="center" wrapText="1"/>
    </xf>
    <xf numFmtId="167" fontId="55" fillId="0" borderId="211" xfId="0" applyNumberFormat="1" applyFont="1" applyBorder="1" applyAlignment="1">
      <alignment vertical="center"/>
    </xf>
    <xf numFmtId="44" fontId="55" fillId="0" borderId="29" xfId="214" applyFont="1" applyBorder="1" applyAlignment="1">
      <alignment vertical="center"/>
    </xf>
    <xf numFmtId="167" fontId="55" fillId="0" borderId="52" xfId="0" applyNumberFormat="1" applyFont="1" applyBorder="1" applyAlignment="1">
      <alignment vertical="center"/>
    </xf>
    <xf numFmtId="44" fontId="55" fillId="0" borderId="184" xfId="214" applyFont="1" applyBorder="1" applyAlignment="1">
      <alignment vertical="center"/>
    </xf>
    <xf numFmtId="167" fontId="55" fillId="18" borderId="27" xfId="0" applyNumberFormat="1" applyFont="1" applyFill="1" applyBorder="1" applyAlignment="1">
      <alignment vertical="center"/>
    </xf>
    <xf numFmtId="44" fontId="55" fillId="44" borderId="15" xfId="214" applyFont="1" applyFill="1" applyBorder="1" applyAlignment="1">
      <alignment vertical="center"/>
    </xf>
    <xf numFmtId="44" fontId="55" fillId="44" borderId="174" xfId="214" applyFont="1" applyFill="1" applyBorder="1" applyAlignment="1">
      <alignment vertical="center"/>
    </xf>
    <xf numFmtId="167" fontId="55" fillId="44" borderId="52" xfId="0" applyNumberFormat="1" applyFont="1" applyFill="1" applyBorder="1" applyAlignment="1">
      <alignment vertical="center"/>
    </xf>
    <xf numFmtId="167" fontId="55" fillId="44" borderId="212" xfId="0" applyNumberFormat="1" applyFont="1" applyFill="1" applyBorder="1" applyAlignment="1">
      <alignment vertical="center"/>
    </xf>
    <xf numFmtId="180" fontId="55" fillId="18" borderId="27" xfId="39" applyNumberFormat="1" applyFont="1" applyFill="1" applyBorder="1" applyAlignment="1">
      <alignment horizontal="center" vertical="center"/>
    </xf>
    <xf numFmtId="180" fontId="55" fillId="18" borderId="191" xfId="39" applyNumberFormat="1" applyFont="1" applyFill="1" applyBorder="1" applyAlignment="1">
      <alignment horizontal="center" vertical="center"/>
    </xf>
    <xf numFmtId="44" fontId="55" fillId="18" borderId="27" xfId="214" applyFont="1" applyFill="1" applyBorder="1" applyAlignment="1">
      <alignment vertical="center"/>
    </xf>
    <xf numFmtId="44" fontId="55" fillId="18" borderId="191" xfId="214" applyFont="1" applyFill="1" applyBorder="1" applyAlignment="1">
      <alignment vertical="center"/>
    </xf>
    <xf numFmtId="0" fontId="55" fillId="45" borderId="74" xfId="0" applyFont="1" applyFill="1" applyBorder="1" applyAlignment="1">
      <alignment horizontal="center" vertical="center"/>
    </xf>
    <xf numFmtId="0" fontId="55" fillId="45" borderId="75" xfId="0" applyFont="1" applyFill="1" applyBorder="1" applyAlignment="1">
      <alignment horizontal="center" vertical="center"/>
    </xf>
    <xf numFmtId="9" fontId="19" fillId="0" borderId="70" xfId="0" applyNumberFormat="1" applyFont="1" applyBorder="1" applyAlignment="1">
      <alignment horizontal="right" vertical="center"/>
    </xf>
    <xf numFmtId="0" fontId="32" fillId="0" borderId="22" xfId="0" applyFont="1" applyBorder="1" applyAlignment="1">
      <alignment horizontal="right" vertical="center"/>
    </xf>
    <xf numFmtId="0" fontId="32" fillId="0" borderId="17" xfId="0" applyFont="1" applyBorder="1" applyAlignment="1">
      <alignment horizontal="left" vertical="center" indent="1"/>
    </xf>
    <xf numFmtId="167" fontId="55" fillId="18" borderId="118" xfId="0" applyNumberFormat="1" applyFont="1" applyFill="1" applyBorder="1" applyAlignment="1">
      <alignment vertical="center"/>
    </xf>
    <xf numFmtId="167" fontId="55" fillId="18" borderId="17" xfId="0" applyNumberFormat="1" applyFont="1" applyFill="1" applyBorder="1" applyAlignment="1">
      <alignment vertical="center"/>
    </xf>
    <xf numFmtId="167" fontId="55" fillId="18" borderId="76" xfId="0" applyNumberFormat="1" applyFont="1" applyFill="1" applyBorder="1" applyAlignment="1">
      <alignment vertical="center"/>
    </xf>
    <xf numFmtId="0" fontId="55" fillId="0" borderId="186" xfId="0" applyFont="1" applyBorder="1" applyAlignment="1">
      <alignment vertical="center"/>
    </xf>
    <xf numFmtId="167" fontId="55" fillId="18" borderId="79" xfId="0" applyNumberFormat="1" applyFont="1" applyFill="1" applyBorder="1" applyAlignment="1">
      <alignment vertical="center"/>
    </xf>
    <xf numFmtId="167" fontId="55" fillId="18" borderId="80" xfId="0" applyNumberFormat="1" applyFont="1" applyFill="1" applyBorder="1" applyAlignment="1">
      <alignment vertical="center"/>
    </xf>
    <xf numFmtId="44" fontId="55" fillId="44" borderId="23" xfId="214" applyFont="1" applyFill="1" applyBorder="1" applyAlignment="1">
      <alignment vertical="center"/>
    </xf>
    <xf numFmtId="44" fontId="55" fillId="44" borderId="183" xfId="214" applyFont="1" applyFill="1" applyBorder="1" applyAlignment="1">
      <alignment vertical="center"/>
    </xf>
    <xf numFmtId="167" fontId="55" fillId="0" borderId="190" xfId="0" applyNumberFormat="1" applyFont="1" applyBorder="1" applyAlignment="1">
      <alignment horizontal="left" vertical="center" wrapText="1" indent="1"/>
    </xf>
    <xf numFmtId="44" fontId="55" fillId="44" borderId="27" xfId="214" applyFont="1" applyFill="1" applyBorder="1" applyAlignment="1">
      <alignment vertical="center"/>
    </xf>
    <xf numFmtId="44" fontId="55" fillId="44" borderId="191" xfId="214" applyFont="1" applyFill="1" applyBorder="1" applyAlignment="1">
      <alignment vertical="center"/>
    </xf>
    <xf numFmtId="166" fontId="19" fillId="18" borderId="25" xfId="1" applyFont="1" applyFill="1" applyBorder="1" applyAlignment="1">
      <alignment horizontal="right" vertical="center"/>
    </xf>
    <xf numFmtId="166" fontId="20" fillId="18" borderId="15" xfId="1" applyFont="1" applyFill="1" applyBorder="1" applyAlignment="1">
      <alignment horizontal="right" vertical="center"/>
    </xf>
    <xf numFmtId="166" fontId="19" fillId="19" borderId="5" xfId="1" quotePrefix="1" applyFont="1" applyFill="1" applyBorder="1" applyAlignment="1">
      <alignment horizontal="center" vertical="center"/>
    </xf>
    <xf numFmtId="166" fontId="20" fillId="16" borderId="5" xfId="1" applyFont="1" applyFill="1" applyBorder="1" applyAlignment="1">
      <alignment vertical="center"/>
    </xf>
    <xf numFmtId="10" fontId="19" fillId="18" borderId="43" xfId="39" quotePrefix="1" applyNumberFormat="1" applyFont="1" applyFill="1" applyBorder="1" applyAlignment="1">
      <alignment horizontal="center" vertical="center"/>
    </xf>
    <xf numFmtId="10" fontId="19" fillId="18" borderId="44" xfId="39" quotePrefix="1" applyNumberFormat="1" applyFont="1" applyFill="1" applyBorder="1" applyAlignment="1">
      <alignment horizontal="center" vertical="center"/>
    </xf>
    <xf numFmtId="166" fontId="19" fillId="19" borderId="37" xfId="1" applyFont="1" applyFill="1" applyBorder="1" applyAlignment="1">
      <alignment horizontal="right" vertical="center"/>
    </xf>
    <xf numFmtId="166" fontId="19" fillId="19" borderId="44" xfId="1" applyFont="1" applyFill="1" applyBorder="1" applyAlignment="1">
      <alignment horizontal="right" vertical="center"/>
    </xf>
    <xf numFmtId="166" fontId="19" fillId="18" borderId="37" xfId="1" applyFont="1" applyFill="1" applyBorder="1" applyAlignment="1">
      <alignment horizontal="right" vertical="center"/>
    </xf>
    <xf numFmtId="166" fontId="19" fillId="18" borderId="44" xfId="1" applyFont="1" applyFill="1" applyBorder="1" applyAlignment="1">
      <alignment horizontal="right" vertical="center"/>
    </xf>
    <xf numFmtId="43" fontId="24" fillId="0" borderId="10" xfId="0" applyNumberFormat="1" applyFont="1" applyBorder="1" applyAlignment="1">
      <alignment vertical="center"/>
    </xf>
    <xf numFmtId="15" fontId="24" fillId="0" borderId="7" xfId="4" quotePrefix="1" applyNumberFormat="1" applyFont="1" applyBorder="1" applyAlignment="1"/>
    <xf numFmtId="166" fontId="24" fillId="25" borderId="0" xfId="4" applyFont="1" applyFill="1" applyBorder="1" applyAlignment="1">
      <alignment horizontal="center"/>
    </xf>
    <xf numFmtId="0" fontId="25" fillId="25" borderId="8" xfId="35" applyFont="1" applyFill="1" applyBorder="1" applyAlignment="1">
      <alignment horizontal="center"/>
    </xf>
    <xf numFmtId="0" fontId="25" fillId="25" borderId="10" xfId="35" applyFont="1" applyFill="1" applyBorder="1" applyAlignment="1">
      <alignment horizontal="center"/>
    </xf>
    <xf numFmtId="0" fontId="58" fillId="0" borderId="21" xfId="1" applyNumberFormat="1" applyFont="1" applyBorder="1" applyAlignment="1">
      <alignment horizontal="right" vertical="center"/>
    </xf>
    <xf numFmtId="0" fontId="59" fillId="0" borderId="70" xfId="1" applyNumberFormat="1" applyFont="1" applyBorder="1" applyAlignment="1">
      <alignment horizontal="left" vertical="center"/>
    </xf>
    <xf numFmtId="166" fontId="58" fillId="0" borderId="21" xfId="1" applyFont="1" applyBorder="1" applyAlignment="1">
      <alignment horizontal="right" vertical="center"/>
    </xf>
    <xf numFmtId="0" fontId="58" fillId="18" borderId="91" xfId="1" applyNumberFormat="1" applyFont="1" applyFill="1" applyBorder="1" applyAlignment="1">
      <alignment horizontal="right" vertical="center"/>
    </xf>
    <xf numFmtId="0" fontId="59" fillId="0" borderId="21" xfId="1" applyNumberFormat="1" applyFont="1" applyBorder="1" applyAlignment="1">
      <alignment horizontal="left" vertical="center"/>
    </xf>
    <xf numFmtId="43" fontId="58" fillId="0" borderId="70" xfId="1" quotePrefix="1" applyNumberFormat="1" applyFont="1" applyBorder="1" applyAlignment="1">
      <alignment horizontal="right" vertical="center"/>
    </xf>
    <xf numFmtId="43" fontId="58" fillId="0" borderId="91" xfId="1" quotePrefix="1" applyNumberFormat="1" applyFont="1" applyBorder="1" applyAlignment="1">
      <alignment horizontal="right" vertical="center"/>
    </xf>
    <xf numFmtId="43" fontId="58" fillId="0" borderId="213" xfId="1" quotePrefix="1" applyNumberFormat="1" applyFont="1" applyBorder="1" applyAlignment="1">
      <alignment horizontal="right" vertical="center"/>
    </xf>
    <xf numFmtId="0" fontId="59" fillId="0" borderId="0" xfId="1" applyNumberFormat="1" applyFont="1" applyBorder="1" applyAlignment="1">
      <alignment horizontal="left" vertical="center"/>
    </xf>
    <xf numFmtId="0" fontId="59" fillId="31" borderId="2" xfId="1" applyNumberFormat="1" applyFont="1" applyFill="1" applyBorder="1" applyAlignment="1">
      <alignment horizontal="left" vertical="center"/>
    </xf>
    <xf numFmtId="0" fontId="59" fillId="0" borderId="126" xfId="1" applyNumberFormat="1" applyFont="1" applyBorder="1" applyAlignment="1">
      <alignment horizontal="left" vertical="center"/>
    </xf>
    <xf numFmtId="167" fontId="58" fillId="0" borderId="110" xfId="0" applyNumberFormat="1" applyFont="1" applyBorder="1" applyAlignment="1">
      <alignment horizontal="right" vertical="center"/>
    </xf>
    <xf numFmtId="167" fontId="58" fillId="0" borderId="26" xfId="1" applyNumberFormat="1" applyFont="1" applyBorder="1" applyAlignment="1">
      <alignment vertical="center"/>
    </xf>
    <xf numFmtId="167" fontId="58" fillId="0" borderId="26" xfId="1" applyNumberFormat="1" applyFont="1" applyFill="1" applyBorder="1" applyAlignment="1">
      <alignment vertical="center"/>
    </xf>
    <xf numFmtId="167" fontId="58" fillId="0" borderId="32" xfId="1" applyNumberFormat="1" applyFont="1" applyFill="1" applyBorder="1" applyAlignment="1">
      <alignment vertical="center"/>
    </xf>
    <xf numFmtId="15" fontId="19" fillId="0" borderId="22" xfId="0" applyNumberFormat="1" applyFont="1" applyBorder="1" applyAlignment="1">
      <alignment horizontal="center" vertical="center"/>
    </xf>
    <xf numFmtId="0" fontId="20" fillId="0" borderId="22" xfId="0" applyFont="1" applyBorder="1" applyAlignment="1">
      <alignment horizontal="center" vertical="center"/>
    </xf>
    <xf numFmtId="167" fontId="29" fillId="0" borderId="16" xfId="0" quotePrefix="1" applyNumberFormat="1" applyFont="1" applyBorder="1" applyAlignment="1">
      <alignment horizontal="left" vertical="center"/>
    </xf>
    <xf numFmtId="43" fontId="58" fillId="0" borderId="18" xfId="0" quotePrefix="1" applyNumberFormat="1" applyFont="1" applyBorder="1" applyAlignment="1">
      <alignment horizontal="right" vertical="center"/>
    </xf>
    <xf numFmtId="167" fontId="55" fillId="0" borderId="196" xfId="0" applyNumberFormat="1" applyFont="1" applyBorder="1" applyAlignment="1">
      <alignment vertical="center" wrapText="1"/>
    </xf>
    <xf numFmtId="0" fontId="19" fillId="0" borderId="23" xfId="0" applyFont="1" applyBorder="1" applyAlignment="1">
      <alignment horizontal="left" vertical="center"/>
    </xf>
    <xf numFmtId="0" fontId="20" fillId="0" borderId="23" xfId="0" applyFont="1" applyBorder="1" applyAlignment="1">
      <alignment horizontal="left" vertical="center"/>
    </xf>
    <xf numFmtId="0" fontId="32" fillId="0" borderId="23" xfId="0" applyFont="1" applyBorder="1" applyAlignment="1">
      <alignment horizontal="right" vertical="center"/>
    </xf>
    <xf numFmtId="166" fontId="19" fillId="18" borderId="0" xfId="1" applyFont="1" applyFill="1" applyBorder="1" applyAlignment="1">
      <alignment horizontal="right" vertical="center"/>
    </xf>
    <xf numFmtId="0" fontId="6" fillId="0" borderId="26" xfId="30" applyBorder="1" applyAlignment="1" applyProtection="1">
      <alignment horizontal="left" vertical="center"/>
    </xf>
    <xf numFmtId="0" fontId="19" fillId="19" borderId="37" xfId="1" applyNumberFormat="1" applyFont="1" applyFill="1" applyBorder="1" applyAlignment="1">
      <alignment horizontal="right" vertical="center"/>
    </xf>
    <xf numFmtId="0" fontId="5" fillId="0" borderId="0" xfId="35" applyAlignment="1">
      <alignment wrapText="1"/>
    </xf>
    <xf numFmtId="0" fontId="43" fillId="0" borderId="7" xfId="35" applyFont="1" applyBorder="1" applyAlignment="1">
      <alignment wrapText="1"/>
    </xf>
    <xf numFmtId="0" fontId="43" fillId="0" borderId="0" xfId="35" applyFont="1" applyAlignment="1">
      <alignment wrapText="1"/>
    </xf>
    <xf numFmtId="15" fontId="43" fillId="0" borderId="12" xfId="35" quotePrefix="1" applyNumberFormat="1" applyFont="1" applyBorder="1" applyAlignment="1">
      <alignment wrapText="1"/>
    </xf>
    <xf numFmtId="0" fontId="3" fillId="0" borderId="0" xfId="35" applyFont="1" applyAlignment="1">
      <alignment wrapText="1"/>
    </xf>
    <xf numFmtId="0" fontId="5" fillId="0" borderId="12" xfId="35" applyBorder="1" applyAlignment="1">
      <alignment wrapText="1"/>
    </xf>
    <xf numFmtId="9" fontId="24" fillId="0" borderId="0" xfId="0" applyNumberFormat="1" applyFont="1" applyAlignment="1">
      <alignment vertical="center"/>
    </xf>
    <xf numFmtId="178" fontId="55" fillId="0" borderId="82" xfId="0" applyNumberFormat="1" applyFont="1" applyBorder="1" applyAlignment="1">
      <alignment horizontal="center" vertical="center"/>
    </xf>
    <xf numFmtId="15" fontId="79" fillId="0" borderId="99" xfId="93" applyNumberFormat="1" applyBorder="1">
      <alignment horizontal="center" vertical="center" wrapText="1"/>
    </xf>
    <xf numFmtId="167" fontId="55" fillId="0" borderId="18" xfId="0" applyNumberFormat="1" applyFont="1" applyBorder="1" applyAlignment="1">
      <alignment vertical="center"/>
    </xf>
    <xf numFmtId="167" fontId="55" fillId="18" borderId="18" xfId="0" applyNumberFormat="1" applyFont="1" applyFill="1" applyBorder="1" applyAlignment="1">
      <alignment vertical="center"/>
    </xf>
    <xf numFmtId="167" fontId="55" fillId="18" borderId="214" xfId="0" applyNumberFormat="1" applyFont="1" applyFill="1" applyBorder="1" applyAlignment="1">
      <alignment vertical="center"/>
    </xf>
    <xf numFmtId="167" fontId="55" fillId="0" borderId="21" xfId="0" applyNumberFormat="1" applyFont="1" applyBorder="1" applyAlignment="1">
      <alignment vertical="center"/>
    </xf>
    <xf numFmtId="167" fontId="55" fillId="0" borderId="214" xfId="0" applyNumberFormat="1" applyFont="1" applyBorder="1" applyAlignment="1">
      <alignment vertical="center"/>
    </xf>
    <xf numFmtId="167" fontId="55" fillId="0" borderId="215" xfId="0" applyNumberFormat="1" applyFont="1" applyBorder="1" applyAlignment="1">
      <alignment horizontal="center" vertical="center"/>
    </xf>
    <xf numFmtId="167" fontId="55" fillId="0" borderId="186" xfId="0" applyNumberFormat="1" applyFont="1" applyBorder="1" applyAlignment="1">
      <alignment horizontal="left" vertical="center" wrapText="1"/>
    </xf>
    <xf numFmtId="167" fontId="32" fillId="0" borderId="23" xfId="0" applyNumberFormat="1" applyFont="1" applyBorder="1" applyAlignment="1">
      <alignment vertical="center"/>
    </xf>
    <xf numFmtId="0" fontId="103" fillId="0" borderId="17" xfId="0" quotePrefix="1" applyFont="1" applyBorder="1" applyAlignment="1">
      <alignment horizontal="left" vertical="center"/>
    </xf>
    <xf numFmtId="166" fontId="65" fillId="0" borderId="0" xfId="1" applyFont="1" applyFill="1" applyBorder="1" applyAlignment="1">
      <alignment horizontal="right" vertical="center"/>
    </xf>
    <xf numFmtId="0" fontId="72" fillId="21" borderId="9" xfId="18" applyNumberFormat="1" applyFont="1" applyFill="1" applyBorder="1" applyAlignment="1"/>
    <xf numFmtId="0" fontId="55" fillId="0" borderId="5" xfId="0" applyFont="1" applyBorder="1" applyAlignment="1">
      <alignment horizontal="center" vertical="center" wrapText="1"/>
    </xf>
    <xf numFmtId="166" fontId="19" fillId="41" borderId="18" xfId="1" applyFont="1" applyFill="1" applyBorder="1" applyAlignment="1">
      <alignment vertical="center"/>
    </xf>
    <xf numFmtId="43" fontId="24" fillId="41" borderId="0" xfId="0" applyNumberFormat="1" applyFont="1" applyFill="1" applyAlignment="1">
      <alignment vertical="center"/>
    </xf>
    <xf numFmtId="167" fontId="19" fillId="0" borderId="22" xfId="35" applyNumberFormat="1" applyFont="1" applyBorder="1" applyAlignment="1">
      <alignment horizontal="left" vertical="center" indent="2"/>
    </xf>
    <xf numFmtId="167" fontId="32" fillId="0" borderId="22" xfId="35" applyNumberFormat="1" applyFont="1" applyBorder="1" applyAlignment="1">
      <alignment horizontal="left" vertical="center" indent="4"/>
    </xf>
    <xf numFmtId="167" fontId="20" fillId="0" borderId="17" xfId="35" applyNumberFormat="1" applyFont="1" applyBorder="1" applyAlignment="1">
      <alignment horizontal="left" vertical="center"/>
    </xf>
    <xf numFmtId="190" fontId="20" fillId="21" borderId="17" xfId="35" applyNumberFormat="1" applyFont="1" applyFill="1" applyBorder="1" applyAlignment="1">
      <alignment horizontal="right" vertical="center"/>
    </xf>
    <xf numFmtId="43" fontId="24" fillId="0" borderId="0" xfId="186" applyNumberFormat="1" applyFont="1"/>
    <xf numFmtId="49" fontId="25" fillId="0" borderId="0" xfId="186" applyNumberFormat="1" applyFont="1" applyAlignment="1">
      <alignment horizontal="center"/>
    </xf>
    <xf numFmtId="43" fontId="25" fillId="0" borderId="0" xfId="186" applyNumberFormat="1" applyFont="1"/>
    <xf numFmtId="43" fontId="25" fillId="0" borderId="0" xfId="186" applyNumberFormat="1" applyFont="1" applyAlignment="1">
      <alignment horizontal="center"/>
    </xf>
    <xf numFmtId="43" fontId="24" fillId="0" borderId="6" xfId="186" applyNumberFormat="1" applyFont="1" applyBorder="1"/>
    <xf numFmtId="43" fontId="24" fillId="0" borderId="7" xfId="186" applyNumberFormat="1" applyFont="1" applyBorder="1"/>
    <xf numFmtId="43" fontId="24" fillId="0" borderId="8" xfId="186" applyNumberFormat="1" applyFont="1" applyBorder="1"/>
    <xf numFmtId="49" fontId="25" fillId="0" borderId="7" xfId="186" applyNumberFormat="1" applyFont="1" applyBorder="1" applyAlignment="1">
      <alignment horizontal="center"/>
    </xf>
    <xf numFmtId="43" fontId="24" fillId="0" borderId="9" xfId="186" applyNumberFormat="1" applyFont="1" applyBorder="1"/>
    <xf numFmtId="0" fontId="24" fillId="0" borderId="0" xfId="186" applyFont="1"/>
    <xf numFmtId="43" fontId="28" fillId="0" borderId="10" xfId="186" applyNumberFormat="1" applyFont="1" applyBorder="1"/>
    <xf numFmtId="43" fontId="28" fillId="0" borderId="0" xfId="186" quotePrefix="1" applyNumberFormat="1" applyFont="1"/>
    <xf numFmtId="43" fontId="24" fillId="0" borderId="9" xfId="186" applyNumberFormat="1" applyFont="1" applyBorder="1" applyAlignment="1">
      <alignment horizontal="left"/>
    </xf>
    <xf numFmtId="0" fontId="24" fillId="0" borderId="0" xfId="186" quotePrefix="1" applyFont="1"/>
    <xf numFmtId="43" fontId="24" fillId="0" borderId="10" xfId="186" applyNumberFormat="1" applyFont="1" applyBorder="1"/>
    <xf numFmtId="43" fontId="24" fillId="0" borderId="9" xfId="186" quotePrefix="1" applyNumberFormat="1" applyFont="1" applyBorder="1" applyAlignment="1">
      <alignment horizontal="left"/>
    </xf>
    <xf numFmtId="49" fontId="24" fillId="0" borderId="0" xfId="186" applyNumberFormat="1" applyFont="1" applyAlignment="1">
      <alignment horizontal="center"/>
    </xf>
    <xf numFmtId="14" fontId="25" fillId="0" borderId="10" xfId="186" quotePrefix="1" applyNumberFormat="1" applyFont="1" applyBorder="1" applyAlignment="1">
      <alignment horizontal="left"/>
    </xf>
    <xf numFmtId="43" fontId="24" fillId="0" borderId="11" xfId="186" applyNumberFormat="1" applyFont="1" applyBorder="1"/>
    <xf numFmtId="15" fontId="24" fillId="0" borderId="12" xfId="186" quotePrefix="1" applyNumberFormat="1" applyFont="1" applyBorder="1"/>
    <xf numFmtId="43" fontId="28" fillId="0" borderId="13" xfId="186" applyNumberFormat="1" applyFont="1" applyBorder="1"/>
    <xf numFmtId="43" fontId="24" fillId="0" borderId="11" xfId="186" quotePrefix="1" applyNumberFormat="1" applyFont="1" applyBorder="1" applyAlignment="1">
      <alignment horizontal="left"/>
    </xf>
    <xf numFmtId="49" fontId="24" fillId="0" borderId="12" xfId="186" applyNumberFormat="1" applyFont="1" applyBorder="1" applyAlignment="1">
      <alignment horizontal="center"/>
    </xf>
    <xf numFmtId="15" fontId="25" fillId="0" borderId="13" xfId="186" applyNumberFormat="1" applyFont="1" applyBorder="1"/>
    <xf numFmtId="43" fontId="19" fillId="0" borderId="1" xfId="186" applyNumberFormat="1" applyFont="1" applyBorder="1" applyAlignment="1">
      <alignment horizontal="center"/>
    </xf>
    <xf numFmtId="43" fontId="19" fillId="0" borderId="2" xfId="186" applyNumberFormat="1" applyFont="1" applyBorder="1" applyAlignment="1">
      <alignment horizontal="center"/>
    </xf>
    <xf numFmtId="168" fontId="20" fillId="0" borderId="5" xfId="186" quotePrefix="1" applyNumberFormat="1" applyFont="1" applyBorder="1" applyAlignment="1">
      <alignment horizontal="center"/>
    </xf>
    <xf numFmtId="49" fontId="20" fillId="0" borderId="2" xfId="186" applyNumberFormat="1" applyFont="1" applyBorder="1" applyAlignment="1">
      <alignment horizontal="center"/>
    </xf>
    <xf numFmtId="43" fontId="19" fillId="0" borderId="14" xfId="186" applyNumberFormat="1" applyFont="1" applyBorder="1" applyAlignment="1">
      <alignment horizontal="center"/>
    </xf>
    <xf numFmtId="167" fontId="19" fillId="0" borderId="33" xfId="186" applyNumberFormat="1" applyFont="1" applyBorder="1" applyAlignment="1">
      <alignment horizontal="right" vertical="center"/>
    </xf>
    <xf numFmtId="167" fontId="19" fillId="0" borderId="34" xfId="186" applyNumberFormat="1" applyFont="1" applyBorder="1" applyAlignment="1">
      <alignment horizontal="right" vertical="center"/>
    </xf>
    <xf numFmtId="167" fontId="19" fillId="0" borderId="34" xfId="186" quotePrefix="1" applyNumberFormat="1" applyFont="1" applyBorder="1" applyAlignment="1">
      <alignment horizontal="right" vertical="center"/>
    </xf>
    <xf numFmtId="49" fontId="20" fillId="0" borderId="35" xfId="186" applyNumberFormat="1" applyFont="1" applyBorder="1" applyAlignment="1">
      <alignment horizontal="center" vertical="center"/>
    </xf>
    <xf numFmtId="167" fontId="19" fillId="0" borderId="36" xfId="186" applyNumberFormat="1" applyFont="1" applyBorder="1" applyAlignment="1">
      <alignment horizontal="right" vertical="center"/>
    </xf>
    <xf numFmtId="43" fontId="24" fillId="0" borderId="0" xfId="186" applyNumberFormat="1" applyFont="1" applyAlignment="1">
      <alignment vertical="center"/>
    </xf>
    <xf numFmtId="167" fontId="20" fillId="0" borderId="22" xfId="186" applyNumberFormat="1" applyFont="1" applyBorder="1" applyAlignment="1">
      <alignment horizontal="center" vertical="center"/>
    </xf>
    <xf numFmtId="167" fontId="20" fillId="0" borderId="17" xfId="186" applyNumberFormat="1" applyFont="1" applyBorder="1" applyAlignment="1">
      <alignment vertical="center"/>
    </xf>
    <xf numFmtId="167" fontId="19" fillId="0" borderId="17" xfId="186" applyNumberFormat="1" applyFont="1" applyBorder="1" applyAlignment="1">
      <alignment vertical="center"/>
    </xf>
    <xf numFmtId="166" fontId="20" fillId="47" borderId="50" xfId="1" applyFont="1" applyFill="1" applyBorder="1" applyAlignment="1">
      <alignment vertical="center"/>
    </xf>
    <xf numFmtId="167" fontId="19" fillId="0" borderId="30" xfId="186" applyNumberFormat="1" applyFont="1" applyBorder="1" applyAlignment="1">
      <alignment vertical="center"/>
    </xf>
    <xf numFmtId="167" fontId="19" fillId="0" borderId="22" xfId="186" applyNumberFormat="1" applyFont="1" applyBorder="1" applyAlignment="1">
      <alignment vertical="center"/>
    </xf>
    <xf numFmtId="166" fontId="20" fillId="0" borderId="15" xfId="1" applyFont="1" applyBorder="1" applyAlignment="1">
      <alignment vertical="center"/>
    </xf>
    <xf numFmtId="167" fontId="19" fillId="0" borderId="37" xfId="186" applyNumberFormat="1" applyFont="1" applyBorder="1" applyAlignment="1">
      <alignment vertical="center"/>
    </xf>
    <xf numFmtId="166" fontId="20" fillId="0" borderId="51" xfId="1" applyFont="1" applyBorder="1" applyAlignment="1">
      <alignment vertical="center"/>
    </xf>
    <xf numFmtId="167" fontId="19" fillId="0" borderId="18" xfId="186" applyNumberFormat="1" applyFont="1" applyBorder="1" applyAlignment="1">
      <alignment vertical="center"/>
    </xf>
    <xf numFmtId="167" fontId="30" fillId="0" borderId="22" xfId="186" applyNumberFormat="1" applyFont="1" applyBorder="1" applyAlignment="1">
      <alignment horizontal="left" vertical="center" indent="2"/>
    </xf>
    <xf numFmtId="167" fontId="19" fillId="0" borderId="17" xfId="186" quotePrefix="1" applyNumberFormat="1" applyFont="1" applyBorder="1" applyAlignment="1">
      <alignment vertical="center"/>
    </xf>
    <xf numFmtId="167" fontId="20" fillId="0" borderId="17" xfId="186" applyNumberFormat="1" applyFont="1" applyBorder="1" applyAlignment="1">
      <alignment horizontal="center" vertical="center"/>
    </xf>
    <xf numFmtId="167" fontId="19" fillId="0" borderId="26" xfId="186" applyNumberFormat="1" applyFont="1" applyBorder="1" applyAlignment="1">
      <alignment vertical="center"/>
    </xf>
    <xf numFmtId="167" fontId="19" fillId="0" borderId="18" xfId="186" quotePrefix="1" applyNumberFormat="1" applyFont="1" applyBorder="1" applyAlignment="1">
      <alignment vertical="center"/>
    </xf>
    <xf numFmtId="166" fontId="20" fillId="48" borderId="17" xfId="1" applyFont="1" applyFill="1" applyBorder="1" applyAlignment="1">
      <alignment vertical="center"/>
    </xf>
    <xf numFmtId="166" fontId="20" fillId="0" borderId="17" xfId="1" applyFont="1" applyFill="1" applyBorder="1" applyAlignment="1">
      <alignment vertical="center"/>
    </xf>
    <xf numFmtId="167" fontId="29" fillId="0" borderId="42" xfId="186" applyNumberFormat="1" applyFont="1" applyBorder="1" applyAlignment="1">
      <alignment horizontal="left" vertical="center" indent="2"/>
    </xf>
    <xf numFmtId="167" fontId="29" fillId="0" borderId="217" xfId="186" applyNumberFormat="1" applyFont="1" applyBorder="1" applyAlignment="1">
      <alignment horizontal="left" vertical="center" indent="2"/>
    </xf>
    <xf numFmtId="166" fontId="19" fillId="48" borderId="17" xfId="1" applyFont="1" applyFill="1" applyBorder="1" applyAlignment="1">
      <alignment vertical="center"/>
    </xf>
    <xf numFmtId="167" fontId="19" fillId="0" borderId="42" xfId="186" applyNumberFormat="1" applyFont="1" applyBorder="1" applyAlignment="1">
      <alignment horizontal="left" vertical="center" indent="2"/>
    </xf>
    <xf numFmtId="167" fontId="19" fillId="0" borderId="217" xfId="186" applyNumberFormat="1" applyFont="1" applyBorder="1" applyAlignment="1">
      <alignment horizontal="left" vertical="center" indent="2"/>
    </xf>
    <xf numFmtId="167" fontId="19" fillId="0" borderId="17" xfId="186" applyNumberFormat="1" applyFont="1" applyBorder="1" applyAlignment="1">
      <alignment horizontal="left" vertical="center" indent="1"/>
    </xf>
    <xf numFmtId="167" fontId="20" fillId="0" borderId="18" xfId="186" applyNumberFormat="1" applyFont="1" applyBorder="1" applyAlignment="1">
      <alignment horizontal="center" vertical="center"/>
    </xf>
    <xf numFmtId="167" fontId="19" fillId="0" borderId="17" xfId="186" applyNumberFormat="1" applyFont="1" applyBorder="1" applyAlignment="1">
      <alignment horizontal="left" vertical="center"/>
    </xf>
    <xf numFmtId="167" fontId="19" fillId="0" borderId="17" xfId="186" applyNumberFormat="1" applyFont="1" applyBorder="1" applyAlignment="1">
      <alignment horizontal="left" vertical="center" indent="2"/>
    </xf>
    <xf numFmtId="166" fontId="19" fillId="48" borderId="18" xfId="1" quotePrefix="1" applyFont="1" applyFill="1" applyBorder="1" applyAlignment="1">
      <alignment vertical="center"/>
    </xf>
    <xf numFmtId="166" fontId="20" fillId="47" borderId="52" xfId="1" quotePrefix="1" applyFont="1" applyFill="1" applyBorder="1" applyAlignment="1">
      <alignment vertical="center"/>
    </xf>
    <xf numFmtId="167" fontId="19" fillId="0" borderId="39" xfId="186" applyNumberFormat="1" applyFont="1" applyBorder="1" applyAlignment="1">
      <alignment horizontal="right" vertical="center"/>
    </xf>
    <xf numFmtId="167" fontId="19" fillId="0" borderId="27" xfId="186" applyNumberFormat="1" applyFont="1" applyBorder="1" applyAlignment="1">
      <alignment vertical="center"/>
    </xf>
    <xf numFmtId="167" fontId="19" fillId="0" borderId="28" xfId="186" quotePrefix="1" applyNumberFormat="1" applyFont="1" applyBorder="1" applyAlignment="1">
      <alignment vertical="center"/>
    </xf>
    <xf numFmtId="49" fontId="20" fillId="0" borderId="27" xfId="186" applyNumberFormat="1" applyFont="1" applyBorder="1" applyAlignment="1">
      <alignment horizontal="center" vertical="center"/>
    </xf>
    <xf numFmtId="167" fontId="19" fillId="0" borderId="19" xfId="186" applyNumberFormat="1" applyFont="1" applyBorder="1" applyAlignment="1">
      <alignment horizontal="right" vertical="center"/>
    </xf>
    <xf numFmtId="0" fontId="24" fillId="0" borderId="12" xfId="186" quotePrefix="1" applyFont="1" applyBorder="1"/>
    <xf numFmtId="166" fontId="6" fillId="0" borderId="5" xfId="30" applyNumberFormat="1" applyFill="1" applyBorder="1" applyAlignment="1" applyProtection="1">
      <alignment horizontal="left"/>
    </xf>
    <xf numFmtId="166" fontId="54" fillId="0" borderId="0" xfId="0" applyNumberFormat="1" applyFont="1"/>
    <xf numFmtId="166" fontId="54" fillId="0" borderId="0" xfId="1" applyFont="1"/>
    <xf numFmtId="166" fontId="54" fillId="0" borderId="3" xfId="1" applyFont="1" applyBorder="1"/>
    <xf numFmtId="166" fontId="54" fillId="0" borderId="3" xfId="0" applyNumberFormat="1" applyFont="1" applyBorder="1"/>
    <xf numFmtId="0" fontId="4" fillId="0" borderId="0" xfId="35" applyFont="1" applyAlignment="1">
      <alignment wrapText="1"/>
    </xf>
    <xf numFmtId="0" fontId="3" fillId="0" borderId="9" xfId="35" applyFont="1" applyBorder="1" applyAlignment="1">
      <alignment wrapText="1"/>
    </xf>
    <xf numFmtId="43" fontId="77" fillId="0" borderId="0" xfId="0" applyNumberFormat="1" applyFont="1" applyAlignment="1">
      <alignment horizontal="center" vertical="top"/>
    </xf>
    <xf numFmtId="167" fontId="20" fillId="0" borderId="129" xfId="0" applyNumberFormat="1" applyFont="1" applyBorder="1" applyAlignment="1">
      <alignment horizontal="center" vertical="center" wrapText="1"/>
    </xf>
    <xf numFmtId="167" fontId="20" fillId="0" borderId="82" xfId="0" applyNumberFormat="1" applyFont="1" applyBorder="1" applyAlignment="1">
      <alignment horizontal="center" vertical="center" wrapText="1"/>
    </xf>
    <xf numFmtId="167" fontId="20" fillId="0" borderId="83" xfId="0" applyNumberFormat="1" applyFont="1" applyBorder="1" applyAlignment="1">
      <alignment horizontal="center" vertical="center" wrapText="1"/>
    </xf>
    <xf numFmtId="167" fontId="19" fillId="0" borderId="204" xfId="0" applyNumberFormat="1" applyFont="1" applyBorder="1" applyAlignment="1">
      <alignment horizontal="center" vertical="center" wrapText="1"/>
    </xf>
    <xf numFmtId="167" fontId="19" fillId="0" borderId="205" xfId="0" applyNumberFormat="1" applyFont="1" applyBorder="1" applyAlignment="1">
      <alignment horizontal="center" vertical="center" wrapText="1"/>
    </xf>
    <xf numFmtId="167" fontId="20" fillId="0" borderId="0" xfId="0" applyNumberFormat="1" applyFont="1" applyAlignment="1">
      <alignment horizontal="center" vertical="center"/>
    </xf>
    <xf numFmtId="178" fontId="19" fillId="0" borderId="64" xfId="0" applyNumberFormat="1" applyFont="1" applyBorder="1" applyAlignment="1">
      <alignment horizontal="center" vertical="center"/>
    </xf>
    <xf numFmtId="178" fontId="19" fillId="0" borderId="65" xfId="0" applyNumberFormat="1" applyFont="1" applyBorder="1" applyAlignment="1">
      <alignment horizontal="center" vertical="center"/>
    </xf>
    <xf numFmtId="178" fontId="19" fillId="0" borderId="66" xfId="0" applyNumberFormat="1" applyFont="1" applyBorder="1" applyAlignment="1">
      <alignment horizontal="center" vertical="center"/>
    </xf>
    <xf numFmtId="178" fontId="19" fillId="0" borderId="68" xfId="0" applyNumberFormat="1" applyFont="1" applyBorder="1" applyAlignment="1">
      <alignment horizontal="center" vertical="center"/>
    </xf>
    <xf numFmtId="178" fontId="19" fillId="0" borderId="0" xfId="0" applyNumberFormat="1" applyFont="1" applyAlignment="1">
      <alignment horizontal="center" vertical="center"/>
    </xf>
    <xf numFmtId="178" fontId="19" fillId="0" borderId="67" xfId="0" applyNumberFormat="1" applyFont="1" applyBorder="1" applyAlignment="1">
      <alignment horizontal="center" vertical="center"/>
    </xf>
    <xf numFmtId="0" fontId="4" fillId="0" borderId="67" xfId="0" applyFont="1" applyBorder="1" applyAlignment="1">
      <alignment horizontal="center"/>
    </xf>
    <xf numFmtId="9" fontId="19" fillId="0" borderId="207" xfId="39" quotePrefix="1" applyFont="1" applyBorder="1" applyAlignment="1">
      <alignment horizontal="center" vertical="center"/>
    </xf>
    <xf numFmtId="9" fontId="19" fillId="0" borderId="208" xfId="39" quotePrefix="1" applyFont="1" applyBorder="1" applyAlignment="1">
      <alignment horizontal="center" vertical="center"/>
    </xf>
    <xf numFmtId="9" fontId="0" fillId="0" borderId="207" xfId="39" applyFont="1" applyBorder="1" applyAlignment="1">
      <alignment horizontal="center"/>
    </xf>
    <xf numFmtId="9" fontId="0" fillId="0" borderId="208" xfId="39" applyFont="1" applyBorder="1" applyAlignment="1">
      <alignment horizontal="center"/>
    </xf>
    <xf numFmtId="43" fontId="22" fillId="0" borderId="129" xfId="30" applyNumberFormat="1" applyFont="1" applyBorder="1" applyAlignment="1" applyProtection="1">
      <alignment horizontal="center"/>
    </xf>
    <xf numFmtId="43" fontId="22" fillId="0" borderId="83" xfId="30" applyNumberFormat="1" applyFont="1" applyBorder="1" applyAlignment="1" applyProtection="1">
      <alignment horizontal="center"/>
    </xf>
    <xf numFmtId="0" fontId="4" fillId="0" borderId="0" xfId="0" applyFont="1" applyAlignment="1">
      <alignment horizontal="center"/>
    </xf>
    <xf numFmtId="167" fontId="6" fillId="0" borderId="0" xfId="30" applyNumberFormat="1" applyBorder="1" applyAlignment="1" applyProtection="1">
      <alignment horizontal="center" vertical="center"/>
    </xf>
    <xf numFmtId="167" fontId="19" fillId="0" borderId="0" xfId="0" applyNumberFormat="1" applyFont="1" applyAlignment="1">
      <alignment horizontal="center" vertical="center"/>
    </xf>
    <xf numFmtId="167" fontId="6" fillId="0" borderId="0" xfId="30" applyNumberFormat="1" applyBorder="1" applyAlignment="1" applyProtection="1">
      <alignment horizontal="center" vertical="center" wrapText="1"/>
    </xf>
    <xf numFmtId="9" fontId="19" fillId="0" borderId="0" xfId="39" applyFont="1" applyBorder="1" applyAlignment="1">
      <alignment horizontal="center" vertical="center"/>
    </xf>
    <xf numFmtId="0" fontId="0" fillId="0" borderId="0" xfId="0" applyAlignment="1">
      <alignment horizontal="center" vertical="center"/>
    </xf>
    <xf numFmtId="0" fontId="3" fillId="0" borderId="207" xfId="0" applyFont="1" applyBorder="1" applyAlignment="1">
      <alignment horizontal="center" vertical="center"/>
    </xf>
    <xf numFmtId="0" fontId="3" fillId="0" borderId="209" xfId="0" applyFont="1" applyBorder="1" applyAlignment="1">
      <alignment horizontal="center" vertical="center"/>
    </xf>
    <xf numFmtId="0" fontId="3" fillId="0" borderId="208" xfId="0" applyFont="1" applyBorder="1" applyAlignment="1">
      <alignment horizontal="center" vertical="center"/>
    </xf>
    <xf numFmtId="0" fontId="0" fillId="0" borderId="207" xfId="0" applyBorder="1" applyAlignment="1">
      <alignment horizontal="center" vertical="center"/>
    </xf>
    <xf numFmtId="0" fontId="0" fillId="0" borderId="209" xfId="0" applyBorder="1" applyAlignment="1">
      <alignment horizontal="center" vertical="center"/>
    </xf>
    <xf numFmtId="0" fontId="0" fillId="0" borderId="208" xfId="0" applyBorder="1" applyAlignment="1">
      <alignment horizontal="center" vertical="center"/>
    </xf>
    <xf numFmtId="9" fontId="19" fillId="0" borderId="207" xfId="39" applyFont="1" applyBorder="1" applyAlignment="1">
      <alignment horizontal="center" vertical="center"/>
    </xf>
    <xf numFmtId="9" fontId="19" fillId="0" borderId="209" xfId="39" applyFont="1" applyBorder="1" applyAlignment="1">
      <alignment horizontal="center" vertical="center"/>
    </xf>
    <xf numFmtId="9" fontId="19" fillId="0" borderId="208" xfId="39" applyFont="1" applyBorder="1" applyAlignment="1">
      <alignment horizontal="center" vertical="center"/>
    </xf>
    <xf numFmtId="9" fontId="20" fillId="0" borderId="207" xfId="39" applyFont="1" applyBorder="1" applyAlignment="1">
      <alignment horizontal="center" vertical="center"/>
    </xf>
    <xf numFmtId="9" fontId="20" fillId="0" borderId="209" xfId="39" applyFont="1" applyBorder="1" applyAlignment="1">
      <alignment horizontal="center" vertical="center"/>
    </xf>
    <xf numFmtId="9" fontId="20" fillId="0" borderId="208" xfId="39" applyFont="1" applyBorder="1" applyAlignment="1">
      <alignment horizontal="center" vertical="center"/>
    </xf>
    <xf numFmtId="167" fontId="20" fillId="0" borderId="0" xfId="0" quotePrefix="1" applyNumberFormat="1" applyFont="1" applyAlignment="1">
      <alignment horizontal="center" vertical="center"/>
    </xf>
    <xf numFmtId="167" fontId="19" fillId="0" borderId="0" xfId="0" quotePrefix="1" applyNumberFormat="1" applyFont="1" applyAlignment="1">
      <alignment horizontal="center" vertical="center" wrapText="1"/>
    </xf>
    <xf numFmtId="167" fontId="20" fillId="0" borderId="129" xfId="0" applyNumberFormat="1" applyFont="1" applyBorder="1" applyAlignment="1">
      <alignment horizontal="center" vertical="center"/>
    </xf>
    <xf numFmtId="167" fontId="20" fillId="0" borderId="82" xfId="0" applyNumberFormat="1" applyFont="1" applyBorder="1" applyAlignment="1">
      <alignment horizontal="center" vertical="center"/>
    </xf>
    <xf numFmtId="167" fontId="20" fillId="0" borderId="83" xfId="0" applyNumberFormat="1" applyFont="1" applyBorder="1" applyAlignment="1">
      <alignment horizontal="center" vertical="center"/>
    </xf>
    <xf numFmtId="167" fontId="103" fillId="0" borderId="0" xfId="0" applyNumberFormat="1" applyFont="1" applyAlignment="1">
      <alignment horizontal="center" vertical="center" wrapText="1"/>
    </xf>
    <xf numFmtId="167" fontId="20" fillId="0" borderId="207" xfId="0" applyNumberFormat="1" applyFont="1" applyBorder="1" applyAlignment="1">
      <alignment horizontal="center" vertical="center"/>
    </xf>
    <xf numFmtId="167" fontId="20" fillId="0" borderId="208" xfId="0" applyNumberFormat="1" applyFont="1" applyBorder="1" applyAlignment="1">
      <alignment horizontal="center" vertical="center"/>
    </xf>
    <xf numFmtId="167" fontId="19" fillId="0" borderId="0" xfId="0" applyNumberFormat="1" applyFont="1" applyAlignment="1">
      <alignment horizontal="center" vertical="center" wrapText="1"/>
    </xf>
    <xf numFmtId="0" fontId="5" fillId="0" borderId="9" xfId="35" applyBorder="1" applyAlignment="1">
      <alignment horizontal="center"/>
    </xf>
    <xf numFmtId="0" fontId="5" fillId="0" borderId="0" xfId="35" applyAlignment="1">
      <alignment horizontal="center"/>
    </xf>
    <xf numFmtId="0" fontId="5" fillId="0" borderId="10" xfId="35" applyBorder="1" applyAlignment="1">
      <alignment horizontal="center"/>
    </xf>
    <xf numFmtId="43" fontId="22" fillId="0" borderId="82" xfId="30" applyNumberFormat="1" applyFont="1" applyBorder="1" applyAlignment="1" applyProtection="1">
      <alignment horizontal="center"/>
    </xf>
    <xf numFmtId="0" fontId="95" fillId="0" borderId="90" xfId="35" applyFont="1" applyBorder="1" applyAlignment="1">
      <alignment horizontal="center"/>
    </xf>
    <xf numFmtId="0" fontId="95" fillId="0" borderId="47" xfId="35" applyFont="1" applyBorder="1" applyAlignment="1">
      <alignment horizontal="center"/>
    </xf>
    <xf numFmtId="43" fontId="95" fillId="0" borderId="7" xfId="35" applyNumberFormat="1" applyFont="1" applyBorder="1" applyAlignment="1">
      <alignment horizontal="center" wrapText="1"/>
    </xf>
    <xf numFmtId="43" fontId="95" fillId="0" borderId="12" xfId="35" applyNumberFormat="1" applyFont="1" applyBorder="1" applyAlignment="1">
      <alignment horizontal="center" wrapText="1"/>
    </xf>
    <xf numFmtId="0" fontId="95" fillId="0" borderId="90" xfId="35" applyFont="1" applyBorder="1" applyAlignment="1">
      <alignment horizontal="center" wrapText="1"/>
    </xf>
    <xf numFmtId="0" fontId="95" fillId="0" borderId="47" xfId="35" applyFont="1" applyBorder="1" applyAlignment="1">
      <alignment horizontal="center" wrapText="1"/>
    </xf>
    <xf numFmtId="0" fontId="95" fillId="0" borderId="7" xfId="35" applyFont="1" applyBorder="1" applyAlignment="1">
      <alignment horizontal="center"/>
    </xf>
    <xf numFmtId="0" fontId="95" fillId="0" borderId="8" xfId="35" applyFont="1" applyBorder="1" applyAlignment="1">
      <alignment horizontal="center"/>
    </xf>
    <xf numFmtId="0" fontId="95" fillId="0" borderId="0" xfId="35" applyFont="1" applyAlignment="1">
      <alignment horizontal="center"/>
    </xf>
    <xf numFmtId="0" fontId="95" fillId="0" borderId="10" xfId="35" applyFont="1" applyBorder="1" applyAlignment="1">
      <alignment horizontal="center"/>
    </xf>
    <xf numFmtId="0" fontId="5" fillId="0" borderId="6" xfId="35" applyBorder="1" applyAlignment="1">
      <alignment horizontal="center"/>
    </xf>
    <xf numFmtId="0" fontId="5" fillId="0" borderId="7" xfId="35" applyBorder="1" applyAlignment="1">
      <alignment horizontal="center"/>
    </xf>
    <xf numFmtId="0" fontId="5" fillId="0" borderId="8" xfId="35" applyBorder="1" applyAlignment="1">
      <alignment horizontal="center"/>
    </xf>
    <xf numFmtId="0" fontId="5" fillId="0" borderId="11" xfId="35" applyBorder="1" applyAlignment="1">
      <alignment horizontal="center"/>
    </xf>
    <xf numFmtId="0" fontId="5" fillId="0" borderId="12" xfId="35" applyBorder="1" applyAlignment="1">
      <alignment horizontal="center"/>
    </xf>
    <xf numFmtId="0" fontId="5" fillId="0" borderId="13" xfId="35" applyBorder="1" applyAlignment="1">
      <alignment horizontal="center"/>
    </xf>
    <xf numFmtId="167" fontId="20" fillId="0" borderId="6" xfId="0" applyNumberFormat="1" applyFont="1" applyBorder="1" applyAlignment="1">
      <alignment horizontal="center" vertical="center" wrapText="1"/>
    </xf>
    <xf numFmtId="167" fontId="20" fillId="0" borderId="7" xfId="0" applyNumberFormat="1" applyFont="1" applyBorder="1" applyAlignment="1">
      <alignment horizontal="center" vertical="center" wrapText="1"/>
    </xf>
    <xf numFmtId="167" fontId="20" fillId="0" borderId="8" xfId="0" applyNumberFormat="1" applyFont="1" applyBorder="1" applyAlignment="1">
      <alignment horizontal="center" vertical="center" wrapText="1"/>
    </xf>
    <xf numFmtId="167" fontId="20" fillId="0" borderId="11" xfId="0" applyNumberFormat="1" applyFont="1" applyBorder="1" applyAlignment="1">
      <alignment horizontal="center" vertical="center" wrapText="1"/>
    </xf>
    <xf numFmtId="167" fontId="20" fillId="0" borderId="12" xfId="0" applyNumberFormat="1" applyFont="1" applyBorder="1" applyAlignment="1">
      <alignment horizontal="center" vertical="center" wrapText="1"/>
    </xf>
    <xf numFmtId="167" fontId="20" fillId="0" borderId="13" xfId="0" applyNumberFormat="1" applyFont="1" applyBorder="1" applyAlignment="1">
      <alignment horizontal="center" vertical="center" wrapText="1"/>
    </xf>
    <xf numFmtId="0" fontId="19" fillId="0" borderId="18" xfId="0" applyFont="1" applyBorder="1" applyAlignment="1">
      <alignment horizontal="left" vertical="center" wrapText="1"/>
    </xf>
    <xf numFmtId="0" fontId="19" fillId="0" borderId="70" xfId="0" applyFont="1" applyBorder="1" applyAlignment="1">
      <alignment horizontal="left" vertical="center" wrapText="1"/>
    </xf>
    <xf numFmtId="0" fontId="19" fillId="0" borderId="16" xfId="0" applyFont="1" applyBorder="1" applyAlignment="1">
      <alignment horizontal="left" vertical="center" wrapText="1"/>
    </xf>
    <xf numFmtId="43" fontId="22" fillId="0" borderId="142" xfId="30" applyNumberFormat="1" applyFont="1" applyBorder="1" applyAlignment="1" applyProtection="1">
      <alignment horizontal="center"/>
    </xf>
    <xf numFmtId="43" fontId="22" fillId="0" borderId="89" xfId="30" applyNumberFormat="1" applyFont="1" applyBorder="1" applyAlignment="1" applyProtection="1">
      <alignment horizontal="center"/>
    </xf>
    <xf numFmtId="43" fontId="22" fillId="0" borderId="143" xfId="30" applyNumberFormat="1" applyFont="1" applyBorder="1" applyAlignment="1" applyProtection="1">
      <alignment horizontal="center"/>
    </xf>
    <xf numFmtId="167" fontId="59" fillId="0" borderId="6" xfId="0" applyNumberFormat="1" applyFont="1" applyBorder="1" applyAlignment="1">
      <alignment horizontal="center" vertical="center" wrapText="1"/>
    </xf>
    <xf numFmtId="167" fontId="59" fillId="0" borderId="7" xfId="0" applyNumberFormat="1" applyFont="1" applyBorder="1" applyAlignment="1">
      <alignment horizontal="center" vertical="center" wrapText="1"/>
    </xf>
    <xf numFmtId="167" fontId="59" fillId="0" borderId="8" xfId="0" applyNumberFormat="1" applyFont="1" applyBorder="1" applyAlignment="1">
      <alignment horizontal="center" vertical="center" wrapText="1"/>
    </xf>
    <xf numFmtId="167" fontId="59" fillId="0" borderId="11" xfId="0" applyNumberFormat="1" applyFont="1" applyBorder="1" applyAlignment="1">
      <alignment horizontal="center" vertical="center" wrapText="1"/>
    </xf>
    <xf numFmtId="167" fontId="59" fillId="0" borderId="12" xfId="0" applyNumberFormat="1" applyFont="1" applyBorder="1" applyAlignment="1">
      <alignment horizontal="center" vertical="center" wrapText="1"/>
    </xf>
    <xf numFmtId="167" fontId="59" fillId="0" borderId="13" xfId="0" applyNumberFormat="1" applyFont="1" applyBorder="1" applyAlignment="1">
      <alignment horizontal="center" vertical="center" wrapText="1"/>
    </xf>
    <xf numFmtId="43" fontId="78" fillId="0" borderId="129" xfId="30" applyNumberFormat="1" applyFont="1" applyBorder="1" applyAlignment="1" applyProtection="1">
      <alignment horizontal="center"/>
    </xf>
    <xf numFmtId="43" fontId="78" fillId="0" borderId="82" xfId="30" applyNumberFormat="1" applyFont="1" applyBorder="1" applyAlignment="1" applyProtection="1">
      <alignment horizontal="center"/>
    </xf>
    <xf numFmtId="43" fontId="78" fillId="0" borderId="83" xfId="30" applyNumberFormat="1" applyFont="1" applyBorder="1" applyAlignment="1" applyProtection="1">
      <alignment horizontal="center"/>
    </xf>
    <xf numFmtId="43" fontId="25" fillId="0" borderId="129" xfId="30" applyNumberFormat="1" applyFont="1" applyBorder="1" applyAlignment="1" applyProtection="1">
      <alignment horizontal="center"/>
    </xf>
    <xf numFmtId="43" fontId="25" fillId="0" borderId="82" xfId="30" applyNumberFormat="1" applyFont="1" applyBorder="1" applyAlignment="1" applyProtection="1">
      <alignment horizontal="center"/>
    </xf>
    <xf numFmtId="43" fontId="25" fillId="0" borderId="83" xfId="30" applyNumberFormat="1" applyFont="1" applyBorder="1" applyAlignment="1" applyProtection="1">
      <alignment horizontal="center"/>
    </xf>
    <xf numFmtId="43" fontId="10" fillId="0" borderId="1" xfId="30" applyNumberFormat="1" applyFont="1" applyBorder="1" applyAlignment="1" applyProtection="1">
      <alignment horizontal="center"/>
    </xf>
    <xf numFmtId="43" fontId="10" fillId="0" borderId="14" xfId="30" applyNumberFormat="1" applyFont="1" applyBorder="1" applyAlignment="1" applyProtection="1">
      <alignment horizontal="center"/>
    </xf>
    <xf numFmtId="43" fontId="41" fillId="0" borderId="1" xfId="30" applyNumberFormat="1" applyFont="1" applyBorder="1" applyAlignment="1" applyProtection="1">
      <alignment horizontal="center"/>
    </xf>
    <xf numFmtId="43" fontId="41" fillId="0" borderId="2" xfId="30" applyNumberFormat="1" applyFont="1" applyBorder="1" applyAlignment="1" applyProtection="1">
      <alignment horizontal="center"/>
    </xf>
    <xf numFmtId="43" fontId="41" fillId="0" borderId="14" xfId="30" applyNumberFormat="1" applyFont="1" applyBorder="1" applyAlignment="1" applyProtection="1">
      <alignment horizontal="center"/>
    </xf>
    <xf numFmtId="178" fontId="55" fillId="0" borderId="129" xfId="0" applyNumberFormat="1" applyFont="1" applyBorder="1" applyAlignment="1">
      <alignment horizontal="center" vertical="center"/>
    </xf>
    <xf numFmtId="178" fontId="55" fillId="0" borderId="82" xfId="0" applyNumberFormat="1" applyFont="1" applyBorder="1" applyAlignment="1">
      <alignment horizontal="center" vertical="center"/>
    </xf>
    <xf numFmtId="178" fontId="55" fillId="0" borderId="194" xfId="0" applyNumberFormat="1" applyFont="1" applyBorder="1" applyAlignment="1">
      <alignment horizontal="center" vertical="center"/>
    </xf>
    <xf numFmtId="0" fontId="4" fillId="0" borderId="129" xfId="0" applyFont="1" applyBorder="1" applyAlignment="1">
      <alignment horizontal="center"/>
    </xf>
    <xf numFmtId="0" fontId="4" fillId="0" borderId="82" xfId="0" applyFont="1" applyBorder="1" applyAlignment="1">
      <alignment horizontal="center"/>
    </xf>
    <xf numFmtId="0" fontId="4" fillId="0" borderId="83" xfId="0" applyFont="1" applyBorder="1" applyAlignment="1">
      <alignment horizontal="center"/>
    </xf>
    <xf numFmtId="167" fontId="55" fillId="0" borderId="61" xfId="0" applyNumberFormat="1" applyFont="1" applyBorder="1" applyAlignment="1">
      <alignment horizontal="center" vertical="center" wrapText="1"/>
    </xf>
    <xf numFmtId="167" fontId="55" fillId="0" borderId="62" xfId="0" applyNumberFormat="1" applyFont="1" applyBorder="1" applyAlignment="1">
      <alignment horizontal="center" vertical="center" wrapText="1"/>
    </xf>
    <xf numFmtId="167" fontId="55" fillId="0" borderId="63" xfId="0" applyNumberFormat="1" applyFont="1" applyBorder="1" applyAlignment="1">
      <alignment horizontal="center" vertical="center" wrapText="1"/>
    </xf>
    <xf numFmtId="167" fontId="55" fillId="0" borderId="66" xfId="0" applyNumberFormat="1" applyFont="1" applyBorder="1" applyAlignment="1">
      <alignment horizontal="center" vertical="center" wrapText="1"/>
    </xf>
    <xf numFmtId="167" fontId="55" fillId="0" borderId="67" xfId="0" applyNumberFormat="1" applyFont="1" applyBorder="1" applyAlignment="1">
      <alignment horizontal="center" vertical="center" wrapText="1"/>
    </xf>
    <xf numFmtId="167" fontId="55" fillId="0" borderId="68" xfId="0" applyNumberFormat="1" applyFont="1" applyBorder="1" applyAlignment="1">
      <alignment horizontal="center" vertical="center" wrapText="1"/>
    </xf>
    <xf numFmtId="167" fontId="98" fillId="0" borderId="51" xfId="0" applyNumberFormat="1" applyFont="1" applyBorder="1" applyAlignment="1">
      <alignment horizontal="left" vertical="center" wrapText="1"/>
    </xf>
    <xf numFmtId="167" fontId="98" fillId="0" borderId="0" xfId="0" applyNumberFormat="1" applyFont="1" applyAlignment="1">
      <alignment horizontal="left" vertical="center" wrapText="1"/>
    </xf>
    <xf numFmtId="167" fontId="98" fillId="0" borderId="10" xfId="0" applyNumberFormat="1" applyFont="1" applyBorder="1" applyAlignment="1">
      <alignment horizontal="left" vertical="center" wrapText="1"/>
    </xf>
    <xf numFmtId="167" fontId="6" fillId="25" borderId="51" xfId="30" applyNumberFormat="1" applyFill="1" applyBorder="1" applyAlignment="1" applyProtection="1">
      <alignment horizontal="left" vertical="center" wrapText="1"/>
    </xf>
    <xf numFmtId="167" fontId="6" fillId="25" borderId="0" xfId="30" applyNumberFormat="1" applyFill="1" applyBorder="1" applyAlignment="1" applyProtection="1">
      <alignment horizontal="left" vertical="center" wrapText="1"/>
    </xf>
    <xf numFmtId="167" fontId="6" fillId="25" borderId="10" xfId="30" applyNumberFormat="1" applyFill="1" applyBorder="1" applyAlignment="1" applyProtection="1">
      <alignment horizontal="left" vertical="center" wrapText="1"/>
    </xf>
    <xf numFmtId="167" fontId="6" fillId="25" borderId="21" xfId="30" applyNumberFormat="1" applyFill="1" applyBorder="1" applyAlignment="1" applyProtection="1">
      <alignment horizontal="left" vertical="center" wrapText="1"/>
    </xf>
    <xf numFmtId="167" fontId="6" fillId="25" borderId="126" xfId="30" applyNumberFormat="1" applyFill="1" applyBorder="1" applyAlignment="1" applyProtection="1">
      <alignment horizontal="left" vertical="center" wrapText="1"/>
    </xf>
    <xf numFmtId="167" fontId="6" fillId="25" borderId="37" xfId="30" applyNumberFormat="1" applyFill="1" applyBorder="1" applyAlignment="1" applyProtection="1">
      <alignment horizontal="left" vertical="center" wrapText="1"/>
    </xf>
    <xf numFmtId="167" fontId="6" fillId="41" borderId="18" xfId="30" applyNumberFormat="1" applyFill="1" applyBorder="1" applyAlignment="1" applyProtection="1">
      <alignment horizontal="left" vertical="center" wrapText="1"/>
    </xf>
    <xf numFmtId="167" fontId="6" fillId="41" borderId="70" xfId="30" applyNumberFormat="1" applyFill="1" applyBorder="1" applyAlignment="1" applyProtection="1">
      <alignment horizontal="left" vertical="center" wrapText="1"/>
    </xf>
    <xf numFmtId="167" fontId="6" fillId="41" borderId="26" xfId="30" applyNumberFormat="1" applyFill="1" applyBorder="1" applyAlignment="1" applyProtection="1">
      <alignment horizontal="left" vertical="center" wrapText="1"/>
    </xf>
    <xf numFmtId="167" fontId="101" fillId="41" borderId="18" xfId="30" applyNumberFormat="1" applyFont="1" applyFill="1" applyBorder="1" applyAlignment="1" applyProtection="1">
      <alignment horizontal="left" vertical="center" wrapText="1"/>
    </xf>
    <xf numFmtId="167" fontId="101" fillId="41" borderId="70" xfId="30" applyNumberFormat="1" applyFont="1" applyFill="1" applyBorder="1" applyAlignment="1" applyProtection="1">
      <alignment horizontal="left" vertical="center" wrapText="1"/>
    </xf>
    <xf numFmtId="167" fontId="101" fillId="41" borderId="26" xfId="30" applyNumberFormat="1" applyFont="1" applyFill="1" applyBorder="1" applyAlignment="1" applyProtection="1">
      <alignment horizontal="left" vertical="center" wrapText="1"/>
    </xf>
    <xf numFmtId="167" fontId="55" fillId="41" borderId="198" xfId="0" applyNumberFormat="1" applyFont="1" applyFill="1" applyBorder="1" applyAlignment="1">
      <alignment horizontal="center" vertical="center" wrapText="1"/>
    </xf>
    <xf numFmtId="167" fontId="55" fillId="41" borderId="185" xfId="0" applyNumberFormat="1" applyFont="1" applyFill="1" applyBorder="1" applyAlignment="1">
      <alignment horizontal="center" vertical="center" wrapText="1"/>
    </xf>
    <xf numFmtId="167" fontId="55" fillId="41" borderId="200" xfId="0" applyNumberFormat="1" applyFont="1" applyFill="1" applyBorder="1" applyAlignment="1">
      <alignment horizontal="center" vertical="center" wrapText="1"/>
    </xf>
    <xf numFmtId="167" fontId="55" fillId="0" borderId="184" xfId="0" applyNumberFormat="1" applyFont="1" applyBorder="1" applyAlignment="1">
      <alignment horizontal="center" vertical="center" wrapText="1"/>
    </xf>
    <xf numFmtId="167" fontId="55" fillId="0" borderId="185" xfId="0" applyNumberFormat="1" applyFont="1" applyBorder="1" applyAlignment="1">
      <alignment horizontal="center" vertical="center" wrapText="1"/>
    </xf>
    <xf numFmtId="167" fontId="55" fillId="0" borderId="190" xfId="0" applyNumberFormat="1" applyFont="1" applyBorder="1" applyAlignment="1">
      <alignment horizontal="center" vertical="center" wrapText="1"/>
    </xf>
    <xf numFmtId="0" fontId="4" fillId="0" borderId="64" xfId="0" applyFont="1" applyBorder="1" applyAlignment="1">
      <alignment horizontal="center" wrapText="1"/>
    </xf>
    <xf numFmtId="0" fontId="4" fillId="0" borderId="66" xfId="0" applyFont="1" applyBorder="1" applyAlignment="1">
      <alignment horizontal="center" wrapText="1"/>
    </xf>
    <xf numFmtId="0" fontId="0" fillId="0" borderId="65" xfId="0" applyBorder="1"/>
    <xf numFmtId="0" fontId="0" fillId="0" borderId="68" xfId="0" applyBorder="1"/>
    <xf numFmtId="0" fontId="0" fillId="0" borderId="10" xfId="0" applyBorder="1" applyAlignment="1">
      <alignment horizontal="center"/>
    </xf>
    <xf numFmtId="0" fontId="0" fillId="0" borderId="202" xfId="0" applyBorder="1" applyAlignment="1">
      <alignment horizontal="center"/>
    </xf>
    <xf numFmtId="167" fontId="98" fillId="0" borderId="18" xfId="0" applyNumberFormat="1" applyFont="1" applyBorder="1" applyAlignment="1">
      <alignment horizontal="left" vertical="center" wrapText="1"/>
    </xf>
    <xf numFmtId="167" fontId="98" fillId="0" borderId="70" xfId="0" applyNumberFormat="1" applyFont="1" applyBorder="1" applyAlignment="1">
      <alignment horizontal="left" vertical="center" wrapText="1"/>
    </xf>
    <xf numFmtId="167" fontId="98" fillId="0" borderId="26" xfId="0" applyNumberFormat="1" applyFont="1" applyBorder="1" applyAlignment="1">
      <alignment horizontal="left" vertical="center" wrapText="1"/>
    </xf>
    <xf numFmtId="167" fontId="98" fillId="46" borderId="18" xfId="0" applyNumberFormat="1" applyFont="1" applyFill="1" applyBorder="1" applyAlignment="1">
      <alignment horizontal="left" vertical="center" wrapText="1"/>
    </xf>
    <xf numFmtId="167" fontId="98" fillId="46" borderId="70" xfId="0" applyNumberFormat="1" applyFont="1" applyFill="1" applyBorder="1" applyAlignment="1">
      <alignment horizontal="left" vertical="center" wrapText="1"/>
    </xf>
    <xf numFmtId="167" fontId="98" fillId="46" borderId="26" xfId="0" applyNumberFormat="1" applyFont="1" applyFill="1" applyBorder="1" applyAlignment="1">
      <alignment horizontal="left" vertical="center" wrapText="1"/>
    </xf>
    <xf numFmtId="167" fontId="20" fillId="0" borderId="5" xfId="0" applyNumberFormat="1" applyFont="1" applyBorder="1" applyAlignment="1">
      <alignment horizontal="center" vertical="center"/>
    </xf>
    <xf numFmtId="167" fontId="29" fillId="0" borderId="18" xfId="0" applyNumberFormat="1" applyFont="1" applyBorder="1" applyAlignment="1">
      <alignment horizontal="left" vertical="center" wrapText="1" indent="1"/>
    </xf>
    <xf numFmtId="167" fontId="29" fillId="0" borderId="70" xfId="0" applyNumberFormat="1" applyFont="1" applyBorder="1" applyAlignment="1">
      <alignment horizontal="left" vertical="center" wrapText="1" indent="1"/>
    </xf>
    <xf numFmtId="167" fontId="29" fillId="0" borderId="16" xfId="0" applyNumberFormat="1" applyFont="1" applyBorder="1" applyAlignment="1">
      <alignment horizontal="left" vertical="center" wrapText="1" indent="1"/>
    </xf>
    <xf numFmtId="167" fontId="29" fillId="0" borderId="23" xfId="0" applyNumberFormat="1" applyFont="1" applyBorder="1" applyAlignment="1">
      <alignment horizontal="left" vertical="center" wrapText="1" indent="1"/>
    </xf>
    <xf numFmtId="167" fontId="29" fillId="0" borderId="15" xfId="0" applyNumberFormat="1" applyFont="1" applyBorder="1" applyAlignment="1">
      <alignment horizontal="left" vertical="center" wrapText="1" indent="1"/>
    </xf>
    <xf numFmtId="167" fontId="20" fillId="0" borderId="61" xfId="0" applyNumberFormat="1" applyFont="1" applyBorder="1" applyAlignment="1">
      <alignment horizontal="center" vertical="center" wrapText="1"/>
    </xf>
    <xf numFmtId="167" fontId="20" fillId="0" borderId="62" xfId="0" applyNumberFormat="1" applyFont="1" applyBorder="1" applyAlignment="1">
      <alignment horizontal="center" vertical="center" wrapText="1"/>
    </xf>
    <xf numFmtId="167" fontId="20" fillId="0" borderId="63" xfId="0" applyNumberFormat="1" applyFont="1" applyBorder="1" applyAlignment="1">
      <alignment horizontal="center" vertical="center" wrapText="1"/>
    </xf>
    <xf numFmtId="167" fontId="20" fillId="0" borderId="64" xfId="0" applyNumberFormat="1" applyFont="1" applyBorder="1" applyAlignment="1">
      <alignment horizontal="center" vertical="center" wrapText="1"/>
    </xf>
    <xf numFmtId="167" fontId="20" fillId="0" borderId="0" xfId="0" applyNumberFormat="1" applyFont="1" applyAlignment="1">
      <alignment horizontal="center" vertical="center" wrapText="1"/>
    </xf>
    <xf numFmtId="167" fontId="20" fillId="0" borderId="65" xfId="0" applyNumberFormat="1" applyFont="1" applyBorder="1" applyAlignment="1">
      <alignment horizontal="center" vertical="center" wrapText="1"/>
    </xf>
    <xf numFmtId="167" fontId="20" fillId="0" borderId="66" xfId="0" applyNumberFormat="1" applyFont="1" applyBorder="1" applyAlignment="1">
      <alignment horizontal="center" vertical="center" wrapText="1"/>
    </xf>
    <xf numFmtId="167" fontId="20" fillId="0" borderId="67" xfId="0" applyNumberFormat="1" applyFont="1" applyBorder="1" applyAlignment="1">
      <alignment horizontal="center" vertical="center" wrapText="1"/>
    </xf>
    <xf numFmtId="167" fontId="20" fillId="0" borderId="68" xfId="0" applyNumberFormat="1" applyFont="1" applyBorder="1" applyAlignment="1">
      <alignment horizontal="center" vertical="center" wrapText="1"/>
    </xf>
    <xf numFmtId="0" fontId="24" fillId="0" borderId="0" xfId="0" applyFont="1" applyAlignment="1">
      <alignment horizontal="left"/>
    </xf>
    <xf numFmtId="0" fontId="24" fillId="0" borderId="10" xfId="0" applyFont="1" applyBorder="1" applyAlignment="1">
      <alignment horizontal="left"/>
    </xf>
    <xf numFmtId="167" fontId="32" fillId="0" borderId="18" xfId="186" applyNumberFormat="1" applyFont="1" applyBorder="1" applyAlignment="1">
      <alignment horizontal="left" vertical="center" wrapText="1" indent="1"/>
    </xf>
    <xf numFmtId="167" fontId="32" fillId="0" borderId="16" xfId="186" applyNumberFormat="1" applyFont="1" applyBorder="1" applyAlignment="1">
      <alignment horizontal="left" vertical="center" wrapText="1" indent="1"/>
    </xf>
    <xf numFmtId="167" fontId="29" fillId="0" borderId="24" xfId="186" applyNumberFormat="1" applyFont="1" applyBorder="1" applyAlignment="1">
      <alignment horizontal="left" vertical="center" wrapText="1" indent="1"/>
    </xf>
    <xf numFmtId="167" fontId="29" fillId="0" borderId="91" xfId="186" applyNumberFormat="1" applyFont="1" applyBorder="1" applyAlignment="1">
      <alignment horizontal="left" vertical="center" wrapText="1" indent="1"/>
    </xf>
    <xf numFmtId="167" fontId="29" fillId="0" borderId="71" xfId="186" applyNumberFormat="1" applyFont="1" applyBorder="1" applyAlignment="1">
      <alignment horizontal="left" vertical="center" wrapText="1" indent="1"/>
    </xf>
    <xf numFmtId="167" fontId="29" fillId="0" borderId="51" xfId="186" applyNumberFormat="1" applyFont="1" applyBorder="1" applyAlignment="1">
      <alignment horizontal="left" vertical="center" wrapText="1" indent="1"/>
    </xf>
    <xf numFmtId="167" fontId="29" fillId="0" borderId="0" xfId="186" applyNumberFormat="1" applyFont="1" applyAlignment="1">
      <alignment horizontal="left" vertical="center" wrapText="1" indent="1"/>
    </xf>
    <xf numFmtId="167" fontId="29" fillId="0" borderId="216" xfId="186" applyNumberFormat="1" applyFont="1" applyBorder="1" applyAlignment="1">
      <alignment horizontal="left" vertical="center" wrapText="1" indent="1"/>
    </xf>
    <xf numFmtId="167" fontId="29" fillId="0" borderId="21" xfId="186" applyNumberFormat="1" applyFont="1" applyBorder="1" applyAlignment="1">
      <alignment horizontal="left" vertical="center" wrapText="1" indent="1"/>
    </xf>
    <xf numFmtId="167" fontId="29" fillId="0" borderId="126" xfId="186" applyNumberFormat="1" applyFont="1" applyBorder="1" applyAlignment="1">
      <alignment horizontal="left" vertical="center" wrapText="1" indent="1"/>
    </xf>
    <xf numFmtId="167" fontId="29" fillId="0" borderId="29" xfId="186" applyNumberFormat="1" applyFont="1" applyBorder="1" applyAlignment="1">
      <alignment horizontal="left" vertical="center" wrapText="1" indent="1"/>
    </xf>
    <xf numFmtId="49" fontId="79" fillId="0" borderId="0" xfId="83">
      <alignment horizontal="left" vertical="center" wrapText="1"/>
    </xf>
    <xf numFmtId="49" fontId="83" fillId="0" borderId="0" xfId="154">
      <alignment horizontal="left" vertical="center" wrapText="1"/>
    </xf>
    <xf numFmtId="0" fontId="0" fillId="0" borderId="164" xfId="0" applyBorder="1" applyAlignment="1">
      <alignment wrapText="1"/>
    </xf>
    <xf numFmtId="0" fontId="0" fillId="0" borderId="165" xfId="0" applyBorder="1" applyAlignment="1">
      <alignment wrapText="1"/>
    </xf>
    <xf numFmtId="0" fontId="82" fillId="35" borderId="0" xfId="81" applyAlignment="1">
      <alignment horizontal="left" vertical="center" wrapText="1"/>
    </xf>
    <xf numFmtId="0" fontId="82" fillId="35" borderId="150" xfId="81" applyBorder="1" applyAlignment="1">
      <alignment horizontal="left" vertical="center"/>
    </xf>
    <xf numFmtId="0" fontId="83" fillId="36" borderId="158" xfId="57" applyBorder="1" applyAlignment="1">
      <alignment horizontal="left" vertical="center" wrapText="1"/>
      <protection locked="0"/>
    </xf>
    <xf numFmtId="0" fontId="82" fillId="35" borderId="0" xfId="81" applyAlignment="1">
      <alignment horizontal="center" vertical="center" wrapText="1"/>
    </xf>
    <xf numFmtId="0" fontId="82" fillId="35" borderId="150" xfId="81" applyBorder="1" applyAlignment="1">
      <alignment horizontal="center" vertical="center" wrapText="1"/>
    </xf>
    <xf numFmtId="0" fontId="83" fillId="36" borderId="168" xfId="57" applyBorder="1">
      <alignment vertical="center" wrapText="1"/>
      <protection locked="0"/>
    </xf>
    <xf numFmtId="0" fontId="83" fillId="36" borderId="158" xfId="57" applyBorder="1">
      <alignment vertical="center" wrapText="1"/>
      <protection locked="0"/>
    </xf>
    <xf numFmtId="0" fontId="83" fillId="36" borderId="169" xfId="57" applyBorder="1">
      <alignment vertical="center" wrapText="1"/>
      <protection locked="0"/>
    </xf>
    <xf numFmtId="0" fontId="82" fillId="35" borderId="0" xfId="81">
      <alignment vertical="center" wrapText="1"/>
    </xf>
    <xf numFmtId="0" fontId="0" fillId="0" borderId="0" xfId="0" applyAlignment="1">
      <alignment wrapText="1"/>
    </xf>
    <xf numFmtId="0" fontId="84" fillId="35" borderId="0" xfId="81" applyFont="1" applyAlignment="1">
      <alignment horizontal="left" vertical="center" wrapText="1"/>
    </xf>
    <xf numFmtId="0" fontId="83" fillId="36" borderId="170" xfId="57" applyBorder="1" applyAlignment="1">
      <alignment horizontal="left" vertical="center" wrapText="1"/>
      <protection locked="0"/>
    </xf>
    <xf numFmtId="166" fontId="25" fillId="0" borderId="5" xfId="22" applyFont="1" applyBorder="1" applyAlignment="1">
      <alignment horizontal="left" vertical="center"/>
    </xf>
    <xf numFmtId="0" fontId="25" fillId="0" borderId="5" xfId="35" applyFont="1" applyBorder="1" applyAlignment="1">
      <alignment horizontal="center" vertical="center" wrapText="1"/>
    </xf>
    <xf numFmtId="166" fontId="24" fillId="20" borderId="5" xfId="4" applyFont="1" applyFill="1" applyBorder="1" applyAlignment="1">
      <alignment horizontal="left"/>
    </xf>
    <xf numFmtId="166" fontId="25" fillId="0" borderId="5" xfId="22" applyFont="1" applyBorder="1" applyAlignment="1">
      <alignment horizontal="left"/>
    </xf>
    <xf numFmtId="166" fontId="20" fillId="20" borderId="2" xfId="1" applyFont="1" applyFill="1" applyBorder="1" applyAlignment="1">
      <alignment horizontal="left" vertical="center"/>
    </xf>
    <xf numFmtId="166" fontId="20" fillId="20" borderId="14" xfId="1" applyFont="1" applyFill="1" applyBorder="1" applyAlignment="1">
      <alignment horizontal="left" vertical="center"/>
    </xf>
    <xf numFmtId="167" fontId="19" fillId="0" borderId="42" xfId="0" applyNumberFormat="1" applyFont="1" applyBorder="1" applyAlignment="1">
      <alignment vertical="center"/>
    </xf>
    <xf numFmtId="167" fontId="19" fillId="0" borderId="26" xfId="0" applyNumberFormat="1" applyFont="1" applyBorder="1" applyAlignment="1">
      <alignment vertical="center"/>
    </xf>
    <xf numFmtId="167" fontId="19" fillId="0" borderId="21" xfId="0" applyNumberFormat="1" applyFont="1" applyBorder="1" applyAlignment="1">
      <alignment horizontal="left" vertical="center"/>
    </xf>
    <xf numFmtId="167" fontId="19" fillId="0" borderId="29" xfId="0" applyNumberFormat="1" applyFont="1" applyBorder="1" applyAlignment="1">
      <alignment horizontal="left" vertical="center"/>
    </xf>
    <xf numFmtId="167" fontId="20" fillId="16" borderId="1" xfId="0" applyNumberFormat="1" applyFont="1" applyFill="1" applyBorder="1" applyAlignment="1">
      <alignment horizontal="left" vertical="center"/>
    </xf>
    <xf numFmtId="167" fontId="20" fillId="16" borderId="2" xfId="0" applyNumberFormat="1" applyFont="1" applyFill="1" applyBorder="1" applyAlignment="1">
      <alignment horizontal="left" vertical="center"/>
    </xf>
    <xf numFmtId="167" fontId="20" fillId="16" borderId="14" xfId="0" applyNumberFormat="1" applyFont="1" applyFill="1" applyBorder="1" applyAlignment="1">
      <alignment horizontal="left" vertical="center"/>
    </xf>
    <xf numFmtId="166" fontId="19" fillId="0" borderId="70" xfId="1" applyFont="1" applyBorder="1" applyAlignment="1">
      <alignment horizontal="left" vertical="center"/>
    </xf>
    <xf numFmtId="166" fontId="19" fillId="0" borderId="26" xfId="1" applyFont="1" applyBorder="1" applyAlignment="1">
      <alignment horizontal="left" vertical="center"/>
    </xf>
    <xf numFmtId="167" fontId="19" fillId="0" borderId="60" xfId="0" applyNumberFormat="1" applyFont="1" applyBorder="1" applyAlignment="1">
      <alignment vertical="center"/>
    </xf>
    <xf numFmtId="167" fontId="19" fillId="0" borderId="45" xfId="0" applyNumberFormat="1" applyFont="1" applyBorder="1" applyAlignment="1">
      <alignment vertical="center"/>
    </xf>
    <xf numFmtId="167" fontId="20" fillId="16" borderId="5" xfId="0" applyNumberFormat="1" applyFont="1" applyFill="1" applyBorder="1" applyAlignment="1">
      <alignment horizontal="center" vertical="center"/>
    </xf>
    <xf numFmtId="167" fontId="61" fillId="16" borderId="5" xfId="0" applyNumberFormat="1" applyFont="1" applyFill="1" applyBorder="1" applyAlignment="1">
      <alignment horizontal="left" vertical="center"/>
    </xf>
    <xf numFmtId="167" fontId="19" fillId="0" borderId="144" xfId="0" applyNumberFormat="1" applyFont="1" applyBorder="1" applyAlignment="1">
      <alignment vertical="center"/>
    </xf>
    <xf numFmtId="167" fontId="19" fillId="0" borderId="31" xfId="0" applyNumberFormat="1" applyFont="1" applyBorder="1" applyAlignment="1">
      <alignment vertical="center"/>
    </xf>
    <xf numFmtId="166" fontId="19" fillId="0" borderId="42" xfId="1" applyFont="1" applyBorder="1" applyAlignment="1">
      <alignment horizontal="left" vertical="center"/>
    </xf>
    <xf numFmtId="167" fontId="20" fillId="0" borderId="6" xfId="0" applyNumberFormat="1" applyFont="1" applyBorder="1" applyAlignment="1">
      <alignment vertical="center" wrapText="1"/>
    </xf>
    <xf numFmtId="167" fontId="20" fillId="0" borderId="7" xfId="0" applyNumberFormat="1" applyFont="1" applyBorder="1" applyAlignment="1">
      <alignment vertical="center" wrapText="1"/>
    </xf>
    <xf numFmtId="167" fontId="20" fillId="0" borderId="8" xfId="0" applyNumberFormat="1" applyFont="1" applyBorder="1" applyAlignment="1">
      <alignment vertical="center" wrapText="1"/>
    </xf>
    <xf numFmtId="167" fontId="20" fillId="0" borderId="11" xfId="0" applyNumberFormat="1" applyFont="1" applyBorder="1" applyAlignment="1">
      <alignment vertical="center" wrapText="1"/>
    </xf>
    <xf numFmtId="167" fontId="20" fillId="0" borderId="12" xfId="0" applyNumberFormat="1" applyFont="1" applyBorder="1" applyAlignment="1">
      <alignment vertical="center" wrapText="1"/>
    </xf>
    <xf numFmtId="167" fontId="20" fillId="0" borderId="13" xfId="0" applyNumberFormat="1" applyFont="1" applyBorder="1" applyAlignment="1">
      <alignment vertical="center" wrapText="1"/>
    </xf>
    <xf numFmtId="166" fontId="19" fillId="18" borderId="5" xfId="1" applyFont="1" applyFill="1" applyBorder="1" applyAlignment="1">
      <alignment horizontal="left" vertical="center"/>
    </xf>
    <xf numFmtId="167" fontId="65" fillId="0" borderId="60" xfId="0" applyNumberFormat="1" applyFont="1" applyBorder="1" applyAlignment="1">
      <alignment vertical="center" wrapText="1"/>
    </xf>
    <xf numFmtId="167" fontId="65" fillId="0" borderId="91" xfId="0" applyNumberFormat="1" applyFont="1" applyBorder="1" applyAlignment="1">
      <alignment vertical="center" wrapText="1"/>
    </xf>
    <xf numFmtId="167" fontId="65" fillId="0" borderId="45" xfId="0" applyNumberFormat="1" applyFont="1" applyBorder="1" applyAlignment="1">
      <alignment vertical="center" wrapText="1"/>
    </xf>
    <xf numFmtId="167" fontId="65" fillId="0" borderId="41" xfId="0" applyNumberFormat="1" applyFont="1" applyBorder="1" applyAlignment="1">
      <alignment vertical="center" wrapText="1"/>
    </xf>
    <xf numFmtId="167" fontId="65" fillId="0" borderId="126" xfId="0" applyNumberFormat="1" applyFont="1" applyBorder="1" applyAlignment="1">
      <alignment vertical="center" wrapText="1"/>
    </xf>
    <xf numFmtId="167" fontId="65" fillId="0" borderId="37" xfId="0" applyNumberFormat="1" applyFont="1" applyBorder="1" applyAlignment="1">
      <alignment vertical="center" wrapText="1"/>
    </xf>
    <xf numFmtId="0" fontId="19" fillId="0" borderId="53" xfId="1" applyNumberFormat="1" applyFont="1" applyBorder="1" applyAlignment="1">
      <alignment vertical="center" wrapText="1"/>
    </xf>
    <xf numFmtId="0" fontId="19" fillId="0" borderId="59" xfId="1" applyNumberFormat="1" applyFont="1" applyBorder="1" applyAlignment="1">
      <alignment vertical="center" wrapText="1"/>
    </xf>
    <xf numFmtId="0" fontId="19" fillId="0" borderId="49" xfId="1" applyNumberFormat="1" applyFont="1" applyBorder="1" applyAlignment="1">
      <alignment vertical="center" wrapText="1"/>
    </xf>
    <xf numFmtId="0" fontId="75" fillId="0" borderId="5" xfId="0" applyFont="1" applyBorder="1" applyAlignment="1">
      <alignment horizontal="center" vertical="center"/>
    </xf>
    <xf numFmtId="43" fontId="55" fillId="0" borderId="129" xfId="30" applyNumberFormat="1" applyFont="1" applyBorder="1" applyAlignment="1" applyProtection="1">
      <alignment horizontal="center"/>
    </xf>
    <xf numFmtId="43" fontId="55" fillId="0" borderId="82" xfId="30" applyNumberFormat="1" applyFont="1" applyBorder="1" applyAlignment="1" applyProtection="1">
      <alignment horizontal="center"/>
    </xf>
    <xf numFmtId="43" fontId="55" fillId="0" borderId="83" xfId="30" applyNumberFormat="1" applyFont="1" applyBorder="1" applyAlignment="1" applyProtection="1">
      <alignment horizontal="center"/>
    </xf>
    <xf numFmtId="0" fontId="75" fillId="0" borderId="1" xfId="0" applyFont="1" applyBorder="1" applyAlignment="1">
      <alignment horizontal="center" vertical="center"/>
    </xf>
    <xf numFmtId="0" fontId="75" fillId="0" borderId="2" xfId="0" applyFont="1" applyBorder="1" applyAlignment="1">
      <alignment horizontal="center" vertical="center"/>
    </xf>
    <xf numFmtId="0" fontId="75" fillId="0" borderId="14" xfId="0" applyFont="1" applyBorder="1" applyAlignment="1">
      <alignment horizontal="center" vertical="center"/>
    </xf>
    <xf numFmtId="43" fontId="22" fillId="0" borderId="1" xfId="30" applyNumberFormat="1" applyFont="1" applyBorder="1" applyAlignment="1" applyProtection="1">
      <alignment horizontal="center"/>
    </xf>
    <xf numFmtId="43" fontId="22" fillId="0" borderId="14" xfId="30" applyNumberFormat="1" applyFont="1" applyBorder="1" applyAlignment="1" applyProtection="1">
      <alignment horizontal="center"/>
    </xf>
    <xf numFmtId="0" fontId="25" fillId="0" borderId="61" xfId="0" applyFont="1" applyBorder="1" applyAlignment="1">
      <alignment vertical="center" wrapText="1"/>
    </xf>
    <xf numFmtId="0" fontId="25" fillId="0" borderId="62" xfId="0" applyFont="1" applyBorder="1" applyAlignment="1">
      <alignment vertical="center" wrapText="1"/>
    </xf>
    <xf numFmtId="0" fontId="25" fillId="0" borderId="63" xfId="0" applyFont="1" applyBorder="1" applyAlignment="1">
      <alignment vertical="center" wrapText="1"/>
    </xf>
    <xf numFmtId="0" fontId="25" fillId="0" borderId="64" xfId="0" applyFont="1" applyBorder="1" applyAlignment="1">
      <alignment vertical="center" wrapText="1"/>
    </xf>
    <xf numFmtId="0" fontId="25" fillId="0" borderId="0" xfId="0" applyFont="1" applyAlignment="1">
      <alignment vertical="center" wrapText="1"/>
    </xf>
    <xf numFmtId="0" fontId="25" fillId="0" borderId="65" xfId="0" applyFont="1" applyBorder="1" applyAlignment="1">
      <alignment vertical="center" wrapText="1"/>
    </xf>
    <xf numFmtId="0" fontId="25" fillId="0" borderId="66" xfId="0" applyFont="1" applyBorder="1" applyAlignment="1">
      <alignment vertical="center" wrapText="1"/>
    </xf>
    <xf numFmtId="0" fontId="25" fillId="0" borderId="67" xfId="0" applyFont="1" applyBorder="1" applyAlignment="1">
      <alignment vertical="center" wrapText="1"/>
    </xf>
    <xf numFmtId="0" fontId="25" fillId="0" borderId="68" xfId="0" applyFont="1" applyBorder="1" applyAlignment="1">
      <alignment vertical="center" wrapText="1"/>
    </xf>
    <xf numFmtId="0" fontId="24" fillId="21" borderId="113" xfId="0" applyFont="1" applyFill="1" applyBorder="1" applyAlignment="1">
      <alignment horizontal="left" vertical="center"/>
    </xf>
    <xf numFmtId="0" fontId="24" fillId="21" borderId="138" xfId="0" applyFont="1" applyFill="1" applyBorder="1" applyAlignment="1">
      <alignment horizontal="left" vertical="center"/>
    </xf>
    <xf numFmtId="0" fontId="24" fillId="21" borderId="105" xfId="0" applyFont="1" applyFill="1" applyBorder="1" applyAlignment="1">
      <alignment horizontal="left" vertical="center"/>
    </xf>
    <xf numFmtId="14" fontId="24" fillId="21" borderId="113" xfId="0" applyNumberFormat="1" applyFont="1" applyFill="1" applyBorder="1" applyAlignment="1">
      <alignment horizontal="left" vertical="center"/>
    </xf>
    <xf numFmtId="14" fontId="24" fillId="21" borderId="105" xfId="0" applyNumberFormat="1" applyFont="1" applyFill="1" applyBorder="1" applyAlignment="1">
      <alignment horizontal="left" vertical="center"/>
    </xf>
    <xf numFmtId="0" fontId="24" fillId="21" borderId="18" xfId="0" applyFont="1" applyFill="1" applyBorder="1" applyAlignment="1">
      <alignment horizontal="left" vertical="center"/>
    </xf>
    <xf numFmtId="0" fontId="24" fillId="21" borderId="16" xfId="0" applyFont="1" applyFill="1" applyBorder="1" applyAlignment="1">
      <alignment horizontal="left" vertical="center"/>
    </xf>
    <xf numFmtId="167" fontId="19" fillId="0" borderId="0" xfId="0" applyNumberFormat="1" applyFont="1" applyAlignment="1" applyProtection="1">
      <alignment horizontal="center" vertical="center"/>
      <protection locked="0"/>
    </xf>
    <xf numFmtId="49" fontId="19" fillId="21" borderId="41" xfId="0" applyNumberFormat="1" applyFont="1" applyFill="1" applyBorder="1" applyAlignment="1" applyProtection="1">
      <alignment vertical="center"/>
      <protection locked="0"/>
    </xf>
    <xf numFmtId="49" fontId="19" fillId="21" borderId="126" xfId="0" applyNumberFormat="1" applyFont="1" applyFill="1" applyBorder="1" applyAlignment="1" applyProtection="1">
      <alignment vertical="center"/>
      <protection locked="0"/>
    </xf>
    <xf numFmtId="49" fontId="19" fillId="21" borderId="37" xfId="0" applyNumberFormat="1" applyFont="1" applyFill="1" applyBorder="1" applyAlignment="1" applyProtection="1">
      <alignment vertical="center"/>
      <protection locked="0"/>
    </xf>
    <xf numFmtId="166" fontId="25" fillId="17" borderId="1" xfId="17" applyFont="1" applyFill="1" applyBorder="1" applyAlignment="1" applyProtection="1">
      <protection locked="0"/>
    </xf>
    <xf numFmtId="166" fontId="25" fillId="17" borderId="2" xfId="17" applyFont="1" applyFill="1" applyBorder="1" applyAlignment="1" applyProtection="1">
      <protection locked="0"/>
    </xf>
    <xf numFmtId="166" fontId="25" fillId="17" borderId="14" xfId="17" applyFont="1" applyFill="1" applyBorder="1" applyAlignment="1" applyProtection="1">
      <protection locked="0"/>
    </xf>
    <xf numFmtId="167" fontId="20" fillId="0" borderId="6" xfId="0" applyNumberFormat="1" applyFont="1" applyBorder="1" applyAlignment="1" applyProtection="1">
      <alignment horizontal="left" vertical="center"/>
      <protection locked="0"/>
    </xf>
    <xf numFmtId="167" fontId="20" fillId="0" borderId="8" xfId="0" applyNumberFormat="1" applyFont="1" applyBorder="1" applyAlignment="1" applyProtection="1">
      <alignment horizontal="left" vertical="center"/>
      <protection locked="0"/>
    </xf>
    <xf numFmtId="167" fontId="20" fillId="0" borderId="9" xfId="0" applyNumberFormat="1" applyFont="1" applyBorder="1" applyAlignment="1" applyProtection="1">
      <alignment horizontal="left" vertical="center"/>
      <protection locked="0"/>
    </xf>
    <xf numFmtId="167" fontId="20" fillId="0" borderId="10" xfId="0" applyNumberFormat="1" applyFont="1" applyBorder="1" applyAlignment="1" applyProtection="1">
      <alignment horizontal="left" vertical="center"/>
      <protection locked="0"/>
    </xf>
    <xf numFmtId="167" fontId="20" fillId="0" borderId="11" xfId="0" applyNumberFormat="1" applyFont="1" applyBorder="1" applyAlignment="1" applyProtection="1">
      <alignment horizontal="left" vertical="center"/>
      <protection locked="0"/>
    </xf>
    <xf numFmtId="167" fontId="20" fillId="0" borderId="13" xfId="0" applyNumberFormat="1" applyFont="1" applyBorder="1" applyAlignment="1" applyProtection="1">
      <alignment horizontal="left" vertical="center"/>
      <protection locked="0"/>
    </xf>
    <xf numFmtId="49" fontId="19" fillId="17" borderId="42" xfId="0" applyNumberFormat="1" applyFont="1" applyFill="1" applyBorder="1" applyAlignment="1" applyProtection="1">
      <alignment horizontal="left" vertical="center"/>
      <protection locked="0"/>
    </xf>
    <xf numFmtId="49" fontId="19" fillId="17" borderId="70" xfId="0" applyNumberFormat="1" applyFont="1" applyFill="1" applyBorder="1" applyAlignment="1" applyProtection="1">
      <alignment horizontal="left" vertical="center"/>
      <protection locked="0"/>
    </xf>
    <xf numFmtId="49" fontId="19" fillId="17" borderId="26" xfId="0" applyNumberFormat="1" applyFont="1" applyFill="1" applyBorder="1" applyAlignment="1" applyProtection="1">
      <alignment horizontal="left" vertical="center"/>
      <protection locked="0"/>
    </xf>
    <xf numFmtId="49" fontId="19" fillId="17" borderId="41" xfId="0" applyNumberFormat="1" applyFont="1" applyFill="1" applyBorder="1" applyAlignment="1" applyProtection="1">
      <alignment vertical="center"/>
      <protection locked="0"/>
    </xf>
    <xf numFmtId="49" fontId="19" fillId="17" borderId="126" xfId="0" applyNumberFormat="1" applyFont="1" applyFill="1" applyBorder="1" applyAlignment="1" applyProtection="1">
      <alignment vertical="center"/>
      <protection locked="0"/>
    </xf>
    <xf numFmtId="49" fontId="19" fillId="17" borderId="37" xfId="0" applyNumberFormat="1" applyFont="1" applyFill="1" applyBorder="1" applyAlignment="1" applyProtection="1">
      <alignment vertical="center"/>
      <protection locked="0"/>
    </xf>
    <xf numFmtId="0" fontId="25" fillId="16" borderId="90" xfId="0" applyFont="1" applyFill="1" applyBorder="1" applyAlignment="1" applyProtection="1">
      <alignment horizontal="center" vertical="center" wrapText="1"/>
      <protection locked="0"/>
    </xf>
    <xf numFmtId="0" fontId="25" fillId="16" borderId="4" xfId="0" applyFont="1" applyFill="1" applyBorder="1" applyAlignment="1" applyProtection="1">
      <alignment horizontal="center" vertical="center" wrapText="1"/>
      <protection locked="0"/>
    </xf>
    <xf numFmtId="0" fontId="25" fillId="16" borderId="90" xfId="0" applyFont="1" applyFill="1" applyBorder="1" applyAlignment="1" applyProtection="1">
      <alignment horizontal="center" vertical="center"/>
      <protection locked="0"/>
    </xf>
    <xf numFmtId="0" fontId="25" fillId="16" borderId="4" xfId="0" applyFont="1" applyFill="1" applyBorder="1" applyAlignment="1" applyProtection="1">
      <alignment horizontal="center" vertical="center"/>
      <protection locked="0"/>
    </xf>
    <xf numFmtId="167" fontId="20" fillId="0" borderId="90" xfId="0" applyNumberFormat="1" applyFont="1" applyBorder="1" applyAlignment="1" applyProtection="1">
      <alignment horizontal="left" vertical="center"/>
      <protection locked="0"/>
    </xf>
    <xf numFmtId="167" fontId="20" fillId="0" borderId="47" xfId="0" applyNumberFormat="1" applyFont="1" applyBorder="1" applyAlignment="1" applyProtection="1">
      <alignment horizontal="left" vertical="center"/>
      <protection locked="0"/>
    </xf>
    <xf numFmtId="0" fontId="25" fillId="16" borderId="47" xfId="0" applyFont="1" applyFill="1" applyBorder="1" applyAlignment="1" applyProtection="1">
      <alignment horizontal="center" vertical="center"/>
      <protection locked="0"/>
    </xf>
    <xf numFmtId="167" fontId="20" fillId="16" borderId="6" xfId="0" applyNumberFormat="1" applyFont="1" applyFill="1" applyBorder="1" applyAlignment="1" applyProtection="1">
      <alignment horizontal="left" vertical="center"/>
      <protection locked="0"/>
    </xf>
    <xf numFmtId="167" fontId="20" fillId="16" borderId="7" xfId="0" applyNumberFormat="1" applyFont="1" applyFill="1" applyBorder="1" applyAlignment="1" applyProtection="1">
      <alignment horizontal="left" vertical="center"/>
      <protection locked="0"/>
    </xf>
    <xf numFmtId="167" fontId="20" fillId="16" borderId="8" xfId="0" applyNumberFormat="1" applyFont="1" applyFill="1" applyBorder="1" applyAlignment="1" applyProtection="1">
      <alignment horizontal="left" vertical="center"/>
      <protection locked="0"/>
    </xf>
    <xf numFmtId="167" fontId="20" fillId="16" borderId="11" xfId="0" applyNumberFormat="1" applyFont="1" applyFill="1" applyBorder="1" applyAlignment="1" applyProtection="1">
      <alignment horizontal="left" vertical="center"/>
      <protection locked="0"/>
    </xf>
    <xf numFmtId="167" fontId="20" fillId="16" borderId="12" xfId="0" applyNumberFormat="1" applyFont="1" applyFill="1" applyBorder="1" applyAlignment="1" applyProtection="1">
      <alignment horizontal="left" vertical="center"/>
      <protection locked="0"/>
    </xf>
    <xf numFmtId="167" fontId="20" fillId="16" borderId="13" xfId="0" applyNumberFormat="1" applyFont="1" applyFill="1" applyBorder="1" applyAlignment="1" applyProtection="1">
      <alignment horizontal="left" vertical="center"/>
      <protection locked="0"/>
    </xf>
    <xf numFmtId="43" fontId="25" fillId="16" borderId="8" xfId="0" applyNumberFormat="1" applyFont="1" applyFill="1" applyBorder="1" applyAlignment="1" applyProtection="1">
      <alignment horizontal="center" vertical="center"/>
      <protection locked="0"/>
    </xf>
    <xf numFmtId="43" fontId="25" fillId="16" borderId="13" xfId="0" applyNumberFormat="1" applyFont="1" applyFill="1" applyBorder="1" applyAlignment="1" applyProtection="1">
      <alignment horizontal="center" vertical="center"/>
      <protection locked="0"/>
    </xf>
    <xf numFmtId="43" fontId="23" fillId="0" borderId="129" xfId="30" applyNumberFormat="1" applyFont="1" applyBorder="1" applyAlignment="1" applyProtection="1">
      <alignment horizontal="left"/>
      <protection locked="0"/>
    </xf>
    <xf numFmtId="43" fontId="23" fillId="0" borderId="82" xfId="30" applyNumberFormat="1" applyFont="1" applyBorder="1" applyAlignment="1" applyProtection="1">
      <alignment horizontal="left"/>
      <protection locked="0"/>
    </xf>
    <xf numFmtId="43" fontId="23" fillId="0" borderId="83" xfId="30" applyNumberFormat="1" applyFont="1" applyBorder="1" applyAlignment="1" applyProtection="1">
      <alignment horizontal="left"/>
      <protection locked="0"/>
    </xf>
    <xf numFmtId="43" fontId="24" fillId="21" borderId="0" xfId="0" applyNumberFormat="1" applyFont="1" applyFill="1" applyAlignment="1" applyProtection="1">
      <alignment horizontal="left"/>
      <protection locked="0"/>
    </xf>
    <xf numFmtId="0" fontId="25" fillId="16" borderId="90" xfId="0" applyFont="1" applyFill="1" applyBorder="1" applyAlignment="1" applyProtection="1">
      <alignment horizontal="left" vertical="center"/>
      <protection locked="0"/>
    </xf>
    <xf numFmtId="0" fontId="25" fillId="16" borderId="4" xfId="0" applyFont="1" applyFill="1" applyBorder="1" applyAlignment="1" applyProtection="1">
      <alignment horizontal="left" vertical="center"/>
      <protection locked="0"/>
    </xf>
    <xf numFmtId="0" fontId="59" fillId="0" borderId="5" xfId="12" applyNumberFormat="1" applyFont="1" applyBorder="1" applyAlignment="1">
      <alignment horizontal="center" vertical="center"/>
    </xf>
    <xf numFmtId="0" fontId="58" fillId="18" borderId="14" xfId="0" applyFont="1" applyFill="1" applyBorder="1" applyAlignment="1">
      <alignment horizontal="center" vertical="center"/>
    </xf>
    <xf numFmtId="0" fontId="58" fillId="18" borderId="5" xfId="0" applyFont="1" applyFill="1" applyBorder="1" applyAlignment="1">
      <alignment horizontal="center" vertical="center"/>
    </xf>
    <xf numFmtId="166" fontId="59" fillId="16" borderId="144" xfId="1" applyFont="1" applyFill="1" applyBorder="1" applyAlignment="1">
      <alignment horizontal="center" vertical="center" wrapText="1"/>
    </xf>
    <xf numFmtId="166" fontId="59" fillId="16" borderId="31" xfId="1" applyFont="1" applyFill="1" applyBorder="1" applyAlignment="1">
      <alignment horizontal="center" vertical="center" wrapText="1"/>
    </xf>
    <xf numFmtId="49" fontId="3" fillId="21" borderId="98" xfId="0" applyNumberFormat="1" applyFont="1" applyFill="1" applyBorder="1" applyAlignment="1">
      <alignment horizontal="left"/>
    </xf>
    <xf numFmtId="196" fontId="10" fillId="0" borderId="0" xfId="30" applyNumberFormat="1" applyFont="1" applyBorder="1" applyAlignment="1" applyProtection="1"/>
    <xf numFmtId="196" fontId="4" fillId="16" borderId="2" xfId="13" applyNumberFormat="1" applyFont="1" applyFill="1" applyBorder="1" applyAlignment="1">
      <alignment horizontal="center"/>
    </xf>
    <xf numFmtId="196" fontId="5" fillId="34" borderId="7" xfId="4" applyNumberFormat="1" applyFont="1" applyFill="1" applyBorder="1" applyAlignment="1">
      <alignment horizontal="left"/>
    </xf>
    <xf numFmtId="196" fontId="5" fillId="21" borderId="99" xfId="4" applyNumberFormat="1" applyFont="1" applyFill="1" applyBorder="1" applyAlignment="1"/>
    <xf numFmtId="196" fontId="5" fillId="21" borderId="99" xfId="4" applyNumberFormat="1" applyFont="1" applyFill="1" applyBorder="1" applyAlignment="1">
      <alignment horizontal="left"/>
    </xf>
    <xf numFmtId="196" fontId="5" fillId="21" borderId="107" xfId="4" applyNumberFormat="1" applyFont="1" applyFill="1" applyBorder="1" applyAlignment="1">
      <alignment horizontal="left"/>
    </xf>
    <xf numFmtId="196" fontId="4" fillId="17" borderId="3" xfId="15" applyNumberFormat="1" applyFont="1" applyFill="1" applyBorder="1" applyAlignment="1">
      <alignment horizontal="left"/>
    </xf>
    <xf numFmtId="196" fontId="5" fillId="34" borderId="0" xfId="4" applyNumberFormat="1" applyFont="1" applyFill="1" applyBorder="1" applyAlignment="1">
      <alignment horizontal="left"/>
    </xf>
    <xf numFmtId="196" fontId="4" fillId="0" borderId="0" xfId="13" applyNumberFormat="1" applyFont="1" applyFill="1" applyBorder="1" applyAlignment="1">
      <alignment horizontal="left"/>
    </xf>
    <xf numFmtId="196" fontId="4" fillId="0" borderId="0" xfId="0" applyNumberFormat="1" applyFont="1" applyAlignment="1">
      <alignment horizontal="left"/>
    </xf>
    <xf numFmtId="196" fontId="0" fillId="0" borderId="0" xfId="0" applyNumberFormat="1"/>
    <xf numFmtId="196" fontId="0" fillId="0" borderId="12" xfId="0" applyNumberFormat="1" applyBorder="1"/>
    <xf numFmtId="14" fontId="3" fillId="21" borderId="99" xfId="0" applyNumberFormat="1" applyFont="1" applyFill="1" applyBorder="1" applyAlignment="1">
      <alignment horizontal="left"/>
    </xf>
    <xf numFmtId="166" fontId="10" fillId="0" borderId="0" xfId="1" applyFont="1" applyBorder="1" applyAlignment="1" applyProtection="1"/>
    <xf numFmtId="166" fontId="4" fillId="16" borderId="2" xfId="1" applyFont="1" applyFill="1" applyBorder="1" applyAlignment="1">
      <alignment horizontal="center" wrapText="1"/>
    </xf>
    <xf numFmtId="166" fontId="5" fillId="34" borderId="7" xfId="1" applyFont="1" applyFill="1" applyBorder="1" applyAlignment="1">
      <alignment horizontal="left"/>
    </xf>
    <xf numFmtId="166" fontId="5" fillId="21" borderId="99" xfId="1" applyFont="1" applyFill="1" applyBorder="1" applyAlignment="1"/>
    <xf numFmtId="166" fontId="5" fillId="21" borderId="99" xfId="1" applyFont="1" applyFill="1" applyBorder="1" applyAlignment="1">
      <alignment horizontal="left"/>
    </xf>
    <xf numFmtId="166" fontId="5" fillId="21" borderId="107" xfId="1" applyFont="1" applyFill="1" applyBorder="1" applyAlignment="1">
      <alignment horizontal="left"/>
    </xf>
    <xf numFmtId="166" fontId="4" fillId="17" borderId="3" xfId="1" applyFont="1" applyFill="1" applyBorder="1" applyAlignment="1"/>
    <xf numFmtId="166" fontId="5" fillId="34" borderId="0" xfId="1" applyFont="1" applyFill="1" applyBorder="1" applyAlignment="1">
      <alignment horizontal="left"/>
    </xf>
    <xf numFmtId="166" fontId="4" fillId="0" borderId="0" xfId="1" applyFont="1" applyAlignment="1">
      <alignment horizontal="left"/>
    </xf>
    <xf numFmtId="166" fontId="4" fillId="17" borderId="3" xfId="1" applyFont="1" applyFill="1" applyBorder="1" applyAlignment="1">
      <alignment horizontal="left"/>
    </xf>
    <xf numFmtId="166" fontId="0" fillId="0" borderId="0" xfId="1" applyFont="1"/>
    <xf numFmtId="166" fontId="0" fillId="0" borderId="12" xfId="1" applyFont="1" applyBorder="1"/>
    <xf numFmtId="166" fontId="5" fillId="21" borderId="113" xfId="1" applyFont="1" applyFill="1" applyBorder="1" applyAlignment="1"/>
    <xf numFmtId="166" fontId="5" fillId="21" borderId="113" xfId="1" applyFont="1" applyFill="1" applyBorder="1" applyAlignment="1">
      <alignment horizontal="left"/>
    </xf>
    <xf numFmtId="166" fontId="5" fillId="21" borderId="121" xfId="1" applyFont="1" applyFill="1" applyBorder="1" applyAlignment="1">
      <alignment horizontal="left"/>
    </xf>
    <xf numFmtId="49" fontId="4" fillId="32" borderId="9" xfId="0" applyNumberFormat="1" applyFont="1" applyFill="1" applyBorder="1" applyAlignment="1">
      <alignment horizontal="left"/>
    </xf>
    <xf numFmtId="49" fontId="3" fillId="32" borderId="98" xfId="0" applyNumberFormat="1" applyFont="1" applyFill="1" applyBorder="1" applyAlignment="1">
      <alignment horizontal="left"/>
    </xf>
    <xf numFmtId="49" fontId="5" fillId="32" borderId="98" xfId="0" applyNumberFormat="1" applyFont="1" applyFill="1" applyBorder="1" applyAlignment="1">
      <alignment horizontal="left"/>
    </xf>
    <xf numFmtId="49" fontId="5" fillId="32" borderId="141" xfId="0" applyNumberFormat="1" applyFont="1" applyFill="1" applyBorder="1" applyAlignment="1">
      <alignment horizontal="left"/>
    </xf>
    <xf numFmtId="14" fontId="5" fillId="32" borderId="99" xfId="0" applyNumberFormat="1" applyFont="1" applyFill="1" applyBorder="1" applyAlignment="1">
      <alignment horizontal="left"/>
    </xf>
    <xf numFmtId="166" fontId="5" fillId="32" borderId="99" xfId="1" applyFont="1" applyFill="1" applyBorder="1" applyAlignment="1"/>
    <xf numFmtId="166" fontId="5" fillId="32" borderId="113" xfId="1" applyFont="1" applyFill="1" applyBorder="1" applyAlignment="1"/>
    <xf numFmtId="166" fontId="5" fillId="32" borderId="99" xfId="1" applyFont="1" applyFill="1" applyBorder="1" applyAlignment="1">
      <alignment horizontal="left"/>
    </xf>
    <xf numFmtId="166" fontId="5" fillId="32" borderId="113" xfId="1" applyFont="1" applyFill="1" applyBorder="1" applyAlignment="1">
      <alignment horizontal="left"/>
    </xf>
    <xf numFmtId="14" fontId="5" fillId="32" borderId="107" xfId="0" applyNumberFormat="1" applyFont="1" applyFill="1" applyBorder="1" applyAlignment="1">
      <alignment horizontal="left"/>
    </xf>
    <xf numFmtId="166" fontId="5" fillId="32" borderId="107" xfId="1" applyFont="1" applyFill="1" applyBorder="1" applyAlignment="1">
      <alignment horizontal="left"/>
    </xf>
    <xf numFmtId="166" fontId="5" fillId="32" borderId="121" xfId="1" applyFont="1" applyFill="1" applyBorder="1" applyAlignment="1">
      <alignment horizontal="left"/>
    </xf>
    <xf numFmtId="43" fontId="41" fillId="0" borderId="0" xfId="30" applyNumberFormat="1" applyFont="1" applyBorder="1" applyAlignment="1" applyProtection="1">
      <alignment horizontal="center"/>
    </xf>
    <xf numFmtId="177" fontId="5" fillId="17" borderId="0" xfId="0" applyNumberFormat="1" applyFont="1" applyFill="1" applyBorder="1"/>
    <xf numFmtId="166" fontId="4" fillId="17" borderId="0" xfId="15" applyFont="1" applyFill="1" applyBorder="1" applyAlignment="1">
      <alignment horizontal="left"/>
    </xf>
    <xf numFmtId="196" fontId="5" fillId="32" borderId="99" xfId="4" applyNumberFormat="1" applyFont="1" applyFill="1" applyBorder="1" applyAlignment="1"/>
    <xf numFmtId="196" fontId="5" fillId="32" borderId="99" xfId="4" applyNumberFormat="1" applyFont="1" applyFill="1" applyBorder="1" applyAlignment="1">
      <alignment horizontal="left"/>
    </xf>
    <xf numFmtId="196" fontId="5" fillId="32" borderId="107" xfId="4" applyNumberFormat="1" applyFont="1" applyFill="1" applyBorder="1" applyAlignment="1">
      <alignment horizontal="left"/>
    </xf>
    <xf numFmtId="0" fontId="107" fillId="0" borderId="1" xfId="0" applyFont="1" applyBorder="1" applyAlignment="1">
      <alignment horizontal="center"/>
    </xf>
    <xf numFmtId="0" fontId="107" fillId="0" borderId="2" xfId="0" applyFont="1" applyBorder="1" applyAlignment="1">
      <alignment horizontal="center"/>
    </xf>
    <xf numFmtId="0" fontId="107" fillId="0" borderId="14" xfId="0" applyFont="1" applyBorder="1" applyAlignment="1">
      <alignment horizontal="center"/>
    </xf>
    <xf numFmtId="170" fontId="4" fillId="44" borderId="1" xfId="0" applyNumberFormat="1" applyFont="1" applyFill="1" applyBorder="1" applyAlignment="1">
      <alignment horizontal="center" wrapText="1"/>
    </xf>
    <xf numFmtId="170" fontId="4" fillId="44" borderId="2" xfId="0" applyNumberFormat="1" applyFont="1" applyFill="1" applyBorder="1" applyAlignment="1">
      <alignment horizontal="center" wrapText="1"/>
    </xf>
    <xf numFmtId="170" fontId="4" fillId="44" borderId="14" xfId="0" applyNumberFormat="1" applyFont="1" applyFill="1" applyBorder="1" applyAlignment="1">
      <alignment horizontal="center" wrapText="1"/>
    </xf>
    <xf numFmtId="0" fontId="0" fillId="49" borderId="0" xfId="0" applyFill="1"/>
    <xf numFmtId="43" fontId="0" fillId="49" borderId="0" xfId="0" applyNumberFormat="1" applyFill="1"/>
    <xf numFmtId="43" fontId="0" fillId="44" borderId="3" xfId="0" applyNumberFormat="1" applyFill="1" applyBorder="1"/>
  </cellXfs>
  <cellStyles count="215">
    <cellStyle name="20% - Accent1 2" xfId="105" xr:uid="{00000000-0005-0000-0000-000000000000}"/>
    <cellStyle name="20% - Accent1 2 2" xfId="198" xr:uid="{7C22190E-55C8-45B7-ADC0-464FC04A90C8}"/>
    <cellStyle name="20% - Accent2 2" xfId="107" xr:uid="{00000000-0005-0000-0000-000001000000}"/>
    <cellStyle name="20% - Accent2 2 2" xfId="200" xr:uid="{925771CD-B640-436A-AEC2-63B64AB3BF15}"/>
    <cellStyle name="20% - Accent3 2" xfId="109" xr:uid="{00000000-0005-0000-0000-000002000000}"/>
    <cellStyle name="20% - Accent3 2 2" xfId="202" xr:uid="{7F6F525C-4864-4A8B-B1EE-89579F61F9D9}"/>
    <cellStyle name="20% - Accent4 2" xfId="111" xr:uid="{00000000-0005-0000-0000-000003000000}"/>
    <cellStyle name="20% - Accent4 2 2" xfId="204" xr:uid="{086B1516-73F0-4D1E-A2F4-B710710F58DB}"/>
    <cellStyle name="20% - Accent5 2" xfId="113" xr:uid="{00000000-0005-0000-0000-000004000000}"/>
    <cellStyle name="20% - Accent5 2 2" xfId="206" xr:uid="{F572EFE3-4902-4BFF-82B8-6CEC2493E9A7}"/>
    <cellStyle name="20% - Accent6 2" xfId="115" xr:uid="{00000000-0005-0000-0000-000005000000}"/>
    <cellStyle name="20% - Accent6 2 2" xfId="208" xr:uid="{BA48D617-7F13-4E67-B50B-5AD89E7978F3}"/>
    <cellStyle name="40% - Accent1 2" xfId="106" xr:uid="{00000000-0005-0000-0000-000006000000}"/>
    <cellStyle name="40% - Accent1 2 2" xfId="199" xr:uid="{0491DCA0-5737-4FB9-A95E-4A251BA7C90F}"/>
    <cellStyle name="40% - Accent2 2" xfId="108" xr:uid="{00000000-0005-0000-0000-000007000000}"/>
    <cellStyle name="40% - Accent2 2 2" xfId="201" xr:uid="{F5DE52D5-8A14-47AC-A125-58C655B99CF4}"/>
    <cellStyle name="40% - Accent3 2" xfId="110" xr:uid="{00000000-0005-0000-0000-000008000000}"/>
    <cellStyle name="40% - Accent3 2 2" xfId="203" xr:uid="{518E560C-A838-4819-B5A8-F7A518CF721D}"/>
    <cellStyle name="40% - Accent4 2" xfId="112" xr:uid="{00000000-0005-0000-0000-000009000000}"/>
    <cellStyle name="40% - Accent4 2 2" xfId="205" xr:uid="{9FEA4327-448A-4A5D-A7B2-C213ADCE4388}"/>
    <cellStyle name="40% - Accent5 2" xfId="114" xr:uid="{00000000-0005-0000-0000-00000A000000}"/>
    <cellStyle name="40% - Accent5 2 2" xfId="207" xr:uid="{FBB3564B-7DF0-49ED-AB52-D977412DC358}"/>
    <cellStyle name="40% - Accent6 2" xfId="116" xr:uid="{00000000-0005-0000-0000-00000B000000}"/>
    <cellStyle name="40% - Accent6 2 2" xfId="209" xr:uid="{4329EEB4-2919-4E28-A92B-4003E08C243C}"/>
    <cellStyle name="Blank %" xfId="59" xr:uid="{00000000-0005-0000-0000-00000C000000}"/>
    <cellStyle name="Blank % Bold" xfId="121" xr:uid="{00000000-0005-0000-0000-00000D000000}"/>
    <cellStyle name="Blank Bold" xfId="122" xr:uid="{00000000-0005-0000-0000-00000E000000}"/>
    <cellStyle name="Blank Bold Center" xfId="123" xr:uid="{00000000-0005-0000-0000-00000F000000}"/>
    <cellStyle name="Blank Date" xfId="78" xr:uid="{00000000-0005-0000-0000-000010000000}"/>
    <cellStyle name="Blank Text" xfId="58" xr:uid="{00000000-0005-0000-0000-000011000000}"/>
    <cellStyle name="BlankDate" xfId="124" xr:uid="{00000000-0005-0000-0000-000012000000}"/>
    <cellStyle name="Client Contact" xfId="125" xr:uid="{00000000-0005-0000-0000-000013000000}"/>
    <cellStyle name="Comma" xfId="1" builtinId="3"/>
    <cellStyle name="Comma [0] 2" xfId="2" xr:uid="{00000000-0005-0000-0000-000015000000}"/>
    <cellStyle name="Comma [0] 2 2" xfId="3" xr:uid="{00000000-0005-0000-0000-000016000000}"/>
    <cellStyle name="Comma [0] 2 2 2" xfId="163" xr:uid="{28DAACE9-E571-43DA-B9B7-FEAD22AE9DD5}"/>
    <cellStyle name="Comma [0] 2 3" xfId="162" xr:uid="{B5B3A127-745C-48FA-B285-F13BAACA0CF3}"/>
    <cellStyle name="Comma 10" xfId="213" xr:uid="{47A8C669-2276-48C1-ADF1-16C11C65A9F0}"/>
    <cellStyle name="Comma 2" xfId="4" xr:uid="{00000000-0005-0000-0000-000017000000}"/>
    <cellStyle name="Comma 2 2" xfId="5" xr:uid="{00000000-0005-0000-0000-000018000000}"/>
    <cellStyle name="Comma 2 2 2" xfId="6" xr:uid="{00000000-0005-0000-0000-000019000000}"/>
    <cellStyle name="Comma 2 2 2 2" xfId="166" xr:uid="{D9FBF366-D62E-43D4-8A42-D515CE466B05}"/>
    <cellStyle name="Comma 2 2 3" xfId="165" xr:uid="{57152C79-55FA-40BA-B6F0-6C76C91D88B8}"/>
    <cellStyle name="Comma 2 3" xfId="7" xr:uid="{00000000-0005-0000-0000-00001A000000}"/>
    <cellStyle name="Comma 2 3 2" xfId="167" xr:uid="{94160C8A-8825-4ABB-B249-03634917AA30}"/>
    <cellStyle name="Comma 2 4" xfId="164" xr:uid="{E32A5811-BE59-4BB3-BBA3-DAC7BEF6E0C9}"/>
    <cellStyle name="Comma 3" xfId="8" xr:uid="{00000000-0005-0000-0000-00001B000000}"/>
    <cellStyle name="Comma 3 2" xfId="9" xr:uid="{00000000-0005-0000-0000-00001C000000}"/>
    <cellStyle name="Comma 3 2 2" xfId="10" xr:uid="{00000000-0005-0000-0000-00001D000000}"/>
    <cellStyle name="Comma 3 2 2 2" xfId="170" xr:uid="{41AD7C6A-D52F-4D86-AE1D-227D39A04664}"/>
    <cellStyle name="Comma 3 2 3" xfId="169" xr:uid="{AB985D3A-1F13-4EE1-A0D4-00C33A3E194E}"/>
    <cellStyle name="Comma 3 3" xfId="11" xr:uid="{00000000-0005-0000-0000-00001E000000}"/>
    <cellStyle name="Comma 3 3 2" xfId="171" xr:uid="{6F6A241D-163E-4218-8B73-37F3908174E1}"/>
    <cellStyle name="Comma 3 4" xfId="168" xr:uid="{9C88D65E-0A28-4525-B5D4-E45E073D46EA}"/>
    <cellStyle name="Comma 4" xfId="12" xr:uid="{00000000-0005-0000-0000-00001F000000}"/>
    <cellStyle name="Comma 4 2" xfId="13" xr:uid="{00000000-0005-0000-0000-000020000000}"/>
    <cellStyle name="Comma 4 2 2" xfId="14" xr:uid="{00000000-0005-0000-0000-000021000000}"/>
    <cellStyle name="Comma 4 2 2 2" xfId="174" xr:uid="{3ADEA82B-4353-4CB3-81C8-2CCAF5ED5A5A}"/>
    <cellStyle name="Comma 4 2 3" xfId="173" xr:uid="{C2488F34-6B8A-4283-9928-6D9462A31C88}"/>
    <cellStyle name="Comma 4 3" xfId="172" xr:uid="{DA940FB2-7898-41CD-A383-FF972663E26F}"/>
    <cellStyle name="Comma 5" xfId="15" xr:uid="{00000000-0005-0000-0000-000022000000}"/>
    <cellStyle name="Comma 5 2" xfId="16" xr:uid="{00000000-0005-0000-0000-000023000000}"/>
    <cellStyle name="Comma 5 2 2" xfId="176" xr:uid="{6B887F2E-DC54-4B8F-8F89-D717840B3041}"/>
    <cellStyle name="Comma 5 3" xfId="175" xr:uid="{EAAE9E62-A818-4FFA-9243-E3EEEC676C8E}"/>
    <cellStyle name="Comma 6" xfId="17" xr:uid="{00000000-0005-0000-0000-000024000000}"/>
    <cellStyle name="Comma 6 2" xfId="18" xr:uid="{00000000-0005-0000-0000-000025000000}"/>
    <cellStyle name="Comma 6 2 2" xfId="19" xr:uid="{00000000-0005-0000-0000-000026000000}"/>
    <cellStyle name="Comma 6 2 2 2" xfId="179" xr:uid="{92F599B6-786D-466F-8F5C-06FCBCDA1F17}"/>
    <cellStyle name="Comma 6 2 3" xfId="178" xr:uid="{0AD4180D-0E9F-4FD5-8E10-6A84F6251DD7}"/>
    <cellStyle name="Comma 6 3" xfId="20" xr:uid="{00000000-0005-0000-0000-000027000000}"/>
    <cellStyle name="Comma 6 3 2" xfId="180" xr:uid="{40AC5A21-B990-49AA-A5D9-414FD4AC2A93}"/>
    <cellStyle name="Comma 6 4" xfId="177" xr:uid="{0EFA7952-C7FA-4460-AE8B-FB59FB16BD79}"/>
    <cellStyle name="Comma 7" xfId="21" xr:uid="{00000000-0005-0000-0000-000028000000}"/>
    <cellStyle name="Comma 7 2" xfId="181" xr:uid="{70122061-D91A-4CE7-99A4-BE2EBDBD49DF}"/>
    <cellStyle name="Comma 8" xfId="73" xr:uid="{00000000-0005-0000-0000-000029000000}"/>
    <cellStyle name="Comma 8 2" xfId="197" xr:uid="{EEC542EB-ADA5-4DB0-861B-155E7448FA6D}"/>
    <cellStyle name="Comma 9" xfId="211" xr:uid="{B0C23158-BAC8-48C6-B6EC-B71576EB6579}"/>
    <cellStyle name="Comma_BCTSLEER" xfId="22" xr:uid="{00000000-0005-0000-0000-00002A000000}"/>
    <cellStyle name="Currency" xfId="214" builtinId="4"/>
    <cellStyle name="Currency 2" xfId="23" xr:uid="{00000000-0005-0000-0000-00002B000000}"/>
    <cellStyle name="Currency 2 2" xfId="24" xr:uid="{00000000-0005-0000-0000-00002C000000}"/>
    <cellStyle name="Currency 2 2 2" xfId="25" xr:uid="{00000000-0005-0000-0000-00002D000000}"/>
    <cellStyle name="Currency 2 2 2 2" xfId="184" xr:uid="{6CE75A17-5132-44F7-B5F9-A9D72CAAEC75}"/>
    <cellStyle name="Currency 2 2 3" xfId="183" xr:uid="{AB504BE0-E916-4320-9847-86815EFE6D11}"/>
    <cellStyle name="Currency 2 3" xfId="26" xr:uid="{00000000-0005-0000-0000-00002E000000}"/>
    <cellStyle name="Currency 2 3 2" xfId="185" xr:uid="{87219218-A1C0-4A4D-9A76-8A8B276E3AE8}"/>
    <cellStyle name="Currency 2 4" xfId="160" xr:uid="{00000000-0005-0000-0000-00002F000000}"/>
    <cellStyle name="Currency 2 5" xfId="182" xr:uid="{DEAACE1E-3DAF-4498-9933-EA80383F08C1}"/>
    <cellStyle name="Currency 3" xfId="27" xr:uid="{00000000-0005-0000-0000-000030000000}"/>
    <cellStyle name="Currency 3 2" xfId="28" xr:uid="{00000000-0005-0000-0000-000031000000}"/>
    <cellStyle name="DataField" xfId="57" xr:uid="{00000000-0005-0000-0000-000032000000}"/>
    <cellStyle name="DataField Center" xfId="64" xr:uid="{00000000-0005-0000-0000-000033000000}"/>
    <cellStyle name="DataField Center Bold" xfId="79" xr:uid="{00000000-0005-0000-0000-000034000000}"/>
    <cellStyle name="DataField Date" xfId="77" xr:uid="{00000000-0005-0000-0000-000035000000}"/>
    <cellStyle name="DataField Text" xfId="63" xr:uid="{00000000-0005-0000-0000-000036000000}"/>
    <cellStyle name="DataField Text Center" xfId="72" xr:uid="{00000000-0005-0000-0000-000037000000}"/>
    <cellStyle name="DataField#" xfId="90" xr:uid="{00000000-0005-0000-0000-000038000000}"/>
    <cellStyle name="DataField$" xfId="86" xr:uid="{00000000-0005-0000-0000-000039000000}"/>
    <cellStyle name="DataField$Round" xfId="87" xr:uid="{00000000-0005-0000-0000-00003A000000}"/>
    <cellStyle name="DataField$Round 2" xfId="117" xr:uid="{00000000-0005-0000-0000-00003B000000}"/>
    <cellStyle name="DataField%" xfId="71" xr:uid="{00000000-0005-0000-0000-00003C000000}"/>
    <cellStyle name="DataField% 1" xfId="126" xr:uid="{00000000-0005-0000-0000-00003D000000}"/>
    <cellStyle name="DataField% 2" xfId="127" xr:uid="{00000000-0005-0000-0000-00003E000000}"/>
    <cellStyle name="Followed Hyperlink 2" xfId="120" xr:uid="{00000000-0005-0000-0000-00003F000000}"/>
    <cellStyle name="Formula" xfId="128" xr:uid="{00000000-0005-0000-0000-000040000000}"/>
    <cellStyle name="Formula #" xfId="55" xr:uid="{00000000-0005-0000-0000-000041000000}"/>
    <cellStyle name="Formula # 1" xfId="129" xr:uid="{00000000-0005-0000-0000-000042000000}"/>
    <cellStyle name="Formula # 2" xfId="130" xr:uid="{00000000-0005-0000-0000-000043000000}"/>
    <cellStyle name="Formula # 3" xfId="131" xr:uid="{00000000-0005-0000-0000-000044000000}"/>
    <cellStyle name="Formula # 4" xfId="132" xr:uid="{00000000-0005-0000-0000-000045000000}"/>
    <cellStyle name="Formula Date" xfId="91" xr:uid="{00000000-0005-0000-0000-000046000000}"/>
    <cellStyle name="Formula Text" xfId="133" xr:uid="{00000000-0005-0000-0000-000047000000}"/>
    <cellStyle name="Formula Text Center" xfId="134" xr:uid="{00000000-0005-0000-0000-000048000000}"/>
    <cellStyle name="Formula Year" xfId="135" xr:uid="{00000000-0005-0000-0000-000049000000}"/>
    <cellStyle name="Formula$" xfId="89" xr:uid="{00000000-0005-0000-0000-00004A000000}"/>
    <cellStyle name="Formula$ Center" xfId="136" xr:uid="{00000000-0005-0000-0000-00004B000000}"/>
    <cellStyle name="Formula$Round" xfId="92" xr:uid="{00000000-0005-0000-0000-00004C000000}"/>
    <cellStyle name="Formula$Round 2" xfId="118" xr:uid="{00000000-0005-0000-0000-00004D000000}"/>
    <cellStyle name="Formula%" xfId="68" xr:uid="{00000000-0005-0000-0000-00004E000000}"/>
    <cellStyle name="Formula% 2" xfId="137" xr:uid="{00000000-0005-0000-0000-00004F000000}"/>
    <cellStyle name="Formula% 3" xfId="138" xr:uid="{00000000-0005-0000-0000-000050000000}"/>
    <cellStyle name="Good" xfId="29" builtinId="26"/>
    <cellStyle name="HomePage Date" xfId="84" xr:uid="{00000000-0005-0000-0000-000052000000}"/>
    <cellStyle name="HomePage Text" xfId="94" xr:uid="{00000000-0005-0000-0000-000053000000}"/>
    <cellStyle name="HomePage Text Bold" xfId="70" xr:uid="{00000000-0005-0000-0000-000054000000}"/>
    <cellStyle name="Hyperlink" xfId="30" builtinId="8"/>
    <cellStyle name="Hyperlink 2" xfId="31" xr:uid="{00000000-0005-0000-0000-000056000000}"/>
    <cellStyle name="Hyperlink 2 2" xfId="32" xr:uid="{00000000-0005-0000-0000-000057000000}"/>
    <cellStyle name="Hyperlink 3" xfId="74" xr:uid="{00000000-0005-0000-0000-000058000000}"/>
    <cellStyle name="Hyperlink_WT Workpaper template" xfId="33" xr:uid="{00000000-0005-0000-0000-000059000000}"/>
    <cellStyle name="Index" xfId="139" xr:uid="{00000000-0005-0000-0000-00005A000000}"/>
    <cellStyle name="Index Information" xfId="103" xr:uid="{00000000-0005-0000-0000-00005B000000}"/>
    <cellStyle name="Information" xfId="62" xr:uid="{00000000-0005-0000-0000-00005C000000}"/>
    <cellStyle name="Information #" xfId="99" xr:uid="{00000000-0005-0000-0000-00005D000000}"/>
    <cellStyle name="Information # 2" xfId="61" xr:uid="{00000000-0005-0000-0000-00005E000000}"/>
    <cellStyle name="Information # 3" xfId="140" xr:uid="{00000000-0005-0000-0000-00005F000000}"/>
    <cellStyle name="Information # 4" xfId="102" xr:uid="{00000000-0005-0000-0000-000060000000}"/>
    <cellStyle name="Information $" xfId="96" xr:uid="{00000000-0005-0000-0000-000061000000}"/>
    <cellStyle name="Information $ 2" xfId="141" xr:uid="{00000000-0005-0000-0000-000062000000}"/>
    <cellStyle name="Information %" xfId="97" xr:uid="{00000000-0005-0000-0000-000063000000}"/>
    <cellStyle name="Information % 1" xfId="98" xr:uid="{00000000-0005-0000-0000-000064000000}"/>
    <cellStyle name="Information % 2" xfId="101" xr:uid="{00000000-0005-0000-0000-000065000000}"/>
    <cellStyle name="Information 3" xfId="80" xr:uid="{00000000-0005-0000-0000-000066000000}"/>
    <cellStyle name="Information Bold" xfId="142" xr:uid="{00000000-0005-0000-0000-000067000000}"/>
    <cellStyle name="Information Date" xfId="100" xr:uid="{00000000-0005-0000-0000-000068000000}"/>
    <cellStyle name="loan matrix blank" xfId="157" xr:uid="{00000000-0005-0000-0000-000069000000}"/>
    <cellStyle name="MatrixDataField" xfId="158" xr:uid="{00000000-0005-0000-0000-00006A000000}"/>
    <cellStyle name="Neutral" xfId="34" builtinId="28"/>
    <cellStyle name="Normal" xfId="0" builtinId="0"/>
    <cellStyle name="Normal 2" xfId="35" xr:uid="{00000000-0005-0000-0000-00006D000000}"/>
    <cellStyle name="Normal 2 2" xfId="186" xr:uid="{96DBF477-6FF6-4A73-9EF3-41453281FEB1}"/>
    <cellStyle name="Normal 3" xfId="36" xr:uid="{00000000-0005-0000-0000-00006E000000}"/>
    <cellStyle name="Normal 4" xfId="37" xr:uid="{00000000-0005-0000-0000-00006F000000}"/>
    <cellStyle name="Normal 5" xfId="51" xr:uid="{00000000-0005-0000-0000-000070000000}"/>
    <cellStyle name="Normal 5 2" xfId="196" xr:uid="{CD613769-A307-4238-B669-580BA15C1C74}"/>
    <cellStyle name="Normal 6" xfId="212" xr:uid="{C64773A0-5272-402F-AC27-EB19DA0A4BD6}"/>
    <cellStyle name="Normal_Accounts Preparation - Electronic Workpapers1" xfId="38" xr:uid="{00000000-0005-0000-0000-000071000000}"/>
    <cellStyle name="Notes" xfId="85" xr:uid="{00000000-0005-0000-0000-000072000000}"/>
    <cellStyle name="Page Heading Date" xfId="156" xr:uid="{00000000-0005-0000-0000-000073000000}"/>
    <cellStyle name="Page Title" xfId="88" xr:uid="{00000000-0005-0000-0000-000074000000}"/>
    <cellStyle name="Page Title 2" xfId="151" xr:uid="{00000000-0005-0000-0000-000075000000}"/>
    <cellStyle name="Page Title Center" xfId="143" xr:uid="{00000000-0005-0000-0000-000076000000}"/>
    <cellStyle name="Page Title Date" xfId="144" xr:uid="{00000000-0005-0000-0000-000077000000}"/>
    <cellStyle name="Percent" xfId="39" builtinId="5"/>
    <cellStyle name="Percent 2" xfId="40" xr:uid="{00000000-0005-0000-0000-000079000000}"/>
    <cellStyle name="Percent 2 2" xfId="41" xr:uid="{00000000-0005-0000-0000-00007A000000}"/>
    <cellStyle name="Percent 2 2 2" xfId="188" xr:uid="{EDA2DAF1-449D-424F-95E1-D2A3BEEAA7DE}"/>
    <cellStyle name="Percent 2 3" xfId="159" xr:uid="{00000000-0005-0000-0000-00007B000000}"/>
    <cellStyle name="Percent 2 4" xfId="187" xr:uid="{CF0BDE7E-ED8D-4953-961E-5CCA49AEC8F1}"/>
    <cellStyle name="Percent 3" xfId="42" xr:uid="{00000000-0005-0000-0000-00007C000000}"/>
    <cellStyle name="Percent 3 2" xfId="43" xr:uid="{00000000-0005-0000-0000-00007D000000}"/>
    <cellStyle name="Percent 3 2 2" xfId="190" xr:uid="{6F732E10-A54B-41ED-BF44-ADB06C27F399}"/>
    <cellStyle name="Percent 3 3" xfId="189" xr:uid="{13B60585-DDE4-4BDD-99BD-9B5ECDF0D740}"/>
    <cellStyle name="Percent 4" xfId="44" xr:uid="{00000000-0005-0000-0000-00007E000000}"/>
    <cellStyle name="Percent 4 2" xfId="45" xr:uid="{00000000-0005-0000-0000-00007F000000}"/>
    <cellStyle name="Percent 4 2 2" xfId="192" xr:uid="{05AA90E4-ED01-4206-8027-4F39842879DB}"/>
    <cellStyle name="Percent 4 3" xfId="191" xr:uid="{1CA947FD-FE7A-4271-B9E4-95D292C79E29}"/>
    <cellStyle name="Percent 5" xfId="46" xr:uid="{00000000-0005-0000-0000-000080000000}"/>
    <cellStyle name="Percent 6" xfId="47" xr:uid="{00000000-0005-0000-0000-000081000000}"/>
    <cellStyle name="Percent 6 2" xfId="48" xr:uid="{00000000-0005-0000-0000-000082000000}"/>
    <cellStyle name="Percent 6 2 2" xfId="194" xr:uid="{D360604A-A9E5-4FB2-9A5C-84CCCABA8235}"/>
    <cellStyle name="Percent 6 3" xfId="193" xr:uid="{0CD48202-1A18-4E59-A03C-0A8D7A4296B5}"/>
    <cellStyle name="Percent 7" xfId="49" xr:uid="{00000000-0005-0000-0000-000083000000}"/>
    <cellStyle name="Percent 7 2" xfId="195" xr:uid="{AEC81446-99C4-4BC9-AF84-8A43B7026770}"/>
    <cellStyle name="Percent 8" xfId="161" xr:uid="{80717458-12AF-47C1-ACDA-7F4A124A17EE}"/>
    <cellStyle name="Percent 8 2" xfId="210" xr:uid="{FD428EF6-CF3C-44F3-B804-E791207D381D}"/>
    <cellStyle name="Rollup" xfId="152" xr:uid="{00000000-0005-0000-0000-000084000000}"/>
    <cellStyle name="Sheet Title" xfId="93" xr:uid="{00000000-0005-0000-0000-000085000000}"/>
    <cellStyle name="Sheet Title $" xfId="145" xr:uid="{00000000-0005-0000-0000-000086000000}"/>
    <cellStyle name="Sheet Title 2" xfId="155" xr:uid="{00000000-0005-0000-0000-000087000000}"/>
    <cellStyle name="Sheet Title Date" xfId="146" xr:uid="{00000000-0005-0000-0000-000088000000}"/>
    <cellStyle name="Sheet Title Left" xfId="147" xr:uid="{00000000-0005-0000-0000-000089000000}"/>
    <cellStyle name="Subtotal$" xfId="82" xr:uid="{00000000-0005-0000-0000-00008A000000}"/>
    <cellStyle name="Subtotal$Round" xfId="69" xr:uid="{00000000-0005-0000-0000-00008B000000}"/>
    <cellStyle name="Subtotal$Round 2" xfId="119" xr:uid="{00000000-0005-0000-0000-00008C000000}"/>
    <cellStyle name="Tab Name" xfId="81" xr:uid="{00000000-0005-0000-0000-00008D000000}"/>
    <cellStyle name="Tab Name 2" xfId="153" xr:uid="{00000000-0005-0000-0000-00008E000000}"/>
    <cellStyle name="TextNoLine" xfId="65" xr:uid="{00000000-0005-0000-0000-00008F000000}"/>
    <cellStyle name="TextNoLine 2" xfId="154" xr:uid="{00000000-0005-0000-0000-000090000000}"/>
    <cellStyle name="TextNoLine Center" xfId="67" xr:uid="{00000000-0005-0000-0000-000091000000}"/>
    <cellStyle name="TextNoLine Right" xfId="76" xr:uid="{00000000-0005-0000-0000-000092000000}"/>
    <cellStyle name="TextNoLineBold" xfId="60" xr:uid="{00000000-0005-0000-0000-000093000000}"/>
    <cellStyle name="TextNoLineBold 3" xfId="83" xr:uid="{00000000-0005-0000-0000-000094000000}"/>
    <cellStyle name="TextNoLineBold Center" xfId="56" xr:uid="{00000000-0005-0000-0000-000095000000}"/>
    <cellStyle name="TextNoLineBoldRight" xfId="148" xr:uid="{00000000-0005-0000-0000-000096000000}"/>
    <cellStyle name="Title" xfId="50" builtinId="15"/>
    <cellStyle name="Title 2" xfId="104" xr:uid="{00000000-0005-0000-0000-000098000000}"/>
    <cellStyle name="Warning" xfId="149" xr:uid="{00000000-0005-0000-0000-000099000000}"/>
    <cellStyle name="web" xfId="150" xr:uid="{00000000-0005-0000-0000-00009A000000}"/>
    <cellStyle name="WP Client" xfId="53" xr:uid="{00000000-0005-0000-0000-00009B000000}"/>
    <cellStyle name="WP Client Date" xfId="52" xr:uid="{00000000-0005-0000-0000-00009C000000}"/>
    <cellStyle name="WP Ref" xfId="95" xr:uid="{00000000-0005-0000-0000-00009D000000}"/>
    <cellStyle name="WP Ref Date" xfId="66" xr:uid="{00000000-0005-0000-0000-00009E000000}"/>
    <cellStyle name="WP Ref Head" xfId="54" xr:uid="{00000000-0005-0000-0000-00009F000000}"/>
    <cellStyle name="WP Ref Text" xfId="75" xr:uid="{00000000-0005-0000-0000-0000A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2.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600075</xdr:colOff>
      <xdr:row>31</xdr:row>
      <xdr:rowOff>30745</xdr:rowOff>
    </xdr:from>
    <xdr:to>
      <xdr:col>17</xdr:col>
      <xdr:colOff>419100</xdr:colOff>
      <xdr:row>37</xdr:row>
      <xdr:rowOff>376249</xdr:rowOff>
    </xdr:to>
    <xdr:pic>
      <xdr:nvPicPr>
        <xdr:cNvPr id="3" name="Picture 2">
          <a:extLst>
            <a:ext uri="{FF2B5EF4-FFF2-40B4-BE49-F238E27FC236}">
              <a16:creationId xmlns:a16="http://schemas.microsoft.com/office/drawing/2014/main" id="{2A166D5D-53C9-4D14-BA38-D4B255C84A8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67425" y="8708020"/>
          <a:ext cx="8343900" cy="3584004"/>
        </a:xfrm>
        <a:prstGeom prst="rect">
          <a:avLst/>
        </a:prstGeom>
      </xdr:spPr>
    </xdr:pic>
    <xdr:clientData/>
  </xdr:twoCellAnchor>
  <xdr:twoCellAnchor editAs="oneCell">
    <xdr:from>
      <xdr:col>13</xdr:col>
      <xdr:colOff>85724</xdr:colOff>
      <xdr:row>38</xdr:row>
      <xdr:rowOff>152400</xdr:rowOff>
    </xdr:from>
    <xdr:to>
      <xdr:col>27</xdr:col>
      <xdr:colOff>95249</xdr:colOff>
      <xdr:row>46</xdr:row>
      <xdr:rowOff>85726</xdr:rowOff>
    </xdr:to>
    <xdr:pic>
      <xdr:nvPicPr>
        <xdr:cNvPr id="4" name="Picture 3">
          <a:extLst>
            <a:ext uri="{FF2B5EF4-FFF2-40B4-BE49-F238E27FC236}">
              <a16:creationId xmlns:a16="http://schemas.microsoft.com/office/drawing/2014/main" id="{BC6C2A13-ABF8-455C-8B7E-D241E0F7FA3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801474" y="12639675"/>
          <a:ext cx="8543925" cy="2447926"/>
        </a:xfrm>
        <a:prstGeom prst="rect">
          <a:avLst/>
        </a:prstGeom>
      </xdr:spPr>
    </xdr:pic>
    <xdr:clientData/>
  </xdr:twoCellAnchor>
  <xdr:twoCellAnchor editAs="oneCell">
    <xdr:from>
      <xdr:col>13</xdr:col>
      <xdr:colOff>95250</xdr:colOff>
      <xdr:row>46</xdr:row>
      <xdr:rowOff>161925</xdr:rowOff>
    </xdr:from>
    <xdr:to>
      <xdr:col>25</xdr:col>
      <xdr:colOff>552450</xdr:colOff>
      <xdr:row>53</xdr:row>
      <xdr:rowOff>155233</xdr:rowOff>
    </xdr:to>
    <xdr:pic>
      <xdr:nvPicPr>
        <xdr:cNvPr id="6" name="Picture 5">
          <a:extLst>
            <a:ext uri="{FF2B5EF4-FFF2-40B4-BE49-F238E27FC236}">
              <a16:creationId xmlns:a16="http://schemas.microsoft.com/office/drawing/2014/main" id="{91D67BDC-679C-459F-85B2-C070336E459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763250" y="15135225"/>
          <a:ext cx="7772400" cy="2393608"/>
        </a:xfrm>
        <a:prstGeom prst="rect">
          <a:avLst/>
        </a:prstGeom>
      </xdr:spPr>
    </xdr:pic>
    <xdr:clientData/>
  </xdr:twoCellAnchor>
  <xdr:twoCellAnchor editAs="oneCell">
    <xdr:from>
      <xdr:col>13</xdr:col>
      <xdr:colOff>95250</xdr:colOff>
      <xdr:row>54</xdr:row>
      <xdr:rowOff>161925</xdr:rowOff>
    </xdr:from>
    <xdr:to>
      <xdr:col>25</xdr:col>
      <xdr:colOff>552450</xdr:colOff>
      <xdr:row>60</xdr:row>
      <xdr:rowOff>583622</xdr:rowOff>
    </xdr:to>
    <xdr:pic>
      <xdr:nvPicPr>
        <xdr:cNvPr id="8" name="Picture 7">
          <a:extLst>
            <a:ext uri="{FF2B5EF4-FFF2-40B4-BE49-F238E27FC236}">
              <a16:creationId xmlns:a16="http://schemas.microsoft.com/office/drawing/2014/main" id="{3C057E66-1618-45FA-B588-C3879F79146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763250" y="17726025"/>
          <a:ext cx="7772400" cy="1593272"/>
        </a:xfrm>
        <a:prstGeom prst="rect">
          <a:avLst/>
        </a:prstGeom>
      </xdr:spPr>
    </xdr:pic>
    <xdr:clientData/>
  </xdr:twoCellAnchor>
  <xdr:twoCellAnchor>
    <xdr:from>
      <xdr:col>10</xdr:col>
      <xdr:colOff>38100</xdr:colOff>
      <xdr:row>57</xdr:row>
      <xdr:rowOff>180976</xdr:rowOff>
    </xdr:from>
    <xdr:to>
      <xdr:col>12</xdr:col>
      <xdr:colOff>600075</xdr:colOff>
      <xdr:row>60</xdr:row>
      <xdr:rowOff>466725</xdr:rowOff>
    </xdr:to>
    <xdr:cxnSp macro="">
      <xdr:nvCxnSpPr>
        <xdr:cNvPr id="10" name="Straight Arrow Connector 9">
          <a:extLst>
            <a:ext uri="{FF2B5EF4-FFF2-40B4-BE49-F238E27FC236}">
              <a16:creationId xmlns:a16="http://schemas.microsoft.com/office/drawing/2014/main" id="{BE499133-5116-4ED5-A2E2-3C2D5272B851}"/>
            </a:ext>
          </a:extLst>
        </xdr:cNvPr>
        <xdr:cNvCxnSpPr/>
      </xdr:nvCxnSpPr>
      <xdr:spPr bwMode="auto">
        <a:xfrm flipV="1">
          <a:off x="10163175" y="18345151"/>
          <a:ext cx="2000250" cy="866774"/>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editAs="oneCell">
    <xdr:from>
      <xdr:col>11</xdr:col>
      <xdr:colOff>523875</xdr:colOff>
      <xdr:row>64</xdr:row>
      <xdr:rowOff>9525</xdr:rowOff>
    </xdr:from>
    <xdr:to>
      <xdr:col>24</xdr:col>
      <xdr:colOff>371475</xdr:colOff>
      <xdr:row>69</xdr:row>
      <xdr:rowOff>147987</xdr:rowOff>
    </xdr:to>
    <xdr:pic>
      <xdr:nvPicPr>
        <xdr:cNvPr id="14" name="Picture 13">
          <a:extLst>
            <a:ext uri="{FF2B5EF4-FFF2-40B4-BE49-F238E27FC236}">
              <a16:creationId xmlns:a16="http://schemas.microsoft.com/office/drawing/2014/main" id="{729F9F79-CFCD-42E0-BE5D-2ABDED06FDC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9972675" y="20183475"/>
          <a:ext cx="7772400" cy="957612"/>
        </a:xfrm>
        <a:prstGeom prst="rect">
          <a:avLst/>
        </a:prstGeom>
      </xdr:spPr>
    </xdr:pic>
    <xdr:clientData/>
  </xdr:twoCellAnchor>
  <xdr:twoCellAnchor>
    <xdr:from>
      <xdr:col>10</xdr:col>
      <xdr:colOff>76200</xdr:colOff>
      <xdr:row>64</xdr:row>
      <xdr:rowOff>152400</xdr:rowOff>
    </xdr:from>
    <xdr:to>
      <xdr:col>11</xdr:col>
      <xdr:colOff>523875</xdr:colOff>
      <xdr:row>66</xdr:row>
      <xdr:rowOff>88281</xdr:rowOff>
    </xdr:to>
    <xdr:cxnSp macro="">
      <xdr:nvCxnSpPr>
        <xdr:cNvPr id="18" name="Straight Arrow Connector 17">
          <a:extLst>
            <a:ext uri="{FF2B5EF4-FFF2-40B4-BE49-F238E27FC236}">
              <a16:creationId xmlns:a16="http://schemas.microsoft.com/office/drawing/2014/main" id="{58AEE4E2-C565-426F-9BC0-DA53FBDD7250}"/>
            </a:ext>
          </a:extLst>
        </xdr:cNvPr>
        <xdr:cNvCxnSpPr/>
      </xdr:nvCxnSpPr>
      <xdr:spPr bwMode="auto">
        <a:xfrm>
          <a:off x="10201275" y="20373975"/>
          <a:ext cx="1276350" cy="269256"/>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editAs="oneCell">
    <xdr:from>
      <xdr:col>12</xdr:col>
      <xdr:colOff>0</xdr:colOff>
      <xdr:row>73</xdr:row>
      <xdr:rowOff>0</xdr:rowOff>
    </xdr:from>
    <xdr:to>
      <xdr:col>24</xdr:col>
      <xdr:colOff>457200</xdr:colOff>
      <xdr:row>86</xdr:row>
      <xdr:rowOff>61546</xdr:rowOff>
    </xdr:to>
    <xdr:pic>
      <xdr:nvPicPr>
        <xdr:cNvPr id="20" name="Picture 19">
          <a:extLst>
            <a:ext uri="{FF2B5EF4-FFF2-40B4-BE49-F238E27FC236}">
              <a16:creationId xmlns:a16="http://schemas.microsoft.com/office/drawing/2014/main" id="{B1A202BA-9154-47C6-AF68-4684AADE87EE}"/>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0058400" y="21631275"/>
          <a:ext cx="7772400" cy="45401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xdr:colOff>
      <xdr:row>11</xdr:row>
      <xdr:rowOff>76200</xdr:rowOff>
    </xdr:from>
    <xdr:to>
      <xdr:col>8</xdr:col>
      <xdr:colOff>2247900</xdr:colOff>
      <xdr:row>11</xdr:row>
      <xdr:rowOff>85725</xdr:rowOff>
    </xdr:to>
    <xdr:cxnSp macro="">
      <xdr:nvCxnSpPr>
        <xdr:cNvPr id="3" name="Straight Arrow Connector 2">
          <a:extLst>
            <a:ext uri="{FF2B5EF4-FFF2-40B4-BE49-F238E27FC236}">
              <a16:creationId xmlns:a16="http://schemas.microsoft.com/office/drawing/2014/main" id="{C62CA1DD-C7F0-4B65-ABD3-17CD6A74DAA7}"/>
            </a:ext>
          </a:extLst>
        </xdr:cNvPr>
        <xdr:cNvCxnSpPr/>
      </xdr:nvCxnSpPr>
      <xdr:spPr bwMode="auto">
        <a:xfrm flipV="1">
          <a:off x="4219575" y="2352675"/>
          <a:ext cx="4067175"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8</xdr:col>
      <xdr:colOff>47625</xdr:colOff>
      <xdr:row>30</xdr:row>
      <xdr:rowOff>57150</xdr:rowOff>
    </xdr:from>
    <xdr:to>
      <xdr:col>8</xdr:col>
      <xdr:colOff>2266950</xdr:colOff>
      <xdr:row>30</xdr:row>
      <xdr:rowOff>76200</xdr:rowOff>
    </xdr:to>
    <xdr:cxnSp macro="">
      <xdr:nvCxnSpPr>
        <xdr:cNvPr id="5" name="Straight Arrow Connector 4">
          <a:extLst>
            <a:ext uri="{FF2B5EF4-FFF2-40B4-BE49-F238E27FC236}">
              <a16:creationId xmlns:a16="http://schemas.microsoft.com/office/drawing/2014/main" id="{E8F39A82-3615-49A1-9352-8D7C82495146}"/>
            </a:ext>
          </a:extLst>
        </xdr:cNvPr>
        <xdr:cNvCxnSpPr/>
      </xdr:nvCxnSpPr>
      <xdr:spPr bwMode="auto">
        <a:xfrm flipV="1">
          <a:off x="6086475" y="6610350"/>
          <a:ext cx="2219325" cy="19050"/>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4</xdr:col>
      <xdr:colOff>133350</xdr:colOff>
      <xdr:row>20</xdr:row>
      <xdr:rowOff>180975</xdr:rowOff>
    </xdr:from>
    <xdr:to>
      <xdr:col>8</xdr:col>
      <xdr:colOff>2076450</xdr:colOff>
      <xdr:row>21</xdr:row>
      <xdr:rowOff>0</xdr:rowOff>
    </xdr:to>
    <xdr:cxnSp macro="">
      <xdr:nvCxnSpPr>
        <xdr:cNvPr id="7" name="Straight Arrow Connector 6">
          <a:extLst>
            <a:ext uri="{FF2B5EF4-FFF2-40B4-BE49-F238E27FC236}">
              <a16:creationId xmlns:a16="http://schemas.microsoft.com/office/drawing/2014/main" id="{FC9914AD-4492-4525-A303-D9E6AFFF4B9A}"/>
            </a:ext>
          </a:extLst>
        </xdr:cNvPr>
        <xdr:cNvCxnSpPr/>
      </xdr:nvCxnSpPr>
      <xdr:spPr bwMode="auto">
        <a:xfrm flipV="1">
          <a:off x="4343400" y="4629150"/>
          <a:ext cx="3771900"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8</xdr:col>
      <xdr:colOff>95250</xdr:colOff>
      <xdr:row>49</xdr:row>
      <xdr:rowOff>114300</xdr:rowOff>
    </xdr:from>
    <xdr:to>
      <xdr:col>8</xdr:col>
      <xdr:colOff>2209800</xdr:colOff>
      <xdr:row>49</xdr:row>
      <xdr:rowOff>123825</xdr:rowOff>
    </xdr:to>
    <xdr:cxnSp macro="">
      <xdr:nvCxnSpPr>
        <xdr:cNvPr id="9" name="Straight Arrow Connector 8">
          <a:extLst>
            <a:ext uri="{FF2B5EF4-FFF2-40B4-BE49-F238E27FC236}">
              <a16:creationId xmlns:a16="http://schemas.microsoft.com/office/drawing/2014/main" id="{73B5EA2A-82AA-4475-AABE-43655C91EE3F}"/>
            </a:ext>
          </a:extLst>
        </xdr:cNvPr>
        <xdr:cNvCxnSpPr/>
      </xdr:nvCxnSpPr>
      <xdr:spPr bwMode="auto">
        <a:xfrm>
          <a:off x="6134100" y="11468100"/>
          <a:ext cx="2114550"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1514475</xdr:colOff>
      <xdr:row>25</xdr:row>
      <xdr:rowOff>542925</xdr:rowOff>
    </xdr:from>
    <xdr:to>
      <xdr:col>2</xdr:col>
      <xdr:colOff>771525</xdr:colOff>
      <xdr:row>28</xdr:row>
      <xdr:rowOff>123825</xdr:rowOff>
    </xdr:to>
    <xdr:cxnSp macro="">
      <xdr:nvCxnSpPr>
        <xdr:cNvPr id="7" name="Straight Arrow Connector 6">
          <a:extLst>
            <a:ext uri="{FF2B5EF4-FFF2-40B4-BE49-F238E27FC236}">
              <a16:creationId xmlns:a16="http://schemas.microsoft.com/office/drawing/2014/main" id="{D032A202-D157-4E3C-921C-0D9DC74C652E}"/>
            </a:ext>
          </a:extLst>
        </xdr:cNvPr>
        <xdr:cNvCxnSpPr/>
      </xdr:nvCxnSpPr>
      <xdr:spPr bwMode="auto">
        <a:xfrm flipH="1">
          <a:off x="2305050" y="5381625"/>
          <a:ext cx="1390650" cy="48577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DSWIN2K\BOS\windows\TEMP\Accountants%20Time%20Saver%20Package%20Series%201%20V97\1.%20Rule%20of%2078%20Loan%20Amortiz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Various%20other%20files\Bates%20Weston%20-%20Standard%20Working%20Paper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ATA"/>
      <sheetName val="AMORT"/>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tion Sheet"/>
      <sheetName val="Working Papers Index"/>
      <sheetName val="Working Papers Index (2)"/>
      <sheetName val="Alterations &lt;A23&gt;"/>
      <sheetName val="File Storage Checklist &lt;A24&gt;"/>
      <sheetName val="Notes &lt;A28&gt;"/>
      <sheetName val="Notes &lt;A28&gt; (2)"/>
      <sheetName val="F A Lead Sch. &lt;E1&gt;"/>
      <sheetName val="F A Additons &lt;E6&gt;"/>
      <sheetName val="F A Disposals &lt;E7&gt;"/>
      <sheetName val="Debtors Lead Sch &lt;H1&gt; "/>
      <sheetName val="SL Control &lt;H50&gt;"/>
      <sheetName val="Bank Rec &lt;I6&gt;"/>
      <sheetName val="Bank Control &lt;I50&gt;"/>
      <sheetName val="Cash Account &lt;I60&gt; "/>
      <sheetName val="Simplex Cashbook Sum"/>
      <sheetName val="Simplex Payments"/>
      <sheetName val="Creditors Lead Sch &lt;J1&gt;"/>
      <sheetName val="Hire Purchase Summary &lt;J9&gt;"/>
      <sheetName val="Hire Purchase &lt;J9-1&gt;"/>
      <sheetName val="P L Control &lt;J50&gt;"/>
      <sheetName val="Capital Introduced &lt;L6&gt;"/>
      <sheetName val="Drawings Analysis &lt;L7&gt;"/>
      <sheetName val="Recon of wage cost to nom &lt;M7&gt;"/>
      <sheetName val="PAYE and Net Wages cont. &lt;M50&gt;"/>
      <sheetName val="Journal Adjustments &lt;N6&gt;"/>
      <sheetName val="VAT Turnover Rec &lt;O1&gt;"/>
      <sheetName val="VAT Control &lt;O50&gt;"/>
      <sheetName val="VAT Returns Summary &lt;O51&gt;"/>
      <sheetName val="Standard Working Paper"/>
      <sheetName val="Standard Working Paper (2)"/>
    </sheetNames>
    <sheetDataSet>
      <sheetData sheetId="0" refreshError="1">
        <row r="24">
          <cell r="H24" t="str">
            <v xml:space="preserve">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3" Type="http://schemas.openxmlformats.org/officeDocument/2006/relationships/hyperlink" Target="https://www.ato.gov.au/business/loss-carry-back-tax-offset/working-out-the-tax-offset/" TargetMode="External"/><Relationship Id="rId2" Type="http://schemas.openxmlformats.org/officeDocument/2006/relationships/hyperlink" Target="https://www.ato.gov.au/business/loss-carry-back-tax-offset/how-to-claim-the-tax-offset/" TargetMode="External"/><Relationship Id="rId1" Type="http://schemas.openxmlformats.org/officeDocument/2006/relationships/hyperlink" Target="https://www.ato.gov.au/business/loss-carry-back-tax-offset/eligibility-for-the-tax-offset/" TargetMode="External"/><Relationship Id="rId5" Type="http://schemas.openxmlformats.org/officeDocument/2006/relationships/drawing" Target="../drawings/drawing2.xml"/><Relationship Id="rId4"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hyperlink" Target="http://classic.austlii.edu.au/au/legis/cth/consol_act/itaa1997240/s328.130.html" TargetMode="External"/><Relationship Id="rId1" Type="http://schemas.openxmlformats.org/officeDocument/2006/relationships/hyperlink" Target="http://classic.austlii.edu.au/au/legis/cth/consol_act/itaa1997240/s328.125.html"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hyperlink" Target="http://classic.austlii.edu.au/au/legis/cth/consol_act/itaa1997240/s328.130.html" TargetMode="External"/><Relationship Id="rId1" Type="http://schemas.openxmlformats.org/officeDocument/2006/relationships/hyperlink" Target="http://classic.austlii.edu.au/au/legis/cth/consol_act/itaa1997240/s328.125.html"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hyperlink" Target="http://www.ato.gov.au/taxprofessionals/content.aspx?menuid=0&amp;doc=/content/76140.htm&amp;page=7&amp;H7" TargetMode="External"/><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hyperlink" Target="https://www.ato.gov.au/Rates/Division-7A---benchmark-interest/" TargetMode="External"/><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ato.gov.au/law/view/document?DocID=DPC/PCG2021D2/NAT/ATO/00001" TargetMode="External"/><Relationship Id="rId2" Type="http://schemas.openxmlformats.org/officeDocument/2006/relationships/hyperlink" Target="https://www.ato.gov.au/law/view/document?DocID=DPC/PCG2021D2/NAT/ATO/00001" TargetMode="External"/><Relationship Id="rId1" Type="http://schemas.openxmlformats.org/officeDocument/2006/relationships/hyperlink" Target="https://www.ato.gov.au/law/view/document?DocID=DPC/PCG2021D2/NAT/ATO/00001" TargetMode="Externa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hyperlink" Target="https://www.ato.gov.au/Rates/Division-7A---benchmark-interest/"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s://www.ato.gov.au/Rates/Division-7A---benchmark-interest/" TargetMode="Externa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4" Type="http://schemas.openxmlformats.org/officeDocument/2006/relationships/comments" Target="../comments1.xml"/></Relationships>
</file>

<file path=xl/worksheets/_rels/sheet2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31.xml.rels><?xml version="1.0" encoding="UTF-8" standalone="yes"?>
<Relationships xmlns="http://schemas.openxmlformats.org/package/2006/relationships"><Relationship Id="rId3" Type="http://schemas.openxmlformats.org/officeDocument/2006/relationships/hyperlink" Target="23800%20-%20CRT%202022%20Tax%20Statement.pdf" TargetMode="External"/><Relationship Id="rId2" Type="http://schemas.openxmlformats.org/officeDocument/2006/relationships/hyperlink" Target="23800%20-%20Silver%20Shores%202022%20Tax%20Statement.pdf" TargetMode="External"/><Relationship Id="rId1" Type="http://schemas.openxmlformats.org/officeDocument/2006/relationships/hyperlink" Target="23800%20-%20Gladstone%20Retail%20Trust%202022%20Tax%20Statement.pdf" TargetMode="External"/><Relationship Id="rId4" Type="http://schemas.openxmlformats.org/officeDocument/2006/relationships/printerSettings" Target="../printerSettings/printerSettings43.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4" Type="http://schemas.openxmlformats.org/officeDocument/2006/relationships/comments" Target="../comments3.xm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8.bin"/></Relationships>
</file>

<file path=xl/worksheets/_rels/sheet3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9.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0.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51.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5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5.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4.bin"/><Relationship Id="rId1" Type="http://schemas.openxmlformats.org/officeDocument/2006/relationships/hyperlink" Target="https://atotaxrates.info/businesses/goods-taken-from-stock-for-own-use/" TargetMode="External"/></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4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 Id="rId4" Type="http://schemas.openxmlformats.org/officeDocument/2006/relationships/comments" Target="../comments9.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R47"/>
  <sheetViews>
    <sheetView showGridLines="0" zoomScaleNormal="100" zoomScaleSheetLayoutView="100" workbookViewId="0">
      <selection activeCell="B3" sqref="B3"/>
    </sheetView>
  </sheetViews>
  <sheetFormatPr defaultColWidth="9.140625" defaultRowHeight="15" x14ac:dyDescent="0.25"/>
  <cols>
    <col min="1" max="1" width="20.5703125" style="250" customWidth="1"/>
    <col min="2" max="2" width="11.85546875" style="250" customWidth="1"/>
    <col min="3" max="3" width="20" style="250" customWidth="1"/>
    <col min="4" max="4" width="15.7109375" style="250" customWidth="1"/>
    <col min="5" max="5" width="3" style="250" customWidth="1"/>
    <col min="6" max="6" width="31.85546875" style="250" customWidth="1"/>
    <col min="7" max="7" width="16.28515625" style="250" customWidth="1"/>
    <col min="8" max="8" width="10.5703125" style="250" customWidth="1"/>
    <col min="9" max="9" width="17.7109375" style="250" customWidth="1"/>
    <col min="10" max="10" width="10.140625" style="250" customWidth="1"/>
    <col min="11" max="16384" width="9.140625" style="250"/>
  </cols>
  <sheetData>
    <row r="1" spans="1:18" ht="5.25" customHeight="1" x14ac:dyDescent="0.25"/>
    <row r="2" spans="1:18" ht="27" customHeight="1" x14ac:dyDescent="0.25">
      <c r="A2" s="1616" t="s">
        <v>37</v>
      </c>
      <c r="B2" s="1617" t="s">
        <v>1083</v>
      </c>
      <c r="C2" s="1618"/>
      <c r="D2" s="1618"/>
      <c r="E2" s="1618"/>
      <c r="F2" s="1619"/>
      <c r="G2" s="1619"/>
      <c r="H2" s="1619"/>
      <c r="I2" s="1620"/>
      <c r="K2" s="1298"/>
    </row>
    <row r="3" spans="1:18" x14ac:dyDescent="0.25">
      <c r="A3" s="1267"/>
      <c r="B3" s="1268"/>
      <c r="C3" s="1268"/>
      <c r="D3" s="1268"/>
      <c r="E3" s="1268"/>
    </row>
    <row r="4" spans="1:18" ht="13.5" customHeight="1" x14ac:dyDescent="0.25">
      <c r="A4" s="1270" t="s">
        <v>35</v>
      </c>
      <c r="B4" s="1696" t="str">
        <f>"30 June "&amp;D4</f>
        <v>30 June 2022</v>
      </c>
      <c r="C4" s="1271"/>
      <c r="D4" s="1922">
        <v>2022</v>
      </c>
      <c r="F4" s="1272"/>
      <c r="L4" s="1273"/>
    </row>
    <row r="5" spans="1:18" ht="13.5" customHeight="1" x14ac:dyDescent="0.25">
      <c r="A5" s="1274" t="s">
        <v>38</v>
      </c>
      <c r="B5" s="1621" t="s">
        <v>1080</v>
      </c>
      <c r="C5" s="1622"/>
      <c r="D5" s="1623"/>
      <c r="F5" s="1272"/>
      <c r="L5" s="1273"/>
    </row>
    <row r="6" spans="1:18" ht="13.5" customHeight="1" x14ac:dyDescent="0.25">
      <c r="A6" s="1270" t="s">
        <v>36</v>
      </c>
      <c r="B6" s="1621" t="s">
        <v>1081</v>
      </c>
      <c r="C6" s="1624"/>
      <c r="D6" s="1625"/>
      <c r="F6" s="1272"/>
      <c r="L6" s="1273"/>
    </row>
    <row r="7" spans="1:18" ht="13.5" customHeight="1" x14ac:dyDescent="0.25">
      <c r="A7" s="1270" t="s">
        <v>39</v>
      </c>
      <c r="B7" s="1621" t="s">
        <v>1082</v>
      </c>
      <c r="C7" s="1624"/>
      <c r="D7" s="1625"/>
      <c r="F7" s="1272"/>
      <c r="L7" s="1273"/>
    </row>
    <row r="8" spans="1:18" ht="13.5" customHeight="1" x14ac:dyDescent="0.25">
      <c r="A8" s="2251"/>
      <c r="B8" s="2251"/>
      <c r="C8" s="2251"/>
      <c r="D8" s="2251"/>
      <c r="E8" s="2251"/>
      <c r="F8" s="2251"/>
      <c r="G8" s="2251"/>
      <c r="H8" s="2251"/>
      <c r="L8" s="1273"/>
    </row>
    <row r="9" spans="1:18" ht="13.5" customHeight="1" x14ac:dyDescent="0.25">
      <c r="A9" s="1298" t="s">
        <v>396</v>
      </c>
      <c r="B9" s="1276"/>
      <c r="C9" s="1277"/>
      <c r="D9" s="1278"/>
      <c r="E9" s="1272"/>
      <c r="F9" s="1276"/>
      <c r="G9" s="1277"/>
      <c r="H9" s="1279"/>
      <c r="L9"/>
      <c r="M9"/>
      <c r="N9"/>
      <c r="O9"/>
      <c r="P9"/>
      <c r="Q9"/>
      <c r="R9"/>
    </row>
    <row r="10" spans="1:18" ht="13.5" customHeight="1" x14ac:dyDescent="0.25">
      <c r="A10" s="1280" t="s">
        <v>93</v>
      </c>
      <c r="B10" s="1276"/>
      <c r="C10" s="1272"/>
      <c r="D10" s="1288"/>
      <c r="E10" s="1272"/>
      <c r="F10" s="1280"/>
      <c r="G10" s="1272"/>
      <c r="I10" s="1287"/>
      <c r="L10"/>
      <c r="M10"/>
      <c r="N10"/>
      <c r="O10"/>
      <c r="P10"/>
      <c r="Q10"/>
      <c r="R10"/>
    </row>
    <row r="11" spans="1:18" ht="13.5" customHeight="1" x14ac:dyDescent="0.25">
      <c r="A11" s="1275" t="s">
        <v>220</v>
      </c>
      <c r="B11" s="1281"/>
      <c r="C11" s="1282"/>
      <c r="D11" s="1284" t="s">
        <v>71</v>
      </c>
      <c r="E11" s="1272"/>
      <c r="F11" s="1275" t="s">
        <v>144</v>
      </c>
      <c r="G11" s="1281"/>
      <c r="H11" s="1282"/>
      <c r="I11" s="1284" t="s">
        <v>71</v>
      </c>
      <c r="J11"/>
      <c r="L11"/>
      <c r="M11"/>
      <c r="N11"/>
      <c r="O11"/>
      <c r="P11"/>
      <c r="Q11"/>
      <c r="R11"/>
    </row>
    <row r="12" spans="1:18" ht="13.5" customHeight="1" x14ac:dyDescent="0.25">
      <c r="A12" s="1275" t="s">
        <v>572</v>
      </c>
      <c r="B12" s="1281"/>
      <c r="C12" s="1282"/>
      <c r="D12" s="1284" t="s">
        <v>71</v>
      </c>
      <c r="E12" s="1272"/>
      <c r="F12" s="1275" t="s">
        <v>595</v>
      </c>
      <c r="G12" s="1281"/>
      <c r="H12" s="1282"/>
      <c r="I12" s="1284" t="s">
        <v>71</v>
      </c>
      <c r="J12"/>
      <c r="L12"/>
      <c r="M12"/>
      <c r="N12"/>
      <c r="O12"/>
      <c r="P12"/>
      <c r="Q12"/>
      <c r="R12"/>
    </row>
    <row r="13" spans="1:18" ht="13.5" customHeight="1" x14ac:dyDescent="0.25">
      <c r="A13" s="1275" t="s">
        <v>647</v>
      </c>
      <c r="B13" s="1281"/>
      <c r="C13" s="1282"/>
      <c r="D13" s="1284" t="s">
        <v>71</v>
      </c>
      <c r="E13" s="1272"/>
      <c r="F13" s="1275" t="s">
        <v>573</v>
      </c>
      <c r="G13" s="1281"/>
      <c r="H13" s="1282"/>
      <c r="I13" s="1284" t="s">
        <v>71</v>
      </c>
      <c r="L13"/>
      <c r="M13"/>
      <c r="N13"/>
      <c r="O13"/>
      <c r="P13"/>
      <c r="Q13"/>
      <c r="R13"/>
    </row>
    <row r="14" spans="1:18" ht="13.5" customHeight="1" x14ac:dyDescent="0.25">
      <c r="A14" s="1276"/>
      <c r="B14" s="1276"/>
      <c r="C14" s="1272"/>
      <c r="D14" s="1912"/>
      <c r="E14" s="1913"/>
      <c r="F14" s="1275" t="s">
        <v>810</v>
      </c>
      <c r="G14" s="1281"/>
      <c r="H14" s="1289"/>
      <c r="I14" s="1912"/>
      <c r="L14"/>
      <c r="M14"/>
      <c r="N14"/>
      <c r="O14"/>
      <c r="P14"/>
      <c r="Q14"/>
      <c r="R14"/>
    </row>
    <row r="15" spans="1:18" ht="13.5" customHeight="1" x14ac:dyDescent="0.25">
      <c r="A15" s="1276"/>
      <c r="B15" s="1276"/>
      <c r="C15" s="1272"/>
      <c r="D15" s="1912"/>
      <c r="E15" s="1913"/>
      <c r="F15" s="1275" t="s">
        <v>811</v>
      </c>
      <c r="G15" s="1281"/>
      <c r="H15" s="1289"/>
      <c r="I15" s="1912"/>
      <c r="L15"/>
      <c r="M15"/>
      <c r="N15"/>
      <c r="O15"/>
      <c r="P15"/>
      <c r="Q15"/>
      <c r="R15"/>
    </row>
    <row r="16" spans="1:18" ht="13.5" customHeight="1" x14ac:dyDescent="0.25">
      <c r="E16" s="1272"/>
      <c r="I16" s="1911"/>
      <c r="L16"/>
      <c r="M16"/>
      <c r="N16"/>
      <c r="O16"/>
      <c r="P16"/>
      <c r="Q16"/>
      <c r="R16"/>
    </row>
    <row r="17" spans="1:12" ht="13.5" customHeight="1" x14ac:dyDescent="0.25">
      <c r="A17" s="1280" t="s">
        <v>208</v>
      </c>
      <c r="B17" s="1280"/>
      <c r="C17" s="1269"/>
      <c r="D17" s="1269"/>
      <c r="E17" s="1269"/>
      <c r="F17" s="1280"/>
      <c r="L17" s="1273"/>
    </row>
    <row r="18" spans="1:12" ht="14.25" customHeight="1" x14ac:dyDescent="0.25">
      <c r="A18" s="1275" t="s">
        <v>62</v>
      </c>
      <c r="B18" s="1281"/>
      <c r="C18" s="1282"/>
      <c r="D18" s="1283" t="s">
        <v>71</v>
      </c>
      <c r="E18" s="1277"/>
      <c r="F18" s="1286" t="s">
        <v>650</v>
      </c>
      <c r="G18" s="1282"/>
      <c r="H18" s="1086"/>
      <c r="I18" s="1285" t="s">
        <v>71</v>
      </c>
      <c r="L18" s="1273"/>
    </row>
    <row r="19" spans="1:12" ht="13.5" customHeight="1" x14ac:dyDescent="0.25">
      <c r="A19" s="1275" t="s">
        <v>63</v>
      </c>
      <c r="B19" s="1281"/>
      <c r="C19" s="1282"/>
      <c r="D19" s="1284" t="s">
        <v>71</v>
      </c>
      <c r="E19" s="1272"/>
      <c r="F19" s="1275" t="s">
        <v>126</v>
      </c>
      <c r="G19" s="1282" t="s">
        <v>127</v>
      </c>
      <c r="H19" s="1086"/>
      <c r="I19" s="1284" t="s">
        <v>71</v>
      </c>
      <c r="L19" s="1273"/>
    </row>
    <row r="20" spans="1:12" ht="13.5" customHeight="1" x14ac:dyDescent="0.25">
      <c r="A20" s="1275" t="s">
        <v>247</v>
      </c>
      <c r="B20" s="1281"/>
      <c r="C20" s="1282"/>
      <c r="D20" s="1285" t="s">
        <v>71</v>
      </c>
      <c r="E20" s="1272"/>
      <c r="F20" s="1275" t="s">
        <v>293</v>
      </c>
      <c r="G20" s="1281" t="s">
        <v>294</v>
      </c>
      <c r="H20" s="1086"/>
      <c r="I20" s="1284" t="s">
        <v>71</v>
      </c>
      <c r="L20" s="1273"/>
    </row>
    <row r="21" spans="1:12" ht="13.5" customHeight="1" x14ac:dyDescent="0.25">
      <c r="A21" s="1275" t="s">
        <v>135</v>
      </c>
      <c r="B21" s="1281"/>
      <c r="C21" s="1282"/>
      <c r="D21" s="1284" t="s">
        <v>71</v>
      </c>
      <c r="E21" s="1272"/>
      <c r="F21" s="1275" t="s">
        <v>256</v>
      </c>
      <c r="G21" s="1282"/>
      <c r="H21" s="1086"/>
      <c r="I21" s="1285" t="s">
        <v>71</v>
      </c>
      <c r="L21" s="1273"/>
    </row>
    <row r="22" spans="1:12" ht="13.5" customHeight="1" x14ac:dyDescent="0.25">
      <c r="A22" s="1275" t="s">
        <v>64</v>
      </c>
      <c r="B22" s="1281"/>
      <c r="C22" s="1282"/>
      <c r="D22" s="1284" t="s">
        <v>71</v>
      </c>
      <c r="E22" s="1272"/>
      <c r="F22" s="1275" t="s">
        <v>128</v>
      </c>
      <c r="G22" s="1282"/>
      <c r="H22" s="1086"/>
      <c r="I22" s="1284" t="s">
        <v>71</v>
      </c>
      <c r="L22" s="1273"/>
    </row>
    <row r="23" spans="1:12" ht="13.5" customHeight="1" x14ac:dyDescent="0.25">
      <c r="A23" s="1626" t="s">
        <v>248</v>
      </c>
      <c r="B23" s="1628"/>
      <c r="C23" s="1627"/>
      <c r="D23" s="1285" t="s">
        <v>71</v>
      </c>
      <c r="E23" s="1272"/>
      <c r="F23" s="1275" t="s">
        <v>263</v>
      </c>
      <c r="G23" s="1282"/>
      <c r="H23" s="1086"/>
      <c r="I23" s="1285" t="s">
        <v>71</v>
      </c>
      <c r="L23" s="1273"/>
    </row>
    <row r="24" spans="1:12" ht="13.5" customHeight="1" x14ac:dyDescent="0.25">
      <c r="A24" s="1286" t="s">
        <v>290</v>
      </c>
      <c r="B24" s="1281" t="s">
        <v>291</v>
      </c>
      <c r="C24" s="1086"/>
      <c r="D24" s="1284" t="s">
        <v>71</v>
      </c>
      <c r="E24" s="1272"/>
      <c r="F24" s="1275" t="s">
        <v>485</v>
      </c>
      <c r="G24" s="1282"/>
      <c r="H24" s="1086"/>
      <c r="I24" s="1285" t="s">
        <v>71</v>
      </c>
      <c r="L24" s="1273"/>
    </row>
    <row r="25" spans="1:12" ht="13.5" customHeight="1" x14ac:dyDescent="0.25">
      <c r="A25" s="1286" t="s">
        <v>290</v>
      </c>
      <c r="B25" s="1282" t="s">
        <v>292</v>
      </c>
      <c r="C25" s="1086"/>
      <c r="D25" s="1284" t="s">
        <v>71</v>
      </c>
      <c r="E25" s="1272"/>
      <c r="F25" s="1275" t="s">
        <v>717</v>
      </c>
      <c r="G25" s="1282"/>
      <c r="H25" s="1086"/>
      <c r="I25" s="1285" t="s">
        <v>71</v>
      </c>
      <c r="L25" s="1273"/>
    </row>
    <row r="26" spans="1:12" ht="13.5" customHeight="1" x14ac:dyDescent="0.25">
      <c r="A26" s="1286" t="s">
        <v>608</v>
      </c>
      <c r="B26" s="1282"/>
      <c r="C26" s="1086"/>
      <c r="D26" s="1284" t="s">
        <v>71</v>
      </c>
      <c r="E26" s="1272"/>
      <c r="F26" s="1626" t="s">
        <v>262</v>
      </c>
      <c r="G26" s="1627"/>
      <c r="H26" s="1619"/>
      <c r="I26" s="1285" t="s">
        <v>71</v>
      </c>
      <c r="L26" s="1273"/>
    </row>
    <row r="27" spans="1:12" ht="13.5" customHeight="1" x14ac:dyDescent="0.25">
      <c r="E27" s="1272"/>
      <c r="L27" s="1273"/>
    </row>
    <row r="28" spans="1:12" ht="13.5" customHeight="1" x14ac:dyDescent="0.25">
      <c r="E28" s="1272"/>
      <c r="L28" s="1273"/>
    </row>
    <row r="29" spans="1:12" ht="13.5" customHeight="1" x14ac:dyDescent="0.25">
      <c r="A29" s="1280" t="s">
        <v>207</v>
      </c>
      <c r="B29" s="1276"/>
      <c r="C29" s="1272"/>
      <c r="L29" s="1273"/>
    </row>
    <row r="30" spans="1:12" ht="13.5" customHeight="1" x14ac:dyDescent="0.25">
      <c r="A30" s="1286" t="s">
        <v>171</v>
      </c>
      <c r="B30" s="1281"/>
      <c r="C30" s="1289"/>
      <c r="D30" s="1285" t="s">
        <v>71</v>
      </c>
    </row>
    <row r="31" spans="1:12" ht="14.25" customHeight="1" x14ac:dyDescent="0.25">
      <c r="A31" s="1286" t="s">
        <v>170</v>
      </c>
      <c r="B31" s="1281"/>
      <c r="C31" s="1289"/>
      <c r="D31" s="1285" t="s">
        <v>71</v>
      </c>
      <c r="G31" s="1272"/>
      <c r="H31" s="1279"/>
    </row>
    <row r="32" spans="1:12" ht="14.25" customHeight="1" x14ac:dyDescent="0.25">
      <c r="A32" s="1286" t="s">
        <v>594</v>
      </c>
      <c r="B32" s="1281"/>
      <c r="C32" s="1289"/>
      <c r="D32" s="1284" t="s">
        <v>71</v>
      </c>
      <c r="F32" s="1275" t="s">
        <v>169</v>
      </c>
      <c r="G32" s="1281"/>
      <c r="H32" s="1289"/>
      <c r="I32" s="1284" t="s">
        <v>71</v>
      </c>
    </row>
    <row r="33" spans="1:10" ht="14.25" customHeight="1" x14ac:dyDescent="0.25">
      <c r="A33" s="1286" t="s">
        <v>1</v>
      </c>
      <c r="B33" s="1281"/>
      <c r="C33" s="1289"/>
      <c r="D33" s="1285" t="s">
        <v>71</v>
      </c>
      <c r="F33" s="1275" t="s">
        <v>27</v>
      </c>
      <c r="G33" s="1086"/>
      <c r="H33" s="1289"/>
      <c r="I33" s="1290" t="s">
        <v>71</v>
      </c>
    </row>
    <row r="34" spans="1:10" ht="14.25" customHeight="1" x14ac:dyDescent="0.25">
      <c r="A34" s="1286" t="s">
        <v>288</v>
      </c>
      <c r="B34" s="1291" t="s">
        <v>289</v>
      </c>
      <c r="C34" s="1292"/>
      <c r="D34" s="1284" t="s">
        <v>71</v>
      </c>
      <c r="F34" s="1275" t="s">
        <v>354</v>
      </c>
      <c r="G34" s="1086"/>
      <c r="H34" s="1289"/>
      <c r="I34" s="1290" t="s">
        <v>71</v>
      </c>
    </row>
    <row r="35" spans="1:10" ht="14.25" customHeight="1" x14ac:dyDescent="0.25">
      <c r="A35" s="1286" t="s">
        <v>306</v>
      </c>
      <c r="B35" s="1291"/>
      <c r="C35" s="1292"/>
      <c r="D35" s="1284" t="s">
        <v>71</v>
      </c>
      <c r="F35" s="1275" t="s">
        <v>487</v>
      </c>
      <c r="G35" s="1086"/>
      <c r="H35" s="1289"/>
      <c r="I35" s="1290" t="s">
        <v>71</v>
      </c>
    </row>
    <row r="36" spans="1:10" ht="14.25" customHeight="1" x14ac:dyDescent="0.25">
      <c r="A36" s="1286" t="s">
        <v>307</v>
      </c>
      <c r="B36" s="1291"/>
      <c r="C36" s="1292"/>
      <c r="D36" s="1284" t="s">
        <v>71</v>
      </c>
      <c r="F36" s="1275" t="s">
        <v>614</v>
      </c>
      <c r="I36" s="1290" t="s">
        <v>71</v>
      </c>
    </row>
    <row r="37" spans="1:10" ht="14.25" customHeight="1" x14ac:dyDescent="0.25">
      <c r="A37" s="1286" t="s">
        <v>47</v>
      </c>
      <c r="B37" s="1281"/>
      <c r="C37" s="1289"/>
      <c r="D37" s="1285" t="s">
        <v>71</v>
      </c>
      <c r="F37" s="1275" t="s">
        <v>486</v>
      </c>
      <c r="G37" s="1086"/>
      <c r="H37" s="1289"/>
      <c r="I37" s="1290" t="s">
        <v>71</v>
      </c>
    </row>
    <row r="38" spans="1:10" ht="14.25" customHeight="1" x14ac:dyDescent="0.25">
      <c r="A38" s="1286" t="s">
        <v>2</v>
      </c>
      <c r="B38" s="1281"/>
      <c r="C38" s="1289"/>
      <c r="D38" s="1285" t="s">
        <v>71</v>
      </c>
      <c r="F38" s="1626" t="s">
        <v>393</v>
      </c>
      <c r="G38" s="1619"/>
      <c r="H38" s="1629"/>
      <c r="I38" s="1293" t="s">
        <v>71</v>
      </c>
    </row>
    <row r="39" spans="1:10" ht="14.25" customHeight="1" x14ac:dyDescent="0.25"/>
    <row r="40" spans="1:10" ht="14.25" customHeight="1" x14ac:dyDescent="0.25"/>
    <row r="41" spans="1:10" ht="14.25" customHeight="1" x14ac:dyDescent="0.25">
      <c r="A41"/>
      <c r="B41"/>
      <c r="C41"/>
      <c r="D41"/>
      <c r="E41"/>
    </row>
    <row r="42" spans="1:10" ht="14.25" customHeight="1" x14ac:dyDescent="0.25">
      <c r="A42"/>
      <c r="B42"/>
      <c r="C42"/>
      <c r="D42"/>
    </row>
    <row r="43" spans="1:10" ht="14.25" customHeight="1" x14ac:dyDescent="0.25">
      <c r="A43"/>
      <c r="B43"/>
      <c r="C43"/>
      <c r="D43"/>
      <c r="E43"/>
      <c r="F43"/>
      <c r="G43"/>
      <c r="H43"/>
      <c r="I43"/>
    </row>
    <row r="44" spans="1:10" ht="14.25" customHeight="1" x14ac:dyDescent="0.25">
      <c r="E44"/>
      <c r="J44"/>
    </row>
    <row r="45" spans="1:10" ht="13.5" customHeight="1" x14ac:dyDescent="0.25">
      <c r="F45"/>
      <c r="G45"/>
      <c r="H45"/>
      <c r="I45"/>
      <c r="J45"/>
    </row>
    <row r="46" spans="1:10" ht="14.25" customHeight="1" x14ac:dyDescent="0.25">
      <c r="F46"/>
      <c r="G46"/>
      <c r="H46"/>
      <c r="I46"/>
    </row>
    <row r="47" spans="1:10" x14ac:dyDescent="0.25">
      <c r="H47" s="1272"/>
    </row>
  </sheetData>
  <sheetProtection selectLockedCells="1"/>
  <customSheetViews>
    <customSheetView guid="{F72FE543-F911-423C-A34B-9CA018DFE603}" showGridLines="0" fitToPage="1" topLeftCell="A73">
      <selection activeCell="K13" sqref="K13"/>
      <pageMargins left="0.74803149606299213" right="0.74803149606299213" top="0.55118110236220474" bottom="0.62992125984251968" header="0.51181102362204722" footer="0.47244094488188981"/>
      <printOptions horizontalCentered="1"/>
      <pageSetup paperSize="9" scale="64" orientation="portrait" r:id="rId1"/>
      <headerFooter alignWithMargins="0">
        <oddFooter>&amp;LPrinted:&amp;T on &amp;D</oddFooter>
      </headerFooter>
    </customSheetView>
  </customSheetViews>
  <mergeCells count="1">
    <mergeCell ref="A8:H8"/>
  </mergeCells>
  <phoneticPr fontId="8" type="noConversion"/>
  <hyperlinks>
    <hyperlink ref="D18" location="'Cash at Bank'!A1" display="Link" xr:uid="{00000000-0004-0000-0000-000000000000}"/>
    <hyperlink ref="D19" location="Prepayments!A1" display="Link" xr:uid="{00000000-0004-0000-0000-000001000000}"/>
    <hyperlink ref="D21" location="'Acquisition Costs'!A1" display="Link" xr:uid="{00000000-0004-0000-0000-000002000000}"/>
    <hyperlink ref="D22" location="Deposits!A1" display="Link" xr:uid="{00000000-0004-0000-0000-000003000000}"/>
    <hyperlink ref="D23" location="'Other Assets - 1'!A1" display="Link" xr:uid="{00000000-0004-0000-0000-000004000000}"/>
    <hyperlink ref="D24" location="'Shareholder Loan - Div 7A (NEW)'!A1" display="Link" xr:uid="{00000000-0004-0000-0000-000005000000}"/>
    <hyperlink ref="I20" location="'BAS reconciliation'!A1" display="Link" xr:uid="{00000000-0004-0000-0000-000006000000}"/>
    <hyperlink ref="I22" location="'Loans - Bank'!A1" display="Link" xr:uid="{00000000-0004-0000-0000-000007000000}"/>
    <hyperlink ref="I19" location="'Gst Rec (MYOB)'!A1" display="Link" xr:uid="{00000000-0004-0000-0000-000008000000}"/>
    <hyperlink ref="D26" location="'Shareholder Loan - FBT'!A1" display="Link" xr:uid="{00000000-0004-0000-0000-000009000000}"/>
    <hyperlink ref="I18" location="'Shareholder loan'!A1" display="Link" xr:uid="{00000000-0004-0000-0000-00000A000000}"/>
    <hyperlink ref="I12" location="'P&amp;L Reconciliation'!A1" display="Link" xr:uid="{00000000-0004-0000-0000-00000B000000}"/>
    <hyperlink ref="I11" location="'ITR Label Rec'!A1" display="Link" xr:uid="{00000000-0004-0000-0000-00000C000000}"/>
    <hyperlink ref="I13" location="'Gst Reconciliation'!A1" display="Link" xr:uid="{00000000-0004-0000-0000-00000D000000}"/>
    <hyperlink ref="D11" location="'Tax Reconciliation - Company'!A1" display="Link" xr:uid="{00000000-0004-0000-0000-00000E000000}"/>
    <hyperlink ref="D30" location="'Capital Gains'!A1" display="Link" xr:uid="{00000000-0004-0000-0000-00000F000000}"/>
    <hyperlink ref="D31" location="'Capital Gains- Shares'!A1" display="Link" xr:uid="{00000000-0004-0000-0000-000010000000}"/>
    <hyperlink ref="D33" location="'Dividends Recieved'!A1" display="Link" xr:uid="{00000000-0004-0000-0000-000011000000}"/>
    <hyperlink ref="D37" location="'Rental Income - 1'!A1" display="Link" xr:uid="{00000000-0004-0000-0000-000012000000}"/>
    <hyperlink ref="D38" location="'Other Income'!A1" display="Link" xr:uid="{00000000-0004-0000-0000-000013000000}"/>
    <hyperlink ref="I32" location="'Goods For Own Use'!A1" display="Link" xr:uid="{00000000-0004-0000-0000-000014000000}"/>
    <hyperlink ref="I33" location="Insurance!A1" display="Link" xr:uid="{00000000-0004-0000-0000-000015000000}"/>
    <hyperlink ref="I34" location="'Motor Vehicle'!A1" display="Link" xr:uid="{00000000-0004-0000-0000-000016000000}"/>
    <hyperlink ref="I37" location="'Salary and Wages'!A1" display="Link" xr:uid="{00000000-0004-0000-0000-000017000000}"/>
    <hyperlink ref="I38" location="'Other - 1'!A1" display="Link" xr:uid="{00000000-0004-0000-0000-000018000000}"/>
    <hyperlink ref="I36" location="'Car purchase worksheet'!A1" display="Link" xr:uid="{00000000-0004-0000-0000-000019000000}"/>
    <hyperlink ref="D12" location="'Tax Reconciliation -Trust'!A1" display="Link" xr:uid="{00000000-0004-0000-0000-00001A000000}"/>
    <hyperlink ref="D13" location="'Tax Reconciliation -Strader'!A1" display="Link" xr:uid="{00000000-0004-0000-0000-00001B000000}"/>
    <hyperlink ref="I35" location="'Motor Vehicle (multiple)'!A1" display="Link" xr:uid="{00000000-0004-0000-0000-00001C000000}"/>
    <hyperlink ref="D25" location="'Shareholder Loan- Div7A PRIOR'!A1" display="Link" xr:uid="{00000000-0004-0000-0000-00001D000000}"/>
    <hyperlink ref="D20" location="'Investments Held'!A1" display="Link" xr:uid="{00000000-0004-0000-0000-00001E000000}"/>
    <hyperlink ref="I21" location="'Superannuation Payable'!A1" display="Link" xr:uid="{00000000-0004-0000-0000-00001F000000}"/>
    <hyperlink ref="I23" location="'Bill Facilities'!A1" display="Link" xr:uid="{00000000-0004-0000-0000-000020000000}"/>
    <hyperlink ref="D34" location="'FBT Contributions'!A1" display="Link" xr:uid="{00000000-0004-0000-0000-000021000000}"/>
    <hyperlink ref="D35:D36" location="'FBT Contributions'!A1" display="Link" xr:uid="{00000000-0004-0000-0000-000022000000}"/>
    <hyperlink ref="D36" location="'Disposal Lux Car - Not Pooled'!A1" display="Link" xr:uid="{00000000-0004-0000-0000-000023000000}"/>
    <hyperlink ref="D35" location="'Disposal Lux Car - Pooled'!A1" display="Link" xr:uid="{00000000-0004-0000-0000-000024000000}"/>
    <hyperlink ref="D32" location="'Managed Funds'!A1" display="Link" xr:uid="{00000000-0004-0000-0000-000025000000}"/>
    <hyperlink ref="I24" location="'Bill Facilities'!A1" display="Link" xr:uid="{00000000-0004-0000-0000-000026000000}"/>
    <hyperlink ref="I25" location="'Bill Facilities'!A1" display="Link" xr:uid="{00000000-0004-0000-0000-000027000000}"/>
    <hyperlink ref="I26" location="'Bill Facilities'!A1" display="Link" xr:uid="{00000000-0004-0000-0000-000028000000}"/>
  </hyperlinks>
  <printOptions horizontalCentered="1"/>
  <pageMargins left="0.74803149606299213" right="0.74803149606299213" top="0.55118110236220474" bottom="0.62992125984251968" header="0.51181102362204722" footer="0.47244094488188981"/>
  <pageSetup paperSize="9" scale="55" orientation="portrait" r:id="rId2"/>
  <headerFooter alignWithMargins="0">
    <oddFooter>&amp;LPrinted:&amp;T on &amp;D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tabColor rgb="FF92D050"/>
    <pageSetUpPr fitToPage="1"/>
  </sheetPr>
  <dimension ref="A1:W46"/>
  <sheetViews>
    <sheetView tabSelected="1" workbookViewId="0">
      <selection activeCell="U23" sqref="U23"/>
    </sheetView>
  </sheetViews>
  <sheetFormatPr defaultRowHeight="12.75" x14ac:dyDescent="0.2"/>
  <cols>
    <col min="1" max="1" width="28.140625" customWidth="1"/>
    <col min="2" max="2" width="10.42578125" customWidth="1"/>
    <col min="3" max="3" width="13.42578125" style="2555" bestFit="1" customWidth="1"/>
    <col min="4" max="4" width="13.42578125" style="2568" bestFit="1" customWidth="1"/>
    <col min="5" max="5" width="9.7109375" style="2568" bestFit="1" customWidth="1"/>
    <col min="6" max="6" width="10.28515625" bestFit="1" customWidth="1"/>
    <col min="7" max="7" width="14" bestFit="1" customWidth="1"/>
    <col min="8" max="8" width="4.5703125" customWidth="1"/>
    <col min="9" max="9" width="10.28515625" hidden="1" customWidth="1"/>
    <col min="10" max="10" width="0" hidden="1" customWidth="1"/>
    <col min="11" max="12" width="9.140625" hidden="1" customWidth="1"/>
    <col min="13" max="13" width="10.5703125" hidden="1" customWidth="1"/>
    <col min="14" max="17" width="9.140625" hidden="1" customWidth="1"/>
    <col min="18" max="18" width="0" hidden="1" customWidth="1"/>
    <col min="22" max="23" width="10.28515625" bestFit="1" customWidth="1"/>
  </cols>
  <sheetData>
    <row r="1" spans="1:23" ht="19.5" x14ac:dyDescent="0.25">
      <c r="A1" s="2342" t="s">
        <v>44</v>
      </c>
      <c r="B1" s="2343"/>
      <c r="C1" s="2545"/>
      <c r="D1" s="2558"/>
    </row>
    <row r="2" spans="1:23" ht="19.5" x14ac:dyDescent="0.25">
      <c r="A2" s="1"/>
      <c r="B2" s="1"/>
      <c r="C2" s="2545"/>
      <c r="D2" s="2558"/>
    </row>
    <row r="3" spans="1:23" ht="19.5" x14ac:dyDescent="0.25">
      <c r="A3" s="1"/>
      <c r="B3" s="2344" t="s">
        <v>597</v>
      </c>
      <c r="C3" s="2345"/>
      <c r="D3" s="2345"/>
      <c r="E3" s="2345"/>
      <c r="F3" s="2346"/>
      <c r="G3" s="2585"/>
      <c r="I3" s="2344" t="s">
        <v>598</v>
      </c>
      <c r="J3" s="2345"/>
      <c r="K3" s="2345"/>
      <c r="L3" s="2345"/>
      <c r="M3" s="2345"/>
      <c r="N3" s="2345"/>
      <c r="O3" s="2345"/>
      <c r="P3" s="2345"/>
      <c r="Q3" s="2345"/>
      <c r="R3" s="2346"/>
      <c r="T3" s="2591" t="s">
        <v>1096</v>
      </c>
      <c r="U3" s="2592"/>
      <c r="V3" s="2592"/>
      <c r="W3" s="2593"/>
    </row>
    <row r="4" spans="1:23" ht="51" x14ac:dyDescent="0.2">
      <c r="A4" s="2" t="s">
        <v>239</v>
      </c>
      <c r="B4" s="3" t="s">
        <v>30</v>
      </c>
      <c r="C4" s="2546" t="s">
        <v>596</v>
      </c>
      <c r="D4" s="2559" t="s">
        <v>55</v>
      </c>
      <c r="E4" s="2559" t="s">
        <v>240</v>
      </c>
      <c r="F4" s="1632" t="s">
        <v>241</v>
      </c>
      <c r="G4" s="1632" t="s">
        <v>1094</v>
      </c>
      <c r="H4" s="4"/>
      <c r="I4" s="4" t="s">
        <v>602</v>
      </c>
      <c r="J4" s="5" t="s">
        <v>601</v>
      </c>
      <c r="K4" s="1630" t="s">
        <v>242</v>
      </c>
      <c r="L4" s="1630" t="s">
        <v>599</v>
      </c>
      <c r="M4" s="1630" t="s">
        <v>600</v>
      </c>
      <c r="N4" s="1630" t="s">
        <v>604</v>
      </c>
      <c r="O4" s="1630" t="s">
        <v>603</v>
      </c>
      <c r="P4" s="1630" t="s">
        <v>605</v>
      </c>
      <c r="Q4" s="1630" t="s">
        <v>606</v>
      </c>
      <c r="R4" s="1631" t="s">
        <v>244</v>
      </c>
      <c r="T4" s="2594" t="s">
        <v>1095</v>
      </c>
      <c r="U4" s="2595" t="s">
        <v>596</v>
      </c>
      <c r="V4" s="2595" t="s">
        <v>243</v>
      </c>
      <c r="W4" s="2596" t="s">
        <v>1094</v>
      </c>
    </row>
    <row r="5" spans="1:23" x14ac:dyDescent="0.2">
      <c r="A5" s="1652" t="s">
        <v>1087</v>
      </c>
      <c r="B5" s="1653"/>
      <c r="C5" s="2547"/>
      <c r="D5" s="2560"/>
      <c r="E5" s="2560"/>
      <c r="F5" s="1654"/>
      <c r="G5" s="1654">
        <v>27333.691999999999</v>
      </c>
      <c r="H5" s="1654"/>
      <c r="I5" s="1654"/>
      <c r="J5" s="1654"/>
      <c r="K5" s="1654"/>
      <c r="L5" s="1654"/>
      <c r="M5" s="1654"/>
      <c r="N5" s="1654"/>
      <c r="O5" s="1654"/>
      <c r="P5" s="1654"/>
      <c r="Q5" s="1654"/>
      <c r="R5" s="1655"/>
      <c r="T5" s="2597" t="s">
        <v>1087</v>
      </c>
      <c r="U5" s="2598">
        <f>C11+C23</f>
        <v>0.40144400000000002</v>
      </c>
      <c r="V5" s="2598">
        <f>F11+F23</f>
        <v>25149.660000000003</v>
      </c>
      <c r="W5" s="2598">
        <f>G11+G23</f>
        <v>10972.946651247999</v>
      </c>
    </row>
    <row r="6" spans="1:23" x14ac:dyDescent="0.2">
      <c r="A6" s="2544" t="s">
        <v>1089</v>
      </c>
      <c r="B6" s="1637">
        <v>44534</v>
      </c>
      <c r="C6" s="2548">
        <v>0.12983900000000001</v>
      </c>
      <c r="D6" s="2561">
        <v>10000</v>
      </c>
      <c r="E6" s="2570">
        <v>59.87</v>
      </c>
      <c r="F6" s="1639">
        <f>SUM(D6:E6)</f>
        <v>10059.870000000001</v>
      </c>
      <c r="G6" s="2586"/>
      <c r="H6" s="8"/>
      <c r="I6" s="1651"/>
      <c r="J6" s="1642"/>
      <c r="K6" s="1643"/>
      <c r="L6" s="1644"/>
      <c r="M6" s="1644"/>
      <c r="N6" s="1644"/>
      <c r="O6" s="1645">
        <f>L6-M6-N6</f>
        <v>0</v>
      </c>
      <c r="P6" s="1645">
        <f>IF(O6&gt;0,IF(J6="Y",0,O6),0)</f>
        <v>0</v>
      </c>
      <c r="Q6" s="1645">
        <f>IF(O6&gt;0,IF(J6="Y",O6,0),0)</f>
        <v>0</v>
      </c>
      <c r="R6" s="1657">
        <f>IF(O6&lt;0,O6,0)</f>
        <v>0</v>
      </c>
      <c r="T6" s="2597" t="s">
        <v>1088</v>
      </c>
      <c r="U6" s="2598">
        <f>C17+C29</f>
        <v>7669.59</v>
      </c>
      <c r="V6" s="2598">
        <f>F17+F29</f>
        <v>10059.85</v>
      </c>
      <c r="W6" s="2598">
        <f>G17+G29</f>
        <v>3422.1710579999999</v>
      </c>
    </row>
    <row r="7" spans="1:23" x14ac:dyDescent="0.2">
      <c r="A7" s="2544" t="s">
        <v>1090</v>
      </c>
      <c r="B7" s="1637">
        <v>44612</v>
      </c>
      <c r="C7" s="2548">
        <f>-C6</f>
        <v>-0.12983900000000001</v>
      </c>
      <c r="D7" s="2561">
        <f t="shared" ref="D7:E7" si="0">-D6</f>
        <v>-10000</v>
      </c>
      <c r="E7" s="2561">
        <f t="shared" si="0"/>
        <v>-59.87</v>
      </c>
      <c r="F7" s="1639">
        <f>SUM(D7:E7)</f>
        <v>-10059.870000000001</v>
      </c>
      <c r="G7" s="2586"/>
      <c r="H7" s="8"/>
      <c r="I7" s="1651"/>
      <c r="J7" s="1642"/>
      <c r="K7" s="1643"/>
      <c r="L7" s="1644"/>
      <c r="M7" s="1644"/>
      <c r="N7" s="1644"/>
      <c r="O7" s="1645"/>
      <c r="P7" s="1645"/>
      <c r="Q7" s="1645"/>
      <c r="R7" s="1657"/>
      <c r="T7" s="2597"/>
      <c r="U7" s="2597"/>
      <c r="V7" s="2597"/>
      <c r="W7" s="2597"/>
    </row>
    <row r="8" spans="1:23" x14ac:dyDescent="0.2">
      <c r="A8" s="2544" t="s">
        <v>1089</v>
      </c>
      <c r="B8" s="1637">
        <v>44673</v>
      </c>
      <c r="C8" s="2548">
        <v>0.27160499999999999</v>
      </c>
      <c r="D8" s="2561">
        <v>15000</v>
      </c>
      <c r="E8" s="2570">
        <v>89.79</v>
      </c>
      <c r="F8" s="1639">
        <f t="shared" ref="F8:F10" si="1">SUM(D8:E8)</f>
        <v>15089.79</v>
      </c>
      <c r="G8" s="2586"/>
      <c r="H8" s="8"/>
      <c r="I8" s="1641"/>
      <c r="J8" s="1642"/>
      <c r="K8" s="1643"/>
      <c r="L8" s="1644"/>
      <c r="M8" s="1644"/>
      <c r="N8" s="1644"/>
      <c r="O8" s="1645">
        <f>L8-M8-N8</f>
        <v>0</v>
      </c>
      <c r="P8" s="1645">
        <f>IF(O8&gt;0,IF(J8="Y",0,O8),0)</f>
        <v>0</v>
      </c>
      <c r="Q8" s="1645">
        <f>IF(O8&gt;0,IF(J8="Y",O8,0),0)</f>
        <v>0</v>
      </c>
      <c r="R8" s="1657">
        <f>IF(O8&lt;0,O8,0)</f>
        <v>0</v>
      </c>
      <c r="T8" s="2597"/>
      <c r="U8" s="2597"/>
      <c r="V8" s="2597"/>
      <c r="W8" s="2597"/>
    </row>
    <row r="9" spans="1:23" x14ac:dyDescent="0.2">
      <c r="A9" s="1656"/>
      <c r="B9" s="1637"/>
      <c r="C9" s="2549"/>
      <c r="D9" s="2562"/>
      <c r="E9" s="2571"/>
      <c r="F9" s="1639">
        <f t="shared" si="1"/>
        <v>0</v>
      </c>
      <c r="G9" s="2586"/>
      <c r="H9" s="8"/>
      <c r="I9" s="1641"/>
      <c r="J9" s="1642"/>
      <c r="K9" s="1643"/>
      <c r="L9" s="1644"/>
      <c r="M9" s="1644"/>
      <c r="N9" s="1644"/>
      <c r="O9" s="1645">
        <f>L9-M9-N9</f>
        <v>0</v>
      </c>
      <c r="P9" s="1645">
        <f>IF(O9&gt;0,IF(J9="Y",0,O9),0)</f>
        <v>0</v>
      </c>
      <c r="Q9" s="1645">
        <f>IF(O9&gt;0,IF(J9="Y",O9,0),0)</f>
        <v>0</v>
      </c>
      <c r="R9" s="1657">
        <f>IF(O9&lt;0,O9,0)</f>
        <v>0</v>
      </c>
      <c r="T9" s="2597"/>
      <c r="U9" s="2597"/>
      <c r="V9" s="2597"/>
      <c r="W9" s="2597"/>
    </row>
    <row r="10" spans="1:23" x14ac:dyDescent="0.2">
      <c r="A10" s="1658"/>
      <c r="B10" s="1638"/>
      <c r="C10" s="2550"/>
      <c r="D10" s="2563"/>
      <c r="E10" s="2572"/>
      <c r="F10" s="1639">
        <f t="shared" si="1"/>
        <v>0</v>
      </c>
      <c r="G10" s="2586"/>
      <c r="H10" s="8"/>
      <c r="I10" s="1646"/>
      <c r="J10" s="1647"/>
      <c r="K10" s="1648"/>
      <c r="L10" s="1649"/>
      <c r="M10" s="1649"/>
      <c r="N10" s="1649"/>
      <c r="O10" s="1650">
        <f>L10-M10-N10</f>
        <v>0</v>
      </c>
      <c r="P10" s="1650">
        <f>IF(O10&gt;0,IF(J10="Y",0,O10),0)</f>
        <v>0</v>
      </c>
      <c r="Q10" s="1645">
        <f>IF(O10&gt;0,IF(J10="Y",O10,0),0)</f>
        <v>0</v>
      </c>
      <c r="R10" s="1659">
        <f>IF(O10&lt;0,O10,0)</f>
        <v>0</v>
      </c>
      <c r="T10" s="2597"/>
      <c r="U10" s="2597"/>
      <c r="V10" s="2597"/>
      <c r="W10" s="2597"/>
    </row>
    <row r="11" spans="1:23" ht="13.5" thickBot="1" x14ac:dyDescent="0.25">
      <c r="A11" s="1660"/>
      <c r="B11" s="1636"/>
      <c r="C11" s="2551">
        <f>SUBTOTAL(9,C6:C10)</f>
        <v>0.27160499999999999</v>
      </c>
      <c r="D11" s="2564">
        <f>SUBTOTAL(9,D6:D10)</f>
        <v>15000</v>
      </c>
      <c r="E11" s="2564">
        <f>SUBTOTAL(9,E6:E10)</f>
        <v>89.79</v>
      </c>
      <c r="F11" s="6">
        <f>SUBTOTAL(9,F6:F10)</f>
        <v>15089.79</v>
      </c>
      <c r="G11" s="6">
        <f>C11*G5</f>
        <v>7423.9674156599995</v>
      </c>
      <c r="H11" s="10"/>
      <c r="I11" s="1636"/>
      <c r="J11" s="1636"/>
      <c r="K11" s="1633">
        <f t="shared" ref="K11:R11" si="2">SUBTOTAL(9,K6:K10)</f>
        <v>0</v>
      </c>
      <c r="L11" s="1634">
        <f t="shared" si="2"/>
        <v>0</v>
      </c>
      <c r="M11" s="1634">
        <f t="shared" si="2"/>
        <v>0</v>
      </c>
      <c r="N11" s="1634">
        <f t="shared" si="2"/>
        <v>0</v>
      </c>
      <c r="O11" s="1634">
        <f t="shared" si="2"/>
        <v>0</v>
      </c>
      <c r="P11" s="1634">
        <f t="shared" si="2"/>
        <v>0</v>
      </c>
      <c r="Q11" s="1634">
        <f t="shared" si="2"/>
        <v>0</v>
      </c>
      <c r="R11" s="1661">
        <f t="shared" si="2"/>
        <v>0</v>
      </c>
      <c r="T11" s="2597"/>
      <c r="U11" s="2597"/>
      <c r="V11" s="2597"/>
      <c r="W11" s="2597"/>
    </row>
    <row r="12" spans="1:23" ht="13.5" thickTop="1" x14ac:dyDescent="0.2">
      <c r="A12" s="1662" t="s">
        <v>1088</v>
      </c>
      <c r="B12" s="1663"/>
      <c r="C12" s="2552"/>
      <c r="D12" s="2565"/>
      <c r="E12" s="2565"/>
      <c r="F12" s="1635"/>
      <c r="G12" s="1635">
        <v>0.44619999999999999</v>
      </c>
      <c r="H12" s="1635"/>
      <c r="I12" s="1635"/>
      <c r="J12" s="1635"/>
      <c r="K12" s="1635"/>
      <c r="L12" s="1635"/>
      <c r="M12" s="1635"/>
      <c r="N12" s="1635"/>
      <c r="O12" s="1635"/>
      <c r="P12" s="1635"/>
      <c r="Q12" s="1635"/>
      <c r="R12" s="1664"/>
      <c r="T12" s="2597"/>
      <c r="U12" s="2597"/>
      <c r="V12" s="2597"/>
      <c r="W12" s="2597"/>
    </row>
    <row r="13" spans="1:23" ht="13.5" thickBot="1" x14ac:dyDescent="0.25">
      <c r="A13" s="2544" t="s">
        <v>1089</v>
      </c>
      <c r="B13" s="2557">
        <v>44534</v>
      </c>
      <c r="C13" s="2548">
        <v>7669.59</v>
      </c>
      <c r="D13" s="2561">
        <v>10000</v>
      </c>
      <c r="E13" s="2570">
        <v>59.85</v>
      </c>
      <c r="F13" s="1639">
        <f>SUM(D13:E13)</f>
        <v>10059.85</v>
      </c>
      <c r="G13" s="2586"/>
      <c r="H13" s="8"/>
      <c r="I13" s="1651"/>
      <c r="J13" s="1642"/>
      <c r="K13" s="1643"/>
      <c r="L13" s="1644"/>
      <c r="M13" s="1644"/>
      <c r="N13" s="1644"/>
      <c r="O13" s="1645">
        <f>L13-M13-N13</f>
        <v>0</v>
      </c>
      <c r="P13" s="1645">
        <f>IF(O13&gt;0,IF(J13="Y",0,O13),0)</f>
        <v>0</v>
      </c>
      <c r="Q13" s="1645">
        <f>IF(O13&gt;0,IF(J13="Y",O13,0),0)</f>
        <v>0</v>
      </c>
      <c r="R13" s="1657">
        <f>IF(O13&lt;0,O13,0)</f>
        <v>0</v>
      </c>
      <c r="T13" s="2597"/>
      <c r="U13" s="2597"/>
      <c r="V13" s="2599">
        <f>SUM(V5:V12)</f>
        <v>35209.51</v>
      </c>
      <c r="W13" s="2599">
        <f>SUM(W5:W12)</f>
        <v>14395.117709247999</v>
      </c>
    </row>
    <row r="14" spans="1:23" ht="13.5" thickTop="1" x14ac:dyDescent="0.2">
      <c r="A14" s="2544" t="s">
        <v>1090</v>
      </c>
      <c r="B14" s="1637">
        <v>44612</v>
      </c>
      <c r="C14" s="2548">
        <f>-C13</f>
        <v>-7669.59</v>
      </c>
      <c r="D14" s="2561">
        <f t="shared" ref="D14:E14" si="3">-D13</f>
        <v>-10000</v>
      </c>
      <c r="E14" s="2561">
        <f t="shared" si="3"/>
        <v>-59.85</v>
      </c>
      <c r="F14" s="1639">
        <f>SUM(D14:E14)</f>
        <v>-10059.85</v>
      </c>
      <c r="G14" s="2586"/>
      <c r="H14" s="8"/>
      <c r="I14" s="1641"/>
      <c r="J14" s="1642"/>
      <c r="K14" s="1643"/>
      <c r="L14" s="1644"/>
      <c r="M14" s="1644"/>
      <c r="N14" s="1644"/>
      <c r="O14" s="1645">
        <f>L14-M14-N14</f>
        <v>0</v>
      </c>
      <c r="P14" s="1645">
        <f>IF(O14&gt;0,IF(J14="Y",0,O14),0)</f>
        <v>0</v>
      </c>
      <c r="Q14" s="1645">
        <f>IF(O14&gt;0,IF(J14="Y",O14,0),0)</f>
        <v>0</v>
      </c>
      <c r="R14" s="1657">
        <f>IF(O14&lt;0,O14,0)</f>
        <v>0</v>
      </c>
    </row>
    <row r="15" spans="1:23" x14ac:dyDescent="0.2">
      <c r="A15" s="1656"/>
      <c r="B15" s="1637"/>
      <c r="C15" s="2549"/>
      <c r="D15" s="2562"/>
      <c r="E15" s="2571"/>
      <c r="F15" s="1639">
        <f>SUM(D15:E15)</f>
        <v>0</v>
      </c>
      <c r="G15" s="2586"/>
      <c r="H15" s="8"/>
      <c r="I15" s="1641"/>
      <c r="J15" s="1642"/>
      <c r="K15" s="1643"/>
      <c r="L15" s="1644"/>
      <c r="M15" s="1644"/>
      <c r="N15" s="1644"/>
      <c r="O15" s="1645">
        <f>L15-M15-N15</f>
        <v>0</v>
      </c>
      <c r="P15" s="1645">
        <f>IF(O15&gt;0,IF(J15="Y",0,O15),0)</f>
        <v>0</v>
      </c>
      <c r="Q15" s="1645">
        <f>IF(O15&gt;0,IF(J15="Y",O15,0),0)</f>
        <v>0</v>
      </c>
      <c r="R15" s="1657">
        <f>IF(O15&lt;0,O15,0)</f>
        <v>0</v>
      </c>
    </row>
    <row r="16" spans="1:23" x14ac:dyDescent="0.2">
      <c r="A16" s="1658"/>
      <c r="B16" s="1638"/>
      <c r="C16" s="2550"/>
      <c r="D16" s="2563"/>
      <c r="E16" s="2572"/>
      <c r="F16" s="1640">
        <f>SUM(D16:E16)</f>
        <v>0</v>
      </c>
      <c r="G16" s="2586"/>
      <c r="H16" s="8"/>
      <c r="I16" s="1646"/>
      <c r="J16" s="1647"/>
      <c r="K16" s="1648"/>
      <c r="L16" s="1649"/>
      <c r="M16" s="1649"/>
      <c r="N16" s="1649"/>
      <c r="O16" s="1650">
        <f>L16-M16-N16</f>
        <v>0</v>
      </c>
      <c r="P16" s="1650">
        <f>IF(O16&gt;0,IF(J16="Y",0,O16),0)</f>
        <v>0</v>
      </c>
      <c r="Q16" s="1645">
        <f>IF(O16&gt;0,IF(J16="Y",O16,0),0)</f>
        <v>0</v>
      </c>
      <c r="R16" s="1659">
        <f>IF(O16&lt;0,O16,0)</f>
        <v>0</v>
      </c>
    </row>
    <row r="17" spans="1:18" ht="13.5" thickBot="1" x14ac:dyDescent="0.25">
      <c r="A17" s="1660"/>
      <c r="B17" s="1636"/>
      <c r="C17" s="2551">
        <f>SUBTOTAL(9,C13:C16)</f>
        <v>0</v>
      </c>
      <c r="D17" s="2564">
        <f>SUBTOTAL(9,D13:D16)</f>
        <v>0</v>
      </c>
      <c r="E17" s="2564">
        <f>SUBTOTAL(9,E13:E16)</f>
        <v>0</v>
      </c>
      <c r="F17" s="6">
        <f>SUBTOTAL(9,F13:F16)</f>
        <v>0</v>
      </c>
      <c r="G17" s="6">
        <f>C17*G11</f>
        <v>0</v>
      </c>
      <c r="H17" s="10"/>
      <c r="I17" s="1636"/>
      <c r="J17" s="1636"/>
      <c r="K17" s="1633">
        <f t="shared" ref="K17:R17" si="4">SUBTOTAL(9,K13:K16)</f>
        <v>0</v>
      </c>
      <c r="L17" s="1634">
        <f t="shared" si="4"/>
        <v>0</v>
      </c>
      <c r="M17" s="1634">
        <f t="shared" si="4"/>
        <v>0</v>
      </c>
      <c r="N17" s="1634">
        <f t="shared" si="4"/>
        <v>0</v>
      </c>
      <c r="O17" s="1634">
        <f t="shared" si="4"/>
        <v>0</v>
      </c>
      <c r="P17" s="1634">
        <f t="shared" si="4"/>
        <v>0</v>
      </c>
      <c r="Q17" s="1634">
        <f t="shared" si="4"/>
        <v>0</v>
      </c>
      <c r="R17" s="1661">
        <f t="shared" si="4"/>
        <v>0</v>
      </c>
    </row>
    <row r="18" spans="1:18" ht="13.5" thickTop="1" x14ac:dyDescent="0.2">
      <c r="A18" s="2573" t="s">
        <v>1091</v>
      </c>
      <c r="B18" s="1663"/>
      <c r="C18" s="2552"/>
      <c r="D18" s="2565"/>
      <c r="E18" s="2565"/>
      <c r="F18" s="1635"/>
      <c r="G18" s="1635">
        <f>G5</f>
        <v>27333.691999999999</v>
      </c>
      <c r="H18" s="1635"/>
      <c r="I18" s="1635"/>
      <c r="J18" s="1635"/>
      <c r="K18" s="1635"/>
      <c r="L18" s="1635"/>
      <c r="M18" s="1635"/>
      <c r="N18" s="1635"/>
      <c r="O18" s="1635"/>
      <c r="P18" s="1635"/>
      <c r="Q18" s="1635"/>
      <c r="R18" s="1664"/>
    </row>
    <row r="19" spans="1:18" x14ac:dyDescent="0.2">
      <c r="A19" s="2574" t="s">
        <v>1093</v>
      </c>
      <c r="B19" s="2577">
        <f>B7</f>
        <v>44612</v>
      </c>
      <c r="C19" s="2588">
        <f>-C7</f>
        <v>0.12983900000000001</v>
      </c>
      <c r="D19" s="2578">
        <f t="shared" ref="D19:E19" si="5">-D7</f>
        <v>10000</v>
      </c>
      <c r="E19" s="2578">
        <f t="shared" si="5"/>
        <v>59.87</v>
      </c>
      <c r="F19" s="1639">
        <f>SUM(D19:E19)</f>
        <v>10059.870000000001</v>
      </c>
      <c r="G19" s="2586"/>
      <c r="H19" s="8"/>
      <c r="I19" s="1651"/>
      <c r="J19" s="1642"/>
      <c r="K19" s="1643"/>
      <c r="L19" s="1644"/>
      <c r="M19" s="1644"/>
      <c r="N19" s="1644"/>
      <c r="O19" s="1645">
        <f>L19-M19-N19</f>
        <v>0</v>
      </c>
      <c r="P19" s="1645">
        <f>IF(O19&gt;0,IF(J19="Y",0,O19),0)</f>
        <v>0</v>
      </c>
      <c r="Q19" s="1645">
        <f>IF(O19&gt;0,IF(J19="Y",O19,0),0)</f>
        <v>0</v>
      </c>
      <c r="R19" s="1657">
        <f>IF(O19&lt;0,O19,0)</f>
        <v>0</v>
      </c>
    </row>
    <row r="20" spans="1:18" x14ac:dyDescent="0.2">
      <c r="A20" s="2575"/>
      <c r="B20" s="2577"/>
      <c r="C20" s="2588"/>
      <c r="D20" s="2578"/>
      <c r="E20" s="2579"/>
      <c r="F20" s="1639">
        <f>SUM(D20:E20)</f>
        <v>0</v>
      </c>
      <c r="G20" s="2586"/>
      <c r="H20" s="8"/>
      <c r="I20" s="1641"/>
      <c r="J20" s="1642"/>
      <c r="K20" s="1643"/>
      <c r="L20" s="1644"/>
      <c r="M20" s="1644"/>
      <c r="N20" s="1644"/>
      <c r="O20" s="1645">
        <f>L20-M20-N20</f>
        <v>0</v>
      </c>
      <c r="P20" s="1645">
        <f>IF(O20&gt;0,IF(J20="Y",0,O20),0)</f>
        <v>0</v>
      </c>
      <c r="Q20" s="1645">
        <f>IF(O20&gt;0,IF(J20="Y",O20,0),0)</f>
        <v>0</v>
      </c>
      <c r="R20" s="1657">
        <f>IF(O20&lt;0,O20,0)</f>
        <v>0</v>
      </c>
    </row>
    <row r="21" spans="1:18" x14ac:dyDescent="0.2">
      <c r="A21" s="2575"/>
      <c r="B21" s="2577"/>
      <c r="C21" s="2589"/>
      <c r="D21" s="2580"/>
      <c r="E21" s="2581"/>
      <c r="F21" s="1639">
        <f>SUM(D21:E21)</f>
        <v>0</v>
      </c>
      <c r="G21" s="2586"/>
      <c r="H21" s="8"/>
      <c r="I21" s="1641"/>
      <c r="J21" s="1642"/>
      <c r="K21" s="1643"/>
      <c r="L21" s="1644"/>
      <c r="M21" s="1644"/>
      <c r="N21" s="1644"/>
      <c r="O21" s="1645">
        <f>L21-M21-N21</f>
        <v>0</v>
      </c>
      <c r="P21" s="1645">
        <f>IF(O21&gt;0,IF(J21="Y",0,O21),0)</f>
        <v>0</v>
      </c>
      <c r="Q21" s="1645">
        <f>IF(O21&gt;0,IF(J21="Y",O21,0),0)</f>
        <v>0</v>
      </c>
      <c r="R21" s="1657">
        <f>IF(O21&lt;0,O21,0)</f>
        <v>0</v>
      </c>
    </row>
    <row r="22" spans="1:18" x14ac:dyDescent="0.2">
      <c r="A22" s="2576"/>
      <c r="B22" s="2582"/>
      <c r="C22" s="2590"/>
      <c r="D22" s="2583"/>
      <c r="E22" s="2584"/>
      <c r="F22" s="1640">
        <f>SUM(D22:E22)</f>
        <v>0</v>
      </c>
      <c r="G22" s="2586"/>
      <c r="H22" s="8"/>
      <c r="I22" s="1646"/>
      <c r="J22" s="1647"/>
      <c r="K22" s="1648"/>
      <c r="L22" s="1649"/>
      <c r="M22" s="1649"/>
      <c r="N22" s="1649"/>
      <c r="O22" s="1650">
        <f>L22-M22-N22</f>
        <v>0</v>
      </c>
      <c r="P22" s="1650">
        <f>IF(O22&gt;0,IF(J22="Y",0,O22),0)</f>
        <v>0</v>
      </c>
      <c r="Q22" s="1645">
        <f>IF(O22&gt;0,IF(J22="Y",O22,0),0)</f>
        <v>0</v>
      </c>
      <c r="R22" s="1659">
        <f>IF(O22&lt;0,O22,0)</f>
        <v>0</v>
      </c>
    </row>
    <row r="23" spans="1:18" ht="13.5" thickBot="1" x14ac:dyDescent="0.25">
      <c r="A23" s="1660"/>
      <c r="B23" s="1636"/>
      <c r="C23" s="2551">
        <f>SUBTOTAL(9,C19:C22)</f>
        <v>0.12983900000000001</v>
      </c>
      <c r="D23" s="2564">
        <f>SUBTOTAL(9,D19:D22)</f>
        <v>10000</v>
      </c>
      <c r="E23" s="2564">
        <f>SUBTOTAL(9,E19:E22)</f>
        <v>59.87</v>
      </c>
      <c r="F23" s="6">
        <f>SUBTOTAL(9,F19:F22)</f>
        <v>10059.870000000001</v>
      </c>
      <c r="G23" s="6">
        <f>C23*G18</f>
        <v>3548.9792355879999</v>
      </c>
      <c r="H23" s="10"/>
      <c r="I23" s="1636"/>
      <c r="J23" s="1636"/>
      <c r="K23" s="1633">
        <f t="shared" ref="K23:R23" si="6">SUBTOTAL(9,K19:K22)</f>
        <v>0</v>
      </c>
      <c r="L23" s="1634">
        <f t="shared" si="6"/>
        <v>0</v>
      </c>
      <c r="M23" s="1634">
        <f t="shared" si="6"/>
        <v>0</v>
      </c>
      <c r="N23" s="1634">
        <f t="shared" si="6"/>
        <v>0</v>
      </c>
      <c r="O23" s="1634">
        <f t="shared" si="6"/>
        <v>0</v>
      </c>
      <c r="P23" s="1634">
        <f t="shared" si="6"/>
        <v>0</v>
      </c>
      <c r="Q23" s="1634">
        <f t="shared" si="6"/>
        <v>0</v>
      </c>
      <c r="R23" s="1661">
        <f t="shared" si="6"/>
        <v>0</v>
      </c>
    </row>
    <row r="24" spans="1:18" ht="13.5" thickTop="1" x14ac:dyDescent="0.2">
      <c r="A24" s="2573" t="s">
        <v>1092</v>
      </c>
      <c r="B24" s="1663"/>
      <c r="C24" s="2552"/>
      <c r="D24" s="2565"/>
      <c r="E24" s="2565"/>
      <c r="F24" s="1635"/>
      <c r="G24" s="1635">
        <f>G12</f>
        <v>0.44619999999999999</v>
      </c>
      <c r="H24" s="1635"/>
      <c r="I24" s="1635"/>
      <c r="J24" s="1635"/>
      <c r="K24" s="1635"/>
      <c r="L24" s="1635"/>
      <c r="M24" s="1635"/>
      <c r="N24" s="1635"/>
      <c r="O24" s="1635"/>
      <c r="P24" s="1635"/>
      <c r="Q24" s="1635"/>
      <c r="R24" s="1664"/>
    </row>
    <row r="25" spans="1:18" x14ac:dyDescent="0.2">
      <c r="A25" s="2574" t="s">
        <v>1093</v>
      </c>
      <c r="B25" s="2577">
        <f>B14</f>
        <v>44612</v>
      </c>
      <c r="C25" s="2588">
        <f>-C14</f>
        <v>7669.59</v>
      </c>
      <c r="D25" s="2578">
        <f t="shared" ref="D25:E25" si="7">-D14</f>
        <v>10000</v>
      </c>
      <c r="E25" s="2578">
        <f t="shared" si="7"/>
        <v>59.85</v>
      </c>
      <c r="F25" s="1639">
        <f>SUM(D25:E25)</f>
        <v>10059.85</v>
      </c>
      <c r="G25" s="2586"/>
      <c r="H25" s="8"/>
      <c r="I25" s="1651"/>
      <c r="J25" s="1642"/>
      <c r="K25" s="1643"/>
      <c r="L25" s="1644"/>
      <c r="M25" s="1644"/>
      <c r="N25" s="1644"/>
      <c r="O25" s="1645">
        <f>L25-M25-N25</f>
        <v>0</v>
      </c>
      <c r="P25" s="1645">
        <f>IF(O25&gt;0,IF(J25="Y",0,O25),0)</f>
        <v>0</v>
      </c>
      <c r="Q25" s="1645">
        <f>IF(O25&gt;0,IF(J25="Y",O25,0),0)</f>
        <v>0</v>
      </c>
      <c r="R25" s="1657">
        <f>IF(O25&lt;0,O25,0)</f>
        <v>0</v>
      </c>
    </row>
    <row r="26" spans="1:18" x14ac:dyDescent="0.2">
      <c r="A26" s="2575"/>
      <c r="B26" s="2577"/>
      <c r="C26" s="2588"/>
      <c r="D26" s="2578"/>
      <c r="E26" s="2579"/>
      <c r="F26" s="1639">
        <f>SUM(D26:E26)</f>
        <v>0</v>
      </c>
      <c r="G26" s="2586"/>
      <c r="H26" s="8"/>
      <c r="I26" s="1641"/>
      <c r="J26" s="1642"/>
      <c r="K26" s="1643"/>
      <c r="L26" s="1644"/>
      <c r="M26" s="1644"/>
      <c r="N26" s="1644"/>
      <c r="O26" s="1645">
        <f>L26-M26-N26</f>
        <v>0</v>
      </c>
      <c r="P26" s="1645">
        <f>IF(O26&gt;0,IF(J26="Y",0,O26),0)</f>
        <v>0</v>
      </c>
      <c r="Q26" s="1645">
        <f>IF(O26&gt;0,IF(J26="Y",O26,0),0)</f>
        <v>0</v>
      </c>
      <c r="R26" s="1657">
        <f>IF(O26&lt;0,O26,0)</f>
        <v>0</v>
      </c>
    </row>
    <row r="27" spans="1:18" x14ac:dyDescent="0.2">
      <c r="A27" s="2575"/>
      <c r="B27" s="2577"/>
      <c r="C27" s="2589"/>
      <c r="D27" s="2580"/>
      <c r="E27" s="2581"/>
      <c r="F27" s="1639">
        <f>SUM(D27:E27)</f>
        <v>0</v>
      </c>
      <c r="G27" s="2586"/>
      <c r="H27" s="8"/>
      <c r="I27" s="1641"/>
      <c r="J27" s="1642"/>
      <c r="K27" s="1643"/>
      <c r="L27" s="1644"/>
      <c r="M27" s="1644"/>
      <c r="N27" s="1644"/>
      <c r="O27" s="1645">
        <f>L27-M27-N27</f>
        <v>0</v>
      </c>
      <c r="P27" s="1645">
        <f>IF(O27&gt;0,IF(J27="Y",0,O27),0)</f>
        <v>0</v>
      </c>
      <c r="Q27" s="1645">
        <f>IF(O27&gt;0,IF(J27="Y",O27,0),0)</f>
        <v>0</v>
      </c>
      <c r="R27" s="1657">
        <f>IF(O27&lt;0,O27,0)</f>
        <v>0</v>
      </c>
    </row>
    <row r="28" spans="1:18" x14ac:dyDescent="0.2">
      <c r="A28" s="2576"/>
      <c r="B28" s="2582"/>
      <c r="C28" s="2590"/>
      <c r="D28" s="2583"/>
      <c r="E28" s="2584"/>
      <c r="F28" s="1640">
        <f>SUM(D28:E28)</f>
        <v>0</v>
      </c>
      <c r="G28" s="2586"/>
      <c r="H28" s="8"/>
      <c r="I28" s="1646"/>
      <c r="J28" s="1647"/>
      <c r="K28" s="1648"/>
      <c r="L28" s="1649"/>
      <c r="M28" s="1649"/>
      <c r="N28" s="1649"/>
      <c r="O28" s="1650">
        <f>L28-M28-N28</f>
        <v>0</v>
      </c>
      <c r="P28" s="1650">
        <f>IF(O28&gt;0,IF(J28="Y",0,O28),0)</f>
        <v>0</v>
      </c>
      <c r="Q28" s="1645">
        <f>IF(O28&gt;0,IF(J28="Y",O28,0),0)</f>
        <v>0</v>
      </c>
      <c r="R28" s="1659">
        <f>IF(O28&lt;0,O28,0)</f>
        <v>0</v>
      </c>
    </row>
    <row r="29" spans="1:18" ht="13.5" thickBot="1" x14ac:dyDescent="0.25">
      <c r="A29" s="1660"/>
      <c r="B29" s="1636"/>
      <c r="C29" s="2551">
        <f>SUBTOTAL(9,C25:C28)</f>
        <v>7669.59</v>
      </c>
      <c r="D29" s="2564">
        <f>SUBTOTAL(9,D25:D28)</f>
        <v>10000</v>
      </c>
      <c r="E29" s="2564">
        <f>SUBTOTAL(9,E25:E28)</f>
        <v>59.85</v>
      </c>
      <c r="F29" s="6">
        <f>SUBTOTAL(9,F25:F28)</f>
        <v>10059.85</v>
      </c>
      <c r="G29" s="6">
        <f>C29*G24</f>
        <v>3422.1710579999999</v>
      </c>
      <c r="H29" s="10"/>
      <c r="I29" s="1636"/>
      <c r="J29" s="1636"/>
      <c r="K29" s="1633">
        <f t="shared" ref="K29:R29" si="8">SUBTOTAL(9,K25:K28)</f>
        <v>0</v>
      </c>
      <c r="L29" s="1634">
        <f t="shared" si="8"/>
        <v>0</v>
      </c>
      <c r="M29" s="1634">
        <f t="shared" si="8"/>
        <v>0</v>
      </c>
      <c r="N29" s="1634">
        <f t="shared" si="8"/>
        <v>0</v>
      </c>
      <c r="O29" s="1634">
        <f t="shared" si="8"/>
        <v>0</v>
      </c>
      <c r="P29" s="1634">
        <f t="shared" si="8"/>
        <v>0</v>
      </c>
      <c r="Q29" s="1634">
        <f t="shared" si="8"/>
        <v>0</v>
      </c>
      <c r="R29" s="1661">
        <f t="shared" si="8"/>
        <v>0</v>
      </c>
    </row>
    <row r="30" spans="1:18" ht="13.5" hidden="1" thickTop="1" x14ac:dyDescent="0.2">
      <c r="A30" s="1662" t="s">
        <v>245</v>
      </c>
      <c r="B30" s="1663"/>
      <c r="C30" s="2552"/>
      <c r="D30" s="2565"/>
      <c r="E30" s="2565"/>
      <c r="F30" s="1635"/>
      <c r="G30" s="1635"/>
      <c r="H30" s="1635"/>
      <c r="I30" s="1635"/>
      <c r="J30" s="1635"/>
      <c r="K30" s="1635"/>
      <c r="L30" s="1635"/>
      <c r="M30" s="1635"/>
      <c r="N30" s="1635"/>
      <c r="O30" s="1635"/>
      <c r="P30" s="1635"/>
      <c r="Q30" s="1635"/>
      <c r="R30" s="1664"/>
    </row>
    <row r="31" spans="1:18" ht="13.5" hidden="1" thickTop="1" x14ac:dyDescent="0.2">
      <c r="A31" s="1656" t="s">
        <v>607</v>
      </c>
      <c r="B31" s="1637"/>
      <c r="C31" s="2548"/>
      <c r="D31" s="2561"/>
      <c r="E31" s="2570"/>
      <c r="F31" s="1639">
        <f>SUM(D31:E31)</f>
        <v>0</v>
      </c>
      <c r="G31" s="2586"/>
      <c r="H31" s="8"/>
      <c r="I31" s="1651"/>
      <c r="J31" s="1642"/>
      <c r="K31" s="1643"/>
      <c r="L31" s="1644"/>
      <c r="M31" s="1644"/>
      <c r="N31" s="1644"/>
      <c r="O31" s="1645">
        <f>L31-M31-N31</f>
        <v>0</v>
      </c>
      <c r="P31" s="1645">
        <f>IF(O31&gt;0,IF(J31="Y",0,O31),0)</f>
        <v>0</v>
      </c>
      <c r="Q31" s="1645">
        <f>IF(O31&gt;0,IF(J31="Y",O31,0),0)</f>
        <v>0</v>
      </c>
      <c r="R31" s="1657">
        <f>IF(O31&lt;0,O31,0)</f>
        <v>0</v>
      </c>
    </row>
    <row r="32" spans="1:18" ht="13.5" hidden="1" thickTop="1" x14ac:dyDescent="0.2">
      <c r="A32" s="1656"/>
      <c r="B32" s="1637"/>
      <c r="C32" s="2548"/>
      <c r="D32" s="2561"/>
      <c r="E32" s="2570"/>
      <c r="F32" s="1639">
        <f>SUM(D32:E32)</f>
        <v>0</v>
      </c>
      <c r="G32" s="2586"/>
      <c r="H32" s="8"/>
      <c r="I32" s="1641"/>
      <c r="J32" s="1642"/>
      <c r="K32" s="1643"/>
      <c r="L32" s="1644"/>
      <c r="M32" s="1644"/>
      <c r="N32" s="1644"/>
      <c r="O32" s="1645">
        <f>L32-M32-N32</f>
        <v>0</v>
      </c>
      <c r="P32" s="1645">
        <f>IF(O32&gt;0,IF(J32="Y",0,O32),0)</f>
        <v>0</v>
      </c>
      <c r="Q32" s="1645">
        <f>IF(O32&gt;0,IF(J32="Y",O32,0),0)</f>
        <v>0</v>
      </c>
      <c r="R32" s="1657">
        <f>IF(O32&lt;0,O32,0)</f>
        <v>0</v>
      </c>
    </row>
    <row r="33" spans="1:18" ht="13.5" hidden="1" thickTop="1" x14ac:dyDescent="0.2">
      <c r="A33" s="1656"/>
      <c r="B33" s="1637"/>
      <c r="C33" s="2549"/>
      <c r="D33" s="2562"/>
      <c r="E33" s="2571"/>
      <c r="F33" s="1639">
        <f>SUM(D33:E33)</f>
        <v>0</v>
      </c>
      <c r="G33" s="2586"/>
      <c r="H33" s="8"/>
      <c r="I33" s="1641"/>
      <c r="J33" s="1642"/>
      <c r="K33" s="1643"/>
      <c r="L33" s="1644"/>
      <c r="M33" s="1644"/>
      <c r="N33" s="1644"/>
      <c r="O33" s="1645">
        <f>L33-M33-N33</f>
        <v>0</v>
      </c>
      <c r="P33" s="1645">
        <f>IF(O33&gt;0,IF(J33="Y",0,O33),0)</f>
        <v>0</v>
      </c>
      <c r="Q33" s="1645">
        <f>IF(O33&gt;0,IF(J33="Y",O33,0),0)</f>
        <v>0</v>
      </c>
      <c r="R33" s="1657">
        <f>IF(O33&lt;0,O33,0)</f>
        <v>0</v>
      </c>
    </row>
    <row r="34" spans="1:18" ht="13.5" hidden="1" thickTop="1" x14ac:dyDescent="0.2">
      <c r="A34" s="1658"/>
      <c r="B34" s="1638"/>
      <c r="C34" s="2550"/>
      <c r="D34" s="2563"/>
      <c r="E34" s="2572"/>
      <c r="F34" s="1640">
        <f>SUM(D34:E34)</f>
        <v>0</v>
      </c>
      <c r="G34" s="2586"/>
      <c r="H34" s="8"/>
      <c r="I34" s="1646"/>
      <c r="J34" s="1647"/>
      <c r="K34" s="1648"/>
      <c r="L34" s="1649"/>
      <c r="M34" s="1649"/>
      <c r="N34" s="1649"/>
      <c r="O34" s="1650">
        <f>L34-M34-N34</f>
        <v>0</v>
      </c>
      <c r="P34" s="1650">
        <f>IF(O34&gt;0,IF(J34="Y",0,O34),0)</f>
        <v>0</v>
      </c>
      <c r="Q34" s="1645">
        <f>IF(O34&gt;0,IF(J34="Y",O34,0),0)</f>
        <v>0</v>
      </c>
      <c r="R34" s="1659">
        <f>IF(O34&lt;0,O34,0)</f>
        <v>0</v>
      </c>
    </row>
    <row r="35" spans="1:18" ht="14.25" hidden="1" thickTop="1" thickBot="1" x14ac:dyDescent="0.25">
      <c r="A35" s="1660"/>
      <c r="B35" s="1636"/>
      <c r="C35" s="2551">
        <f>SUBTOTAL(9,C31:C34)</f>
        <v>0</v>
      </c>
      <c r="D35" s="2564">
        <f>SUBTOTAL(9,D31:D34)</f>
        <v>0</v>
      </c>
      <c r="E35" s="2564">
        <f>SUBTOTAL(9,E31:E34)</f>
        <v>0</v>
      </c>
      <c r="F35" s="6">
        <f>SUBTOTAL(9,F31:F34)</f>
        <v>0</v>
      </c>
      <c r="G35" s="2587"/>
      <c r="H35" s="10"/>
      <c r="I35" s="1636"/>
      <c r="J35" s="1636"/>
      <c r="K35" s="1633">
        <f t="shared" ref="K35:R35" si="9">SUBTOTAL(9,K31:K34)</f>
        <v>0</v>
      </c>
      <c r="L35" s="1634">
        <f t="shared" si="9"/>
        <v>0</v>
      </c>
      <c r="M35" s="1634">
        <f t="shared" si="9"/>
        <v>0</v>
      </c>
      <c r="N35" s="1634">
        <f t="shared" si="9"/>
        <v>0</v>
      </c>
      <c r="O35" s="1634">
        <f t="shared" si="9"/>
        <v>0</v>
      </c>
      <c r="P35" s="1634">
        <f t="shared" si="9"/>
        <v>0</v>
      </c>
      <c r="Q35" s="1634">
        <f t="shared" si="9"/>
        <v>0</v>
      </c>
      <c r="R35" s="1661">
        <f t="shared" si="9"/>
        <v>0</v>
      </c>
    </row>
    <row r="36" spans="1:18" ht="13.5" hidden="1" thickTop="1" x14ac:dyDescent="0.2">
      <c r="A36" s="1662" t="s">
        <v>245</v>
      </c>
      <c r="B36" s="1663"/>
      <c r="C36" s="2552"/>
      <c r="D36" s="2565"/>
      <c r="E36" s="2565"/>
      <c r="F36" s="1635"/>
      <c r="G36" s="1635"/>
      <c r="H36" s="1635"/>
      <c r="I36" s="1635"/>
      <c r="J36" s="1635"/>
      <c r="K36" s="1635"/>
      <c r="L36" s="1635"/>
      <c r="M36" s="1635"/>
      <c r="N36" s="1635"/>
      <c r="O36" s="1635"/>
      <c r="P36" s="1635"/>
      <c r="Q36" s="1635"/>
      <c r="R36" s="1664"/>
    </row>
    <row r="37" spans="1:18" ht="13.5" hidden="1" thickTop="1" x14ac:dyDescent="0.2">
      <c r="A37" s="1656" t="s">
        <v>607</v>
      </c>
      <c r="B37" s="1637"/>
      <c r="C37" s="2548"/>
      <c r="D37" s="2561"/>
      <c r="E37" s="2570"/>
      <c r="F37" s="1639">
        <f>SUM(D37:E37)</f>
        <v>0</v>
      </c>
      <c r="G37" s="2586"/>
      <c r="H37" s="8"/>
      <c r="I37" s="1651"/>
      <c r="J37" s="1642"/>
      <c r="K37" s="1643"/>
      <c r="L37" s="1644"/>
      <c r="M37" s="1644"/>
      <c r="N37" s="1644"/>
      <c r="O37" s="1645">
        <f>L37-M37-N37</f>
        <v>0</v>
      </c>
      <c r="P37" s="1645">
        <f>IF(O37&gt;0,IF(J37="Y",0,O37),0)</f>
        <v>0</v>
      </c>
      <c r="Q37" s="1645">
        <f>IF(O37&gt;0,IF(J37="Y",O37,0),0)</f>
        <v>0</v>
      </c>
      <c r="R37" s="1657">
        <f>IF(O37&lt;0,O37,0)</f>
        <v>0</v>
      </c>
    </row>
    <row r="38" spans="1:18" ht="13.5" hidden="1" thickTop="1" x14ac:dyDescent="0.2">
      <c r="A38" s="1656"/>
      <c r="B38" s="1637"/>
      <c r="C38" s="2548"/>
      <c r="D38" s="2561"/>
      <c r="E38" s="2570"/>
      <c r="F38" s="1639">
        <f>SUM(D38:E38)</f>
        <v>0</v>
      </c>
      <c r="G38" s="2586"/>
      <c r="H38" s="8"/>
      <c r="I38" s="1641"/>
      <c r="J38" s="1642"/>
      <c r="K38" s="1643"/>
      <c r="L38" s="1644"/>
      <c r="M38" s="1644"/>
      <c r="N38" s="1644"/>
      <c r="O38" s="1645">
        <f>L38-M38-N38</f>
        <v>0</v>
      </c>
      <c r="P38" s="1645">
        <f>IF(O38&gt;0,IF(J38="Y",0,O38),0)</f>
        <v>0</v>
      </c>
      <c r="Q38" s="1645">
        <f>IF(O38&gt;0,IF(J38="Y",O38,0),0)</f>
        <v>0</v>
      </c>
      <c r="R38" s="1657">
        <f>IF(O38&lt;0,O38,0)</f>
        <v>0</v>
      </c>
    </row>
    <row r="39" spans="1:18" ht="13.5" hidden="1" thickTop="1" x14ac:dyDescent="0.2">
      <c r="A39" s="1656"/>
      <c r="B39" s="1637"/>
      <c r="C39" s="2549"/>
      <c r="D39" s="2562"/>
      <c r="E39" s="2571"/>
      <c r="F39" s="1639">
        <f>SUM(D39:E39)</f>
        <v>0</v>
      </c>
      <c r="G39" s="2586"/>
      <c r="H39" s="8"/>
      <c r="I39" s="1641"/>
      <c r="J39" s="1642"/>
      <c r="K39" s="1643"/>
      <c r="L39" s="1644"/>
      <c r="M39" s="1644"/>
      <c r="N39" s="1644"/>
      <c r="O39" s="1645">
        <f>L39-M39-N39</f>
        <v>0</v>
      </c>
      <c r="P39" s="1645">
        <f>IF(O39&gt;0,IF(J39="Y",0,O39),0)</f>
        <v>0</v>
      </c>
      <c r="Q39" s="1645">
        <f>IF(O39&gt;0,IF(J39="Y",O39,0),0)</f>
        <v>0</v>
      </c>
      <c r="R39" s="1657">
        <f>IF(O39&lt;0,O39,0)</f>
        <v>0</v>
      </c>
    </row>
    <row r="40" spans="1:18" ht="13.5" hidden="1" thickTop="1" x14ac:dyDescent="0.2">
      <c r="A40" s="1658"/>
      <c r="B40" s="1638"/>
      <c r="C40" s="2550"/>
      <c r="D40" s="2563"/>
      <c r="E40" s="2572"/>
      <c r="F40" s="1640">
        <f>SUM(D40:E40)</f>
        <v>0</v>
      </c>
      <c r="G40" s="2586"/>
      <c r="H40" s="8"/>
      <c r="I40" s="1646"/>
      <c r="J40" s="1647"/>
      <c r="K40" s="1648"/>
      <c r="L40" s="1649"/>
      <c r="M40" s="1649"/>
      <c r="N40" s="1649"/>
      <c r="O40" s="1650">
        <f>L40-M40-N40</f>
        <v>0</v>
      </c>
      <c r="P40" s="1650">
        <f>IF(O40&gt;0,IF(J40="Y",0,O40),0)</f>
        <v>0</v>
      </c>
      <c r="Q40" s="1645">
        <f>IF(O40&gt;0,IF(J40="Y",O40,0),0)</f>
        <v>0</v>
      </c>
      <c r="R40" s="1659">
        <f>IF(O40&lt;0,O40,0)</f>
        <v>0</v>
      </c>
    </row>
    <row r="41" spans="1:18" ht="14.25" hidden="1" thickTop="1" thickBot="1" x14ac:dyDescent="0.25">
      <c r="A41" s="1660"/>
      <c r="B41" s="1636"/>
      <c r="C41" s="2551">
        <f>SUBTOTAL(9,C37:C40)</f>
        <v>0</v>
      </c>
      <c r="D41" s="2564">
        <f>SUBTOTAL(9,D37:D40)</f>
        <v>0</v>
      </c>
      <c r="E41" s="2564">
        <f>SUBTOTAL(9,E37:E40)</f>
        <v>0</v>
      </c>
      <c r="F41" s="6">
        <f>SUBTOTAL(9,F37:F40)</f>
        <v>0</v>
      </c>
      <c r="G41" s="2587"/>
      <c r="H41" s="10"/>
      <c r="I41" s="1636"/>
      <c r="J41" s="1636"/>
      <c r="K41" s="1633">
        <f t="shared" ref="K41:R41" si="10">SUBTOTAL(9,K37:K40)</f>
        <v>0</v>
      </c>
      <c r="L41" s="1634">
        <f t="shared" si="10"/>
        <v>0</v>
      </c>
      <c r="M41" s="1634">
        <f t="shared" si="10"/>
        <v>0</v>
      </c>
      <c r="N41" s="1634">
        <f t="shared" si="10"/>
        <v>0</v>
      </c>
      <c r="O41" s="1634">
        <f t="shared" si="10"/>
        <v>0</v>
      </c>
      <c r="P41" s="1634">
        <f t="shared" si="10"/>
        <v>0</v>
      </c>
      <c r="Q41" s="1634">
        <f t="shared" si="10"/>
        <v>0</v>
      </c>
      <c r="R41" s="1661">
        <f t="shared" si="10"/>
        <v>0</v>
      </c>
    </row>
    <row r="42" spans="1:18" ht="13.5" thickTop="1" x14ac:dyDescent="0.2">
      <c r="A42" s="1665"/>
      <c r="B42" s="1636"/>
      <c r="C42" s="2553"/>
      <c r="D42" s="2566"/>
      <c r="E42" s="2566"/>
      <c r="F42" s="9"/>
      <c r="G42" s="9"/>
      <c r="H42" s="10"/>
      <c r="I42" s="10"/>
      <c r="J42" s="10"/>
      <c r="K42" s="8"/>
      <c r="L42" s="9"/>
      <c r="M42" s="9"/>
      <c r="N42" s="9"/>
      <c r="O42" s="11"/>
      <c r="P42" s="11"/>
      <c r="Q42" s="11"/>
      <c r="R42" s="1666"/>
    </row>
    <row r="43" spans="1:18" x14ac:dyDescent="0.2">
      <c r="A43" s="1665"/>
      <c r="B43" s="1636"/>
      <c r="C43" s="2553"/>
      <c r="D43" s="2566"/>
      <c r="E43" s="2566"/>
      <c r="F43" s="9"/>
      <c r="G43" s="9"/>
      <c r="H43" s="10"/>
      <c r="I43" s="10"/>
      <c r="J43" s="10"/>
      <c r="K43" s="8"/>
      <c r="L43" s="9"/>
      <c r="M43" s="9"/>
      <c r="N43" s="9"/>
      <c r="O43" s="11"/>
      <c r="P43" s="11"/>
      <c r="Q43" s="11"/>
      <c r="R43" s="1666"/>
    </row>
    <row r="44" spans="1:18" ht="13.5" thickBot="1" x14ac:dyDescent="0.25">
      <c r="A44" s="1665" t="s">
        <v>246</v>
      </c>
      <c r="B44" s="1636"/>
      <c r="C44" s="2554"/>
      <c r="D44" s="2567">
        <f>SUBTOTAL(9,D5:D43)</f>
        <v>35000</v>
      </c>
      <c r="E44" s="2567">
        <f>SUBTOTAL(9,E5:E43)</f>
        <v>209.51000000000002</v>
      </c>
      <c r="F44" s="6">
        <f>SUBTOTAL(9,F5:F43)</f>
        <v>35209.51</v>
      </c>
      <c r="G44" s="2587"/>
      <c r="H44" s="10"/>
      <c r="I44" s="10"/>
      <c r="J44" s="10"/>
      <c r="K44" s="10"/>
      <c r="L44" s="7">
        <f t="shared" ref="L44:R44" si="11">SUBTOTAL(9,L5:L43)</f>
        <v>0</v>
      </c>
      <c r="M44" s="7">
        <f t="shared" si="11"/>
        <v>0</v>
      </c>
      <c r="N44" s="7">
        <f t="shared" si="11"/>
        <v>0</v>
      </c>
      <c r="O44" s="7">
        <f t="shared" si="11"/>
        <v>0</v>
      </c>
      <c r="P44" s="7">
        <f t="shared" si="11"/>
        <v>0</v>
      </c>
      <c r="Q44" s="7">
        <f t="shared" si="11"/>
        <v>0</v>
      </c>
      <c r="R44" s="1667">
        <f t="shared" si="11"/>
        <v>0</v>
      </c>
    </row>
    <row r="45" spans="1:18" ht="13.5" thickTop="1" x14ac:dyDescent="0.2">
      <c r="A45" s="1669"/>
      <c r="R45" s="1671"/>
    </row>
    <row r="46" spans="1:18" x14ac:dyDescent="0.2">
      <c r="A46" s="1670"/>
      <c r="B46" s="1668"/>
      <c r="C46" s="2556"/>
      <c r="D46" s="2569"/>
      <c r="E46" s="2569"/>
      <c r="F46" s="1668"/>
      <c r="G46" s="1668"/>
      <c r="H46" s="1668"/>
      <c r="I46" s="1668"/>
      <c r="J46" s="1668"/>
      <c r="K46" s="1668"/>
      <c r="L46" s="1668"/>
      <c r="M46" s="1668"/>
      <c r="N46" s="1668"/>
      <c r="O46" s="1668"/>
      <c r="P46" s="1668"/>
      <c r="Q46" s="1668"/>
      <c r="R46" s="1672"/>
    </row>
  </sheetData>
  <mergeCells count="4">
    <mergeCell ref="A1:B1"/>
    <mergeCell ref="B3:F3"/>
    <mergeCell ref="I3:R3"/>
    <mergeCell ref="T3:W3"/>
  </mergeCells>
  <hyperlinks>
    <hyperlink ref="A1" location="'Index and Structure'!A1" display="The Macro Group" xr:uid="{00000000-0004-0000-0700-000000000000}"/>
  </hyperlinks>
  <pageMargins left="0.7" right="0.7" top="0.75" bottom="0.75" header="0.3" footer="0.3"/>
  <pageSetup paperSize="9" scale="86"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6125"/>
  <dimension ref="A1:H51"/>
  <sheetViews>
    <sheetView showGridLines="0" view="pageBreakPreview" zoomScaleNormal="100" zoomScaleSheetLayoutView="100" workbookViewId="0">
      <selection activeCell="A3" sqref="A3"/>
    </sheetView>
  </sheetViews>
  <sheetFormatPr defaultColWidth="9.140625" defaultRowHeight="15" x14ac:dyDescent="0.25"/>
  <cols>
    <col min="1" max="1" width="13.140625" style="19" customWidth="1"/>
    <col min="2" max="3" width="11.42578125" style="19" customWidth="1"/>
    <col min="4" max="4" width="7.28515625" style="19" customWidth="1"/>
    <col min="5" max="5" width="15.5703125" style="19" customWidth="1"/>
    <col min="6" max="6" width="19.140625" style="19" customWidth="1"/>
    <col min="7" max="7" width="17.5703125" style="400" customWidth="1"/>
    <col min="8" max="8" width="13.14062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E2" s="21"/>
      <c r="F2" s="21"/>
      <c r="H2" s="20"/>
    </row>
    <row r="3" spans="1:8" ht="27" customHeight="1" x14ac:dyDescent="0.25">
      <c r="A3" s="22" t="s">
        <v>1001</v>
      </c>
    </row>
    <row r="4" spans="1:8" ht="19.5" customHeight="1" x14ac:dyDescent="0.25">
      <c r="A4" s="21"/>
    </row>
    <row r="5" spans="1:8" ht="5.25" customHeight="1" x14ac:dyDescent="0.25">
      <c r="A5" s="23"/>
      <c r="B5" s="24"/>
      <c r="C5" s="25"/>
      <c r="E5" s="23"/>
      <c r="F5" s="24"/>
      <c r="G5" s="401"/>
      <c r="H5" s="25"/>
    </row>
    <row r="6" spans="1:8" ht="14.25" customHeight="1" x14ac:dyDescent="0.25">
      <c r="A6" s="77" t="s">
        <v>40</v>
      </c>
      <c r="B6" s="28" t="str">
        <f>'Index and Structure'!B2</f>
        <v>Nicolo Superannuation fund</v>
      </c>
      <c r="C6" s="29"/>
      <c r="D6" s="30"/>
      <c r="E6" s="232" t="s">
        <v>38</v>
      </c>
      <c r="F6" s="32" t="str">
        <f>'Index and Structure'!B5</f>
        <v>NICO0024</v>
      </c>
      <c r="H6" s="33"/>
    </row>
    <row r="7" spans="1:8" ht="14.25" customHeight="1" x14ac:dyDescent="0.25">
      <c r="A7" s="77" t="s">
        <v>45</v>
      </c>
      <c r="B7" s="28" t="str">
        <f>'Index and Structure'!A21</f>
        <v>Acquisition Costs</v>
      </c>
      <c r="C7" s="29"/>
      <c r="D7" s="30"/>
      <c r="E7" s="78" t="s">
        <v>41</v>
      </c>
      <c r="F7" s="28" t="str">
        <f>'Index and Structure'!B6</f>
        <v>Liam Aubin</v>
      </c>
      <c r="G7" s="400" t="s">
        <v>42</v>
      </c>
      <c r="H7" s="35"/>
    </row>
    <row r="8" spans="1:8" ht="14.25" customHeight="1" x14ac:dyDescent="0.25">
      <c r="A8" s="79" t="s">
        <v>46</v>
      </c>
      <c r="B8" s="37" t="str">
        <f>'Index and Structure'!B4</f>
        <v>30 June 2022</v>
      </c>
      <c r="C8" s="38"/>
      <c r="D8" s="30"/>
      <c r="E8" s="80" t="s">
        <v>43</v>
      </c>
      <c r="F8" s="40" t="str">
        <f>'Index and Structure'!B7</f>
        <v>Nicole Bryant</v>
      </c>
      <c r="G8" s="435" t="s">
        <v>42</v>
      </c>
      <c r="H8" s="41"/>
    </row>
    <row r="9" spans="1:8" ht="9.75" customHeight="1" x14ac:dyDescent="0.25"/>
    <row r="10" spans="1:8" ht="30" customHeight="1" x14ac:dyDescent="0.25">
      <c r="A10" s="42"/>
      <c r="B10" s="43"/>
      <c r="C10" s="43"/>
      <c r="D10" s="43"/>
      <c r="E10" s="43"/>
      <c r="F10" s="342">
        <f>'Index and Structure'!D4</f>
        <v>2022</v>
      </c>
      <c r="G10" s="404"/>
      <c r="H10" s="44"/>
    </row>
    <row r="11" spans="1:8" s="45" customFormat="1" ht="13.5" customHeight="1" x14ac:dyDescent="0.2">
      <c r="A11" s="100"/>
      <c r="B11" s="101"/>
      <c r="C11" s="101"/>
      <c r="D11" s="101"/>
      <c r="E11" s="102"/>
      <c r="F11" s="101"/>
      <c r="G11" s="424"/>
      <c r="H11" s="105"/>
    </row>
    <row r="12" spans="1:8" s="45" customFormat="1" ht="13.5" customHeight="1" thickBot="1" x14ac:dyDescent="0.25">
      <c r="A12" s="1266" t="str">
        <f>B7</f>
        <v>Acquisition Costs</v>
      </c>
      <c r="B12" s="1263"/>
      <c r="C12" s="165"/>
      <c r="D12" s="165"/>
      <c r="E12" s="165"/>
      <c r="F12" s="198">
        <f>F35</f>
        <v>0</v>
      </c>
      <c r="G12" s="405"/>
      <c r="H12" s="196"/>
    </row>
    <row r="13" spans="1:8" s="45" customFormat="1" ht="13.5" customHeight="1" thickTop="1" x14ac:dyDescent="0.2">
      <c r="A13" s="197"/>
      <c r="B13" s="165"/>
      <c r="C13" s="165"/>
      <c r="D13" s="165"/>
      <c r="E13" s="165"/>
      <c r="F13" s="200"/>
      <c r="G13" s="405"/>
      <c r="H13" s="196"/>
    </row>
    <row r="14" spans="1:8" s="45" customFormat="1" ht="13.5" customHeight="1" x14ac:dyDescent="0.2">
      <c r="A14" s="197"/>
      <c r="B14" s="165"/>
      <c r="C14" s="201"/>
      <c r="D14" s="202"/>
      <c r="E14" s="165"/>
      <c r="F14" s="199"/>
      <c r="G14" s="405"/>
      <c r="H14" s="86"/>
    </row>
    <row r="15" spans="1:8" s="45" customFormat="1" ht="13.5" customHeight="1" x14ac:dyDescent="0.2">
      <c r="A15" s="197"/>
      <c r="C15" s="165"/>
      <c r="D15" s="202"/>
      <c r="E15" s="202"/>
      <c r="F15" s="199"/>
      <c r="G15" s="405"/>
      <c r="H15" s="86"/>
    </row>
    <row r="16" spans="1:8" s="45" customFormat="1" ht="13.5" customHeight="1" x14ac:dyDescent="0.2">
      <c r="A16" s="197"/>
      <c r="B16" s="201"/>
      <c r="C16" s="165"/>
      <c r="D16" s="202"/>
      <c r="E16" s="186"/>
      <c r="F16" s="199"/>
      <c r="G16" s="405" t="s">
        <v>50</v>
      </c>
      <c r="H16" s="86"/>
    </row>
    <row r="17" spans="1:8" s="45" customFormat="1" ht="13.5" customHeight="1" x14ac:dyDescent="0.2">
      <c r="A17" s="197"/>
      <c r="B17" s="343" t="s">
        <v>20</v>
      </c>
      <c r="C17" s="165"/>
      <c r="D17" s="204"/>
      <c r="E17" s="186"/>
      <c r="F17" s="205"/>
      <c r="G17" s="405"/>
      <c r="H17" s="86"/>
    </row>
    <row r="18" spans="1:8" s="45" customFormat="1" ht="13.5" customHeight="1" x14ac:dyDescent="0.2">
      <c r="A18" s="197"/>
      <c r="B18" s="201"/>
      <c r="C18" s="201"/>
      <c r="D18" s="204"/>
      <c r="E18" s="186"/>
      <c r="F18" s="199"/>
      <c r="G18" s="405"/>
      <c r="H18" s="86"/>
    </row>
    <row r="19" spans="1:8" s="45" customFormat="1" ht="13.5" customHeight="1" x14ac:dyDescent="0.2">
      <c r="A19" s="197"/>
      <c r="B19" s="165"/>
      <c r="C19" s="201"/>
      <c r="D19" s="204"/>
      <c r="E19" s="186"/>
      <c r="F19" s="199"/>
      <c r="G19" s="405"/>
      <c r="H19" s="86"/>
    </row>
    <row r="20" spans="1:8" s="45" customFormat="1" ht="13.5" customHeight="1" x14ac:dyDescent="0.2">
      <c r="A20" s="208" t="s">
        <v>65</v>
      </c>
      <c r="B20" s="165"/>
      <c r="C20" s="165"/>
      <c r="D20" s="165"/>
      <c r="E20" s="165"/>
      <c r="F20" s="205"/>
      <c r="G20" s="405"/>
      <c r="H20" s="86"/>
    </row>
    <row r="21" spans="1:8" s="45" customFormat="1" ht="13.5" customHeight="1" x14ac:dyDescent="0.2">
      <c r="A21" s="344"/>
      <c r="B21" s="165"/>
      <c r="C21" s="165"/>
      <c r="D21" s="165"/>
      <c r="E21" s="165"/>
      <c r="F21" s="205"/>
      <c r="G21" s="405"/>
      <c r="H21" s="86"/>
    </row>
    <row r="22" spans="1:8" s="45" customFormat="1" ht="13.5" customHeight="1" x14ac:dyDescent="0.2">
      <c r="A22" s="344"/>
      <c r="B22" s="165"/>
      <c r="C22" s="165"/>
      <c r="D22" s="165"/>
      <c r="E22" s="165"/>
      <c r="F22" s="205"/>
      <c r="G22" s="405"/>
      <c r="H22" s="86"/>
    </row>
    <row r="23" spans="1:8" s="45" customFormat="1" ht="13.5" customHeight="1" x14ac:dyDescent="0.2">
      <c r="A23" s="344"/>
      <c r="B23" s="165"/>
      <c r="C23" s="165"/>
      <c r="D23" s="165"/>
      <c r="E23" s="165"/>
      <c r="F23" s="205"/>
      <c r="G23" s="405"/>
      <c r="H23" s="86"/>
    </row>
    <row r="24" spans="1:8" s="45" customFormat="1" ht="13.5" customHeight="1" x14ac:dyDescent="0.2">
      <c r="A24" s="344"/>
      <c r="B24" s="165"/>
      <c r="C24" s="165"/>
      <c r="D24" s="165"/>
      <c r="E24" s="165"/>
      <c r="F24" s="205"/>
      <c r="G24" s="405"/>
      <c r="H24" s="86"/>
    </row>
    <row r="25" spans="1:8" s="45" customFormat="1" ht="13.5" customHeight="1" x14ac:dyDescent="0.2">
      <c r="A25" s="344"/>
      <c r="B25" s="165"/>
      <c r="C25" s="165"/>
      <c r="D25" s="165"/>
      <c r="E25" s="165"/>
      <c r="F25" s="205"/>
      <c r="G25" s="405"/>
      <c r="H25" s="86"/>
    </row>
    <row r="26" spans="1:8" s="45" customFormat="1" ht="13.5" customHeight="1" x14ac:dyDescent="0.2">
      <c r="A26" s="344"/>
      <c r="B26" s="165"/>
      <c r="C26" s="165"/>
      <c r="D26" s="165"/>
      <c r="E26" s="165"/>
      <c r="F26" s="205"/>
      <c r="G26" s="405"/>
      <c r="H26" s="86"/>
    </row>
    <row r="27" spans="1:8" s="45" customFormat="1" ht="13.5" customHeight="1" x14ac:dyDescent="0.2">
      <c r="A27" s="344"/>
      <c r="B27" s="165"/>
      <c r="C27" s="165"/>
      <c r="D27" s="204"/>
      <c r="E27" s="53"/>
      <c r="F27" s="212"/>
      <c r="G27" s="405"/>
      <c r="H27" s="86"/>
    </row>
    <row r="28" spans="1:8" s="45" customFormat="1" ht="13.5" customHeight="1" x14ac:dyDescent="0.2">
      <c r="A28" s="208" t="s">
        <v>51</v>
      </c>
      <c r="B28" s="51"/>
      <c r="C28" s="345"/>
      <c r="D28" s="345"/>
      <c r="E28" s="345"/>
      <c r="F28" s="213"/>
      <c r="G28" s="405"/>
      <c r="H28" s="346"/>
    </row>
    <row r="29" spans="1:8" s="45" customFormat="1" ht="13.5" customHeight="1" x14ac:dyDescent="0.2">
      <c r="A29" s="197"/>
      <c r="B29" s="51"/>
      <c r="C29" s="345"/>
      <c r="D29" s="345"/>
      <c r="E29" s="345"/>
      <c r="F29" s="213"/>
      <c r="G29" s="405"/>
      <c r="H29" s="346"/>
    </row>
    <row r="30" spans="1:8" s="45" customFormat="1" ht="13.5" customHeight="1" x14ac:dyDescent="0.2">
      <c r="A30" s="197"/>
      <c r="B30" s="51"/>
      <c r="C30" s="345"/>
      <c r="D30" s="345"/>
      <c r="E30" s="345"/>
      <c r="F30" s="213"/>
      <c r="G30" s="405"/>
      <c r="H30" s="346"/>
    </row>
    <row r="31" spans="1:8" s="45" customFormat="1" ht="13.5" customHeight="1" x14ac:dyDescent="0.2">
      <c r="A31" s="197"/>
      <c r="B31" s="51"/>
      <c r="C31" s="345"/>
      <c r="D31" s="345"/>
      <c r="E31" s="345"/>
      <c r="F31" s="213"/>
      <c r="G31" s="405"/>
      <c r="H31" s="346"/>
    </row>
    <row r="32" spans="1:8" s="45" customFormat="1" ht="13.5" customHeight="1" x14ac:dyDescent="0.2">
      <c r="A32" s="197"/>
      <c r="B32" s="51"/>
      <c r="C32" s="345"/>
      <c r="D32" s="345"/>
      <c r="E32" s="345"/>
      <c r="F32" s="213"/>
      <c r="G32" s="405"/>
      <c r="H32" s="346"/>
    </row>
    <row r="33" spans="1:8" s="45" customFormat="1" ht="12.75" customHeight="1" x14ac:dyDescent="0.2">
      <c r="A33" s="197"/>
      <c r="B33" s="51"/>
      <c r="C33" s="345"/>
      <c r="D33" s="345"/>
      <c r="E33" s="345"/>
      <c r="F33" s="213"/>
      <c r="G33" s="405"/>
      <c r="H33" s="346"/>
    </row>
    <row r="34" spans="1:8" s="45" customFormat="1" ht="12.75" customHeight="1" x14ac:dyDescent="0.2">
      <c r="A34" s="197"/>
      <c r="B34" s="165"/>
      <c r="C34" s="165"/>
      <c r="D34" s="165"/>
      <c r="E34" s="186"/>
      <c r="F34" s="215"/>
      <c r="G34" s="405"/>
      <c r="H34" s="346"/>
    </row>
    <row r="35" spans="1:8" s="45" customFormat="1" ht="13.5" customHeight="1" thickBot="1" x14ac:dyDescent="0.25">
      <c r="A35" s="197"/>
      <c r="B35" s="343" t="s">
        <v>4</v>
      </c>
      <c r="C35" s="165"/>
      <c r="D35" s="165"/>
      <c r="E35" s="186"/>
      <c r="F35" s="216">
        <f>F17+SUM(F20:F26)-SUM(F28:F33)</f>
        <v>0</v>
      </c>
      <c r="G35" s="405"/>
      <c r="H35" s="86"/>
    </row>
    <row r="36" spans="1:8" s="45" customFormat="1" ht="13.5" customHeight="1" thickTop="1" x14ac:dyDescent="0.2">
      <c r="A36" s="197"/>
      <c r="B36" s="165"/>
      <c r="C36" s="165"/>
      <c r="D36" s="165"/>
      <c r="E36" s="165"/>
      <c r="F36" s="204"/>
      <c r="G36" s="405"/>
      <c r="H36" s="86"/>
    </row>
    <row r="37" spans="1:8" s="45" customFormat="1" ht="13.5" customHeight="1" x14ac:dyDescent="0.2">
      <c r="A37" s="197"/>
      <c r="B37" s="165"/>
      <c r="C37" s="165"/>
      <c r="D37" s="165"/>
      <c r="E37" s="165"/>
      <c r="F37" s="204"/>
      <c r="G37" s="405"/>
      <c r="H37" s="86"/>
    </row>
    <row r="38" spans="1:8" s="45" customFormat="1" ht="13.5" customHeight="1" x14ac:dyDescent="0.2">
      <c r="A38" s="197"/>
      <c r="B38" s="165"/>
      <c r="C38" s="165"/>
      <c r="D38" s="165"/>
      <c r="E38" s="165"/>
      <c r="F38" s="204"/>
      <c r="G38" s="405"/>
      <c r="H38" s="217"/>
    </row>
    <row r="39" spans="1:8" s="45" customFormat="1" ht="13.5" customHeight="1" x14ac:dyDescent="0.2">
      <c r="A39" s="197"/>
      <c r="B39" s="168"/>
      <c r="C39" s="168"/>
      <c r="D39" s="168"/>
      <c r="E39" s="168"/>
      <c r="F39" s="218"/>
      <c r="G39" s="405"/>
      <c r="H39" s="217"/>
    </row>
    <row r="40" spans="1:8" s="45" customFormat="1" ht="13.5" customHeight="1" x14ac:dyDescent="0.2">
      <c r="A40" s="197"/>
      <c r="B40" s="168"/>
      <c r="C40" s="168"/>
      <c r="D40" s="168"/>
      <c r="E40" s="168"/>
      <c r="F40" s="218"/>
      <c r="G40" s="405"/>
      <c r="H40" s="217"/>
    </row>
    <row r="41" spans="1:8" s="45" customFormat="1" ht="13.5" customHeight="1" x14ac:dyDescent="0.2">
      <c r="A41" s="197"/>
      <c r="B41" s="168"/>
      <c r="C41" s="168"/>
      <c r="D41" s="168"/>
      <c r="E41" s="168"/>
      <c r="F41" s="218"/>
      <c r="G41" s="405"/>
      <c r="H41" s="217"/>
    </row>
    <row r="42" spans="1:8" s="45" customFormat="1" ht="13.5" customHeight="1" x14ac:dyDescent="0.2">
      <c r="A42" s="197"/>
      <c r="B42" s="168"/>
      <c r="C42" s="168"/>
      <c r="D42" s="168"/>
      <c r="E42" s="168"/>
      <c r="F42" s="218"/>
      <c r="G42" s="405"/>
      <c r="H42" s="217"/>
    </row>
    <row r="43" spans="1:8" s="45" customFormat="1" ht="13.5" customHeight="1" x14ac:dyDescent="0.2">
      <c r="A43" s="197"/>
      <c r="B43" s="168"/>
      <c r="C43" s="168"/>
      <c r="D43" s="168"/>
      <c r="E43" s="168"/>
      <c r="F43" s="218"/>
      <c r="G43" s="405"/>
      <c r="H43" s="217"/>
    </row>
    <row r="44" spans="1:8" s="45" customFormat="1" ht="13.5" customHeight="1" x14ac:dyDescent="0.2">
      <c r="A44" s="197"/>
      <c r="B44" s="168"/>
      <c r="C44" s="168"/>
      <c r="D44" s="168"/>
      <c r="E44" s="168"/>
      <c r="F44" s="218"/>
      <c r="G44" s="405"/>
      <c r="H44" s="217"/>
    </row>
    <row r="45" spans="1:8" s="45" customFormat="1" ht="13.5" customHeight="1" x14ac:dyDescent="0.2">
      <c r="A45" s="197"/>
      <c r="B45" s="168"/>
      <c r="C45" s="168"/>
      <c r="D45" s="168"/>
      <c r="E45" s="168"/>
      <c r="F45" s="218"/>
      <c r="G45" s="405"/>
      <c r="H45" s="217"/>
    </row>
    <row r="46" spans="1:8" s="45" customFormat="1" ht="13.5" customHeight="1" x14ac:dyDescent="0.2">
      <c r="A46" s="197"/>
      <c r="B46" s="168"/>
      <c r="C46" s="168"/>
      <c r="D46" s="168"/>
      <c r="E46" s="168"/>
      <c r="F46" s="218"/>
      <c r="G46" s="405"/>
      <c r="H46" s="217"/>
    </row>
    <row r="47" spans="1:8" s="45" customFormat="1" ht="13.5" customHeight="1" x14ac:dyDescent="0.2">
      <c r="A47" s="197"/>
      <c r="B47" s="168"/>
      <c r="C47" s="168"/>
      <c r="D47" s="168"/>
      <c r="E47" s="168"/>
      <c r="F47" s="218"/>
      <c r="G47" s="405"/>
      <c r="H47" s="217"/>
    </row>
    <row r="48" spans="1:8" s="45" customFormat="1" ht="13.5" customHeight="1" x14ac:dyDescent="0.2">
      <c r="A48" s="197"/>
      <c r="B48" s="168"/>
      <c r="C48" s="168"/>
      <c r="D48" s="168"/>
      <c r="E48" s="168"/>
      <c r="F48" s="218"/>
      <c r="G48" s="405"/>
      <c r="H48" s="217"/>
    </row>
    <row r="49" spans="1:8" s="45" customFormat="1" ht="13.5" customHeight="1" x14ac:dyDescent="0.2">
      <c r="A49" s="197"/>
      <c r="B49" s="168"/>
      <c r="C49" s="168"/>
      <c r="D49" s="168"/>
      <c r="E49" s="168"/>
      <c r="F49" s="218"/>
      <c r="G49" s="406"/>
      <c r="H49" s="217"/>
    </row>
    <row r="50" spans="1:8" s="45" customFormat="1" ht="13.5" customHeight="1" x14ac:dyDescent="0.2">
      <c r="A50" s="197"/>
      <c r="B50" s="168"/>
      <c r="C50" s="168"/>
      <c r="D50" s="168"/>
      <c r="E50" s="168"/>
      <c r="F50" s="218"/>
      <c r="G50" s="406"/>
      <c r="H50" s="217"/>
    </row>
    <row r="51" spans="1:8" s="45" customFormat="1" ht="13.5" customHeight="1" x14ac:dyDescent="0.2">
      <c r="A51" s="138"/>
      <c r="B51" s="249"/>
      <c r="C51" s="249"/>
      <c r="D51" s="249"/>
      <c r="E51" s="249"/>
      <c r="F51" s="397"/>
      <c r="G51" s="407"/>
      <c r="H51" s="54"/>
    </row>
  </sheetData>
  <mergeCells count="1">
    <mergeCell ref="A2:C2"/>
  </mergeCells>
  <hyperlinks>
    <hyperlink ref="A2" location="'Index and Structure'!A1" display="The Macro Group" xr:uid="{00000000-0004-0000-0800-000000000000}"/>
  </hyperlinks>
  <pageMargins left="0.74803149606299213" right="0.39370078740157483" top="0.55118110236220474" bottom="0.62992125984251968" header="0.51181102362204722" footer="0.47244094488188981"/>
  <pageSetup paperSize="9" scale="80" orientation="portrait" r:id="rId1"/>
  <headerFooter alignWithMargins="0">
    <oddFooter>&amp;LPrinted:&amp;T on &amp;D</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6124"/>
  <dimension ref="A1:H51"/>
  <sheetViews>
    <sheetView showGridLines="0" view="pageBreakPreview" topLeftCell="A16" zoomScaleNormal="100" zoomScaleSheetLayoutView="100" workbookViewId="0">
      <selection activeCell="E39" sqref="E39"/>
    </sheetView>
  </sheetViews>
  <sheetFormatPr defaultColWidth="9.140625" defaultRowHeight="15" x14ac:dyDescent="0.25"/>
  <cols>
    <col min="1" max="1" width="13.140625" style="19" customWidth="1"/>
    <col min="2" max="3" width="11.42578125" style="19" customWidth="1"/>
    <col min="4" max="4" width="7.28515625" style="19" customWidth="1"/>
    <col min="5" max="5" width="15.5703125" style="19" customWidth="1"/>
    <col min="6" max="6" width="19.140625" style="19" customWidth="1"/>
    <col min="7" max="7" width="16" style="20" customWidth="1"/>
    <col min="8" max="8" width="13.14062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E2" s="21"/>
      <c r="F2" s="21"/>
      <c r="H2" s="20"/>
    </row>
    <row r="3" spans="1:8" ht="27" customHeight="1" x14ac:dyDescent="0.25">
      <c r="A3" s="22"/>
    </row>
    <row r="4" spans="1:8" ht="19.5" customHeight="1" x14ac:dyDescent="0.25">
      <c r="A4" s="21"/>
    </row>
    <row r="5" spans="1:8" ht="5.25" customHeight="1" x14ac:dyDescent="0.25">
      <c r="A5" s="23"/>
      <c r="B5" s="24"/>
      <c r="C5" s="25"/>
      <c r="E5" s="23"/>
      <c r="F5" s="24"/>
      <c r="G5" s="236"/>
      <c r="H5" s="25"/>
    </row>
    <row r="6" spans="1:8" ht="14.25" customHeight="1" x14ac:dyDescent="0.25">
      <c r="A6" s="77" t="s">
        <v>40</v>
      </c>
      <c r="B6" s="28" t="str">
        <f>'Index and Structure'!B2</f>
        <v>Nicolo Superannuation fund</v>
      </c>
      <c r="C6" s="29"/>
      <c r="D6" s="30"/>
      <c r="E6" s="232" t="s">
        <v>38</v>
      </c>
      <c r="F6" s="32" t="str">
        <f>'Index and Structure'!B5</f>
        <v>NICO0024</v>
      </c>
      <c r="H6" s="33"/>
    </row>
    <row r="7" spans="1:8" ht="14.25" customHeight="1" x14ac:dyDescent="0.25">
      <c r="A7" s="77" t="s">
        <v>45</v>
      </c>
      <c r="B7" s="28" t="str">
        <f>'Index and Structure'!A22</f>
        <v>Deposits</v>
      </c>
      <c r="C7" s="29"/>
      <c r="D7" s="30"/>
      <c r="E7" s="78" t="s">
        <v>41</v>
      </c>
      <c r="F7" s="28" t="str">
        <f>'Index and Structure'!B6</f>
        <v>Liam Aubin</v>
      </c>
      <c r="G7" s="76" t="s">
        <v>42</v>
      </c>
      <c r="H7" s="35"/>
    </row>
    <row r="8" spans="1:8" ht="14.25" customHeight="1" x14ac:dyDescent="0.25">
      <c r="A8" s="79" t="s">
        <v>46</v>
      </c>
      <c r="B8" s="37" t="str">
        <f>'Index and Structure'!B4</f>
        <v>30 June 2022</v>
      </c>
      <c r="C8" s="38"/>
      <c r="D8" s="30"/>
      <c r="E8" s="80" t="s">
        <v>43</v>
      </c>
      <c r="F8" s="40" t="str">
        <f>'Index and Structure'!B7</f>
        <v>Nicole Bryant</v>
      </c>
      <c r="G8" s="399" t="s">
        <v>42</v>
      </c>
      <c r="H8" s="41"/>
    </row>
    <row r="9" spans="1:8" ht="9.75" customHeight="1" x14ac:dyDescent="0.25"/>
    <row r="10" spans="1:8" ht="30" customHeight="1" x14ac:dyDescent="0.25">
      <c r="A10" s="42"/>
      <c r="B10" s="43"/>
      <c r="C10" s="43"/>
      <c r="D10" s="43"/>
      <c r="E10" s="43"/>
      <c r="F10" s="342">
        <f>'Index and Structure'!D4</f>
        <v>2022</v>
      </c>
      <c r="G10" s="184"/>
      <c r="H10" s="44"/>
    </row>
    <row r="11" spans="1:8" s="45" customFormat="1" ht="13.5" customHeight="1" x14ac:dyDescent="0.2">
      <c r="A11" s="100"/>
      <c r="B11" s="101"/>
      <c r="C11" s="101"/>
      <c r="D11" s="101"/>
      <c r="E11" s="102"/>
      <c r="F11" s="101"/>
      <c r="G11" s="396"/>
      <c r="H11" s="105"/>
    </row>
    <row r="12" spans="1:8" s="45" customFormat="1" ht="13.5" customHeight="1" thickBot="1" x14ac:dyDescent="0.25">
      <c r="A12" s="1266" t="str">
        <f>B7</f>
        <v>Deposits</v>
      </c>
      <c r="B12" s="1263"/>
      <c r="C12" s="165"/>
      <c r="D12" s="165"/>
      <c r="E12" s="165"/>
      <c r="F12" s="198">
        <f>F35</f>
        <v>0</v>
      </c>
      <c r="G12" s="153"/>
      <c r="H12" s="196"/>
    </row>
    <row r="13" spans="1:8" s="45" customFormat="1" ht="13.5" customHeight="1" thickTop="1" x14ac:dyDescent="0.2">
      <c r="A13" s="197"/>
      <c r="B13" s="165"/>
      <c r="C13" s="165"/>
      <c r="D13" s="165"/>
      <c r="E13" s="165"/>
      <c r="F13" s="200"/>
      <c r="G13" s="153"/>
      <c r="H13" s="196"/>
    </row>
    <row r="14" spans="1:8" s="45" customFormat="1" ht="13.5" customHeight="1" x14ac:dyDescent="0.2">
      <c r="A14" s="197"/>
      <c r="B14" s="165"/>
      <c r="C14" s="201"/>
      <c r="D14" s="202"/>
      <c r="E14" s="165"/>
      <c r="F14" s="199"/>
      <c r="G14" s="153"/>
      <c r="H14" s="86"/>
    </row>
    <row r="15" spans="1:8" s="45" customFormat="1" ht="13.5" customHeight="1" x14ac:dyDescent="0.2">
      <c r="A15" s="197"/>
      <c r="C15" s="165"/>
      <c r="D15" s="202"/>
      <c r="E15" s="202"/>
      <c r="F15" s="199"/>
      <c r="G15" s="153"/>
      <c r="H15" s="86"/>
    </row>
    <row r="16" spans="1:8" s="45" customFormat="1" ht="13.5" customHeight="1" x14ac:dyDescent="0.2">
      <c r="A16" s="197"/>
      <c r="B16" s="201"/>
      <c r="C16" s="165"/>
      <c r="D16" s="202"/>
      <c r="E16" s="186"/>
      <c r="F16" s="199"/>
      <c r="G16" s="153" t="s">
        <v>50</v>
      </c>
      <c r="H16" s="86"/>
    </row>
    <row r="17" spans="1:8" s="45" customFormat="1" ht="13.5" customHeight="1" x14ac:dyDescent="0.2">
      <c r="A17" s="197"/>
      <c r="B17" s="343" t="s">
        <v>20</v>
      </c>
      <c r="C17" s="165"/>
      <c r="D17" s="204"/>
      <c r="E17" s="186"/>
      <c r="F17" s="205"/>
      <c r="G17" s="153"/>
      <c r="H17" s="86"/>
    </row>
    <row r="18" spans="1:8" s="45" customFormat="1" ht="13.5" customHeight="1" x14ac:dyDescent="0.2">
      <c r="A18" s="197"/>
      <c r="B18" s="201"/>
      <c r="C18" s="201"/>
      <c r="D18" s="204"/>
      <c r="E18" s="186"/>
      <c r="F18" s="199"/>
      <c r="G18" s="153"/>
      <c r="H18" s="86"/>
    </row>
    <row r="19" spans="1:8" s="45" customFormat="1" ht="13.5" customHeight="1" x14ac:dyDescent="0.2">
      <c r="A19" s="197"/>
      <c r="B19" s="165"/>
      <c r="C19" s="201"/>
      <c r="D19" s="204"/>
      <c r="E19" s="186"/>
      <c r="F19" s="199"/>
      <c r="G19" s="153"/>
      <c r="H19" s="86"/>
    </row>
    <row r="20" spans="1:8" s="45" customFormat="1" ht="13.5" customHeight="1" x14ac:dyDescent="0.2">
      <c r="A20" s="208" t="s">
        <v>65</v>
      </c>
      <c r="B20" s="165"/>
      <c r="C20" s="165"/>
      <c r="D20" s="165"/>
      <c r="E20" s="165"/>
      <c r="F20" s="205"/>
      <c r="G20" s="153"/>
      <c r="H20" s="86"/>
    </row>
    <row r="21" spans="1:8" s="45" customFormat="1" ht="13.5" customHeight="1" x14ac:dyDescent="0.2">
      <c r="A21" s="344"/>
      <c r="B21" s="165"/>
      <c r="C21" s="165"/>
      <c r="D21" s="165"/>
      <c r="E21" s="165"/>
      <c r="F21" s="205"/>
      <c r="G21" s="153"/>
      <c r="H21" s="86"/>
    </row>
    <row r="22" spans="1:8" s="45" customFormat="1" ht="13.5" customHeight="1" x14ac:dyDescent="0.2">
      <c r="A22" s="344"/>
      <c r="B22" s="165"/>
      <c r="C22" s="165"/>
      <c r="D22" s="165"/>
      <c r="E22" s="165"/>
      <c r="F22" s="205"/>
      <c r="G22" s="153"/>
      <c r="H22" s="86"/>
    </row>
    <row r="23" spans="1:8" s="45" customFormat="1" ht="13.5" customHeight="1" x14ac:dyDescent="0.2">
      <c r="A23" s="344"/>
      <c r="B23" s="165"/>
      <c r="C23" s="165"/>
      <c r="D23" s="165"/>
      <c r="E23" s="165"/>
      <c r="F23" s="205"/>
      <c r="G23" s="153"/>
      <c r="H23" s="86"/>
    </row>
    <row r="24" spans="1:8" s="45" customFormat="1" ht="13.5" customHeight="1" x14ac:dyDescent="0.2">
      <c r="A24" s="344"/>
      <c r="B24" s="165"/>
      <c r="C24" s="165"/>
      <c r="D24" s="165"/>
      <c r="E24" s="165"/>
      <c r="F24" s="205"/>
      <c r="G24" s="153"/>
      <c r="H24" s="86"/>
    </row>
    <row r="25" spans="1:8" s="45" customFormat="1" ht="13.5" customHeight="1" x14ac:dyDescent="0.2">
      <c r="A25" s="344"/>
      <c r="B25" s="165"/>
      <c r="C25" s="165"/>
      <c r="D25" s="165"/>
      <c r="E25" s="165"/>
      <c r="F25" s="205"/>
      <c r="G25" s="153"/>
      <c r="H25" s="86"/>
    </row>
    <row r="26" spans="1:8" s="45" customFormat="1" ht="13.5" customHeight="1" x14ac:dyDescent="0.2">
      <c r="A26" s="344"/>
      <c r="B26" s="165"/>
      <c r="C26" s="165"/>
      <c r="D26" s="165"/>
      <c r="E26" s="165"/>
      <c r="F26" s="205"/>
      <c r="G26" s="153"/>
      <c r="H26" s="86"/>
    </row>
    <row r="27" spans="1:8" s="45" customFormat="1" ht="13.5" customHeight="1" x14ac:dyDescent="0.2">
      <c r="A27" s="344"/>
      <c r="B27" s="165"/>
      <c r="C27" s="165"/>
      <c r="D27" s="204"/>
      <c r="E27" s="53"/>
      <c r="F27" s="212"/>
      <c r="G27" s="153"/>
      <c r="H27" s="86"/>
    </row>
    <row r="28" spans="1:8" s="45" customFormat="1" ht="13.5" customHeight="1" x14ac:dyDescent="0.2">
      <c r="A28" s="208" t="s">
        <v>51</v>
      </c>
      <c r="B28" s="51"/>
      <c r="C28" s="345"/>
      <c r="D28" s="345"/>
      <c r="E28" s="345"/>
      <c r="F28" s="213"/>
      <c r="G28" s="153"/>
      <c r="H28" s="346"/>
    </row>
    <row r="29" spans="1:8" s="45" customFormat="1" ht="13.5" customHeight="1" x14ac:dyDescent="0.2">
      <c r="A29" s="197"/>
      <c r="B29" s="51"/>
      <c r="C29" s="345"/>
      <c r="D29" s="345"/>
      <c r="E29" s="345"/>
      <c r="F29" s="213"/>
      <c r="G29" s="153"/>
      <c r="H29" s="346"/>
    </row>
    <row r="30" spans="1:8" s="45" customFormat="1" ht="13.5" customHeight="1" x14ac:dyDescent="0.2">
      <c r="A30" s="197"/>
      <c r="B30" s="51"/>
      <c r="C30" s="345"/>
      <c r="D30" s="345"/>
      <c r="E30" s="345"/>
      <c r="F30" s="213"/>
      <c r="G30" s="153"/>
      <c r="H30" s="346"/>
    </row>
    <row r="31" spans="1:8" s="45" customFormat="1" ht="13.5" customHeight="1" x14ac:dyDescent="0.2">
      <c r="A31" s="197"/>
      <c r="B31" s="51"/>
      <c r="C31" s="345"/>
      <c r="D31" s="345"/>
      <c r="E31" s="345"/>
      <c r="F31" s="213"/>
      <c r="G31" s="153"/>
      <c r="H31" s="346"/>
    </row>
    <row r="32" spans="1:8" s="45" customFormat="1" ht="13.5" customHeight="1" x14ac:dyDescent="0.2">
      <c r="A32" s="197"/>
      <c r="B32" s="51"/>
      <c r="C32" s="345"/>
      <c r="D32" s="345"/>
      <c r="E32" s="345"/>
      <c r="F32" s="213"/>
      <c r="G32" s="153"/>
      <c r="H32" s="346"/>
    </row>
    <row r="33" spans="1:8" s="45" customFormat="1" ht="12.75" customHeight="1" x14ac:dyDescent="0.2">
      <c r="A33" s="197"/>
      <c r="B33" s="51"/>
      <c r="C33" s="345"/>
      <c r="D33" s="345"/>
      <c r="E33" s="345"/>
      <c r="F33" s="213"/>
      <c r="G33" s="153"/>
      <c r="H33" s="346"/>
    </row>
    <row r="34" spans="1:8" s="45" customFormat="1" ht="12.75" customHeight="1" x14ac:dyDescent="0.2">
      <c r="A34" s="197"/>
      <c r="B34" s="165"/>
      <c r="C34" s="165"/>
      <c r="D34" s="165"/>
      <c r="E34" s="186"/>
      <c r="F34" s="215"/>
      <c r="G34" s="153"/>
      <c r="H34" s="346"/>
    </row>
    <row r="35" spans="1:8" s="45" customFormat="1" ht="13.5" customHeight="1" thickBot="1" x14ac:dyDescent="0.25">
      <c r="A35" s="197"/>
      <c r="B35" s="343" t="s">
        <v>4</v>
      </c>
      <c r="C35" s="165"/>
      <c r="D35" s="165"/>
      <c r="E35" s="186"/>
      <c r="F35" s="216">
        <f>F17+SUM(F20:F26)-SUM(F28:F33)</f>
        <v>0</v>
      </c>
      <c r="G35" s="153"/>
      <c r="H35" s="86"/>
    </row>
    <row r="36" spans="1:8" s="45" customFormat="1" ht="13.5" customHeight="1" thickTop="1" x14ac:dyDescent="0.2">
      <c r="A36" s="197"/>
      <c r="B36" s="165"/>
      <c r="C36" s="165"/>
      <c r="D36" s="165"/>
      <c r="E36" s="165"/>
      <c r="F36" s="204"/>
      <c r="G36" s="153"/>
      <c r="H36" s="86"/>
    </row>
    <row r="37" spans="1:8" s="45" customFormat="1" ht="13.5" customHeight="1" x14ac:dyDescent="0.2">
      <c r="A37" s="197"/>
      <c r="B37" s="165"/>
      <c r="C37" s="165"/>
      <c r="D37" s="165"/>
      <c r="E37" s="165"/>
      <c r="F37" s="204"/>
      <c r="G37" s="153"/>
      <c r="H37" s="86"/>
    </row>
    <row r="38" spans="1:8" s="45" customFormat="1" ht="13.5" customHeight="1" x14ac:dyDescent="0.2">
      <c r="A38" s="197" t="s">
        <v>1002</v>
      </c>
      <c r="B38" s="165"/>
      <c r="C38" s="165"/>
      <c r="D38" s="165"/>
      <c r="E38" s="165"/>
      <c r="F38" s="204"/>
      <c r="G38" s="153"/>
      <c r="H38" s="217"/>
    </row>
    <row r="39" spans="1:8" s="45" customFormat="1" ht="13.5" customHeight="1" x14ac:dyDescent="0.2">
      <c r="A39" s="197" t="s">
        <v>1003</v>
      </c>
      <c r="B39" s="168" t="s">
        <v>1004</v>
      </c>
      <c r="C39" s="168"/>
      <c r="D39" s="168"/>
      <c r="E39" s="168" t="s">
        <v>30</v>
      </c>
      <c r="F39" s="218" t="s">
        <v>34</v>
      </c>
      <c r="G39" s="153"/>
      <c r="H39" s="217"/>
    </row>
    <row r="40" spans="1:8" s="45" customFormat="1" ht="13.5" customHeight="1" x14ac:dyDescent="0.2">
      <c r="A40" s="197"/>
      <c r="B40" s="168"/>
      <c r="C40" s="168"/>
      <c r="D40" s="168"/>
      <c r="E40" s="168"/>
      <c r="F40" s="218"/>
      <c r="G40" s="153"/>
      <c r="H40" s="217"/>
    </row>
    <row r="41" spans="1:8" s="45" customFormat="1" ht="13.5" customHeight="1" x14ac:dyDescent="0.2">
      <c r="A41" s="197"/>
      <c r="B41" s="168"/>
      <c r="C41" s="168"/>
      <c r="D41" s="168"/>
      <c r="E41" s="168"/>
      <c r="F41" s="218"/>
      <c r="G41" s="153"/>
      <c r="H41" s="217"/>
    </row>
    <row r="42" spans="1:8" s="45" customFormat="1" ht="13.5" customHeight="1" x14ac:dyDescent="0.2">
      <c r="A42" s="197"/>
      <c r="B42" s="168"/>
      <c r="C42" s="168"/>
      <c r="D42" s="168"/>
      <c r="E42" s="168"/>
      <c r="F42" s="218"/>
      <c r="G42" s="153"/>
      <c r="H42" s="217"/>
    </row>
    <row r="43" spans="1:8" s="45" customFormat="1" ht="13.5" customHeight="1" x14ac:dyDescent="0.2">
      <c r="A43" s="197"/>
      <c r="B43" s="168"/>
      <c r="C43" s="168"/>
      <c r="D43" s="168"/>
      <c r="E43" s="168"/>
      <c r="F43" s="218"/>
      <c r="G43" s="153"/>
      <c r="H43" s="217"/>
    </row>
    <row r="44" spans="1:8" s="45" customFormat="1" ht="13.5" customHeight="1" x14ac:dyDescent="0.2">
      <c r="A44" s="197"/>
      <c r="B44" s="168"/>
      <c r="C44" s="168"/>
      <c r="D44" s="168"/>
      <c r="E44" s="168"/>
      <c r="F44" s="218"/>
      <c r="G44" s="153"/>
      <c r="H44" s="217"/>
    </row>
    <row r="45" spans="1:8" s="45" customFormat="1" ht="13.5" customHeight="1" x14ac:dyDescent="0.2">
      <c r="A45" s="197"/>
      <c r="B45" s="168"/>
      <c r="C45" s="168"/>
      <c r="D45" s="168"/>
      <c r="E45" s="168"/>
      <c r="F45" s="218"/>
      <c r="G45" s="153"/>
      <c r="H45" s="217"/>
    </row>
    <row r="46" spans="1:8" s="45" customFormat="1" ht="13.5" customHeight="1" x14ac:dyDescent="0.2">
      <c r="A46" s="197"/>
      <c r="B46" s="168"/>
      <c r="C46" s="168"/>
      <c r="D46" s="168"/>
      <c r="E46" s="168"/>
      <c r="F46" s="218"/>
      <c r="G46" s="153"/>
      <c r="H46" s="217"/>
    </row>
    <row r="47" spans="1:8" s="45" customFormat="1" ht="13.5" customHeight="1" x14ac:dyDescent="0.2">
      <c r="A47" s="197"/>
      <c r="B47" s="168"/>
      <c r="C47" s="168"/>
      <c r="D47" s="168"/>
      <c r="E47" s="168"/>
      <c r="F47" s="218"/>
      <c r="G47" s="153"/>
      <c r="H47" s="217"/>
    </row>
    <row r="48" spans="1:8" s="45" customFormat="1" ht="13.5" customHeight="1" x14ac:dyDescent="0.2">
      <c r="A48" s="197"/>
      <c r="B48" s="168"/>
      <c r="C48" s="168"/>
      <c r="D48" s="168"/>
      <c r="E48" s="168"/>
      <c r="F48" s="218"/>
      <c r="G48" s="153"/>
      <c r="H48" s="217"/>
    </row>
    <row r="49" spans="1:8" s="45" customFormat="1" ht="13.5" customHeight="1" x14ac:dyDescent="0.2">
      <c r="A49" s="197"/>
      <c r="B49" s="168"/>
      <c r="C49" s="168"/>
      <c r="D49" s="168"/>
      <c r="E49" s="168"/>
      <c r="F49" s="218"/>
      <c r="G49" s="186"/>
      <c r="H49" s="217"/>
    </row>
    <row r="50" spans="1:8" s="45" customFormat="1" ht="13.5" customHeight="1" x14ac:dyDescent="0.2">
      <c r="A50" s="197"/>
      <c r="B50" s="168"/>
      <c r="C50" s="168"/>
      <c r="D50" s="168"/>
      <c r="E50" s="168"/>
      <c r="F50" s="218"/>
      <c r="G50" s="186"/>
      <c r="H50" s="217"/>
    </row>
    <row r="51" spans="1:8" s="45" customFormat="1" ht="13.5" customHeight="1" x14ac:dyDescent="0.2">
      <c r="A51" s="138"/>
      <c r="B51" s="66"/>
      <c r="C51" s="67"/>
      <c r="D51" s="66"/>
      <c r="E51" s="66"/>
      <c r="F51" s="68"/>
      <c r="G51" s="398"/>
      <c r="H51" s="54"/>
    </row>
  </sheetData>
  <mergeCells count="1">
    <mergeCell ref="A2:C2"/>
  </mergeCells>
  <hyperlinks>
    <hyperlink ref="A2" location="'Index and Structure'!A1" display="The Macro Group" xr:uid="{00000000-0004-0000-0900-000000000000}"/>
  </hyperlinks>
  <pageMargins left="0.74803149606299213" right="0.39370078740157483" top="0.55118110236220474" bottom="0.62992125984251968" header="0.51181102362204722" footer="0.47244094488188981"/>
  <pageSetup paperSize="9" scale="80" orientation="portrait" r:id="rId1"/>
  <headerFooter alignWithMargins="0">
    <oddFooter>&amp;LPrinted:&amp;T on &amp;D</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126"/>
  <dimension ref="A1:H51"/>
  <sheetViews>
    <sheetView showGridLines="0" view="pageBreakPreview" zoomScaleNormal="100" zoomScaleSheetLayoutView="100" workbookViewId="0">
      <selection activeCell="A2" sqref="A2:C2"/>
    </sheetView>
  </sheetViews>
  <sheetFormatPr defaultColWidth="9.140625" defaultRowHeight="15" x14ac:dyDescent="0.25"/>
  <cols>
    <col min="1" max="1" width="13.140625" style="19" customWidth="1"/>
    <col min="2" max="3" width="11.42578125" style="19" customWidth="1"/>
    <col min="4" max="4" width="7.28515625" style="19" customWidth="1"/>
    <col min="5" max="5" width="15.5703125" style="19" customWidth="1"/>
    <col min="6" max="6" width="19.140625" style="19" customWidth="1"/>
    <col min="7" max="7" width="15.42578125" style="400" customWidth="1"/>
    <col min="8" max="8" width="13.14062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E2" s="21"/>
      <c r="F2" s="21"/>
      <c r="H2" s="20"/>
    </row>
    <row r="3" spans="1:8" ht="27" customHeight="1" x14ac:dyDescent="0.25">
      <c r="A3" s="22"/>
    </row>
    <row r="4" spans="1:8" ht="19.5" customHeight="1" x14ac:dyDescent="0.25">
      <c r="A4" s="21"/>
    </row>
    <row r="5" spans="1:8" ht="5.25" customHeight="1" x14ac:dyDescent="0.25">
      <c r="A5" s="23"/>
      <c r="B5" s="24"/>
      <c r="C5" s="25"/>
      <c r="E5" s="23"/>
      <c r="F5" s="24"/>
      <c r="G5" s="401"/>
      <c r="H5" s="25"/>
    </row>
    <row r="6" spans="1:8" ht="14.25" customHeight="1" x14ac:dyDescent="0.25">
      <c r="A6" s="77" t="s">
        <v>40</v>
      </c>
      <c r="B6" s="28" t="str">
        <f>'Index and Structure'!B2</f>
        <v>Nicolo Superannuation fund</v>
      </c>
      <c r="C6" s="29"/>
      <c r="D6" s="30"/>
      <c r="E6" s="232" t="s">
        <v>38</v>
      </c>
      <c r="F6" s="32" t="str">
        <f>'Index and Structure'!B5</f>
        <v>NICO0024</v>
      </c>
      <c r="H6" s="33"/>
    </row>
    <row r="7" spans="1:8" ht="14.25" customHeight="1" x14ac:dyDescent="0.25">
      <c r="A7" s="77" t="s">
        <v>45</v>
      </c>
      <c r="B7" s="28" t="str">
        <f>'Index and Structure'!A23</f>
        <v>Other Assets - 1</v>
      </c>
      <c r="C7" s="29"/>
      <c r="D7" s="30"/>
      <c r="E7" s="78" t="s">
        <v>41</v>
      </c>
      <c r="F7" s="28" t="str">
        <f>'Index and Structure'!B6</f>
        <v>Liam Aubin</v>
      </c>
      <c r="G7" s="402" t="s">
        <v>42</v>
      </c>
      <c r="H7" s="35"/>
    </row>
    <row r="8" spans="1:8" ht="14.25" customHeight="1" x14ac:dyDescent="0.25">
      <c r="A8" s="79" t="s">
        <v>46</v>
      </c>
      <c r="B8" s="37" t="str">
        <f>'Index and Structure'!B4</f>
        <v>30 June 2022</v>
      </c>
      <c r="C8" s="38"/>
      <c r="D8" s="30"/>
      <c r="E8" s="80" t="s">
        <v>43</v>
      </c>
      <c r="F8" s="40" t="str">
        <f>'Index and Structure'!B7</f>
        <v>Nicole Bryant</v>
      </c>
      <c r="G8" s="403" t="s">
        <v>42</v>
      </c>
      <c r="H8" s="41"/>
    </row>
    <row r="9" spans="1:8" ht="9.75" customHeight="1" x14ac:dyDescent="0.25"/>
    <row r="10" spans="1:8" ht="30" customHeight="1" x14ac:dyDescent="0.25">
      <c r="A10" s="42"/>
      <c r="B10" s="43"/>
      <c r="C10" s="43"/>
      <c r="D10" s="43"/>
      <c r="E10" s="43"/>
      <c r="F10" s="342">
        <f>'Index and Structure'!D4</f>
        <v>2022</v>
      </c>
      <c r="G10" s="404"/>
      <c r="H10" s="44"/>
    </row>
    <row r="11" spans="1:8" s="45" customFormat="1" ht="13.5" customHeight="1" x14ac:dyDescent="0.2">
      <c r="A11" s="100"/>
      <c r="B11" s="101"/>
      <c r="C11" s="101"/>
      <c r="D11" s="101"/>
      <c r="E11" s="102"/>
      <c r="F11" s="101"/>
      <c r="G11" s="424"/>
      <c r="H11" s="105"/>
    </row>
    <row r="12" spans="1:8" s="45" customFormat="1" ht="13.5" customHeight="1" thickBot="1" x14ac:dyDescent="0.25">
      <c r="A12" s="1266" t="str">
        <f>B7</f>
        <v>Other Assets - 1</v>
      </c>
      <c r="B12" s="1263"/>
      <c r="C12" s="165"/>
      <c r="D12" s="165"/>
      <c r="E12" s="165"/>
      <c r="F12" s="198">
        <f>F35</f>
        <v>0</v>
      </c>
      <c r="G12" s="405"/>
      <c r="H12" s="196"/>
    </row>
    <row r="13" spans="1:8" s="45" customFormat="1" ht="13.5" customHeight="1" thickTop="1" x14ac:dyDescent="0.2">
      <c r="A13" s="197"/>
      <c r="B13" s="165"/>
      <c r="C13" s="165"/>
      <c r="D13" s="165"/>
      <c r="E13" s="165"/>
      <c r="F13" s="200"/>
      <c r="G13" s="405"/>
      <c r="H13" s="196"/>
    </row>
    <row r="14" spans="1:8" s="45" customFormat="1" ht="13.5" customHeight="1" x14ac:dyDescent="0.2">
      <c r="A14" s="197"/>
      <c r="B14" s="165"/>
      <c r="C14" s="201"/>
      <c r="D14" s="202"/>
      <c r="E14" s="165"/>
      <c r="F14" s="199"/>
      <c r="G14" s="405"/>
      <c r="H14" s="86"/>
    </row>
    <row r="15" spans="1:8" s="45" customFormat="1" ht="13.5" customHeight="1" x14ac:dyDescent="0.2">
      <c r="A15" s="197"/>
      <c r="B15" s="1295"/>
      <c r="C15" s="165"/>
      <c r="D15" s="202"/>
      <c r="E15" s="202"/>
      <c r="F15" s="639"/>
      <c r="G15" s="1296"/>
      <c r="H15" s="86"/>
    </row>
    <row r="16" spans="1:8" s="45" customFormat="1" ht="13.5" customHeight="1" x14ac:dyDescent="0.2">
      <c r="A16" s="197"/>
      <c r="B16" s="201"/>
      <c r="C16" s="165"/>
      <c r="D16" s="202"/>
      <c r="E16" s="186"/>
      <c r="F16" s="639"/>
      <c r="G16" s="1296" t="s">
        <v>50</v>
      </c>
      <c r="H16" s="86"/>
    </row>
    <row r="17" spans="1:8" s="45" customFormat="1" ht="13.5" customHeight="1" x14ac:dyDescent="0.2">
      <c r="A17" s="197"/>
      <c r="B17" s="343" t="s">
        <v>20</v>
      </c>
      <c r="C17" s="165"/>
      <c r="D17" s="204"/>
      <c r="E17" s="186"/>
      <c r="F17" s="649"/>
      <c r="G17" s="1296"/>
      <c r="H17" s="86"/>
    </row>
    <row r="18" spans="1:8" s="45" customFormat="1" ht="13.5" customHeight="1" x14ac:dyDescent="0.2">
      <c r="A18" s="197"/>
      <c r="B18" s="201"/>
      <c r="C18" s="201"/>
      <c r="D18" s="204"/>
      <c r="E18" s="186"/>
      <c r="F18" s="639"/>
      <c r="G18" s="1296"/>
      <c r="H18" s="86"/>
    </row>
    <row r="19" spans="1:8" s="45" customFormat="1" ht="13.5" customHeight="1" x14ac:dyDescent="0.2">
      <c r="A19" s="197"/>
      <c r="B19" s="165"/>
      <c r="C19" s="201"/>
      <c r="D19" s="204"/>
      <c r="E19" s="186"/>
      <c r="F19" s="639"/>
      <c r="G19" s="1296"/>
      <c r="H19" s="86"/>
    </row>
    <row r="20" spans="1:8" s="45" customFormat="1" ht="13.5" customHeight="1" x14ac:dyDescent="0.2">
      <c r="A20" s="208" t="s">
        <v>65</v>
      </c>
      <c r="B20" s="165"/>
      <c r="C20" s="165"/>
      <c r="D20" s="165"/>
      <c r="E20" s="165"/>
      <c r="F20" s="649"/>
      <c r="G20" s="1296"/>
      <c r="H20" s="86"/>
    </row>
    <row r="21" spans="1:8" s="45" customFormat="1" ht="13.5" customHeight="1" x14ac:dyDescent="0.2">
      <c r="A21" s="344"/>
      <c r="B21" s="165"/>
      <c r="C21" s="165"/>
      <c r="D21" s="165"/>
      <c r="E21" s="165"/>
      <c r="F21" s="649"/>
      <c r="G21" s="1296"/>
      <c r="H21" s="86"/>
    </row>
    <row r="22" spans="1:8" s="45" customFormat="1" ht="13.5" customHeight="1" x14ac:dyDescent="0.2">
      <c r="A22" s="344"/>
      <c r="B22" s="165"/>
      <c r="C22" s="165"/>
      <c r="D22" s="165"/>
      <c r="E22" s="165"/>
      <c r="F22" s="649"/>
      <c r="G22" s="1296"/>
      <c r="H22" s="86"/>
    </row>
    <row r="23" spans="1:8" s="45" customFormat="1" ht="13.5" customHeight="1" x14ac:dyDescent="0.2">
      <c r="A23" s="344"/>
      <c r="B23" s="165"/>
      <c r="C23" s="165"/>
      <c r="D23" s="165"/>
      <c r="E23" s="165"/>
      <c r="F23" s="649"/>
      <c r="G23" s="1296"/>
      <c r="H23" s="86"/>
    </row>
    <row r="24" spans="1:8" s="45" customFormat="1" ht="13.5" customHeight="1" x14ac:dyDescent="0.2">
      <c r="A24" s="344"/>
      <c r="B24" s="165"/>
      <c r="C24" s="165"/>
      <c r="D24" s="165"/>
      <c r="E24" s="165"/>
      <c r="F24" s="649"/>
      <c r="G24" s="1296"/>
      <c r="H24" s="86"/>
    </row>
    <row r="25" spans="1:8" s="45" customFormat="1" ht="13.5" customHeight="1" x14ac:dyDescent="0.2">
      <c r="A25" s="344"/>
      <c r="B25" s="165"/>
      <c r="C25" s="165"/>
      <c r="D25" s="165"/>
      <c r="E25" s="165"/>
      <c r="F25" s="649"/>
      <c r="G25" s="1296"/>
      <c r="H25" s="86"/>
    </row>
    <row r="26" spans="1:8" s="45" customFormat="1" ht="13.5" customHeight="1" x14ac:dyDescent="0.2">
      <c r="A26" s="344"/>
      <c r="B26" s="165"/>
      <c r="C26" s="165"/>
      <c r="D26" s="165"/>
      <c r="E26" s="165"/>
      <c r="F26" s="649"/>
      <c r="G26" s="1296"/>
      <c r="H26" s="86"/>
    </row>
    <row r="27" spans="1:8" s="45" customFormat="1" ht="13.5" customHeight="1" x14ac:dyDescent="0.2">
      <c r="A27" s="344"/>
      <c r="B27" s="165"/>
      <c r="C27" s="165"/>
      <c r="D27" s="204"/>
      <c r="E27" s="53"/>
      <c r="F27" s="655"/>
      <c r="G27" s="1296"/>
      <c r="H27" s="86"/>
    </row>
    <row r="28" spans="1:8" s="45" customFormat="1" ht="13.5" customHeight="1" x14ac:dyDescent="0.2">
      <c r="A28" s="208" t="s">
        <v>51</v>
      </c>
      <c r="B28" s="165"/>
      <c r="C28" s="345"/>
      <c r="D28" s="345"/>
      <c r="E28" s="345"/>
      <c r="F28" s="656"/>
      <c r="G28" s="1296"/>
      <c r="H28" s="346"/>
    </row>
    <row r="29" spans="1:8" s="45" customFormat="1" ht="13.5" customHeight="1" x14ac:dyDescent="0.2">
      <c r="A29" s="197"/>
      <c r="B29" s="51"/>
      <c r="C29" s="345"/>
      <c r="D29" s="345"/>
      <c r="E29" s="345"/>
      <c r="F29" s="656"/>
      <c r="G29" s="1296"/>
      <c r="H29" s="346"/>
    </row>
    <row r="30" spans="1:8" s="45" customFormat="1" ht="13.5" customHeight="1" x14ac:dyDescent="0.2">
      <c r="A30" s="197"/>
      <c r="B30" s="51"/>
      <c r="C30" s="345"/>
      <c r="D30" s="345"/>
      <c r="E30" s="345"/>
      <c r="F30" s="656"/>
      <c r="G30" s="1296"/>
      <c r="H30" s="346"/>
    </row>
    <row r="31" spans="1:8" s="45" customFormat="1" ht="13.5" customHeight="1" x14ac:dyDescent="0.2">
      <c r="A31" s="197"/>
      <c r="B31" s="51"/>
      <c r="C31" s="345"/>
      <c r="D31" s="345"/>
      <c r="E31" s="345"/>
      <c r="F31" s="656"/>
      <c r="G31" s="1296"/>
      <c r="H31" s="346"/>
    </row>
    <row r="32" spans="1:8" s="45" customFormat="1" ht="13.5" customHeight="1" x14ac:dyDescent="0.2">
      <c r="A32" s="197"/>
      <c r="B32" s="51"/>
      <c r="C32" s="345"/>
      <c r="D32" s="345"/>
      <c r="E32" s="345"/>
      <c r="F32" s="656"/>
      <c r="G32" s="1296"/>
      <c r="H32" s="346"/>
    </row>
    <row r="33" spans="1:8" s="45" customFormat="1" ht="12.75" customHeight="1" x14ac:dyDescent="0.2">
      <c r="A33" s="197"/>
      <c r="B33" s="51"/>
      <c r="C33" s="345"/>
      <c r="D33" s="345"/>
      <c r="E33" s="345"/>
      <c r="F33" s="656"/>
      <c r="G33" s="1296"/>
      <c r="H33" s="346"/>
    </row>
    <row r="34" spans="1:8" s="45" customFormat="1" ht="12.75" customHeight="1" x14ac:dyDescent="0.2">
      <c r="A34" s="197"/>
      <c r="B34" s="165"/>
      <c r="C34" s="165"/>
      <c r="D34" s="165"/>
      <c r="E34" s="186"/>
      <c r="F34" s="657"/>
      <c r="G34" s="1296"/>
      <c r="H34" s="346"/>
    </row>
    <row r="35" spans="1:8" s="45" customFormat="1" ht="13.5" customHeight="1" thickBot="1" x14ac:dyDescent="0.25">
      <c r="A35" s="197"/>
      <c r="B35" s="343" t="s">
        <v>4</v>
      </c>
      <c r="C35" s="165"/>
      <c r="D35" s="165"/>
      <c r="E35" s="186"/>
      <c r="F35" s="1297">
        <f>F17+SUM(F20:F26)-SUM(F28:F33)</f>
        <v>0</v>
      </c>
      <c r="G35" s="1296"/>
      <c r="H35" s="86"/>
    </row>
    <row r="36" spans="1:8" s="45" customFormat="1" ht="13.5" customHeight="1" thickTop="1" x14ac:dyDescent="0.2">
      <c r="A36" s="197"/>
      <c r="B36" s="165"/>
      <c r="C36" s="165"/>
      <c r="D36" s="165"/>
      <c r="E36" s="165"/>
      <c r="F36" s="204"/>
      <c r="G36" s="1296"/>
      <c r="H36" s="86"/>
    </row>
    <row r="37" spans="1:8" s="45" customFormat="1" ht="13.5" customHeight="1" x14ac:dyDescent="0.2">
      <c r="A37" s="197"/>
      <c r="B37" s="165"/>
      <c r="C37" s="165"/>
      <c r="D37" s="165"/>
      <c r="E37" s="165"/>
      <c r="F37" s="53"/>
      <c r="G37" s="1296"/>
      <c r="H37" s="86"/>
    </row>
    <row r="38" spans="1:8" s="45" customFormat="1" ht="13.5" customHeight="1" x14ac:dyDescent="0.2">
      <c r="A38" s="197"/>
      <c r="B38" s="165"/>
      <c r="C38" s="165"/>
      <c r="D38" s="165"/>
      <c r="E38" s="165"/>
      <c r="F38" s="53"/>
      <c r="G38" s="1296"/>
      <c r="H38" s="217"/>
    </row>
    <row r="39" spans="1:8" s="45" customFormat="1" ht="13.5" customHeight="1" x14ac:dyDescent="0.2">
      <c r="A39" s="197"/>
      <c r="B39" s="168"/>
      <c r="C39" s="168"/>
      <c r="D39" s="168"/>
      <c r="E39" s="168"/>
      <c r="F39" s="53"/>
      <c r="G39" s="1296"/>
      <c r="H39" s="217"/>
    </row>
    <row r="40" spans="1:8" s="45" customFormat="1" ht="13.5" customHeight="1" x14ac:dyDescent="0.2">
      <c r="A40" s="197"/>
      <c r="B40" s="168"/>
      <c r="C40" s="168"/>
      <c r="D40" s="168"/>
      <c r="E40" s="168"/>
      <c r="F40" s="53"/>
      <c r="G40" s="1296"/>
      <c r="H40" s="217"/>
    </row>
    <row r="41" spans="1:8" s="45" customFormat="1" ht="13.5" customHeight="1" x14ac:dyDescent="0.2">
      <c r="A41" s="197"/>
      <c r="B41" s="168"/>
      <c r="C41" s="168"/>
      <c r="D41" s="168"/>
      <c r="E41" s="168"/>
      <c r="F41" s="53"/>
      <c r="G41" s="1296"/>
      <c r="H41" s="217"/>
    </row>
    <row r="42" spans="1:8" s="45" customFormat="1" ht="13.5" customHeight="1" x14ac:dyDescent="0.2">
      <c r="A42" s="197"/>
      <c r="B42" s="168"/>
      <c r="C42" s="168"/>
      <c r="D42" s="168"/>
      <c r="E42" s="168"/>
      <c r="F42" s="53"/>
      <c r="G42" s="1296"/>
      <c r="H42" s="217"/>
    </row>
    <row r="43" spans="1:8" s="45" customFormat="1" ht="13.5" customHeight="1" x14ac:dyDescent="0.2">
      <c r="A43" s="197"/>
      <c r="B43" s="168"/>
      <c r="C43" s="168"/>
      <c r="D43" s="168"/>
      <c r="E43" s="168"/>
      <c r="F43" s="218"/>
      <c r="G43" s="405"/>
      <c r="H43" s="217"/>
    </row>
    <row r="44" spans="1:8" s="45" customFormat="1" ht="13.5" customHeight="1" x14ac:dyDescent="0.2">
      <c r="A44" s="197"/>
      <c r="B44" s="168"/>
      <c r="C44" s="168"/>
      <c r="D44" s="168"/>
      <c r="E44" s="168"/>
      <c r="F44" s="218"/>
      <c r="G44" s="405"/>
      <c r="H44" s="217"/>
    </row>
    <row r="45" spans="1:8" s="45" customFormat="1" ht="13.5" customHeight="1" x14ac:dyDescent="0.2">
      <c r="A45" s="197"/>
      <c r="B45" s="168"/>
      <c r="C45" s="168"/>
      <c r="D45" s="168"/>
      <c r="E45" s="168"/>
      <c r="F45" s="218"/>
      <c r="G45" s="405"/>
      <c r="H45" s="217"/>
    </row>
    <row r="46" spans="1:8" s="45" customFormat="1" ht="13.5" customHeight="1" x14ac:dyDescent="0.2">
      <c r="A46" s="197"/>
      <c r="B46" s="168"/>
      <c r="C46" s="168"/>
      <c r="D46" s="168"/>
      <c r="E46" s="168"/>
      <c r="F46" s="218"/>
      <c r="G46" s="405"/>
      <c r="H46" s="217"/>
    </row>
    <row r="47" spans="1:8" s="45" customFormat="1" ht="13.5" customHeight="1" x14ac:dyDescent="0.2">
      <c r="A47" s="197"/>
      <c r="B47" s="168"/>
      <c r="C47" s="168"/>
      <c r="D47" s="168"/>
      <c r="E47" s="168"/>
      <c r="F47" s="218"/>
      <c r="G47" s="405"/>
      <c r="H47" s="217"/>
    </row>
    <row r="48" spans="1:8" s="45" customFormat="1" ht="13.5" customHeight="1" x14ac:dyDescent="0.2">
      <c r="A48" s="197"/>
      <c r="B48" s="168"/>
      <c r="C48" s="168"/>
      <c r="D48" s="168"/>
      <c r="E48" s="168"/>
      <c r="F48" s="218"/>
      <c r="G48" s="405"/>
      <c r="H48" s="217"/>
    </row>
    <row r="49" spans="1:8" s="45" customFormat="1" ht="13.5" customHeight="1" x14ac:dyDescent="0.2">
      <c r="A49" s="197"/>
      <c r="B49" s="168"/>
      <c r="C49" s="168"/>
      <c r="D49" s="168"/>
      <c r="E49" s="168"/>
      <c r="F49" s="218"/>
      <c r="G49" s="406"/>
      <c r="H49" s="217"/>
    </row>
    <row r="50" spans="1:8" s="45" customFormat="1" ht="13.5" customHeight="1" x14ac:dyDescent="0.2">
      <c r="A50" s="197"/>
      <c r="B50" s="168"/>
      <c r="C50" s="168"/>
      <c r="D50" s="168"/>
      <c r="E50" s="168"/>
      <c r="F50" s="218"/>
      <c r="G50" s="406"/>
      <c r="H50" s="217"/>
    </row>
    <row r="51" spans="1:8" s="45" customFormat="1" ht="13.5" customHeight="1" x14ac:dyDescent="0.2">
      <c r="A51" s="138"/>
      <c r="B51" s="66"/>
      <c r="C51" s="67"/>
      <c r="D51" s="66"/>
      <c r="E51" s="66"/>
      <c r="F51" s="68"/>
      <c r="G51" s="425"/>
      <c r="H51" s="54"/>
    </row>
  </sheetData>
  <mergeCells count="1">
    <mergeCell ref="A2:C2"/>
  </mergeCells>
  <hyperlinks>
    <hyperlink ref="A2" location="'Index and Structure'!A1" display="The Macro Group" xr:uid="{00000000-0004-0000-0A00-000000000000}"/>
  </hyperlinks>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5CB46-7553-4DBC-BE99-19A727226E01}">
  <sheetPr codeName="Sheet7">
    <tabColor rgb="FFFFFF00"/>
    <pageSetUpPr fitToPage="1"/>
  </sheetPr>
  <dimension ref="A1:R68"/>
  <sheetViews>
    <sheetView topLeftCell="A41" zoomScaleNormal="100" workbookViewId="0">
      <selection activeCell="E56" sqref="E56"/>
    </sheetView>
  </sheetViews>
  <sheetFormatPr defaultRowHeight="12.75" x14ac:dyDescent="0.2"/>
  <cols>
    <col min="1" max="1" width="12.7109375" customWidth="1"/>
    <col min="2" max="2" width="38.7109375" customWidth="1"/>
    <col min="3" max="3" width="13.7109375" customWidth="1"/>
    <col min="4" max="4" width="10.7109375" customWidth="1"/>
    <col min="5" max="8" width="13.7109375" customWidth="1"/>
    <col min="9" max="9" width="15.85546875" customWidth="1"/>
    <col min="10" max="10" width="26.5703125" customWidth="1"/>
    <col min="11" max="12" width="15.7109375" customWidth="1"/>
  </cols>
  <sheetData>
    <row r="1" spans="1:18" ht="19.5" thickBot="1" x14ac:dyDescent="0.35">
      <c r="A1" s="2327" t="s">
        <v>44</v>
      </c>
      <c r="B1" s="2329"/>
      <c r="C1" s="24"/>
      <c r="D1" s="24"/>
      <c r="E1" s="24"/>
      <c r="F1" s="2067"/>
      <c r="G1" s="2067"/>
      <c r="H1" s="2067"/>
      <c r="I1" s="2067"/>
      <c r="J1" s="2067"/>
      <c r="K1" s="2068"/>
      <c r="L1" s="2069"/>
    </row>
    <row r="2" spans="1:18" ht="15" x14ac:dyDescent="0.25">
      <c r="A2" s="2070"/>
      <c r="B2" s="19"/>
      <c r="C2" s="19"/>
      <c r="D2" s="19"/>
      <c r="E2" s="19"/>
      <c r="F2" s="19"/>
      <c r="G2" s="19"/>
      <c r="H2" s="19"/>
      <c r="I2" s="19"/>
      <c r="J2" s="19"/>
      <c r="K2" s="28"/>
      <c r="L2" s="33"/>
    </row>
    <row r="3" spans="1:18" ht="15" x14ac:dyDescent="0.25">
      <c r="A3" s="23"/>
      <c r="B3" s="25"/>
      <c r="C3" s="19"/>
      <c r="D3" s="19"/>
      <c r="E3" s="19"/>
      <c r="F3" s="19"/>
      <c r="G3" s="19"/>
      <c r="H3" s="19"/>
      <c r="I3" s="23"/>
      <c r="J3" s="24"/>
      <c r="K3" s="74"/>
      <c r="L3" s="25"/>
    </row>
    <row r="4" spans="1:18" ht="15" x14ac:dyDescent="0.25">
      <c r="A4" s="26" t="s">
        <v>40</v>
      </c>
      <c r="B4" s="2065" t="str">
        <f>'Index and Structure'!B2</f>
        <v>Nicolo Superannuation fund</v>
      </c>
      <c r="C4" s="1769"/>
      <c r="D4" s="1769"/>
      <c r="E4" s="1769"/>
      <c r="F4" s="30"/>
      <c r="G4" s="30"/>
      <c r="H4" s="30"/>
      <c r="I4" s="31" t="s">
        <v>718</v>
      </c>
      <c r="J4" s="32" t="str">
        <f>'Index and Structure'!B5</f>
        <v>NICO0024</v>
      </c>
      <c r="K4" s="28"/>
      <c r="L4" s="33"/>
    </row>
    <row r="5" spans="1:18" ht="15" x14ac:dyDescent="0.25">
      <c r="A5" s="26" t="s">
        <v>719</v>
      </c>
      <c r="B5" s="2065" t="s">
        <v>871</v>
      </c>
      <c r="C5" s="1769"/>
      <c r="D5" s="1769"/>
      <c r="E5" s="1769"/>
      <c r="F5" s="30"/>
      <c r="G5" s="30"/>
      <c r="H5" s="30"/>
      <c r="I5" s="34" t="s">
        <v>41</v>
      </c>
      <c r="J5" s="28" t="str">
        <f>'Index and Structure'!B6</f>
        <v>Liam Aubin</v>
      </c>
      <c r="K5" s="1802" t="s">
        <v>42</v>
      </c>
      <c r="L5" s="1803"/>
    </row>
    <row r="6" spans="1:18" ht="15" x14ac:dyDescent="0.25">
      <c r="A6" s="36" t="s">
        <v>721</v>
      </c>
      <c r="B6" s="2066" t="str">
        <f>'Index and Structure'!B4</f>
        <v>30 June 2022</v>
      </c>
      <c r="C6" s="1769"/>
      <c r="D6" s="1769"/>
      <c r="E6" s="1769"/>
      <c r="F6" s="30"/>
      <c r="G6" s="30"/>
      <c r="H6" s="30"/>
      <c r="I6" s="39" t="s">
        <v>43</v>
      </c>
      <c r="J6" s="40" t="str">
        <f>'Index and Structure'!B7</f>
        <v>Nicole Bryant</v>
      </c>
      <c r="K6" s="1804" t="s">
        <v>42</v>
      </c>
      <c r="L6" s="1805"/>
    </row>
    <row r="7" spans="1:18" ht="15" x14ac:dyDescent="0.25">
      <c r="A7" s="77"/>
      <c r="B7" s="19"/>
      <c r="C7" s="19"/>
      <c r="D7" s="19"/>
      <c r="E7" s="19"/>
      <c r="F7" s="19"/>
      <c r="G7" s="19"/>
      <c r="H7" s="19"/>
      <c r="I7" s="19"/>
      <c r="J7" s="19"/>
      <c r="K7" s="28"/>
      <c r="L7" s="33"/>
    </row>
    <row r="8" spans="1:18" ht="15" x14ac:dyDescent="0.25">
      <c r="A8" s="42"/>
      <c r="B8" s="43"/>
      <c r="C8" s="43"/>
      <c r="D8" s="43"/>
      <c r="E8" s="43"/>
      <c r="F8" s="43"/>
      <c r="G8" s="43"/>
      <c r="H8" s="43"/>
      <c r="I8" s="43"/>
      <c r="J8" s="342"/>
      <c r="K8" s="492"/>
      <c r="L8" s="44"/>
    </row>
    <row r="9" spans="1:18" ht="15" x14ac:dyDescent="0.2">
      <c r="A9" s="1266"/>
      <c r="B9" s="1263"/>
      <c r="C9" s="1263"/>
      <c r="D9" s="1263"/>
      <c r="E9" s="1263"/>
      <c r="F9" s="1263"/>
      <c r="G9" s="1263"/>
      <c r="H9" s="1263"/>
      <c r="I9" s="1263"/>
      <c r="J9" s="1263"/>
      <c r="K9" s="1263"/>
      <c r="L9" s="1986"/>
    </row>
    <row r="10" spans="1:18" ht="15.75" thickBot="1" x14ac:dyDescent="0.25">
      <c r="A10" s="1266"/>
      <c r="B10" s="1949"/>
      <c r="C10" s="1949"/>
      <c r="D10" s="1949"/>
      <c r="E10" s="1263"/>
      <c r="F10" s="1263"/>
      <c r="G10" s="1263"/>
      <c r="H10" s="1263"/>
      <c r="I10" s="1263"/>
      <c r="J10" s="1263"/>
      <c r="K10" s="1263"/>
      <c r="L10" s="1986"/>
    </row>
    <row r="11" spans="1:18" ht="24.75" customHeight="1" thickBot="1" x14ac:dyDescent="0.25">
      <c r="A11" s="1669"/>
      <c r="B11" s="2350" t="s">
        <v>829</v>
      </c>
      <c r="C11" s="2351"/>
      <c r="D11" s="2352"/>
      <c r="F11" s="1263"/>
      <c r="G11" s="1263"/>
      <c r="H11" s="1263"/>
      <c r="I11" s="1263"/>
      <c r="J11" s="1263"/>
      <c r="K11" s="1263"/>
      <c r="L11" s="1986"/>
    </row>
    <row r="12" spans="1:18" ht="15" x14ac:dyDescent="0.2">
      <c r="A12" s="1669"/>
      <c r="B12" s="1950"/>
      <c r="C12" s="1982"/>
      <c r="D12" s="1951" t="s">
        <v>818</v>
      </c>
      <c r="F12" s="1263"/>
      <c r="G12" s="1263"/>
      <c r="H12" s="1263"/>
      <c r="I12" s="1263"/>
      <c r="J12" s="1945" t="s">
        <v>817</v>
      </c>
      <c r="K12" s="1946"/>
      <c r="L12" s="2071"/>
      <c r="M12" s="1946"/>
      <c r="N12" s="1946"/>
      <c r="O12" s="1946"/>
      <c r="P12" s="1943"/>
    </row>
    <row r="13" spans="1:18" ht="115.5" customHeight="1" x14ac:dyDescent="0.2">
      <c r="A13" s="1669"/>
      <c r="B13" s="1955" t="s">
        <v>830</v>
      </c>
      <c r="C13" s="1672"/>
      <c r="D13" s="1956"/>
      <c r="F13" s="1263"/>
      <c r="G13" s="1263"/>
      <c r="H13" s="1263"/>
      <c r="I13" s="1263"/>
      <c r="J13" s="2359" t="s">
        <v>822</v>
      </c>
      <c r="K13" s="2360"/>
      <c r="L13" s="2361"/>
      <c r="M13" s="1946"/>
      <c r="N13" s="1946"/>
      <c r="O13" s="1946"/>
      <c r="P13" s="1946"/>
      <c r="Q13" s="1944"/>
      <c r="R13" s="1944"/>
    </row>
    <row r="14" spans="1:18" ht="15" x14ac:dyDescent="0.2">
      <c r="A14" s="2072"/>
      <c r="B14" s="1950"/>
      <c r="C14" s="1983"/>
      <c r="D14" s="1979" t="s">
        <v>815</v>
      </c>
      <c r="F14" s="1263"/>
      <c r="G14" s="1263"/>
      <c r="H14" s="1263"/>
      <c r="I14" s="1263"/>
      <c r="J14" s="2362" t="s">
        <v>824</v>
      </c>
      <c r="K14" s="2363"/>
      <c r="L14" s="2364"/>
      <c r="M14" s="2064"/>
      <c r="N14" s="2064"/>
      <c r="O14" s="2064"/>
    </row>
    <row r="15" spans="1:18" ht="18" customHeight="1" x14ac:dyDescent="0.2">
      <c r="A15" s="2072"/>
      <c r="B15" s="2377" t="s">
        <v>820</v>
      </c>
      <c r="C15" s="1984">
        <v>2019</v>
      </c>
      <c r="D15" s="1980"/>
      <c r="F15" s="1263"/>
      <c r="G15" s="1263"/>
      <c r="H15" s="1263"/>
      <c r="I15" s="1263"/>
      <c r="J15" s="2362"/>
      <c r="K15" s="2363"/>
      <c r="L15" s="2364"/>
      <c r="M15" s="2064"/>
      <c r="N15" s="2064"/>
      <c r="O15" s="2064"/>
    </row>
    <row r="16" spans="1:18" ht="15" x14ac:dyDescent="0.2">
      <c r="A16" s="2072"/>
      <c r="B16" s="2378"/>
      <c r="C16" s="1984">
        <v>2020</v>
      </c>
      <c r="D16" s="1980"/>
      <c r="F16" s="1263"/>
      <c r="G16" s="1263"/>
      <c r="H16" s="1263"/>
      <c r="I16" s="1263"/>
      <c r="J16" s="2362"/>
      <c r="K16" s="2363"/>
      <c r="L16" s="2364"/>
      <c r="M16" s="2064"/>
      <c r="N16" s="2064"/>
      <c r="O16" s="2064"/>
    </row>
    <row r="17" spans="1:15" ht="15" x14ac:dyDescent="0.2">
      <c r="A17" s="2072"/>
      <c r="B17" s="2378"/>
      <c r="C17" s="1985">
        <v>2021</v>
      </c>
      <c r="D17" s="2162"/>
      <c r="F17" s="1263"/>
      <c r="G17" s="1263"/>
      <c r="H17" s="1263"/>
      <c r="I17" s="1263"/>
      <c r="J17" s="2362"/>
      <c r="K17" s="2363"/>
      <c r="L17" s="2364"/>
      <c r="M17" s="2064"/>
      <c r="N17" s="2064"/>
      <c r="O17" s="2064"/>
    </row>
    <row r="18" spans="1:15" ht="15" x14ac:dyDescent="0.2">
      <c r="A18" s="2072"/>
      <c r="B18" s="2379"/>
      <c r="C18" s="1985">
        <v>2022</v>
      </c>
      <c r="D18" s="1981"/>
      <c r="F18" s="1263"/>
      <c r="G18" s="1263"/>
      <c r="H18" s="1263"/>
      <c r="I18" s="1263"/>
      <c r="J18" s="2362"/>
      <c r="K18" s="2363"/>
      <c r="L18" s="2364"/>
      <c r="M18" s="2064"/>
      <c r="N18" s="2064"/>
      <c r="O18" s="2064"/>
    </row>
    <row r="19" spans="1:15" ht="15" x14ac:dyDescent="0.2">
      <c r="A19" s="2072"/>
      <c r="B19" s="1950"/>
      <c r="C19" s="1986"/>
      <c r="D19" s="1980" t="s">
        <v>816</v>
      </c>
      <c r="F19" s="1263"/>
      <c r="G19" s="1263"/>
      <c r="H19" s="1263"/>
      <c r="I19" s="1263"/>
      <c r="J19" s="2362"/>
      <c r="K19" s="2363"/>
      <c r="L19" s="2364"/>
      <c r="M19" s="2064"/>
      <c r="N19" s="2064"/>
      <c r="O19" s="2064"/>
    </row>
    <row r="20" spans="1:15" ht="15.75" customHeight="1" x14ac:dyDescent="0.2">
      <c r="A20" s="2072"/>
      <c r="B20" s="2377" t="s">
        <v>821</v>
      </c>
      <c r="C20" s="1984">
        <v>2019</v>
      </c>
      <c r="D20" s="1980"/>
      <c r="F20" s="1263"/>
      <c r="G20" s="1263"/>
      <c r="H20" s="1263"/>
      <c r="I20" s="1263"/>
      <c r="J20" s="2362"/>
      <c r="K20" s="2363"/>
      <c r="L20" s="2364"/>
      <c r="M20" s="2064"/>
      <c r="N20" s="2064"/>
      <c r="O20" s="2064"/>
    </row>
    <row r="21" spans="1:15" ht="15" x14ac:dyDescent="0.2">
      <c r="A21" s="2072"/>
      <c r="B21" s="2378"/>
      <c r="C21" s="1984">
        <v>2020</v>
      </c>
      <c r="D21" s="1980"/>
      <c r="E21" s="309"/>
      <c r="F21" s="1263"/>
      <c r="G21" s="1263"/>
      <c r="H21" s="1263"/>
      <c r="I21" s="1263"/>
      <c r="J21" s="2362"/>
      <c r="K21" s="2363"/>
      <c r="L21" s="2364"/>
      <c r="M21" s="2064"/>
      <c r="N21" s="2064"/>
      <c r="O21" s="2064"/>
    </row>
    <row r="22" spans="1:15" ht="15" x14ac:dyDescent="0.2">
      <c r="A22" s="2072"/>
      <c r="B22" s="2378"/>
      <c r="C22" s="1985">
        <v>2021</v>
      </c>
      <c r="D22" s="2162"/>
      <c r="E22" s="309"/>
      <c r="F22" s="1263"/>
      <c r="G22" s="1263"/>
      <c r="H22" s="1263"/>
      <c r="I22" s="1263"/>
      <c r="J22" s="2362"/>
      <c r="K22" s="2363"/>
      <c r="L22" s="2364"/>
      <c r="M22" s="2064"/>
      <c r="N22" s="2064"/>
      <c r="O22" s="2064"/>
    </row>
    <row r="23" spans="1:15" ht="15" x14ac:dyDescent="0.2">
      <c r="A23" s="2072"/>
      <c r="B23" s="2379"/>
      <c r="C23" s="1985">
        <v>2022</v>
      </c>
      <c r="D23" s="1981"/>
      <c r="E23" s="309"/>
      <c r="F23" s="1263"/>
      <c r="G23" s="1263"/>
      <c r="H23" s="1263"/>
      <c r="I23" s="1263"/>
      <c r="J23" s="2362"/>
      <c r="K23" s="2363"/>
      <c r="L23" s="2364"/>
      <c r="M23" s="2064"/>
      <c r="N23" s="2064"/>
      <c r="O23" s="2064"/>
    </row>
    <row r="24" spans="1:15" ht="15" x14ac:dyDescent="0.2">
      <c r="A24" s="2072"/>
      <c r="B24" s="1950"/>
      <c r="C24" s="1983"/>
      <c r="D24" s="1979" t="s">
        <v>815</v>
      </c>
      <c r="E24" s="309"/>
      <c r="F24" s="1263"/>
      <c r="G24" s="1263"/>
      <c r="H24" s="1263"/>
      <c r="I24" s="1263"/>
      <c r="J24" s="2362"/>
      <c r="K24" s="2363"/>
      <c r="L24" s="2364"/>
      <c r="M24" s="2064"/>
      <c r="N24" s="2064"/>
      <c r="O24" s="2064"/>
    </row>
    <row r="25" spans="1:15" ht="30" customHeight="1" x14ac:dyDescent="0.2">
      <c r="A25" s="1669"/>
      <c r="B25" s="1959" t="s">
        <v>819</v>
      </c>
      <c r="C25" s="1987"/>
      <c r="D25" s="1960"/>
      <c r="E25" s="309"/>
      <c r="F25" s="1263"/>
      <c r="G25" s="1263"/>
      <c r="H25" s="1263"/>
      <c r="I25" s="1263"/>
      <c r="J25" s="2362"/>
      <c r="K25" s="2363"/>
      <c r="L25" s="2364"/>
      <c r="M25" s="2064"/>
      <c r="N25" s="2064"/>
      <c r="O25" s="2064"/>
    </row>
    <row r="26" spans="1:15" ht="15" x14ac:dyDescent="0.2">
      <c r="A26" s="1669"/>
      <c r="B26" s="1950"/>
      <c r="C26" s="1671"/>
      <c r="D26" s="1952" t="s">
        <v>815</v>
      </c>
      <c r="E26" s="309"/>
      <c r="F26" s="1263"/>
      <c r="G26" s="1263"/>
      <c r="H26" s="1263"/>
      <c r="I26" s="1263"/>
      <c r="J26" s="2362"/>
      <c r="K26" s="2363"/>
      <c r="L26" s="2364"/>
      <c r="M26" s="2064"/>
      <c r="N26" s="2064"/>
      <c r="O26" s="2064"/>
    </row>
    <row r="27" spans="1:15" ht="15" x14ac:dyDescent="0.2">
      <c r="A27" s="1669"/>
      <c r="B27" s="2380" t="s">
        <v>826</v>
      </c>
      <c r="C27" s="2384"/>
      <c r="D27" s="2382"/>
      <c r="E27" s="309"/>
      <c r="F27" s="1263"/>
      <c r="G27" s="1263"/>
      <c r="H27" s="1263"/>
      <c r="I27" s="1263"/>
      <c r="J27" s="2362"/>
      <c r="K27" s="2363"/>
      <c r="L27" s="2364"/>
      <c r="M27" s="2064"/>
      <c r="N27" s="2064"/>
      <c r="O27" s="2064"/>
    </row>
    <row r="28" spans="1:15" ht="30" customHeight="1" thickBot="1" x14ac:dyDescent="0.25">
      <c r="A28" s="1669"/>
      <c r="B28" s="2381"/>
      <c r="C28" s="2385"/>
      <c r="D28" s="2383"/>
      <c r="E28" s="309"/>
      <c r="F28" s="1263"/>
      <c r="G28" s="1263"/>
      <c r="H28" s="1263"/>
      <c r="I28" s="1263"/>
      <c r="J28" s="2365"/>
      <c r="K28" s="2366"/>
      <c r="L28" s="2367"/>
      <c r="M28" s="2064"/>
      <c r="N28" s="2064"/>
      <c r="O28" s="2064"/>
    </row>
    <row r="29" spans="1:15" ht="15" x14ac:dyDescent="0.2">
      <c r="A29" s="1669"/>
      <c r="E29" s="1263"/>
      <c r="F29" s="1263"/>
      <c r="G29" s="1263"/>
      <c r="H29" s="1263"/>
      <c r="I29" s="1263"/>
      <c r="J29" s="1263"/>
      <c r="K29" s="1263"/>
      <c r="L29" s="1986"/>
    </row>
    <row r="30" spans="1:15" ht="15.75" thickBot="1" x14ac:dyDescent="0.25">
      <c r="A30" s="1669"/>
      <c r="E30" s="1949"/>
      <c r="F30" s="1949"/>
      <c r="G30" s="1949"/>
      <c r="H30" s="1949"/>
      <c r="I30" s="1263"/>
      <c r="J30" s="1263"/>
      <c r="K30" s="1263"/>
      <c r="L30" s="1986"/>
    </row>
    <row r="31" spans="1:15" ht="28.5" customHeight="1" thickBot="1" x14ac:dyDescent="0.25">
      <c r="A31" s="2072"/>
      <c r="B31" s="2347" t="s">
        <v>843</v>
      </c>
      <c r="C31" s="2348"/>
      <c r="D31" s="2348"/>
      <c r="E31" s="2348"/>
      <c r="F31" s="2349"/>
      <c r="G31" s="2155"/>
      <c r="H31" s="1967"/>
      <c r="I31" s="309"/>
      <c r="J31" s="2368" t="s">
        <v>825</v>
      </c>
      <c r="K31" s="2369"/>
      <c r="L31" s="2370"/>
    </row>
    <row r="32" spans="1:15" ht="15" x14ac:dyDescent="0.2">
      <c r="A32" s="2072"/>
      <c r="B32" s="1957"/>
      <c r="C32" s="1947"/>
      <c r="D32" s="1947"/>
      <c r="E32" s="2091">
        <v>2019</v>
      </c>
      <c r="F32" s="2091">
        <v>2020</v>
      </c>
      <c r="G32" s="2091">
        <v>2021</v>
      </c>
      <c r="H32" s="2092">
        <v>2022</v>
      </c>
      <c r="I32" s="309"/>
      <c r="J32" s="1263"/>
      <c r="K32" s="1263"/>
      <c r="L32" s="1986"/>
    </row>
    <row r="33" spans="1:12" ht="30" x14ac:dyDescent="0.2">
      <c r="A33" s="2072"/>
      <c r="B33" s="1961" t="s">
        <v>996</v>
      </c>
      <c r="C33" s="1263"/>
      <c r="D33" s="1263"/>
      <c r="E33" s="1263"/>
      <c r="F33" s="1263"/>
      <c r="G33" s="2157"/>
      <c r="H33" s="1953"/>
      <c r="I33" s="309"/>
      <c r="J33" s="1263"/>
      <c r="K33" s="1263"/>
      <c r="L33" s="1986"/>
    </row>
    <row r="34" spans="1:12" ht="15" x14ac:dyDescent="0.2">
      <c r="A34" s="2072"/>
      <c r="B34" s="1962" t="s">
        <v>827</v>
      </c>
      <c r="C34" s="2082"/>
      <c r="D34" s="1263"/>
      <c r="E34" s="1263"/>
      <c r="F34" s="1263"/>
      <c r="G34" s="2157"/>
      <c r="H34" s="1953"/>
      <c r="I34" s="309"/>
      <c r="J34" s="1263"/>
      <c r="K34" s="1263"/>
      <c r="L34" s="1986"/>
    </row>
    <row r="35" spans="1:12" ht="15.75" thickBot="1" x14ac:dyDescent="0.25">
      <c r="A35" s="2072"/>
      <c r="B35" s="2141" t="s">
        <v>828</v>
      </c>
      <c r="C35" s="2096"/>
      <c r="D35" s="1263"/>
      <c r="E35" s="1263"/>
      <c r="F35" s="1263"/>
      <c r="G35" s="2157"/>
      <c r="H35" s="1953"/>
      <c r="I35" s="309"/>
      <c r="J35" s="1263"/>
      <c r="K35" s="1263"/>
      <c r="L35" s="1986"/>
    </row>
    <row r="36" spans="1:12" ht="15" x14ac:dyDescent="0.2">
      <c r="A36" s="2072"/>
      <c r="B36" s="1963"/>
      <c r="C36" s="1947"/>
      <c r="D36" s="1263"/>
      <c r="E36" s="1263"/>
      <c r="F36" s="1263"/>
      <c r="G36" s="2157"/>
      <c r="H36" s="1953"/>
      <c r="I36" s="309"/>
      <c r="J36" s="1263"/>
      <c r="K36" s="1263"/>
      <c r="L36" s="1986"/>
    </row>
    <row r="37" spans="1:12" ht="15" x14ac:dyDescent="0.2">
      <c r="A37" s="2072"/>
      <c r="B37" s="1963"/>
      <c r="C37" s="1947"/>
      <c r="D37" s="1263"/>
      <c r="E37" s="1263"/>
      <c r="F37" s="1263"/>
      <c r="G37" s="2157"/>
      <c r="H37" s="1953"/>
      <c r="I37" s="309"/>
      <c r="J37" s="1263"/>
      <c r="K37" s="1263"/>
      <c r="L37" s="1986"/>
    </row>
    <row r="38" spans="1:12" ht="15" x14ac:dyDescent="0.2">
      <c r="A38" s="2072"/>
      <c r="B38" s="1964" t="s">
        <v>823</v>
      </c>
      <c r="C38" s="1263"/>
      <c r="D38" s="1263"/>
      <c r="E38" s="2097"/>
      <c r="F38" s="2097"/>
      <c r="G38" s="2158"/>
      <c r="H38" s="2098"/>
      <c r="I38" s="309"/>
      <c r="J38" s="1263"/>
      <c r="K38" s="1263"/>
      <c r="L38" s="1986"/>
    </row>
    <row r="39" spans="1:12" ht="15" x14ac:dyDescent="0.2">
      <c r="A39" s="2072"/>
      <c r="B39" s="1969"/>
      <c r="C39" s="1263"/>
      <c r="D39" s="1263"/>
      <c r="E39" s="1263"/>
      <c r="F39" s="1263"/>
      <c r="G39" s="2157"/>
      <c r="H39" s="1953"/>
      <c r="I39" s="309"/>
      <c r="J39" s="1263"/>
      <c r="K39" s="1263"/>
      <c r="L39" s="1986"/>
    </row>
    <row r="40" spans="1:12" ht="15" x14ac:dyDescent="0.2">
      <c r="A40" s="2072"/>
      <c r="B40" s="2099" t="s">
        <v>946</v>
      </c>
      <c r="C40" s="1947"/>
      <c r="D40" s="1263"/>
      <c r="E40" s="2097"/>
      <c r="F40" s="2097"/>
      <c r="G40" s="2158"/>
      <c r="H40" s="2098"/>
      <c r="I40" s="309"/>
      <c r="J40" s="1263"/>
      <c r="K40" s="1263"/>
      <c r="L40" s="1986"/>
    </row>
    <row r="41" spans="1:12" ht="15" x14ac:dyDescent="0.2">
      <c r="A41" s="2072"/>
      <c r="B41" s="1969"/>
      <c r="C41" s="1947"/>
      <c r="D41" s="1263"/>
      <c r="E41" s="1263"/>
      <c r="F41" s="1263"/>
      <c r="G41" s="2157"/>
      <c r="H41" s="1953"/>
      <c r="I41" s="309"/>
      <c r="J41" s="1263"/>
      <c r="K41" s="1263"/>
      <c r="L41" s="1986"/>
    </row>
    <row r="42" spans="1:12" ht="60" x14ac:dyDescent="0.2">
      <c r="A42" s="2072"/>
      <c r="B42" s="1964" t="s">
        <v>945</v>
      </c>
      <c r="C42" s="1947" t="s">
        <v>997</v>
      </c>
      <c r="D42" s="1263"/>
      <c r="E42" s="2097"/>
      <c r="F42" s="2097"/>
      <c r="G42" s="2158"/>
      <c r="H42" s="2098"/>
      <c r="I42" s="309"/>
      <c r="J42" s="1263"/>
      <c r="K42" s="1263"/>
      <c r="L42" s="1986"/>
    </row>
    <row r="43" spans="1:12" ht="15" x14ac:dyDescent="0.2">
      <c r="A43" s="2072"/>
      <c r="B43" s="2163"/>
      <c r="C43" s="1947" t="s">
        <v>998</v>
      </c>
      <c r="D43" s="1263"/>
      <c r="E43" s="2097"/>
      <c r="F43" s="2097"/>
      <c r="G43" s="2158"/>
      <c r="H43" s="2098"/>
      <c r="I43" s="309"/>
      <c r="J43" s="1263"/>
      <c r="K43" s="1263"/>
      <c r="L43" s="1986"/>
    </row>
    <row r="44" spans="1:12" ht="15" x14ac:dyDescent="0.2">
      <c r="A44" s="2072"/>
      <c r="B44" s="2163"/>
      <c r="C44" s="1947"/>
      <c r="D44" s="1263"/>
      <c r="E44" s="1263"/>
      <c r="F44" s="1263"/>
      <c r="G44" s="2157"/>
      <c r="H44" s="1953"/>
      <c r="I44" s="309"/>
      <c r="J44" s="1263"/>
      <c r="K44" s="1263"/>
      <c r="L44" s="1986"/>
    </row>
    <row r="45" spans="1:12" ht="15" x14ac:dyDescent="0.2">
      <c r="A45" s="2072"/>
      <c r="B45" s="1969"/>
      <c r="C45" s="1263"/>
      <c r="D45" s="1263"/>
      <c r="E45" s="1263"/>
      <c r="F45" s="1263"/>
      <c r="G45" s="2157"/>
      <c r="H45" s="1953"/>
      <c r="I45" s="309"/>
      <c r="J45" s="1263"/>
      <c r="K45" s="1263"/>
      <c r="L45" s="1986"/>
    </row>
    <row r="46" spans="1:12" ht="33" customHeight="1" x14ac:dyDescent="0.2">
      <c r="A46" s="2072"/>
      <c r="B46" s="1972" t="s">
        <v>929</v>
      </c>
      <c r="C46" s="1947"/>
      <c r="D46" s="1263"/>
      <c r="E46" s="2097"/>
      <c r="F46" s="2097"/>
      <c r="G46" s="2158"/>
      <c r="H46" s="2098"/>
      <c r="I46" s="309"/>
      <c r="J46" s="1263"/>
      <c r="K46" s="1263"/>
      <c r="L46" s="1986"/>
    </row>
    <row r="47" spans="1:12" ht="45.75" thickBot="1" x14ac:dyDescent="0.25">
      <c r="A47" s="2072"/>
      <c r="B47" s="1968" t="s">
        <v>928</v>
      </c>
      <c r="C47" s="1965"/>
      <c r="D47" s="1965"/>
      <c r="E47" s="2100"/>
      <c r="F47" s="2100"/>
      <c r="G47" s="2159"/>
      <c r="H47" s="2101"/>
      <c r="I47" s="309"/>
      <c r="J47" s="1263"/>
      <c r="K47" s="1263"/>
      <c r="L47" s="1986"/>
    </row>
    <row r="48" spans="1:12" ht="15" x14ac:dyDescent="0.2">
      <c r="A48" s="1266"/>
      <c r="B48" s="1947"/>
      <c r="C48" s="1947"/>
      <c r="D48" s="1947"/>
      <c r="E48" s="1947"/>
      <c r="F48" s="1947"/>
      <c r="G48" s="1947"/>
      <c r="H48" s="1947"/>
      <c r="I48" s="1263"/>
      <c r="J48" s="1263"/>
      <c r="K48" s="1263"/>
      <c r="L48" s="1986"/>
    </row>
    <row r="49" spans="1:12" ht="15.75" thickBot="1" x14ac:dyDescent="0.25">
      <c r="A49" s="1266"/>
      <c r="B49" s="1949"/>
      <c r="C49" s="1949"/>
      <c r="D49" s="1949"/>
      <c r="E49" s="1949"/>
      <c r="F49" s="1949"/>
      <c r="G49" s="1949"/>
      <c r="H49" s="1949"/>
      <c r="I49" s="1263"/>
      <c r="J49" s="1263"/>
      <c r="K49" s="1263"/>
      <c r="L49" s="1986"/>
    </row>
    <row r="50" spans="1:12" ht="51" customHeight="1" x14ac:dyDescent="0.2">
      <c r="A50" s="2072"/>
      <c r="B50" s="2353" t="s">
        <v>842</v>
      </c>
      <c r="C50" s="2354"/>
      <c r="D50" s="2354"/>
      <c r="E50" s="2354"/>
      <c r="F50" s="2354"/>
      <c r="G50" s="2354"/>
      <c r="H50" s="2355"/>
      <c r="I50" s="309"/>
      <c r="J50" s="2371" t="s">
        <v>841</v>
      </c>
      <c r="K50" s="2372"/>
      <c r="L50" s="2373"/>
    </row>
    <row r="51" spans="1:12" ht="15.75" thickBot="1" x14ac:dyDescent="0.25">
      <c r="A51" s="2072"/>
      <c r="B51" s="2356"/>
      <c r="C51" s="2357"/>
      <c r="D51" s="2357"/>
      <c r="E51" s="2357"/>
      <c r="F51" s="2357"/>
      <c r="G51" s="2357"/>
      <c r="H51" s="2358"/>
      <c r="I51" s="309"/>
      <c r="J51" s="1973" t="s">
        <v>831</v>
      </c>
      <c r="K51" s="1973"/>
      <c r="L51" s="2073"/>
    </row>
    <row r="52" spans="1:12" ht="15" x14ac:dyDescent="0.2">
      <c r="A52" s="2072"/>
      <c r="B52" s="1978"/>
      <c r="C52" s="1975"/>
      <c r="D52" s="1975"/>
      <c r="E52" s="2091">
        <v>2019</v>
      </c>
      <c r="F52" s="2091">
        <v>2020</v>
      </c>
      <c r="G52" s="2091">
        <v>2021</v>
      </c>
      <c r="H52" s="2092">
        <v>2022</v>
      </c>
      <c r="I52" s="309"/>
    </row>
    <row r="53" spans="1:12" ht="15" x14ac:dyDescent="0.2">
      <c r="A53" s="2072"/>
      <c r="B53" s="2081" t="s">
        <v>930</v>
      </c>
      <c r="C53" s="2076"/>
      <c r="D53" s="1949"/>
      <c r="E53" s="2102">
        <f>E43</f>
        <v>0</v>
      </c>
      <c r="F53" s="2102">
        <f>F43</f>
        <v>0</v>
      </c>
      <c r="G53" s="2102">
        <f>G43</f>
        <v>0</v>
      </c>
      <c r="H53" s="2103">
        <f>H43</f>
        <v>0</v>
      </c>
      <c r="I53" s="309"/>
      <c r="J53" s="2386" t="s">
        <v>832</v>
      </c>
      <c r="K53" s="2387"/>
      <c r="L53" s="2388"/>
    </row>
    <row r="54" spans="1:12" ht="32.25" customHeight="1" x14ac:dyDescent="0.2">
      <c r="A54" s="2072"/>
      <c r="B54" s="2104" t="s">
        <v>931</v>
      </c>
      <c r="C54" s="1948"/>
      <c r="D54" s="1948"/>
      <c r="E54" s="2105">
        <f>E47</f>
        <v>0</v>
      </c>
      <c r="F54" s="2105">
        <f t="shared" ref="F54:H54" si="0">F47</f>
        <v>0</v>
      </c>
      <c r="G54" s="2105">
        <f t="shared" ref="G54" si="1">G47</f>
        <v>0</v>
      </c>
      <c r="H54" s="2106">
        <f t="shared" si="0"/>
        <v>0</v>
      </c>
      <c r="I54" s="309"/>
      <c r="J54" s="2386" t="s">
        <v>833</v>
      </c>
      <c r="K54" s="2387"/>
      <c r="L54" s="2388"/>
    </row>
    <row r="55" spans="1:12" ht="15" x14ac:dyDescent="0.2">
      <c r="A55" s="2072"/>
      <c r="B55" s="2077" t="s">
        <v>947</v>
      </c>
      <c r="C55" s="1970">
        <f>SUM(E55:H55)</f>
        <v>0</v>
      </c>
      <c r="D55" s="1970"/>
      <c r="E55" s="2083">
        <f>E53-E54</f>
        <v>0</v>
      </c>
      <c r="F55" s="2083">
        <f t="shared" ref="F55:H55" si="2">F53-F54</f>
        <v>0</v>
      </c>
      <c r="G55" s="2083">
        <f t="shared" ref="G55" si="3">G53-G54</f>
        <v>0</v>
      </c>
      <c r="H55" s="2084">
        <f t="shared" si="2"/>
        <v>0</v>
      </c>
      <c r="I55" s="309"/>
      <c r="J55" s="1973" t="s">
        <v>834</v>
      </c>
      <c r="K55" s="1973"/>
      <c r="L55" s="2073"/>
    </row>
    <row r="56" spans="1:12" ht="36" customHeight="1" x14ac:dyDescent="0.2">
      <c r="A56" s="2072"/>
      <c r="B56" s="1976" t="s">
        <v>1015</v>
      </c>
      <c r="C56" s="1948"/>
      <c r="D56" s="1948"/>
      <c r="E56" s="2087">
        <v>0.25</v>
      </c>
      <c r="F56" s="2087">
        <v>0.25</v>
      </c>
      <c r="G56" s="2087">
        <v>0.25</v>
      </c>
      <c r="H56" s="2088"/>
      <c r="I56" s="309"/>
      <c r="J56" s="2386" t="s">
        <v>835</v>
      </c>
      <c r="K56" s="2387"/>
      <c r="L56" s="2388"/>
    </row>
    <row r="57" spans="1:12" ht="15" x14ac:dyDescent="0.2">
      <c r="A57" s="2072"/>
      <c r="B57" s="2078" t="s">
        <v>147</v>
      </c>
      <c r="C57" s="2079">
        <f>SUM(E57:H57)</f>
        <v>0</v>
      </c>
      <c r="D57" s="2079"/>
      <c r="E57" s="2083">
        <f>E55*E56</f>
        <v>0</v>
      </c>
      <c r="F57" s="2083">
        <f t="shared" ref="F57:H57" si="4">F55*F56</f>
        <v>0</v>
      </c>
      <c r="G57" s="2083">
        <f t="shared" ref="G57" si="5">G55*G56</f>
        <v>0</v>
      </c>
      <c r="H57" s="2084">
        <f t="shared" si="4"/>
        <v>0</v>
      </c>
      <c r="I57" s="309"/>
      <c r="J57" s="1973" t="s">
        <v>836</v>
      </c>
      <c r="K57" s="1973"/>
      <c r="L57" s="2073"/>
    </row>
    <row r="58" spans="1:12" ht="33.75" customHeight="1" x14ac:dyDescent="0.2">
      <c r="A58" s="2072"/>
      <c r="B58" s="1977" t="s">
        <v>999</v>
      </c>
      <c r="C58" s="1974"/>
      <c r="D58" s="1971"/>
      <c r="E58" s="2089"/>
      <c r="F58" s="2089"/>
      <c r="G58" s="2089"/>
      <c r="H58" s="2090"/>
      <c r="I58" s="309"/>
      <c r="J58" s="2389" t="s">
        <v>962</v>
      </c>
      <c r="K58" s="2390"/>
      <c r="L58" s="2391"/>
    </row>
    <row r="59" spans="1:12" ht="66" customHeight="1" thickBot="1" x14ac:dyDescent="0.25">
      <c r="A59" s="2072"/>
      <c r="B59" s="2374" t="s">
        <v>1000</v>
      </c>
      <c r="C59" s="2080"/>
      <c r="D59" s="2080"/>
      <c r="E59" s="2085">
        <f>IF(E57&gt;E58,E58,E57)</f>
        <v>0</v>
      </c>
      <c r="F59" s="2085">
        <f t="shared" ref="F59:H59" si="6">IF(F57&gt;F58,F58,F57)</f>
        <v>0</v>
      </c>
      <c r="G59" s="2085">
        <f t="shared" ref="G59" si="7">IF(G57&gt;G58,G58,G57)</f>
        <v>0</v>
      </c>
      <c r="H59" s="2086">
        <f t="shared" si="6"/>
        <v>0</v>
      </c>
      <c r="I59" s="309"/>
      <c r="J59" s="2386" t="s">
        <v>837</v>
      </c>
      <c r="K59" s="2387"/>
      <c r="L59" s="2388"/>
    </row>
    <row r="60" spans="1:12" ht="51" customHeight="1" thickTop="1" x14ac:dyDescent="0.2">
      <c r="A60" s="2072"/>
      <c r="B60" s="2375"/>
      <c r="C60" s="1947"/>
      <c r="D60" s="1947"/>
      <c r="E60" s="1947"/>
      <c r="F60" s="1947"/>
      <c r="G60" s="2160"/>
      <c r="H60" s="1958"/>
      <c r="I60" s="309"/>
      <c r="J60" s="2386" t="s">
        <v>838</v>
      </c>
      <c r="K60" s="2387"/>
      <c r="L60" s="2388"/>
    </row>
    <row r="61" spans="1:12" ht="78" customHeight="1" x14ac:dyDescent="0.2">
      <c r="A61" s="2072"/>
      <c r="B61" s="2375"/>
      <c r="C61" s="1263"/>
      <c r="D61" s="1263"/>
      <c r="E61" s="1263"/>
      <c r="F61" s="1263"/>
      <c r="G61" s="2157"/>
      <c r="H61" s="1953"/>
      <c r="I61" s="309"/>
      <c r="J61" s="2386" t="s">
        <v>839</v>
      </c>
      <c r="K61" s="2387"/>
      <c r="L61" s="2388"/>
    </row>
    <row r="62" spans="1:12" ht="36" customHeight="1" thickBot="1" x14ac:dyDescent="0.25">
      <c r="A62" s="2072"/>
      <c r="B62" s="2376"/>
      <c r="C62" s="1954"/>
      <c r="D62" s="1965"/>
      <c r="E62" s="1965"/>
      <c r="F62" s="1965"/>
      <c r="G62" s="2161"/>
      <c r="H62" s="1966"/>
      <c r="I62" s="309"/>
      <c r="J62" s="2386" t="s">
        <v>840</v>
      </c>
      <c r="K62" s="2387"/>
      <c r="L62" s="2388"/>
    </row>
    <row r="63" spans="1:12" ht="15" x14ac:dyDescent="0.2">
      <c r="A63" s="1266"/>
      <c r="B63" s="1947"/>
      <c r="C63" s="1947"/>
      <c r="D63" s="1947"/>
      <c r="E63" s="1947"/>
      <c r="F63" s="1947"/>
      <c r="G63" s="1947"/>
      <c r="H63" s="1947"/>
      <c r="I63" s="1263"/>
      <c r="J63" s="1263"/>
      <c r="K63" s="1263"/>
      <c r="L63" s="1986"/>
    </row>
    <row r="64" spans="1:12" ht="15" x14ac:dyDescent="0.2">
      <c r="A64" s="1266"/>
      <c r="B64" s="1263"/>
      <c r="C64" s="1263"/>
      <c r="D64" s="1263"/>
      <c r="E64" s="1263"/>
      <c r="F64" s="1263"/>
      <c r="G64" s="1263"/>
      <c r="H64" s="1263"/>
      <c r="I64" s="1263"/>
      <c r="J64" s="1263"/>
      <c r="K64" s="1263"/>
      <c r="L64" s="1986"/>
    </row>
    <row r="65" spans="1:12" ht="15" x14ac:dyDescent="0.2">
      <c r="A65" s="2074"/>
      <c r="B65" s="1948"/>
      <c r="C65" s="1948"/>
      <c r="D65" s="1948"/>
      <c r="E65" s="1948"/>
      <c r="F65" s="1948"/>
      <c r="G65" s="1948"/>
      <c r="H65" s="1948"/>
      <c r="I65" s="1948"/>
      <c r="J65" s="1948"/>
      <c r="K65" s="1948"/>
      <c r="L65" s="2075"/>
    </row>
    <row r="68" spans="1:12" x14ac:dyDescent="0.2">
      <c r="C68" s="1942"/>
    </row>
  </sheetData>
  <mergeCells count="22">
    <mergeCell ref="J60:L60"/>
    <mergeCell ref="J61:L61"/>
    <mergeCell ref="J62:L62"/>
    <mergeCell ref="J53:L53"/>
    <mergeCell ref="J54:L54"/>
    <mergeCell ref="J56:L56"/>
    <mergeCell ref="J58:L58"/>
    <mergeCell ref="J59:L59"/>
    <mergeCell ref="B59:B62"/>
    <mergeCell ref="B15:B18"/>
    <mergeCell ref="B20:B23"/>
    <mergeCell ref="B27:B28"/>
    <mergeCell ref="D27:D28"/>
    <mergeCell ref="C27:C28"/>
    <mergeCell ref="A1:B1"/>
    <mergeCell ref="B31:F31"/>
    <mergeCell ref="B11:D11"/>
    <mergeCell ref="B50:H51"/>
    <mergeCell ref="J13:L13"/>
    <mergeCell ref="J14:L28"/>
    <mergeCell ref="J31:L31"/>
    <mergeCell ref="J50:L50"/>
  </mergeCells>
  <dataValidations count="4">
    <dataValidation type="list" allowBlank="1" showInputMessage="1" showErrorMessage="1" sqref="D15:D18 D13 D25 D27:D28" xr:uid="{EFAC9A47-ACAF-44ED-8C21-021244204495}">
      <formula1>"YES,NO"</formula1>
    </dataValidation>
    <dataValidation type="list" allowBlank="1" showInputMessage="1" showErrorMessage="1" sqref="H56" xr:uid="{4ADC8D64-0029-47DA-AB3F-3E72D5434455}">
      <formula1>"25%,30%"</formula1>
    </dataValidation>
    <dataValidation type="list" allowBlank="1" showInputMessage="1" showErrorMessage="1" sqref="E56:G56" xr:uid="{B1AEFD0C-4951-4815-91AD-B14764EB2371}">
      <formula1>"25.0%,30%"</formula1>
    </dataValidation>
    <dataValidation type="list" allowBlank="1" showInputMessage="1" showErrorMessage="1" sqref="C56" xr:uid="{100BA24A-AD32-49C3-A44A-843BE1269BF8}">
      <formula1>"26%,27.5%,30%"</formula1>
    </dataValidation>
  </dataValidations>
  <hyperlinks>
    <hyperlink ref="A1" location="'Index and Structure'!A1" display="The Macro Group" xr:uid="{611FAF65-B88D-4EF5-8B96-5CB0294E98E6}"/>
    <hyperlink ref="J14" r:id="rId1" location="Eligibleentities " xr:uid="{8AFDC0FF-E2F8-451C-A542-692C8CD6286B}"/>
    <hyperlink ref="J31" r:id="rId2" xr:uid="{EDACAC3F-C60E-4BF7-A1E3-3D7D6FD4D142}"/>
    <hyperlink ref="J50" r:id="rId3" xr:uid="{6A440B63-1E78-4E7C-A8D7-6A4B6ACE51BD}"/>
  </hyperlinks>
  <pageMargins left="0.7" right="0.7" top="0.75" bottom="0.75" header="0.3" footer="0.3"/>
  <pageSetup paperSize="9" scale="43" orientation="portrait" r:id="rId4"/>
  <colBreaks count="1" manualBreakCount="1">
    <brk id="12" max="1048575" man="1"/>
  </colBreaks>
  <drawing r:id="rId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01CAB-84B8-46E7-8EBC-F145E973131D}">
  <sheetPr codeName="Sheet8"/>
  <dimension ref="A1:K63"/>
  <sheetViews>
    <sheetView showGridLines="0" view="pageBreakPreview" topLeftCell="A22" zoomScaleNormal="100" zoomScaleSheetLayoutView="100" workbookViewId="0">
      <selection activeCell="E53" sqref="E53"/>
    </sheetView>
  </sheetViews>
  <sheetFormatPr defaultColWidth="14.85546875" defaultRowHeight="15" x14ac:dyDescent="0.25"/>
  <cols>
    <col min="1" max="1" width="14.85546875" style="19" customWidth="1"/>
    <col min="2" max="2" width="17.85546875" style="19" customWidth="1"/>
    <col min="3" max="3" width="55.7109375" style="19" customWidth="1"/>
    <col min="4" max="4" width="8.7109375" style="19" customWidth="1"/>
    <col min="5" max="8" width="15.7109375" style="19" customWidth="1"/>
    <col min="9" max="9" width="20.7109375" style="19" customWidth="1"/>
    <col min="10" max="10" width="15.7109375" style="28" customWidth="1"/>
    <col min="11" max="11" width="15.7109375" style="19" customWidth="1"/>
    <col min="12" max="12" width="10.28515625" style="19" customWidth="1"/>
    <col min="13" max="16384" width="14.85546875" style="19"/>
  </cols>
  <sheetData>
    <row r="1" spans="1:11" ht="5.25" customHeight="1" thickBot="1" x14ac:dyDescent="0.3"/>
    <row r="2" spans="1:11" ht="19.899999999999999" customHeight="1" thickBot="1" x14ac:dyDescent="0.35">
      <c r="A2" s="2269" t="s">
        <v>44</v>
      </c>
      <c r="B2" s="2270"/>
      <c r="F2" s="21"/>
      <c r="G2" s="21"/>
      <c r="H2" s="21"/>
      <c r="I2" s="21"/>
      <c r="J2" s="520"/>
      <c r="K2" s="20"/>
    </row>
    <row r="3" spans="1:11" ht="27" customHeight="1" x14ac:dyDescent="0.25">
      <c r="A3" s="22"/>
    </row>
    <row r="4" spans="1:11" ht="5.25" customHeight="1" x14ac:dyDescent="0.25">
      <c r="A4" s="23"/>
      <c r="B4" s="24"/>
      <c r="C4" s="25"/>
      <c r="H4" s="23"/>
      <c r="I4" s="24"/>
      <c r="J4" s="74"/>
      <c r="K4" s="25"/>
    </row>
    <row r="5" spans="1:11" ht="14.25" customHeight="1" x14ac:dyDescent="0.25">
      <c r="A5" s="26" t="s">
        <v>40</v>
      </c>
      <c r="B5" s="28" t="str">
        <f>'Index and Structure'!B2</f>
        <v>Nicolo Superannuation fund</v>
      </c>
      <c r="C5" s="29"/>
      <c r="D5" s="1769"/>
      <c r="E5" s="1769"/>
      <c r="F5" s="30"/>
      <c r="G5" s="30"/>
      <c r="H5" s="31" t="s">
        <v>718</v>
      </c>
      <c r="I5" s="32" t="str">
        <f>'Index and Structure'!B5</f>
        <v>NICO0024</v>
      </c>
      <c r="K5" s="33"/>
    </row>
    <row r="6" spans="1:11" ht="14.25" customHeight="1" x14ac:dyDescent="0.25">
      <c r="A6" s="26" t="s">
        <v>719</v>
      </c>
      <c r="B6" s="28" t="s">
        <v>720</v>
      </c>
      <c r="C6" s="29"/>
      <c r="D6" s="1769"/>
      <c r="E6" s="1769"/>
      <c r="F6" s="30"/>
      <c r="G6" s="30"/>
      <c r="H6" s="34" t="s">
        <v>41</v>
      </c>
      <c r="I6" s="28" t="str">
        <f>'Index and Structure'!B6</f>
        <v>Liam Aubin</v>
      </c>
      <c r="J6" s="1802" t="s">
        <v>42</v>
      </c>
      <c r="K6" s="1803"/>
    </row>
    <row r="7" spans="1:11" ht="14.25" customHeight="1" x14ac:dyDescent="0.25">
      <c r="A7" s="36" t="s">
        <v>721</v>
      </c>
      <c r="B7" s="37" t="str">
        <f>'Index and Structure'!B4</f>
        <v>30 June 2022</v>
      </c>
      <c r="C7" s="38"/>
      <c r="D7" s="1769"/>
      <c r="E7" s="1769"/>
      <c r="F7" s="30"/>
      <c r="G7" s="30"/>
      <c r="H7" s="39" t="s">
        <v>43</v>
      </c>
      <c r="I7" s="40" t="str">
        <f>'Index and Structure'!B7</f>
        <v>Nicole Bryant</v>
      </c>
      <c r="J7" s="1804" t="s">
        <v>42</v>
      </c>
      <c r="K7" s="1805"/>
    </row>
    <row r="8" spans="1:11" ht="15" customHeight="1" x14ac:dyDescent="0.25"/>
    <row r="9" spans="1:11" ht="30" customHeight="1" x14ac:dyDescent="0.25">
      <c r="A9" s="42"/>
      <c r="B9" s="43"/>
      <c r="C9" s="43"/>
      <c r="D9" s="43"/>
      <c r="E9" s="43"/>
      <c r="F9" s="43"/>
      <c r="G9" s="43"/>
      <c r="H9" s="43"/>
      <c r="I9" s="342"/>
      <c r="J9" s="492"/>
      <c r="K9" s="44"/>
    </row>
    <row r="10" spans="1:11" s="45" customFormat="1" ht="13.5" customHeight="1" x14ac:dyDescent="0.2">
      <c r="A10" s="100"/>
      <c r="B10" s="101"/>
      <c r="C10" s="101"/>
      <c r="D10" s="101"/>
      <c r="E10" s="101"/>
      <c r="F10" s="101"/>
      <c r="G10" s="101"/>
      <c r="H10" s="102"/>
      <c r="I10" s="101"/>
      <c r="J10" s="710"/>
      <c r="K10" s="105"/>
    </row>
    <row r="11" spans="1:11" s="45" customFormat="1" ht="13.5" customHeight="1" x14ac:dyDescent="0.2">
      <c r="A11" s="1266" t="str">
        <f>B6</f>
        <v>Corporate Tax Rate Determination</v>
      </c>
      <c r="B11" s="1263"/>
      <c r="C11" s="165"/>
      <c r="D11" s="165"/>
      <c r="E11" s="165"/>
      <c r="F11" s="165"/>
      <c r="G11" s="165"/>
      <c r="H11" s="165"/>
      <c r="I11" s="165"/>
      <c r="J11" s="240"/>
      <c r="K11" s="196"/>
    </row>
    <row r="12" spans="1:11" s="45" customFormat="1" ht="13.5" customHeight="1" x14ac:dyDescent="0.2">
      <c r="A12" s="197"/>
      <c r="B12" s="165"/>
      <c r="C12" s="165"/>
      <c r="D12" s="165"/>
      <c r="E12" s="165"/>
      <c r="F12" s="165"/>
      <c r="G12" s="165"/>
      <c r="H12" s="168"/>
      <c r="I12" s="1806"/>
      <c r="J12" s="591"/>
      <c r="K12" s="196"/>
    </row>
    <row r="13" spans="1:11" s="45" customFormat="1" ht="13.5" customHeight="1" x14ac:dyDescent="0.2">
      <c r="A13" s="197"/>
      <c r="B13" s="165"/>
      <c r="C13" s="201"/>
      <c r="D13" s="204"/>
      <c r="E13" s="204"/>
      <c r="F13" s="202"/>
      <c r="G13" s="247"/>
      <c r="H13" s="2392" t="s">
        <v>722</v>
      </c>
      <c r="I13" s="2392"/>
      <c r="J13" s="2392"/>
      <c r="K13" s="86"/>
    </row>
    <row r="14" spans="1:11" s="45" customFormat="1" ht="30" x14ac:dyDescent="0.2">
      <c r="A14" s="1807" t="s">
        <v>723</v>
      </c>
      <c r="B14" s="1808" t="s">
        <v>724</v>
      </c>
      <c r="C14" s="165"/>
      <c r="D14" s="202"/>
      <c r="E14" s="202"/>
      <c r="F14" s="202"/>
      <c r="G14" s="53"/>
      <c r="H14" s="1809" t="s">
        <v>139</v>
      </c>
      <c r="I14" s="1810" t="s">
        <v>725</v>
      </c>
      <c r="J14" s="1811" t="s">
        <v>726</v>
      </c>
      <c r="K14" s="86"/>
    </row>
    <row r="15" spans="1:11" s="45" customFormat="1" ht="13.5" customHeight="1" x14ac:dyDescent="0.2">
      <c r="A15" s="197"/>
      <c r="B15" s="201"/>
      <c r="C15" s="203" t="s">
        <v>727</v>
      </c>
      <c r="D15" s="202"/>
      <c r="E15" s="1812"/>
      <c r="F15" s="202"/>
      <c r="G15" s="1813"/>
      <c r="H15" s="1814" t="s">
        <v>728</v>
      </c>
      <c r="I15" s="1815" t="s">
        <v>729</v>
      </c>
      <c r="J15" s="1816">
        <v>0.28499999999999998</v>
      </c>
      <c r="K15" s="86"/>
    </row>
    <row r="16" spans="1:11" s="45" customFormat="1" ht="13.5" customHeight="1" x14ac:dyDescent="0.2">
      <c r="A16" s="197"/>
      <c r="B16" s="165"/>
      <c r="C16" s="165"/>
      <c r="D16" s="202"/>
      <c r="E16" s="202"/>
      <c r="F16" s="204"/>
      <c r="G16" s="1813"/>
      <c r="H16" s="1814" t="s">
        <v>649</v>
      </c>
      <c r="I16" s="1815" t="s">
        <v>730</v>
      </c>
      <c r="J16" s="1817">
        <v>0.27500000000000002</v>
      </c>
      <c r="K16" s="86"/>
    </row>
    <row r="17" spans="1:11" s="45" customFormat="1" ht="13.5" customHeight="1" x14ac:dyDescent="0.2">
      <c r="A17" s="197"/>
      <c r="B17" s="201"/>
      <c r="C17" s="1818" t="s">
        <v>731</v>
      </c>
      <c r="D17" s="204"/>
      <c r="E17" s="204"/>
      <c r="F17" s="204"/>
      <c r="G17" s="1813"/>
      <c r="H17" s="1814" t="s">
        <v>732</v>
      </c>
      <c r="I17" s="1814" t="s">
        <v>733</v>
      </c>
      <c r="J17" s="1817">
        <v>0.27500000000000002</v>
      </c>
      <c r="K17" s="86"/>
    </row>
    <row r="18" spans="1:11" s="45" customFormat="1" ht="13.5" customHeight="1" x14ac:dyDescent="0.2">
      <c r="A18" s="197"/>
      <c r="B18" s="712"/>
      <c r="C18" s="201"/>
      <c r="D18" s="204"/>
      <c r="E18" s="1819"/>
      <c r="F18" s="204"/>
      <c r="G18" s="1820"/>
      <c r="H18" s="1821" t="s">
        <v>734</v>
      </c>
      <c r="I18" s="1814" t="s">
        <v>735</v>
      </c>
      <c r="J18" s="1817">
        <v>0.27500000000000002</v>
      </c>
      <c r="K18" s="86"/>
    </row>
    <row r="19" spans="1:11" s="45" customFormat="1" ht="13.5" customHeight="1" x14ac:dyDescent="0.2">
      <c r="A19" s="208"/>
      <c r="B19" s="712"/>
      <c r="C19" s="165"/>
      <c r="D19" s="165"/>
      <c r="E19" s="1561"/>
      <c r="F19" s="165"/>
      <c r="G19" s="1813"/>
      <c r="H19" s="1814" t="s">
        <v>736</v>
      </c>
      <c r="I19" s="1814" t="s">
        <v>735</v>
      </c>
      <c r="J19" s="1817">
        <v>0.27500000000000002</v>
      </c>
      <c r="K19" s="86"/>
    </row>
    <row r="20" spans="1:11" s="45" customFormat="1" ht="13.5" customHeight="1" x14ac:dyDescent="0.2">
      <c r="A20" s="344"/>
      <c r="B20" s="712"/>
      <c r="C20" s="1822" t="s">
        <v>737</v>
      </c>
      <c r="D20" s="165"/>
      <c r="E20" s="165"/>
      <c r="F20" s="165"/>
      <c r="G20" s="1813"/>
      <c r="H20" s="1814" t="s">
        <v>738</v>
      </c>
      <c r="I20" s="1814" t="s">
        <v>735</v>
      </c>
      <c r="J20" s="1817">
        <v>0.26</v>
      </c>
      <c r="K20" s="86"/>
    </row>
    <row r="21" spans="1:11" s="45" customFormat="1" ht="13.5" customHeight="1" x14ac:dyDescent="0.2">
      <c r="A21" s="344"/>
      <c r="B21" s="712"/>
      <c r="D21" s="165"/>
      <c r="E21" s="1561"/>
      <c r="F21" s="165"/>
      <c r="G21" s="1813"/>
      <c r="H21" s="1814" t="s">
        <v>739</v>
      </c>
      <c r="I21" s="1814" t="s">
        <v>735</v>
      </c>
      <c r="J21" s="1817">
        <v>0.25</v>
      </c>
      <c r="K21" s="86"/>
    </row>
    <row r="22" spans="1:11" s="45" customFormat="1" ht="13.5" customHeight="1" x14ac:dyDescent="0.2">
      <c r="A22" s="344"/>
      <c r="B22" s="712"/>
      <c r="C22" s="165"/>
      <c r="D22" s="165"/>
      <c r="E22" s="1561"/>
      <c r="F22" s="165"/>
      <c r="G22" s="148"/>
      <c r="H22" s="193"/>
      <c r="I22" s="1823"/>
      <c r="J22" s="1824"/>
      <c r="K22" s="86"/>
    </row>
    <row r="23" spans="1:11" s="45" customFormat="1" ht="13.5" customHeight="1" x14ac:dyDescent="0.2">
      <c r="A23" s="344"/>
      <c r="B23" s="712"/>
      <c r="C23" s="165"/>
      <c r="D23" s="165"/>
      <c r="E23" s="165"/>
      <c r="F23" s="165"/>
      <c r="G23" s="148"/>
      <c r="H23" s="165"/>
      <c r="I23" s="1825"/>
      <c r="J23" s="498"/>
      <c r="K23" s="86"/>
    </row>
    <row r="24" spans="1:11" s="45" customFormat="1" ht="13.5" customHeight="1" x14ac:dyDescent="0.2">
      <c r="A24" s="344"/>
      <c r="B24" s="712"/>
      <c r="C24" s="207" t="s">
        <v>740</v>
      </c>
      <c r="D24" s="165"/>
      <c r="E24" s="1826">
        <f>SUM(E15,E18:E19,E21:E22)</f>
        <v>0</v>
      </c>
      <c r="F24" s="165"/>
      <c r="G24" s="148"/>
      <c r="H24" s="1827"/>
      <c r="I24" s="1825"/>
      <c r="J24" s="498"/>
      <c r="K24" s="86"/>
    </row>
    <row r="25" spans="1:11" s="45" customFormat="1" ht="13.5" customHeight="1" x14ac:dyDescent="0.2">
      <c r="A25" s="344"/>
      <c r="B25" s="712"/>
      <c r="C25" s="165"/>
      <c r="D25" s="165"/>
      <c r="E25" s="165"/>
      <c r="F25" s="165"/>
      <c r="G25" s="148"/>
      <c r="H25" s="1828"/>
      <c r="I25" s="1825"/>
      <c r="J25" s="498"/>
      <c r="K25" s="86"/>
    </row>
    <row r="26" spans="1:11" s="45" customFormat="1" ht="30" customHeight="1" x14ac:dyDescent="0.2">
      <c r="A26" s="344"/>
      <c r="B26" s="712"/>
      <c r="C26" s="2393" t="s">
        <v>741</v>
      </c>
      <c r="D26" s="2394"/>
      <c r="E26" s="2394"/>
      <c r="F26" s="2395"/>
      <c r="G26" s="1813"/>
      <c r="H26" s="1829"/>
      <c r="I26" s="1830"/>
      <c r="J26" s="498"/>
      <c r="K26" s="86"/>
    </row>
    <row r="27" spans="1:11" s="45" customFormat="1" ht="13.5" customHeight="1" x14ac:dyDescent="0.2">
      <c r="A27" s="344"/>
      <c r="B27" s="712"/>
      <c r="C27" s="165"/>
      <c r="D27" s="202"/>
      <c r="E27" s="202"/>
      <c r="F27" s="202"/>
      <c r="G27" s="1813"/>
      <c r="H27" s="1829"/>
      <c r="I27" s="1830"/>
      <c r="J27" s="498"/>
      <c r="K27" s="86"/>
    </row>
    <row r="28" spans="1:11" s="45" customFormat="1" ht="13.5" customHeight="1" x14ac:dyDescent="0.2">
      <c r="A28" s="344"/>
      <c r="B28" s="712"/>
      <c r="C28" s="165"/>
      <c r="D28" s="202"/>
      <c r="E28" s="202"/>
      <c r="F28" s="204"/>
      <c r="G28" s="204"/>
      <c r="H28" s="53"/>
      <c r="I28" s="1831"/>
      <c r="J28" s="498"/>
      <c r="K28" s="86"/>
    </row>
    <row r="29" spans="1:11" s="45" customFormat="1" ht="13.5" customHeight="1" x14ac:dyDescent="0.2">
      <c r="A29" s="1807" t="s">
        <v>742</v>
      </c>
      <c r="B29" s="719" t="s">
        <v>743</v>
      </c>
      <c r="C29" s="345"/>
      <c r="D29" s="345"/>
      <c r="E29" s="345"/>
      <c r="F29" s="345"/>
      <c r="G29" s="345"/>
      <c r="H29" s="345"/>
      <c r="I29" s="1831"/>
      <c r="J29" s="498"/>
      <c r="K29" s="346"/>
    </row>
    <row r="30" spans="1:11" s="45" customFormat="1" ht="13.5" customHeight="1" x14ac:dyDescent="0.2">
      <c r="A30" s="197"/>
      <c r="B30" s="712"/>
      <c r="C30" s="203" t="s">
        <v>727</v>
      </c>
      <c r="D30" s="202"/>
      <c r="E30" s="1812"/>
      <c r="F30" s="345"/>
      <c r="G30" s="345"/>
      <c r="H30" s="345"/>
      <c r="I30" s="1831"/>
      <c r="J30" s="498"/>
      <c r="K30" s="346"/>
    </row>
    <row r="31" spans="1:11" s="45" customFormat="1" ht="13.5" customHeight="1" x14ac:dyDescent="0.2">
      <c r="A31" s="197"/>
      <c r="B31" s="712"/>
      <c r="C31" s="1832">
        <v>0.8</v>
      </c>
      <c r="D31" s="345"/>
      <c r="E31" s="1826">
        <f>E30*0.8</f>
        <v>0</v>
      </c>
      <c r="F31" s="345"/>
      <c r="G31" s="345"/>
      <c r="H31" s="345"/>
      <c r="I31" s="1831"/>
      <c r="J31" s="498"/>
      <c r="K31" s="346"/>
    </row>
    <row r="32" spans="1:11" s="45" customFormat="1" ht="13.5" customHeight="1" x14ac:dyDescent="0.2">
      <c r="A32" s="197"/>
      <c r="B32" s="712"/>
      <c r="C32" s="345"/>
      <c r="D32" s="345"/>
      <c r="E32" s="345"/>
      <c r="F32" s="345"/>
      <c r="G32" s="345"/>
      <c r="H32" s="345"/>
      <c r="I32" s="1831"/>
      <c r="J32" s="498"/>
      <c r="K32" s="346"/>
    </row>
    <row r="33" spans="1:11" s="45" customFormat="1" ht="13.5" customHeight="1" x14ac:dyDescent="0.2">
      <c r="A33" s="197"/>
      <c r="B33" s="712"/>
      <c r="C33" s="345"/>
      <c r="D33" s="345"/>
      <c r="E33" s="345"/>
      <c r="F33" s="345"/>
      <c r="G33" s="345"/>
      <c r="H33" s="345"/>
      <c r="I33" s="1831"/>
      <c r="J33" s="498"/>
      <c r="K33" s="346"/>
    </row>
    <row r="34" spans="1:11" s="45" customFormat="1" ht="13.5" customHeight="1" x14ac:dyDescent="0.2">
      <c r="A34" s="1807" t="s">
        <v>744</v>
      </c>
      <c r="B34" s="719" t="s">
        <v>745</v>
      </c>
      <c r="C34" s="345"/>
      <c r="D34" s="345"/>
      <c r="E34" s="345"/>
      <c r="F34" s="345"/>
      <c r="G34" s="345"/>
      <c r="H34" s="345"/>
      <c r="I34" s="1831"/>
      <c r="J34" s="498"/>
      <c r="K34" s="346"/>
    </row>
    <row r="35" spans="1:11" s="45" customFormat="1" ht="12.75" customHeight="1" x14ac:dyDescent="0.2">
      <c r="A35" s="197"/>
      <c r="B35" s="111" t="s">
        <v>746</v>
      </c>
      <c r="C35" s="51" t="s">
        <v>747</v>
      </c>
      <c r="D35" s="345"/>
      <c r="E35" s="1812"/>
      <c r="F35" s="345"/>
      <c r="G35" s="345"/>
      <c r="H35" s="345"/>
      <c r="I35" s="1831"/>
      <c r="J35" s="498"/>
      <c r="K35" s="346"/>
    </row>
    <row r="36" spans="1:11" s="45" customFormat="1" ht="12.75" customHeight="1" x14ac:dyDescent="0.2">
      <c r="A36" s="197"/>
      <c r="B36" s="111" t="s">
        <v>748</v>
      </c>
      <c r="C36" s="165" t="s">
        <v>749</v>
      </c>
      <c r="D36" s="165"/>
      <c r="E36" s="1812"/>
      <c r="F36" s="165"/>
      <c r="G36" s="165"/>
      <c r="H36" s="186"/>
      <c r="I36" s="1833"/>
      <c r="J36" s="498"/>
      <c r="K36" s="346"/>
    </row>
    <row r="37" spans="1:11" s="45" customFormat="1" ht="13.5" customHeight="1" x14ac:dyDescent="0.2">
      <c r="A37" s="197"/>
      <c r="B37" s="111"/>
      <c r="C37" s="2396" t="s">
        <v>750</v>
      </c>
      <c r="D37" s="165"/>
      <c r="E37" s="165"/>
      <c r="F37" s="165"/>
      <c r="G37" s="202"/>
      <c r="H37" s="1831"/>
      <c r="I37" s="1831"/>
      <c r="J37" s="498"/>
      <c r="K37" s="86"/>
    </row>
    <row r="38" spans="1:11" s="45" customFormat="1" ht="33" customHeight="1" x14ac:dyDescent="0.2">
      <c r="A38" s="197"/>
      <c r="B38" s="111"/>
      <c r="C38" s="2397"/>
      <c r="D38" s="165"/>
      <c r="E38" s="165"/>
      <c r="F38" s="165"/>
      <c r="G38" s="165"/>
      <c r="H38" s="165"/>
      <c r="I38" s="204"/>
      <c r="J38" s="240"/>
      <c r="K38" s="86"/>
    </row>
    <row r="39" spans="1:11" s="45" customFormat="1" ht="13.5" customHeight="1" x14ac:dyDescent="0.2">
      <c r="A39" s="197"/>
      <c r="B39" s="111" t="s">
        <v>751</v>
      </c>
      <c r="C39" s="165" t="s">
        <v>752</v>
      </c>
      <c r="D39" s="165"/>
      <c r="E39" s="1812"/>
      <c r="F39" s="165"/>
      <c r="G39" s="165"/>
      <c r="H39" s="165"/>
      <c r="I39" s="204"/>
      <c r="J39" s="240"/>
      <c r="K39" s="86"/>
    </row>
    <row r="40" spans="1:11" s="45" customFormat="1" ht="13.5" customHeight="1" x14ac:dyDescent="0.2">
      <c r="A40" s="197"/>
      <c r="B40" s="1834" t="s">
        <v>753</v>
      </c>
      <c r="C40" s="165" t="s">
        <v>123</v>
      </c>
      <c r="D40" s="165"/>
      <c r="E40" s="1812"/>
      <c r="F40" s="165"/>
      <c r="G40" s="165"/>
      <c r="H40" s="165"/>
      <c r="I40" s="204"/>
      <c r="J40" s="240"/>
      <c r="K40" s="217"/>
    </row>
    <row r="41" spans="1:11" s="45" customFormat="1" ht="13.5" customHeight="1" x14ac:dyDescent="0.2">
      <c r="A41" s="197"/>
      <c r="B41" s="1834" t="s">
        <v>754</v>
      </c>
      <c r="C41" s="168" t="s">
        <v>755</v>
      </c>
      <c r="D41" s="168"/>
      <c r="E41" s="1812"/>
      <c r="F41" s="168"/>
      <c r="G41" s="168"/>
      <c r="H41" s="168"/>
      <c r="I41" s="218"/>
      <c r="J41" s="240"/>
      <c r="K41" s="217"/>
    </row>
    <row r="42" spans="1:11" s="45" customFormat="1" ht="13.5" customHeight="1" x14ac:dyDescent="0.2">
      <c r="A42" s="197"/>
      <c r="B42" s="48" t="s">
        <v>756</v>
      </c>
      <c r="C42" s="168" t="s">
        <v>47</v>
      </c>
      <c r="D42" s="168"/>
      <c r="E42" s="1812"/>
      <c r="F42" s="168"/>
      <c r="G42" s="168"/>
      <c r="H42" s="168"/>
      <c r="I42" s="218"/>
      <c r="J42" s="240"/>
      <c r="K42" s="217"/>
    </row>
    <row r="43" spans="1:11" s="45" customFormat="1" ht="13.5" customHeight="1" x14ac:dyDescent="0.2">
      <c r="A43" s="197"/>
      <c r="B43" s="48" t="s">
        <v>757</v>
      </c>
      <c r="C43" s="168" t="s">
        <v>758</v>
      </c>
      <c r="D43" s="168"/>
      <c r="E43" s="1812"/>
      <c r="F43" s="168"/>
      <c r="G43" s="168"/>
      <c r="H43" s="168"/>
      <c r="I43" s="218"/>
      <c r="J43" s="240"/>
      <c r="K43" s="217"/>
    </row>
    <row r="44" spans="1:11" s="45" customFormat="1" ht="13.5" customHeight="1" x14ac:dyDescent="0.2">
      <c r="A44" s="197"/>
      <c r="B44" s="48" t="s">
        <v>759</v>
      </c>
      <c r="C44" s="168" t="s">
        <v>760</v>
      </c>
      <c r="D44" s="168"/>
      <c r="E44" s="1812"/>
      <c r="F44" s="168"/>
      <c r="G44" s="168"/>
      <c r="H44" s="168"/>
      <c r="I44" s="218"/>
      <c r="J44" s="240"/>
      <c r="K44" s="217"/>
    </row>
    <row r="45" spans="1:11" s="45" customFormat="1" ht="13.5" customHeight="1" x14ac:dyDescent="0.2">
      <c r="A45" s="197"/>
      <c r="B45" s="48" t="s">
        <v>761</v>
      </c>
      <c r="C45" s="168" t="s">
        <v>762</v>
      </c>
      <c r="D45" s="168"/>
      <c r="E45" s="1812"/>
      <c r="F45" s="1835" t="s">
        <v>763</v>
      </c>
      <c r="G45" s="168"/>
      <c r="H45" s="168"/>
      <c r="I45" s="218"/>
      <c r="J45" s="240"/>
      <c r="K45" s="217"/>
    </row>
    <row r="46" spans="1:11" s="45" customFormat="1" ht="13.5" customHeight="1" x14ac:dyDescent="0.2">
      <c r="A46" s="197"/>
      <c r="B46" s="63" t="s">
        <v>764</v>
      </c>
      <c r="C46" s="168" t="s">
        <v>765</v>
      </c>
      <c r="D46" s="168"/>
      <c r="E46" s="1812"/>
      <c r="F46" s="1835" t="s">
        <v>763</v>
      </c>
      <c r="G46" s="168"/>
      <c r="H46" s="168"/>
      <c r="I46" s="218"/>
      <c r="J46" s="240"/>
      <c r="K46" s="217"/>
    </row>
    <row r="47" spans="1:11" s="45" customFormat="1" ht="13.5" customHeight="1" x14ac:dyDescent="0.2">
      <c r="A47" s="197"/>
      <c r="B47" s="168"/>
      <c r="C47" s="168"/>
      <c r="D47" s="168"/>
      <c r="E47" s="168"/>
      <c r="F47" s="168"/>
      <c r="G47" s="168"/>
      <c r="H47" s="168"/>
      <c r="I47" s="218"/>
      <c r="J47" s="240"/>
      <c r="K47" s="217"/>
    </row>
    <row r="48" spans="1:11" s="45" customFormat="1" ht="13.5" customHeight="1" x14ac:dyDescent="0.2">
      <c r="A48" s="197"/>
      <c r="B48" s="168"/>
      <c r="C48" s="1836" t="s">
        <v>766</v>
      </c>
      <c r="D48" s="168"/>
      <c r="E48" s="1837">
        <f>SUM(E35:E46)</f>
        <v>0</v>
      </c>
      <c r="F48" s="168"/>
      <c r="G48" s="168"/>
      <c r="H48" s="168"/>
      <c r="I48" s="218"/>
      <c r="J48" s="240"/>
      <c r="K48" s="217"/>
    </row>
    <row r="49" spans="1:11" s="45" customFormat="1" ht="13.5" customHeight="1" x14ac:dyDescent="0.2">
      <c r="A49" s="197"/>
      <c r="B49" s="168"/>
      <c r="C49" s="168"/>
      <c r="D49" s="168"/>
      <c r="E49" s="168"/>
      <c r="F49" s="168"/>
      <c r="G49" s="168"/>
      <c r="H49" s="168"/>
      <c r="I49" s="218"/>
      <c r="J49" s="240"/>
      <c r="K49" s="217"/>
    </row>
    <row r="50" spans="1:11" s="45" customFormat="1" ht="13.5" customHeight="1" x14ac:dyDescent="0.2">
      <c r="A50" s="197"/>
      <c r="B50" s="168"/>
      <c r="C50" s="168"/>
      <c r="D50" s="168"/>
      <c r="E50" s="168"/>
      <c r="F50" s="168"/>
      <c r="G50" s="168"/>
      <c r="H50" s="168"/>
      <c r="I50" s="218"/>
      <c r="J50" s="240"/>
      <c r="K50" s="217"/>
    </row>
    <row r="51" spans="1:11" s="45" customFormat="1" ht="13.5" customHeight="1" x14ac:dyDescent="0.2">
      <c r="A51" s="1807" t="s">
        <v>767</v>
      </c>
      <c r="B51" s="1836" t="s">
        <v>768</v>
      </c>
      <c r="C51" s="168"/>
      <c r="D51" s="168"/>
      <c r="E51" s="1838" t="str">
        <f>IF(E48&gt;E31,"YES","NO")</f>
        <v>NO</v>
      </c>
      <c r="F51" s="168"/>
      <c r="G51" s="168"/>
      <c r="H51" s="168"/>
      <c r="I51" s="218"/>
      <c r="J51" s="240"/>
      <c r="K51" s="217"/>
    </row>
    <row r="52" spans="1:11" s="45" customFormat="1" ht="13.5" customHeight="1" x14ac:dyDescent="0.2">
      <c r="A52" s="1807"/>
      <c r="B52" s="168"/>
      <c r="C52" s="168"/>
      <c r="D52" s="168"/>
      <c r="E52" s="168"/>
      <c r="F52" s="168"/>
      <c r="G52" s="168"/>
      <c r="H52" s="168"/>
      <c r="I52" s="218"/>
      <c r="J52" s="240"/>
      <c r="K52" s="217"/>
    </row>
    <row r="53" spans="1:11" s="45" customFormat="1" ht="13.5" customHeight="1" x14ac:dyDescent="0.2">
      <c r="A53" s="1807" t="s">
        <v>769</v>
      </c>
      <c r="B53" s="1836" t="s">
        <v>770</v>
      </c>
      <c r="C53" s="168"/>
      <c r="D53" s="168"/>
      <c r="E53" s="1933">
        <f>IF($E$51="NO",$J$21,0.3)</f>
        <v>0.25</v>
      </c>
      <c r="F53" s="168"/>
      <c r="G53" s="168"/>
      <c r="H53" s="168"/>
      <c r="I53" s="218"/>
      <c r="J53" s="240"/>
      <c r="K53" s="217"/>
    </row>
    <row r="54" spans="1:11" s="45" customFormat="1" ht="13.5" customHeight="1" x14ac:dyDescent="0.2">
      <c r="A54" s="1807"/>
      <c r="B54" s="168"/>
      <c r="C54" s="168"/>
      <c r="D54" s="168"/>
      <c r="E54" s="168"/>
      <c r="F54" s="168"/>
      <c r="G54" s="168"/>
      <c r="H54" s="168"/>
      <c r="I54" s="218"/>
      <c r="J54" s="240"/>
      <c r="K54" s="217"/>
    </row>
    <row r="55" spans="1:11" s="45" customFormat="1" ht="13.5" customHeight="1" x14ac:dyDescent="0.2">
      <c r="A55" s="1807"/>
      <c r="B55" s="168"/>
      <c r="C55" s="168"/>
      <c r="D55" s="168"/>
      <c r="E55" s="168"/>
      <c r="F55" s="168"/>
      <c r="G55" s="168"/>
      <c r="H55" s="168"/>
      <c r="I55" s="218"/>
      <c r="J55" s="240"/>
      <c r="K55" s="217"/>
    </row>
    <row r="56" spans="1:11" s="45" customFormat="1" ht="13.5" customHeight="1" x14ac:dyDescent="0.2">
      <c r="A56" s="1839" t="s">
        <v>771</v>
      </c>
      <c r="B56" s="1836"/>
      <c r="C56" s="168"/>
      <c r="D56" s="168"/>
      <c r="E56" s="168"/>
      <c r="F56" s="168"/>
      <c r="G56" s="168"/>
      <c r="H56" s="168"/>
      <c r="I56" s="218"/>
      <c r="J56" s="240"/>
      <c r="K56" s="217"/>
    </row>
    <row r="57" spans="1:11" s="45" customFormat="1" ht="13.5" customHeight="1" x14ac:dyDescent="0.2">
      <c r="A57" s="1807"/>
      <c r="B57" s="1836" t="s">
        <v>772</v>
      </c>
      <c r="C57" s="168" t="s">
        <v>773</v>
      </c>
      <c r="D57" s="168"/>
      <c r="E57" s="168"/>
      <c r="F57" s="168"/>
      <c r="G57" s="168"/>
      <c r="H57" s="168"/>
      <c r="I57" s="218"/>
      <c r="J57" s="240"/>
      <c r="K57" s="217"/>
    </row>
    <row r="58" spans="1:11" s="45" customFormat="1" ht="13.5" customHeight="1" x14ac:dyDescent="0.2">
      <c r="A58" s="197"/>
      <c r="B58" s="1836" t="s">
        <v>774</v>
      </c>
      <c r="C58" s="168" t="s">
        <v>775</v>
      </c>
      <c r="D58" s="1840" t="s">
        <v>776</v>
      </c>
      <c r="E58" s="168"/>
      <c r="F58" s="168"/>
      <c r="G58" s="168"/>
      <c r="H58" s="168"/>
      <c r="I58" s="218"/>
      <c r="J58" s="240"/>
      <c r="K58" s="217"/>
    </row>
    <row r="59" spans="1:11" s="45" customFormat="1" ht="13.5" customHeight="1" x14ac:dyDescent="0.2">
      <c r="A59" s="197"/>
      <c r="B59" s="1836" t="s">
        <v>777</v>
      </c>
      <c r="C59" s="168" t="s">
        <v>778</v>
      </c>
      <c r="D59" s="1840" t="s">
        <v>779</v>
      </c>
      <c r="E59" s="168"/>
      <c r="F59" s="168"/>
      <c r="G59" s="168"/>
      <c r="H59" s="168"/>
      <c r="I59" s="218"/>
      <c r="J59" s="167"/>
      <c r="K59" s="217"/>
    </row>
    <row r="60" spans="1:11" s="45" customFormat="1" ht="13.5" customHeight="1" x14ac:dyDescent="0.2">
      <c r="A60" s="197"/>
      <c r="B60" s="1836"/>
      <c r="C60" s="168"/>
      <c r="D60" s="168"/>
      <c r="E60" s="168"/>
      <c r="F60" s="168"/>
      <c r="G60" s="168"/>
      <c r="H60" s="168"/>
      <c r="I60" s="218"/>
      <c r="J60" s="167"/>
      <c r="K60" s="217"/>
    </row>
    <row r="61" spans="1:11" s="45" customFormat="1" ht="13.5" customHeight="1" x14ac:dyDescent="0.2">
      <c r="A61" s="197"/>
      <c r="B61" s="1836"/>
      <c r="C61" s="168"/>
      <c r="D61" s="168"/>
      <c r="E61" s="168"/>
      <c r="F61" s="168"/>
      <c r="G61" s="168"/>
      <c r="H61" s="168"/>
      <c r="I61" s="218"/>
      <c r="J61" s="167"/>
      <c r="K61" s="217"/>
    </row>
    <row r="62" spans="1:11" s="45" customFormat="1" ht="13.5" customHeight="1" x14ac:dyDescent="0.2">
      <c r="A62" s="197"/>
      <c r="B62" s="168"/>
      <c r="C62" s="168"/>
      <c r="D62" s="168"/>
      <c r="E62" s="168"/>
      <c r="F62" s="168"/>
      <c r="G62" s="168"/>
      <c r="H62" s="168"/>
      <c r="I62" s="218"/>
      <c r="J62" s="167"/>
      <c r="K62" s="217"/>
    </row>
    <row r="63" spans="1:11" s="45" customFormat="1" ht="13.5" customHeight="1" x14ac:dyDescent="0.2">
      <c r="A63" s="138"/>
      <c r="B63" s="66"/>
      <c r="C63" s="67"/>
      <c r="D63" s="67"/>
      <c r="E63" s="67"/>
      <c r="F63" s="66"/>
      <c r="G63" s="66"/>
      <c r="H63" s="66"/>
      <c r="I63" s="68"/>
      <c r="J63" s="711"/>
      <c r="K63" s="54"/>
    </row>
  </sheetData>
  <mergeCells count="4">
    <mergeCell ref="A2:B2"/>
    <mergeCell ref="H13:J13"/>
    <mergeCell ref="C26:F26"/>
    <mergeCell ref="C37:C38"/>
  </mergeCells>
  <hyperlinks>
    <hyperlink ref="A2" location="'Index and Structure'!A1" display="The Macro Group" xr:uid="{9995C5B6-461E-4382-8899-760FAB2D51A5}"/>
    <hyperlink ref="D58" r:id="rId1" xr:uid="{4637D78B-3936-4EB6-8708-1995E5CC40A8}"/>
    <hyperlink ref="D59" r:id="rId2" xr:uid="{D6B0EA47-C3F7-4B63-B195-EA311CE0BED4}"/>
  </hyperlinks>
  <pageMargins left="0.74803149606299213" right="0.39370078740157483" top="0.55118110236220474" bottom="0.62992125984251968" header="0.51181102362204722" footer="0.47244094488188981"/>
  <pageSetup paperSize="9" scale="43" orientation="portrait" r:id="rId3"/>
  <headerFooter alignWithMargins="0">
    <oddFooter>&amp;LPrinted:&amp;T on &amp;D</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19BB6-FD94-4F58-97C8-957A68164CB0}">
  <sheetPr codeName="Sheet9"/>
  <dimension ref="A1:K64"/>
  <sheetViews>
    <sheetView showGridLines="0" view="pageBreakPreview" zoomScaleNormal="100" zoomScaleSheetLayoutView="100" workbookViewId="0">
      <selection activeCell="E55" sqref="E55"/>
    </sheetView>
  </sheetViews>
  <sheetFormatPr defaultColWidth="14.85546875" defaultRowHeight="15" x14ac:dyDescent="0.25"/>
  <cols>
    <col min="1" max="1" width="14.85546875" style="19" customWidth="1"/>
    <col min="2" max="2" width="17.85546875" style="19" customWidth="1"/>
    <col min="3" max="3" width="55.7109375" style="19" customWidth="1"/>
    <col min="4" max="4" width="8.7109375" style="19" customWidth="1"/>
    <col min="5" max="8" width="15.7109375" style="19" customWidth="1"/>
    <col min="9" max="9" width="20.7109375" style="19" customWidth="1"/>
    <col min="10" max="10" width="16.7109375" style="28" customWidth="1"/>
    <col min="11" max="11" width="15.7109375" style="19" customWidth="1"/>
    <col min="12" max="12" width="10.28515625" style="19" customWidth="1"/>
    <col min="13" max="16384" width="14.85546875" style="19"/>
  </cols>
  <sheetData>
    <row r="1" spans="1:11" ht="5.25" customHeight="1" thickBot="1" x14ac:dyDescent="0.3"/>
    <row r="2" spans="1:11" ht="19.899999999999999" customHeight="1" thickBot="1" x14ac:dyDescent="0.35">
      <c r="A2" s="2269" t="s">
        <v>44</v>
      </c>
      <c r="B2" s="2270"/>
      <c r="F2" s="21"/>
      <c r="G2" s="21"/>
      <c r="H2" s="21"/>
      <c r="I2" s="21"/>
      <c r="J2" s="520"/>
      <c r="K2" s="20"/>
    </row>
    <row r="3" spans="1:11" ht="27" customHeight="1" x14ac:dyDescent="0.25">
      <c r="A3" s="22"/>
    </row>
    <row r="4" spans="1:11" ht="5.25" customHeight="1" x14ac:dyDescent="0.25">
      <c r="A4" s="23"/>
      <c r="B4" s="24"/>
      <c r="C4" s="25"/>
      <c r="H4" s="23"/>
      <c r="I4" s="24"/>
      <c r="J4" s="74"/>
      <c r="K4" s="25"/>
    </row>
    <row r="5" spans="1:11" ht="14.25" customHeight="1" x14ac:dyDescent="0.25">
      <c r="A5" s="26" t="s">
        <v>40</v>
      </c>
      <c r="B5" s="28" t="str">
        <f>'Index and Structure'!B2</f>
        <v>Nicolo Superannuation fund</v>
      </c>
      <c r="C5" s="29"/>
      <c r="D5" s="1769"/>
      <c r="E5" s="1769"/>
      <c r="F5" s="30"/>
      <c r="G5" s="30"/>
      <c r="H5" s="31" t="s">
        <v>718</v>
      </c>
      <c r="I5" s="32" t="str">
        <f>'Index and Structure'!B5</f>
        <v>NICO0024</v>
      </c>
      <c r="K5" s="33"/>
    </row>
    <row r="6" spans="1:11" ht="14.25" customHeight="1" x14ac:dyDescent="0.25">
      <c r="A6" s="26" t="s">
        <v>719</v>
      </c>
      <c r="B6" s="28" t="s">
        <v>780</v>
      </c>
      <c r="C6" s="29"/>
      <c r="D6" s="1769"/>
      <c r="E6" s="1769"/>
      <c r="F6" s="30"/>
      <c r="G6" s="30"/>
      <c r="H6" s="34" t="s">
        <v>41</v>
      </c>
      <c r="I6" s="28" t="str">
        <f>'Index and Structure'!B6</f>
        <v>Liam Aubin</v>
      </c>
      <c r="J6" s="1802" t="s">
        <v>42</v>
      </c>
      <c r="K6" s="1803"/>
    </row>
    <row r="7" spans="1:11" ht="14.25" customHeight="1" x14ac:dyDescent="0.25">
      <c r="A7" s="36" t="s">
        <v>721</v>
      </c>
      <c r="B7" s="37" t="str">
        <f>'Index and Structure'!B4</f>
        <v>30 June 2022</v>
      </c>
      <c r="C7" s="38"/>
      <c r="D7" s="1769"/>
      <c r="E7" s="1769"/>
      <c r="F7" s="30"/>
      <c r="G7" s="30"/>
      <c r="H7" s="39" t="s">
        <v>43</v>
      </c>
      <c r="I7" s="40" t="str">
        <f>'Index and Structure'!B7</f>
        <v>Nicole Bryant</v>
      </c>
      <c r="J7" s="1804" t="s">
        <v>42</v>
      </c>
      <c r="K7" s="1805"/>
    </row>
    <row r="8" spans="1:11" ht="15" customHeight="1" x14ac:dyDescent="0.25"/>
    <row r="9" spans="1:11" ht="30" customHeight="1" x14ac:dyDescent="0.25">
      <c r="A9" s="42"/>
      <c r="B9" s="43"/>
      <c r="C9" s="43"/>
      <c r="D9" s="43"/>
      <c r="E9" s="43"/>
      <c r="F9" s="43"/>
      <c r="G9" s="43"/>
      <c r="H9" s="43"/>
      <c r="I9" s="342"/>
      <c r="J9" s="492"/>
      <c r="K9" s="44"/>
    </row>
    <row r="10" spans="1:11" s="45" customFormat="1" ht="13.5" customHeight="1" x14ac:dyDescent="0.2">
      <c r="A10" s="100"/>
      <c r="B10" s="101"/>
      <c r="C10" s="101"/>
      <c r="D10" s="101"/>
      <c r="E10" s="101"/>
      <c r="F10" s="101"/>
      <c r="G10" s="101"/>
      <c r="H10" s="102"/>
      <c r="I10" s="101"/>
      <c r="J10" s="710"/>
      <c r="K10" s="105"/>
    </row>
    <row r="11" spans="1:11" s="45" customFormat="1" ht="13.5" customHeight="1" x14ac:dyDescent="0.2">
      <c r="A11" s="1266" t="str">
        <f>B6</f>
        <v>Corporate Imputation Rate Determination</v>
      </c>
      <c r="B11" s="1263"/>
      <c r="C11" s="165"/>
      <c r="D11" s="165"/>
      <c r="E11" s="165"/>
      <c r="F11" s="165"/>
      <c r="G11" s="165"/>
      <c r="H11" s="165"/>
      <c r="I11" s="165"/>
      <c r="J11" s="240"/>
      <c r="K11" s="196"/>
    </row>
    <row r="12" spans="1:11" s="45" customFormat="1" ht="13.5" customHeight="1" x14ac:dyDescent="0.2">
      <c r="A12" s="197"/>
      <c r="B12" s="165"/>
      <c r="C12" s="165"/>
      <c r="D12" s="165"/>
      <c r="E12" s="165"/>
      <c r="F12" s="165"/>
      <c r="G12" s="165"/>
      <c r="H12" s="168"/>
      <c r="I12" s="1806"/>
      <c r="J12" s="591"/>
      <c r="K12" s="196"/>
    </row>
    <row r="13" spans="1:11" s="45" customFormat="1" ht="13.5" customHeight="1" x14ac:dyDescent="0.2">
      <c r="A13" s="197"/>
      <c r="B13" s="165"/>
      <c r="C13" s="201"/>
      <c r="D13" s="204"/>
      <c r="E13" s="204"/>
      <c r="F13" s="202"/>
      <c r="G13" s="247"/>
      <c r="H13" s="2392" t="s">
        <v>722</v>
      </c>
      <c r="I13" s="2392"/>
      <c r="J13" s="2392"/>
      <c r="K13" s="86"/>
    </row>
    <row r="14" spans="1:11" s="45" customFormat="1" ht="30" x14ac:dyDescent="0.2">
      <c r="A14" s="1807" t="s">
        <v>723</v>
      </c>
      <c r="B14" s="1808" t="s">
        <v>781</v>
      </c>
      <c r="C14" s="165"/>
      <c r="D14" s="202"/>
      <c r="E14" s="202"/>
      <c r="F14" s="202"/>
      <c r="G14" s="53"/>
      <c r="H14" s="1809" t="s">
        <v>139</v>
      </c>
      <c r="I14" s="1810" t="s">
        <v>725</v>
      </c>
      <c r="J14" s="1811" t="s">
        <v>782</v>
      </c>
      <c r="K14" s="86"/>
    </row>
    <row r="15" spans="1:11" s="45" customFormat="1" ht="13.5" customHeight="1" x14ac:dyDescent="0.2">
      <c r="A15" s="197"/>
      <c r="B15" s="201"/>
      <c r="C15" s="203" t="s">
        <v>727</v>
      </c>
      <c r="D15" s="202"/>
      <c r="E15" s="1812"/>
      <c r="F15" s="202"/>
      <c r="G15" s="1813"/>
      <c r="H15" s="1814" t="s">
        <v>728</v>
      </c>
      <c r="I15" s="1815" t="s">
        <v>729</v>
      </c>
      <c r="J15" s="1816">
        <v>0.3</v>
      </c>
      <c r="K15" s="86"/>
    </row>
    <row r="16" spans="1:11" s="45" customFormat="1" ht="13.5" customHeight="1" x14ac:dyDescent="0.2">
      <c r="A16" s="197"/>
      <c r="B16" s="165"/>
      <c r="C16" s="165"/>
      <c r="D16" s="202"/>
      <c r="E16" s="202"/>
      <c r="F16" s="204"/>
      <c r="G16" s="1813"/>
      <c r="H16" s="1814" t="s">
        <v>649</v>
      </c>
      <c r="I16" s="1815" t="s">
        <v>730</v>
      </c>
      <c r="J16" s="1817">
        <v>0.27500000000000002</v>
      </c>
      <c r="K16" s="86"/>
    </row>
    <row r="17" spans="1:11" s="45" customFormat="1" ht="13.5" customHeight="1" x14ac:dyDescent="0.2">
      <c r="A17" s="197"/>
      <c r="B17" s="201"/>
      <c r="C17" s="1818" t="s">
        <v>731</v>
      </c>
      <c r="D17" s="204"/>
      <c r="E17" s="204"/>
      <c r="F17" s="204"/>
      <c r="G17" s="1813"/>
      <c r="H17" s="1814" t="s">
        <v>732</v>
      </c>
      <c r="I17" s="1814" t="s">
        <v>733</v>
      </c>
      <c r="J17" s="1817">
        <v>0.27500000000000002</v>
      </c>
      <c r="K17" s="86"/>
    </row>
    <row r="18" spans="1:11" s="45" customFormat="1" ht="13.5" customHeight="1" x14ac:dyDescent="0.2">
      <c r="A18" s="197"/>
      <c r="B18" s="712"/>
      <c r="C18" s="201"/>
      <c r="D18" s="204"/>
      <c r="E18" s="1819"/>
      <c r="F18" s="204"/>
      <c r="G18" s="1820"/>
      <c r="H18" s="1821" t="s">
        <v>734</v>
      </c>
      <c r="I18" s="1814" t="s">
        <v>735</v>
      </c>
      <c r="J18" s="1817">
        <v>0.27500000000000002</v>
      </c>
      <c r="K18" s="86"/>
    </row>
    <row r="19" spans="1:11" s="45" customFormat="1" ht="13.5" customHeight="1" x14ac:dyDescent="0.2">
      <c r="A19" s="208"/>
      <c r="B19" s="712"/>
      <c r="C19" s="165"/>
      <c r="D19" s="165"/>
      <c r="E19" s="1561"/>
      <c r="F19" s="165"/>
      <c r="G19" s="1813"/>
      <c r="H19" s="1814" t="s">
        <v>736</v>
      </c>
      <c r="I19" s="1814" t="s">
        <v>735</v>
      </c>
      <c r="J19" s="1817">
        <v>0.27500000000000002</v>
      </c>
      <c r="K19" s="86"/>
    </row>
    <row r="20" spans="1:11" s="45" customFormat="1" ht="13.5" customHeight="1" x14ac:dyDescent="0.2">
      <c r="A20" s="344"/>
      <c r="B20" s="712"/>
      <c r="C20" s="1822" t="s">
        <v>737</v>
      </c>
      <c r="D20" s="165"/>
      <c r="E20" s="165"/>
      <c r="F20" s="165"/>
      <c r="G20" s="1813"/>
      <c r="H20" s="1814" t="s">
        <v>738</v>
      </c>
      <c r="I20" s="1814" t="s">
        <v>735</v>
      </c>
      <c r="J20" s="1817">
        <v>0.26</v>
      </c>
      <c r="K20" s="86"/>
    </row>
    <row r="21" spans="1:11" s="45" customFormat="1" ht="13.5" customHeight="1" x14ac:dyDescent="0.2">
      <c r="A21" s="344"/>
      <c r="B21" s="712"/>
      <c r="D21" s="165"/>
      <c r="E21" s="1561"/>
      <c r="F21" s="165"/>
      <c r="G21" s="1813"/>
      <c r="H21" s="1814" t="s">
        <v>739</v>
      </c>
      <c r="I21" s="1814" t="s">
        <v>735</v>
      </c>
      <c r="J21" s="1817">
        <v>0.25</v>
      </c>
      <c r="K21" s="86"/>
    </row>
    <row r="22" spans="1:11" s="45" customFormat="1" ht="13.5" customHeight="1" x14ac:dyDescent="0.2">
      <c r="A22" s="344"/>
      <c r="B22" s="712"/>
      <c r="C22" s="165"/>
      <c r="D22" s="165"/>
      <c r="E22" s="1561"/>
      <c r="F22" s="165"/>
      <c r="G22" s="148"/>
      <c r="H22" s="193"/>
      <c r="I22" s="1823"/>
      <c r="J22" s="1824"/>
      <c r="K22" s="86"/>
    </row>
    <row r="23" spans="1:11" s="45" customFormat="1" ht="13.5" customHeight="1" x14ac:dyDescent="0.2">
      <c r="A23" s="344"/>
      <c r="B23" s="712"/>
      <c r="C23" s="165"/>
      <c r="D23" s="165"/>
      <c r="E23" s="165"/>
      <c r="F23" s="165"/>
      <c r="G23" s="148"/>
      <c r="H23" s="165"/>
      <c r="I23" s="1825"/>
      <c r="J23" s="498"/>
      <c r="K23" s="86"/>
    </row>
    <row r="24" spans="1:11" s="45" customFormat="1" ht="13.5" customHeight="1" x14ac:dyDescent="0.2">
      <c r="A24" s="344"/>
      <c r="B24" s="712"/>
      <c r="C24" s="207" t="s">
        <v>740</v>
      </c>
      <c r="D24" s="165"/>
      <c r="E24" s="1826">
        <f>SUM(E15,E18:E19,E21:E22)</f>
        <v>0</v>
      </c>
      <c r="F24" s="165"/>
      <c r="G24" s="148"/>
      <c r="H24" s="1827"/>
      <c r="I24" s="1825"/>
      <c r="J24" s="498"/>
      <c r="K24" s="86"/>
    </row>
    <row r="25" spans="1:11" s="45" customFormat="1" ht="13.5" customHeight="1" x14ac:dyDescent="0.2">
      <c r="A25" s="344"/>
      <c r="B25" s="712"/>
      <c r="C25" s="165"/>
      <c r="D25" s="165"/>
      <c r="E25" s="165"/>
      <c r="F25" s="165"/>
      <c r="G25" s="148"/>
      <c r="H25" s="1828"/>
      <c r="I25" s="1825"/>
      <c r="J25" s="498"/>
      <c r="K25" s="86"/>
    </row>
    <row r="26" spans="1:11" s="45" customFormat="1" ht="30" customHeight="1" x14ac:dyDescent="0.2">
      <c r="A26" s="344"/>
      <c r="B26" s="712"/>
      <c r="C26" s="2393" t="s">
        <v>783</v>
      </c>
      <c r="D26" s="2394"/>
      <c r="E26" s="2394"/>
      <c r="F26" s="2395"/>
      <c r="G26" s="1813"/>
      <c r="H26" s="1829"/>
      <c r="I26" s="1830"/>
      <c r="J26" s="498"/>
      <c r="K26" s="86"/>
    </row>
    <row r="27" spans="1:11" s="45" customFormat="1" ht="30" customHeight="1" x14ac:dyDescent="0.2">
      <c r="A27" s="344"/>
      <c r="B27" s="712"/>
      <c r="C27" s="2393" t="s">
        <v>804</v>
      </c>
      <c r="D27" s="2394"/>
      <c r="E27" s="2394"/>
      <c r="F27" s="2395"/>
      <c r="G27" s="1813"/>
      <c r="H27" s="1829"/>
      <c r="I27" s="1830"/>
      <c r="J27" s="498"/>
      <c r="K27" s="86"/>
    </row>
    <row r="28" spans="1:11" s="45" customFormat="1" ht="13.5" customHeight="1" x14ac:dyDescent="0.2">
      <c r="A28" s="344"/>
      <c r="B28" s="712"/>
      <c r="C28" s="165"/>
      <c r="D28" s="202"/>
      <c r="E28" s="202"/>
      <c r="F28" s="202"/>
      <c r="G28" s="1813"/>
      <c r="H28" s="1829"/>
      <c r="I28" s="1830"/>
      <c r="J28" s="498"/>
      <c r="K28" s="86"/>
    </row>
    <row r="29" spans="1:11" s="45" customFormat="1" ht="13.5" customHeight="1" x14ac:dyDescent="0.2">
      <c r="A29" s="344"/>
      <c r="B29" s="712"/>
      <c r="C29" s="165"/>
      <c r="D29" s="202"/>
      <c r="E29" s="202"/>
      <c r="F29" s="204"/>
      <c r="G29" s="204"/>
      <c r="H29" s="53"/>
      <c r="I29" s="1831"/>
      <c r="J29" s="498"/>
      <c r="K29" s="86"/>
    </row>
    <row r="30" spans="1:11" s="45" customFormat="1" ht="13.5" customHeight="1" x14ac:dyDescent="0.2">
      <c r="A30" s="1807" t="s">
        <v>742</v>
      </c>
      <c r="B30" s="719" t="s">
        <v>784</v>
      </c>
      <c r="C30" s="345"/>
      <c r="D30" s="345"/>
      <c r="E30" s="345"/>
      <c r="F30" s="345"/>
      <c r="G30" s="345"/>
      <c r="H30" s="345"/>
      <c r="I30" s="1831"/>
      <c r="J30" s="498"/>
      <c r="K30" s="346"/>
    </row>
    <row r="31" spans="1:11" s="45" customFormat="1" ht="13.5" customHeight="1" x14ac:dyDescent="0.2">
      <c r="A31" s="197"/>
      <c r="B31" s="712"/>
      <c r="C31" s="203" t="s">
        <v>727</v>
      </c>
      <c r="D31" s="202"/>
      <c r="E31" s="1812"/>
      <c r="F31" s="345"/>
      <c r="G31" s="345"/>
      <c r="H31" s="345"/>
      <c r="I31" s="1831"/>
      <c r="J31" s="498"/>
      <c r="K31" s="346"/>
    </row>
    <row r="32" spans="1:11" s="45" customFormat="1" ht="13.5" customHeight="1" x14ac:dyDescent="0.2">
      <c r="A32" s="197"/>
      <c r="B32" s="712"/>
      <c r="C32" s="1832">
        <v>0.8</v>
      </c>
      <c r="D32" s="345"/>
      <c r="E32" s="1826">
        <f>E31*0.8</f>
        <v>0</v>
      </c>
      <c r="F32" s="345"/>
      <c r="G32" s="345"/>
      <c r="H32" s="345"/>
      <c r="I32" s="1831"/>
      <c r="J32" s="498"/>
      <c r="K32" s="346"/>
    </row>
    <row r="33" spans="1:11" s="45" customFormat="1" ht="13.5" customHeight="1" x14ac:dyDescent="0.2">
      <c r="A33" s="197"/>
      <c r="B33" s="712"/>
      <c r="C33" s="345"/>
      <c r="D33" s="345"/>
      <c r="E33" s="345"/>
      <c r="F33" s="345"/>
      <c r="G33" s="345"/>
      <c r="H33" s="345"/>
      <c r="I33" s="1831"/>
      <c r="J33" s="498"/>
      <c r="K33" s="346"/>
    </row>
    <row r="34" spans="1:11" s="45" customFormat="1" ht="13.5" customHeight="1" x14ac:dyDescent="0.2">
      <c r="A34" s="197"/>
      <c r="B34" s="712"/>
      <c r="C34" s="345"/>
      <c r="D34" s="345"/>
      <c r="E34" s="345"/>
      <c r="F34" s="345"/>
      <c r="G34" s="345"/>
      <c r="H34" s="345"/>
      <c r="I34" s="1831"/>
      <c r="J34" s="498"/>
      <c r="K34" s="346"/>
    </row>
    <row r="35" spans="1:11" s="45" customFormat="1" ht="13.5" customHeight="1" x14ac:dyDescent="0.2">
      <c r="A35" s="1807" t="s">
        <v>744</v>
      </c>
      <c r="B35" s="719" t="s">
        <v>785</v>
      </c>
      <c r="C35" s="345"/>
      <c r="D35" s="345"/>
      <c r="E35" s="345"/>
      <c r="F35" s="345"/>
      <c r="G35" s="345"/>
      <c r="H35" s="345"/>
      <c r="I35" s="1831"/>
      <c r="J35" s="498"/>
      <c r="K35" s="346"/>
    </row>
    <row r="36" spans="1:11" s="45" customFormat="1" ht="12.75" customHeight="1" x14ac:dyDescent="0.2">
      <c r="A36" s="197"/>
      <c r="B36" s="111" t="s">
        <v>746</v>
      </c>
      <c r="C36" s="51" t="s">
        <v>747</v>
      </c>
      <c r="D36" s="345"/>
      <c r="E36" s="1812"/>
      <c r="F36" s="345"/>
      <c r="G36" s="345"/>
      <c r="H36" s="345"/>
      <c r="I36" s="1831"/>
      <c r="J36" s="498"/>
      <c r="K36" s="346"/>
    </row>
    <row r="37" spans="1:11" s="45" customFormat="1" ht="12.75" customHeight="1" x14ac:dyDescent="0.2">
      <c r="A37" s="197"/>
      <c r="B37" s="111" t="s">
        <v>748</v>
      </c>
      <c r="C37" s="165" t="s">
        <v>749</v>
      </c>
      <c r="D37" s="165"/>
      <c r="E37" s="1812"/>
      <c r="F37" s="165"/>
      <c r="G37" s="165"/>
      <c r="H37" s="186"/>
      <c r="I37" s="1833"/>
      <c r="J37" s="498"/>
      <c r="K37" s="346"/>
    </row>
    <row r="38" spans="1:11" s="45" customFormat="1" ht="13.5" customHeight="1" x14ac:dyDescent="0.2">
      <c r="A38" s="197"/>
      <c r="B38" s="111"/>
      <c r="C38" s="2396" t="s">
        <v>750</v>
      </c>
      <c r="D38" s="165"/>
      <c r="E38" s="165"/>
      <c r="F38" s="165"/>
      <c r="G38" s="202"/>
      <c r="H38" s="1831"/>
      <c r="I38" s="1831"/>
      <c r="J38" s="498"/>
      <c r="K38" s="86"/>
    </row>
    <row r="39" spans="1:11" s="45" customFormat="1" ht="33" customHeight="1" x14ac:dyDescent="0.2">
      <c r="A39" s="197"/>
      <c r="B39" s="111"/>
      <c r="C39" s="2397"/>
      <c r="D39" s="165"/>
      <c r="E39" s="165"/>
      <c r="F39" s="165"/>
      <c r="G39" s="165"/>
      <c r="H39" s="165"/>
      <c r="I39" s="204"/>
      <c r="J39" s="240"/>
      <c r="K39" s="86"/>
    </row>
    <row r="40" spans="1:11" s="45" customFormat="1" ht="13.5" customHeight="1" x14ac:dyDescent="0.2">
      <c r="A40" s="197"/>
      <c r="B40" s="111" t="s">
        <v>751</v>
      </c>
      <c r="C40" s="165" t="s">
        <v>752</v>
      </c>
      <c r="D40" s="165"/>
      <c r="E40" s="1812"/>
      <c r="F40" s="165"/>
      <c r="G40" s="165"/>
      <c r="H40" s="165"/>
      <c r="I40" s="204"/>
      <c r="J40" s="240"/>
      <c r="K40" s="86"/>
    </row>
    <row r="41" spans="1:11" s="45" customFormat="1" ht="13.5" customHeight="1" x14ac:dyDescent="0.2">
      <c r="A41" s="197"/>
      <c r="B41" s="1834" t="s">
        <v>753</v>
      </c>
      <c r="C41" s="165" t="s">
        <v>123</v>
      </c>
      <c r="D41" s="165"/>
      <c r="E41" s="1812"/>
      <c r="F41" s="165"/>
      <c r="G41" s="165"/>
      <c r="H41" s="165"/>
      <c r="I41" s="204"/>
      <c r="J41" s="240"/>
      <c r="K41" s="217"/>
    </row>
    <row r="42" spans="1:11" s="45" customFormat="1" ht="13.5" customHeight="1" x14ac:dyDescent="0.2">
      <c r="A42" s="197"/>
      <c r="B42" s="1834" t="s">
        <v>754</v>
      </c>
      <c r="C42" s="168" t="s">
        <v>755</v>
      </c>
      <c r="D42" s="168"/>
      <c r="E42" s="1812"/>
      <c r="F42" s="168"/>
      <c r="G42" s="168"/>
      <c r="H42" s="168"/>
      <c r="I42" s="218"/>
      <c r="J42" s="240"/>
      <c r="K42" s="217"/>
    </row>
    <row r="43" spans="1:11" s="45" customFormat="1" ht="13.5" customHeight="1" x14ac:dyDescent="0.2">
      <c r="A43" s="197"/>
      <c r="B43" s="48" t="s">
        <v>756</v>
      </c>
      <c r="C43" s="168" t="s">
        <v>47</v>
      </c>
      <c r="D43" s="168"/>
      <c r="E43" s="1812"/>
      <c r="F43" s="168"/>
      <c r="G43" s="168"/>
      <c r="H43" s="168"/>
      <c r="I43" s="218"/>
      <c r="J43" s="240"/>
      <c r="K43" s="217"/>
    </row>
    <row r="44" spans="1:11" s="45" customFormat="1" ht="13.5" customHeight="1" x14ac:dyDescent="0.2">
      <c r="A44" s="197"/>
      <c r="B44" s="48" t="s">
        <v>757</v>
      </c>
      <c r="C44" s="168" t="s">
        <v>758</v>
      </c>
      <c r="D44" s="168"/>
      <c r="E44" s="1812"/>
      <c r="F44" s="168"/>
      <c r="G44" s="168"/>
      <c r="H44" s="168"/>
      <c r="I44" s="218"/>
      <c r="J44" s="240"/>
      <c r="K44" s="217"/>
    </row>
    <row r="45" spans="1:11" s="45" customFormat="1" ht="13.5" customHeight="1" x14ac:dyDescent="0.2">
      <c r="A45" s="197"/>
      <c r="B45" s="48" t="s">
        <v>759</v>
      </c>
      <c r="C45" s="168" t="s">
        <v>760</v>
      </c>
      <c r="D45" s="168"/>
      <c r="E45" s="1812"/>
      <c r="F45" s="168"/>
      <c r="G45" s="168"/>
      <c r="H45" s="168"/>
      <c r="I45" s="218"/>
      <c r="J45" s="240"/>
      <c r="K45" s="217"/>
    </row>
    <row r="46" spans="1:11" s="45" customFormat="1" ht="13.5" customHeight="1" x14ac:dyDescent="0.2">
      <c r="A46" s="197"/>
      <c r="B46" s="48" t="s">
        <v>761</v>
      </c>
      <c r="C46" s="168" t="s">
        <v>762</v>
      </c>
      <c r="D46" s="168"/>
      <c r="E46" s="1812"/>
      <c r="F46" s="1835" t="s">
        <v>763</v>
      </c>
      <c r="G46" s="168"/>
      <c r="H46" s="168"/>
      <c r="I46" s="218"/>
      <c r="J46" s="240"/>
      <c r="K46" s="217"/>
    </row>
    <row r="47" spans="1:11" s="45" customFormat="1" ht="13.5" customHeight="1" x14ac:dyDescent="0.2">
      <c r="A47" s="197"/>
      <c r="B47" s="63" t="s">
        <v>764</v>
      </c>
      <c r="C47" s="168" t="s">
        <v>765</v>
      </c>
      <c r="D47" s="168"/>
      <c r="E47" s="1812"/>
      <c r="F47" s="1835" t="s">
        <v>763</v>
      </c>
      <c r="G47" s="168"/>
      <c r="H47" s="168"/>
      <c r="I47" s="218"/>
      <c r="J47" s="240"/>
      <c r="K47" s="217"/>
    </row>
    <row r="48" spans="1:11" s="45" customFormat="1" ht="13.5" customHeight="1" x14ac:dyDescent="0.2">
      <c r="A48" s="197"/>
      <c r="B48" s="168"/>
      <c r="C48" s="168"/>
      <c r="D48" s="168"/>
      <c r="E48" s="168"/>
      <c r="F48" s="168"/>
      <c r="G48" s="168"/>
      <c r="H48" s="168"/>
      <c r="I48" s="218"/>
      <c r="J48" s="240"/>
      <c r="K48" s="217"/>
    </row>
    <row r="49" spans="1:11" s="45" customFormat="1" ht="13.5" customHeight="1" x14ac:dyDescent="0.2">
      <c r="A49" s="197"/>
      <c r="B49" s="168"/>
      <c r="C49" s="1836" t="s">
        <v>766</v>
      </c>
      <c r="D49" s="168"/>
      <c r="E49" s="1837">
        <f>SUM(E36:E47)</f>
        <v>0</v>
      </c>
      <c r="F49" s="168"/>
      <c r="G49" s="168"/>
      <c r="H49" s="168"/>
      <c r="I49" s="218"/>
      <c r="J49" s="240"/>
      <c r="K49" s="217"/>
    </row>
    <row r="50" spans="1:11" s="45" customFormat="1" ht="13.5" customHeight="1" x14ac:dyDescent="0.2">
      <c r="A50" s="197"/>
      <c r="B50" s="168"/>
      <c r="C50" s="168"/>
      <c r="D50" s="168"/>
      <c r="E50" s="168"/>
      <c r="F50" s="168"/>
      <c r="G50" s="168"/>
      <c r="H50" s="168"/>
      <c r="I50" s="218"/>
      <c r="J50" s="240"/>
      <c r="K50" s="217"/>
    </row>
    <row r="51" spans="1:11" s="45" customFormat="1" ht="13.5" customHeight="1" x14ac:dyDescent="0.2">
      <c r="A51" s="197"/>
      <c r="B51" s="168"/>
      <c r="C51" s="168"/>
      <c r="D51" s="168"/>
      <c r="E51" s="168"/>
      <c r="F51" s="168"/>
      <c r="G51" s="168"/>
      <c r="H51" s="168"/>
      <c r="I51" s="218"/>
      <c r="J51" s="240"/>
      <c r="K51" s="217"/>
    </row>
    <row r="52" spans="1:11" s="45" customFormat="1" ht="13.5" customHeight="1" x14ac:dyDescent="0.2">
      <c r="A52" s="1807" t="s">
        <v>767</v>
      </c>
      <c r="B52" s="1836" t="s">
        <v>768</v>
      </c>
      <c r="C52" s="168"/>
      <c r="D52" s="168"/>
      <c r="E52" s="1838" t="str">
        <f>IF(E49&gt;E32,"YES","NO")</f>
        <v>NO</v>
      </c>
      <c r="F52" s="168"/>
      <c r="G52" s="168"/>
      <c r="H52" s="168"/>
      <c r="I52" s="218"/>
      <c r="J52" s="240"/>
      <c r="K52" s="217"/>
    </row>
    <row r="53" spans="1:11" s="45" customFormat="1" ht="13.5" customHeight="1" x14ac:dyDescent="0.2">
      <c r="A53" s="1807"/>
      <c r="B53" s="168"/>
      <c r="C53" s="168"/>
      <c r="D53" s="168"/>
      <c r="E53" s="168"/>
      <c r="F53" s="168"/>
      <c r="G53" s="168"/>
      <c r="H53" s="168"/>
      <c r="I53" s="218"/>
      <c r="J53" s="240"/>
      <c r="K53" s="217"/>
    </row>
    <row r="54" spans="1:11" s="45" customFormat="1" ht="13.5" customHeight="1" x14ac:dyDescent="0.2">
      <c r="A54" s="1807" t="s">
        <v>769</v>
      </c>
      <c r="B54" s="1836" t="s">
        <v>786</v>
      </c>
      <c r="C54" s="168"/>
      <c r="D54" s="168"/>
      <c r="E54" s="1933">
        <f>IF($E$52="NO",$J$21,0.3)</f>
        <v>0.25</v>
      </c>
      <c r="F54" s="168"/>
      <c r="G54" s="168"/>
      <c r="H54" s="168"/>
      <c r="I54" s="218"/>
      <c r="J54" s="240"/>
      <c r="K54" s="217"/>
    </row>
    <row r="55" spans="1:11" s="45" customFormat="1" ht="13.5" customHeight="1" x14ac:dyDescent="0.2">
      <c r="A55" s="1807"/>
      <c r="B55" s="168"/>
      <c r="C55" s="168"/>
      <c r="D55" s="168"/>
      <c r="E55" s="168"/>
      <c r="F55" s="168"/>
      <c r="G55" s="168"/>
      <c r="H55" s="168"/>
      <c r="I55" s="218"/>
      <c r="J55" s="240"/>
      <c r="K55" s="217"/>
    </row>
    <row r="56" spans="1:11" s="45" customFormat="1" ht="13.5" customHeight="1" x14ac:dyDescent="0.2">
      <c r="A56" s="1807"/>
      <c r="B56" s="168"/>
      <c r="C56" s="168"/>
      <c r="D56" s="168"/>
      <c r="E56" s="168"/>
      <c r="F56" s="168"/>
      <c r="G56" s="168"/>
      <c r="H56" s="168"/>
      <c r="I56" s="218"/>
      <c r="J56" s="240"/>
      <c r="K56" s="217"/>
    </row>
    <row r="57" spans="1:11" s="45" customFormat="1" ht="13.5" customHeight="1" x14ac:dyDescent="0.2">
      <c r="A57" s="1839" t="s">
        <v>771</v>
      </c>
      <c r="B57" s="1836"/>
      <c r="C57" s="168"/>
      <c r="D57" s="168"/>
      <c r="E57" s="168"/>
      <c r="F57" s="168"/>
      <c r="G57" s="168"/>
      <c r="H57" s="168"/>
      <c r="I57" s="218"/>
      <c r="J57" s="240"/>
      <c r="K57" s="217"/>
    </row>
    <row r="58" spans="1:11" s="45" customFormat="1" ht="13.5" customHeight="1" x14ac:dyDescent="0.2">
      <c r="A58" s="1807"/>
      <c r="B58" s="1836" t="s">
        <v>772</v>
      </c>
      <c r="C58" s="168" t="s">
        <v>773</v>
      </c>
      <c r="D58" s="168"/>
      <c r="E58" s="168"/>
      <c r="F58" s="168"/>
      <c r="G58" s="168"/>
      <c r="H58" s="168"/>
      <c r="I58" s="218"/>
      <c r="J58" s="240"/>
      <c r="K58" s="217"/>
    </row>
    <row r="59" spans="1:11" s="45" customFormat="1" ht="13.5" customHeight="1" x14ac:dyDescent="0.2">
      <c r="A59" s="197"/>
      <c r="B59" s="1836" t="s">
        <v>774</v>
      </c>
      <c r="C59" s="168" t="s">
        <v>775</v>
      </c>
      <c r="D59" s="1840" t="s">
        <v>776</v>
      </c>
      <c r="E59" s="168"/>
      <c r="F59" s="168"/>
      <c r="G59" s="168"/>
      <c r="H59" s="168"/>
      <c r="I59" s="218"/>
      <c r="J59" s="240"/>
      <c r="K59" s="217"/>
    </row>
    <row r="60" spans="1:11" s="45" customFormat="1" ht="13.5" customHeight="1" x14ac:dyDescent="0.2">
      <c r="A60" s="197"/>
      <c r="B60" s="1836" t="s">
        <v>777</v>
      </c>
      <c r="C60" s="168" t="s">
        <v>778</v>
      </c>
      <c r="D60" s="1840" t="s">
        <v>779</v>
      </c>
      <c r="E60" s="168"/>
      <c r="F60" s="168"/>
      <c r="G60" s="168"/>
      <c r="H60" s="168"/>
      <c r="I60" s="218"/>
      <c r="J60" s="167"/>
      <c r="K60" s="217"/>
    </row>
    <row r="61" spans="1:11" s="45" customFormat="1" ht="13.5" customHeight="1" x14ac:dyDescent="0.2">
      <c r="A61" s="197"/>
      <c r="B61" s="1836"/>
      <c r="C61" s="168"/>
      <c r="D61" s="168"/>
      <c r="E61" s="168"/>
      <c r="F61" s="168"/>
      <c r="G61" s="168"/>
      <c r="H61" s="168"/>
      <c r="I61" s="218"/>
      <c r="J61" s="167"/>
      <c r="K61" s="217"/>
    </row>
    <row r="62" spans="1:11" s="45" customFormat="1" ht="13.5" customHeight="1" x14ac:dyDescent="0.2">
      <c r="A62" s="197"/>
      <c r="B62" s="1836"/>
      <c r="C62" s="168"/>
      <c r="D62" s="168"/>
      <c r="E62" s="168"/>
      <c r="F62" s="168"/>
      <c r="G62" s="168"/>
      <c r="H62" s="168"/>
      <c r="I62" s="218"/>
      <c r="J62" s="167"/>
      <c r="K62" s="217"/>
    </row>
    <row r="63" spans="1:11" s="45" customFormat="1" ht="13.5" customHeight="1" x14ac:dyDescent="0.2">
      <c r="A63" s="197"/>
      <c r="B63" s="168"/>
      <c r="C63" s="168"/>
      <c r="D63" s="168"/>
      <c r="E63" s="168"/>
      <c r="F63" s="168"/>
      <c r="G63" s="168"/>
      <c r="H63" s="168"/>
      <c r="I63" s="218"/>
      <c r="J63" s="167"/>
      <c r="K63" s="217"/>
    </row>
    <row r="64" spans="1:11" s="45" customFormat="1" ht="13.5" customHeight="1" x14ac:dyDescent="0.2">
      <c r="A64" s="138"/>
      <c r="B64" s="66"/>
      <c r="C64" s="67"/>
      <c r="D64" s="67"/>
      <c r="E64" s="67"/>
      <c r="F64" s="66"/>
      <c r="G64" s="66"/>
      <c r="H64" s="66"/>
      <c r="I64" s="68"/>
      <c r="J64" s="711"/>
      <c r="K64" s="54"/>
    </row>
  </sheetData>
  <mergeCells count="5">
    <mergeCell ref="A2:B2"/>
    <mergeCell ref="H13:J13"/>
    <mergeCell ref="C26:F26"/>
    <mergeCell ref="C27:F27"/>
    <mergeCell ref="C38:C39"/>
  </mergeCells>
  <hyperlinks>
    <hyperlink ref="A2" location="'Index and Structure'!A1" display="The Macro Group" xr:uid="{D7FA0B11-9FF0-4E41-A12B-EACDE5159E69}"/>
    <hyperlink ref="D59" r:id="rId1" xr:uid="{C3D2857A-6B9D-41DB-926F-0192C3D1D88F}"/>
    <hyperlink ref="D60" r:id="rId2" xr:uid="{6B53C62D-3875-4C13-A488-A043AB2CE061}"/>
  </hyperlinks>
  <pageMargins left="0.74803149606299213" right="0.39370078740157483" top="0.55118110236220474" bottom="0.62992125984251968" header="0.51181102362204722" footer="0.47244094488188981"/>
  <pageSetup paperSize="9" scale="43" orientation="portrait" r:id="rId3"/>
  <headerFooter alignWithMargins="0">
    <oddFooter>&amp;LPrinted:&amp;T on &amp;D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6167"/>
  <dimension ref="A1:H60"/>
  <sheetViews>
    <sheetView showGridLines="0" topLeftCell="A31" zoomScale="115" zoomScaleNormal="115" zoomScaleSheetLayoutView="100" workbookViewId="0">
      <selection activeCell="H50" sqref="H50"/>
    </sheetView>
  </sheetViews>
  <sheetFormatPr defaultColWidth="9.140625" defaultRowHeight="15" x14ac:dyDescent="0.25"/>
  <cols>
    <col min="1" max="1" width="11.7109375" style="19" customWidth="1"/>
    <col min="2" max="2" width="11.42578125" style="19" customWidth="1"/>
    <col min="3" max="3" width="14.140625" style="19" customWidth="1"/>
    <col min="4" max="4" width="13.140625" style="19" customWidth="1"/>
    <col min="5" max="5" width="13.85546875" style="19" customWidth="1"/>
    <col min="6" max="6" width="17.140625" style="19" customWidth="1"/>
    <col min="7" max="7" width="14.140625" style="19" customWidth="1"/>
    <col min="8" max="8" width="10.8554687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E2" s="21"/>
      <c r="F2" s="21"/>
      <c r="G2" s="21"/>
      <c r="H2" s="20"/>
    </row>
    <row r="3" spans="1:8" ht="27" customHeight="1" x14ac:dyDescent="0.25">
      <c r="A3" s="22"/>
    </row>
    <row r="4" spans="1:8" ht="19.5" customHeight="1" x14ac:dyDescent="0.25">
      <c r="A4" s="21"/>
    </row>
    <row r="5" spans="1:8" ht="5.25" customHeight="1" x14ac:dyDescent="0.25">
      <c r="A5" s="23"/>
      <c r="B5" s="24"/>
      <c r="C5" s="25"/>
      <c r="E5" s="23"/>
      <c r="F5" s="24"/>
      <c r="G5" s="24"/>
      <c r="H5" s="25"/>
    </row>
    <row r="6" spans="1:8" ht="14.25" customHeight="1" x14ac:dyDescent="0.25">
      <c r="A6" s="77" t="s">
        <v>40</v>
      </c>
      <c r="B6" s="28" t="str">
        <f>'Index and Structure'!B2</f>
        <v>Nicolo Superannuation fund</v>
      </c>
      <c r="C6" s="29"/>
      <c r="D6" s="30"/>
      <c r="E6" s="232" t="s">
        <v>38</v>
      </c>
      <c r="F6" s="32" t="str">
        <f>'Index and Structure'!B5</f>
        <v>NICO0024</v>
      </c>
      <c r="H6" s="33"/>
    </row>
    <row r="7" spans="1:8" ht="14.25" customHeight="1" x14ac:dyDescent="0.25">
      <c r="A7" s="77" t="s">
        <v>45</v>
      </c>
      <c r="B7" s="28" t="str">
        <f>'Index and Structure'!A26</f>
        <v>Employee Loan - FBT</v>
      </c>
      <c r="C7" s="29"/>
      <c r="D7" s="30"/>
      <c r="E7" s="78" t="s">
        <v>41</v>
      </c>
      <c r="F7" s="28" t="str">
        <f>'Index and Structure'!B6</f>
        <v>Liam Aubin</v>
      </c>
      <c r="G7" s="145" t="s">
        <v>42</v>
      </c>
      <c r="H7" s="35"/>
    </row>
    <row r="8" spans="1:8" ht="14.25" customHeight="1" x14ac:dyDescent="0.25">
      <c r="A8" s="79" t="s">
        <v>46</v>
      </c>
      <c r="B8" s="37" t="str">
        <f>'Index and Structure'!B4</f>
        <v>30 June 2022</v>
      </c>
      <c r="C8" s="38"/>
      <c r="D8" s="30"/>
      <c r="E8" s="80" t="s">
        <v>43</v>
      </c>
      <c r="F8" s="40" t="str">
        <f>'Index and Structure'!B7</f>
        <v>Nicole Bryant</v>
      </c>
      <c r="G8" s="1869" t="s">
        <v>42</v>
      </c>
      <c r="H8" s="41"/>
    </row>
    <row r="9" spans="1:8" ht="12" customHeight="1" x14ac:dyDescent="0.25"/>
    <row r="10" spans="1:8" ht="30" customHeight="1" x14ac:dyDescent="0.25">
      <c r="A10" s="42"/>
      <c r="B10" s="43"/>
      <c r="C10" s="43"/>
      <c r="D10" s="43"/>
      <c r="E10" s="43"/>
      <c r="F10" s="342">
        <f>'Index and Structure'!D4</f>
        <v>2022</v>
      </c>
      <c r="G10" s="43"/>
      <c r="H10" s="44"/>
    </row>
    <row r="11" spans="1:8" s="45" customFormat="1" ht="13.5" customHeight="1" x14ac:dyDescent="0.2">
      <c r="A11" s="100"/>
      <c r="B11" s="101"/>
      <c r="C11" s="101"/>
      <c r="D11" s="101"/>
      <c r="E11" s="102"/>
      <c r="F11" s="101"/>
      <c r="G11" s="510"/>
      <c r="H11" s="105"/>
    </row>
    <row r="12" spans="1:8" s="45" customFormat="1" ht="13.5" customHeight="1" thickBot="1" x14ac:dyDescent="0.25">
      <c r="A12" s="1266" t="str">
        <f>B7</f>
        <v>Employee Loan - FBT</v>
      </c>
      <c r="B12" s="1263"/>
      <c r="C12" s="48"/>
      <c r="D12" s="48"/>
      <c r="E12" s="48"/>
      <c r="F12" s="1873">
        <f>F26</f>
        <v>0</v>
      </c>
      <c r="G12" s="186"/>
      <c r="H12" s="71"/>
    </row>
    <row r="13" spans="1:8" s="45" customFormat="1" ht="13.5" customHeight="1" thickTop="1" x14ac:dyDescent="0.2">
      <c r="A13" s="106"/>
      <c r="B13" s="51"/>
      <c r="C13" s="48"/>
      <c r="D13" s="48"/>
      <c r="E13" s="48"/>
      <c r="F13" s="150"/>
      <c r="G13" s="186"/>
      <c r="H13" s="71"/>
    </row>
    <row r="14" spans="1:8" s="45" customFormat="1" ht="13.5" customHeight="1" x14ac:dyDescent="0.2">
      <c r="A14" s="106"/>
      <c r="B14" s="51"/>
      <c r="C14" s="47"/>
      <c r="D14" s="49"/>
      <c r="E14" s="48"/>
      <c r="F14" s="149"/>
      <c r="G14" s="186"/>
      <c r="H14" s="65"/>
    </row>
    <row r="15" spans="1:8" s="45" customFormat="1" ht="13.5" customHeight="1" x14ac:dyDescent="0.2">
      <c r="A15" s="106"/>
      <c r="B15" s="443" t="s">
        <v>86</v>
      </c>
      <c r="C15" s="51"/>
      <c r="D15" s="52"/>
      <c r="E15" s="48"/>
      <c r="F15" s="151"/>
      <c r="G15" s="186"/>
      <c r="H15" s="65"/>
    </row>
    <row r="16" spans="1:8" s="45" customFormat="1" ht="13.5" customHeight="1" x14ac:dyDescent="0.2">
      <c r="A16" s="106"/>
      <c r="B16" s="50"/>
      <c r="C16" s="47"/>
      <c r="D16" s="52"/>
      <c r="E16" s="48"/>
      <c r="F16" s="149"/>
      <c r="G16" s="186"/>
      <c r="H16" s="65"/>
    </row>
    <row r="17" spans="1:8" s="45" customFormat="1" ht="13.5" customHeight="1" x14ac:dyDescent="0.2">
      <c r="A17" s="106"/>
      <c r="B17" s="51"/>
      <c r="C17" s="47"/>
      <c r="D17" s="209"/>
      <c r="E17" s="186"/>
      <c r="F17" s="149"/>
      <c r="G17" s="186"/>
      <c r="H17" s="65"/>
    </row>
    <row r="18" spans="1:8" s="45" customFormat="1" ht="13.5" customHeight="1" x14ac:dyDescent="0.2">
      <c r="A18" s="511"/>
      <c r="B18" s="1870" t="s">
        <v>65</v>
      </c>
      <c r="C18" s="47"/>
      <c r="D18" s="209"/>
      <c r="E18" s="186"/>
      <c r="F18" s="151"/>
      <c r="G18" s="186"/>
      <c r="H18" s="65"/>
    </row>
    <row r="19" spans="1:8" s="45" customFormat="1" ht="13.5" customHeight="1" x14ac:dyDescent="0.2">
      <c r="A19" s="511"/>
      <c r="B19" s="1870"/>
      <c r="C19" s="47"/>
      <c r="D19" s="209"/>
      <c r="E19" s="53"/>
      <c r="F19" s="151"/>
      <c r="G19" s="186"/>
      <c r="H19" s="65"/>
    </row>
    <row r="20" spans="1:8" s="45" customFormat="1" ht="13.5" customHeight="1" x14ac:dyDescent="0.2">
      <c r="A20" s="511"/>
      <c r="B20" s="1870"/>
      <c r="C20" s="47"/>
      <c r="D20" s="209"/>
      <c r="E20" s="53"/>
      <c r="F20" s="151"/>
      <c r="G20" s="186"/>
      <c r="H20" s="65"/>
    </row>
    <row r="21" spans="1:8" s="45" customFormat="1" ht="13.5" customHeight="1" x14ac:dyDescent="0.2">
      <c r="A21" s="511"/>
      <c r="B21" s="1870"/>
      <c r="C21" s="51"/>
      <c r="D21" s="209"/>
      <c r="E21" s="53"/>
      <c r="F21" s="157"/>
      <c r="G21" s="186"/>
      <c r="H21" s="65"/>
    </row>
    <row r="22" spans="1:8" s="45" customFormat="1" x14ac:dyDescent="0.2">
      <c r="A22" s="511"/>
      <c r="B22" s="1870" t="s">
        <v>51</v>
      </c>
      <c r="C22" s="51"/>
      <c r="D22" s="209"/>
      <c r="E22" s="512"/>
      <c r="F22" s="450"/>
      <c r="G22" s="186"/>
      <c r="H22" s="65"/>
    </row>
    <row r="23" spans="1:8" s="45" customFormat="1" ht="13.5" customHeight="1" x14ac:dyDescent="0.2">
      <c r="A23" s="451"/>
      <c r="B23" s="51"/>
      <c r="C23" s="51"/>
      <c r="D23" s="209"/>
      <c r="E23" s="512"/>
      <c r="F23" s="450"/>
      <c r="G23" s="186"/>
      <c r="H23" s="65"/>
    </row>
    <row r="24" spans="1:8" s="45" customFormat="1" ht="13.5" customHeight="1" x14ac:dyDescent="0.2">
      <c r="A24" s="451"/>
      <c r="B24" s="51"/>
      <c r="C24" s="51"/>
      <c r="D24" s="209"/>
      <c r="E24" s="512"/>
      <c r="F24" s="450"/>
      <c r="G24" s="186"/>
      <c r="H24" s="65"/>
    </row>
    <row r="25" spans="1:8" s="45" customFormat="1" ht="12.75" customHeight="1" x14ac:dyDescent="0.2">
      <c r="A25" s="106"/>
      <c r="B25" s="51"/>
      <c r="C25" s="51"/>
      <c r="D25" s="51"/>
      <c r="E25" s="186"/>
      <c r="F25" s="452"/>
      <c r="G25" s="186"/>
      <c r="H25" s="65"/>
    </row>
    <row r="26" spans="1:8" s="45" customFormat="1" ht="13.5" customHeight="1" thickBot="1" x14ac:dyDescent="0.25">
      <c r="A26" s="106"/>
      <c r="B26" s="443" t="s">
        <v>790</v>
      </c>
      <c r="C26" s="51"/>
      <c r="D26" s="48"/>
      <c r="E26" s="186"/>
      <c r="F26" s="1872">
        <f>F15+SUM(F18:F20)-SUM(F22:F24)</f>
        <v>0</v>
      </c>
      <c r="G26" s="186"/>
      <c r="H26" s="65"/>
    </row>
    <row r="27" spans="1:8" s="45" customFormat="1" ht="13.5" customHeight="1" thickTop="1" x14ac:dyDescent="0.2">
      <c r="A27" s="106"/>
      <c r="B27" s="48"/>
      <c r="C27" s="51"/>
      <c r="D27" s="48"/>
      <c r="E27" s="48"/>
      <c r="F27" s="52"/>
      <c r="G27" s="186"/>
      <c r="H27" s="65"/>
    </row>
    <row r="28" spans="1:8" s="45" customFormat="1" ht="13.5" customHeight="1" x14ac:dyDescent="0.2">
      <c r="A28" s="106"/>
      <c r="B28" s="48"/>
      <c r="C28" s="51"/>
      <c r="D28" s="48"/>
      <c r="E28" s="48"/>
      <c r="F28" s="52"/>
      <c r="G28" s="48"/>
      <c r="H28" s="65"/>
    </row>
    <row r="29" spans="1:8" s="45" customFormat="1" ht="13.5" customHeight="1" x14ac:dyDescent="0.2">
      <c r="A29" s="1691" t="s">
        <v>141</v>
      </c>
      <c r="B29" s="110"/>
      <c r="C29" s="110"/>
      <c r="D29" s="110"/>
      <c r="E29" s="515">
        <v>5.3699999999999998E-2</v>
      </c>
      <c r="F29" s="155" t="s">
        <v>143</v>
      </c>
      <c r="G29" s="110" t="s">
        <v>736</v>
      </c>
      <c r="H29" s="65"/>
    </row>
    <row r="30" spans="1:8" s="45" customFormat="1" ht="13.5" customHeight="1" x14ac:dyDescent="0.2">
      <c r="A30" s="1691"/>
      <c r="B30" s="110"/>
      <c r="C30" s="110"/>
      <c r="D30" s="110"/>
      <c r="E30" s="515"/>
      <c r="F30" s="156"/>
      <c r="G30" s="514"/>
      <c r="H30" s="65"/>
    </row>
    <row r="31" spans="1:8" s="45" customFormat="1" ht="13.5" customHeight="1" x14ac:dyDescent="0.2">
      <c r="A31" s="1691" t="s">
        <v>141</v>
      </c>
      <c r="B31" s="110"/>
      <c r="C31" s="110"/>
      <c r="D31" s="110"/>
      <c r="E31" s="515">
        <v>4.8000000000000001E-2</v>
      </c>
      <c r="F31" s="155" t="s">
        <v>142</v>
      </c>
      <c r="G31" s="110">
        <v>2021</v>
      </c>
      <c r="H31" s="65"/>
    </row>
    <row r="32" spans="1:8" s="45" customFormat="1" ht="13.5" customHeight="1" x14ac:dyDescent="0.2">
      <c r="A32" s="1691"/>
      <c r="B32" s="110"/>
      <c r="C32" s="110"/>
      <c r="D32" s="110"/>
      <c r="E32" s="515"/>
      <c r="F32" s="1871"/>
      <c r="G32" s="110"/>
      <c r="H32" s="65"/>
    </row>
    <row r="33" spans="1:8" s="45" customFormat="1" ht="13.5" customHeight="1" x14ac:dyDescent="0.2">
      <c r="A33" s="109"/>
      <c r="B33" s="110"/>
      <c r="C33" s="110"/>
      <c r="D33" s="110"/>
      <c r="E33" s="110"/>
      <c r="G33" s="110"/>
      <c r="H33" s="65"/>
    </row>
    <row r="34" spans="1:8" s="45" customFormat="1" ht="13.5" customHeight="1" x14ac:dyDescent="0.2">
      <c r="A34" s="239"/>
      <c r="B34" s="468"/>
      <c r="C34" s="158"/>
      <c r="D34" s="121"/>
      <c r="E34" s="121" t="s">
        <v>5</v>
      </c>
      <c r="F34" s="158" t="s">
        <v>5</v>
      </c>
      <c r="G34" s="110"/>
      <c r="H34" s="65"/>
    </row>
    <row r="35" spans="1:8" s="45" customFormat="1" ht="13.5" customHeight="1" x14ac:dyDescent="0.2">
      <c r="A35" s="239" t="s">
        <v>30</v>
      </c>
      <c r="B35" s="468" t="s">
        <v>72</v>
      </c>
      <c r="C35" s="158" t="s">
        <v>34</v>
      </c>
      <c r="D35" s="121" t="s">
        <v>136</v>
      </c>
      <c r="E35" s="121" t="s">
        <v>579</v>
      </c>
      <c r="F35" s="158" t="s">
        <v>137</v>
      </c>
      <c r="G35" s="110"/>
      <c r="H35" s="65"/>
    </row>
    <row r="36" spans="1:8" s="45" customFormat="1" ht="13.5" customHeight="1" x14ac:dyDescent="0.2">
      <c r="A36" s="469">
        <f>DATE(0+'Index and Structure'!$D$4-1,7,1)</f>
        <v>44378</v>
      </c>
      <c r="B36" s="470" t="s">
        <v>251</v>
      </c>
      <c r="C36" s="471"/>
      <c r="D36" s="377">
        <f>F15</f>
        <v>0</v>
      </c>
      <c r="E36" s="1576"/>
      <c r="F36" s="472"/>
      <c r="G36" s="110"/>
      <c r="H36" s="65"/>
    </row>
    <row r="37" spans="1:8" s="45" customFormat="1" ht="13.5" customHeight="1" x14ac:dyDescent="0.2">
      <c r="A37" s="469">
        <f>DATE(0+'Index and Structure'!$D$4-1,7,1)</f>
        <v>44378</v>
      </c>
      <c r="B37" s="473"/>
      <c r="C37" s="450"/>
      <c r="D37" s="377">
        <f>D36+C37</f>
        <v>0</v>
      </c>
      <c r="E37" s="1576">
        <f>$E$29</f>
        <v>5.3699999999999998E-2</v>
      </c>
      <c r="F37" s="377">
        <f>(A37-A36)/365*E37*D36</f>
        <v>0</v>
      </c>
      <c r="G37" s="110"/>
      <c r="H37" s="65"/>
    </row>
    <row r="38" spans="1:8" s="45" customFormat="1" ht="13.5" customHeight="1" x14ac:dyDescent="0.2">
      <c r="A38" s="469">
        <f>DATE(0+'Index and Structure'!$D$4-1,7,1)</f>
        <v>44378</v>
      </c>
      <c r="B38" s="473"/>
      <c r="C38" s="450"/>
      <c r="D38" s="377">
        <f>D37+C38</f>
        <v>0</v>
      </c>
      <c r="E38" s="1576">
        <f t="shared" ref="E38:E47" si="0">$E$29</f>
        <v>5.3699999999999998E-2</v>
      </c>
      <c r="F38" s="377">
        <f t="shared" ref="F38:F52" si="1">(A38-A37)/365*E38*D37</f>
        <v>0</v>
      </c>
      <c r="G38" s="110"/>
      <c r="H38" s="65"/>
    </row>
    <row r="39" spans="1:8" s="45" customFormat="1" ht="13.5" customHeight="1" x14ac:dyDescent="0.2">
      <c r="A39" s="469">
        <f>DATE(0+'Index and Structure'!$D$4-1,7,31)</f>
        <v>44408</v>
      </c>
      <c r="B39" s="473"/>
      <c r="C39" s="450"/>
      <c r="D39" s="377">
        <f t="shared" ref="D39:D52" si="2">D38+C39</f>
        <v>0</v>
      </c>
      <c r="E39" s="1576">
        <f t="shared" si="0"/>
        <v>5.3699999999999998E-2</v>
      </c>
      <c r="F39" s="377">
        <f t="shared" si="1"/>
        <v>0</v>
      </c>
      <c r="G39" s="110"/>
      <c r="H39" s="65"/>
    </row>
    <row r="40" spans="1:8" s="45" customFormat="1" ht="13.5" customHeight="1" x14ac:dyDescent="0.2">
      <c r="A40" s="469">
        <f>DATE(0+'Index and Structure'!$D$4-1,8,31)</f>
        <v>44439</v>
      </c>
      <c r="B40" s="473"/>
      <c r="C40" s="450"/>
      <c r="D40" s="377">
        <f t="shared" si="2"/>
        <v>0</v>
      </c>
      <c r="E40" s="1576">
        <f t="shared" si="0"/>
        <v>5.3699999999999998E-2</v>
      </c>
      <c r="F40" s="377">
        <f t="shared" si="1"/>
        <v>0</v>
      </c>
      <c r="G40" s="110"/>
      <c r="H40" s="65"/>
    </row>
    <row r="41" spans="1:8" s="45" customFormat="1" ht="13.5" customHeight="1" x14ac:dyDescent="0.2">
      <c r="A41" s="469">
        <f>DATE(0+'Index and Structure'!$D$4-1,9,30)</f>
        <v>44469</v>
      </c>
      <c r="B41" s="473"/>
      <c r="C41" s="450"/>
      <c r="D41" s="377">
        <f t="shared" si="2"/>
        <v>0</v>
      </c>
      <c r="E41" s="1576">
        <f t="shared" si="0"/>
        <v>5.3699999999999998E-2</v>
      </c>
      <c r="F41" s="377">
        <f t="shared" si="1"/>
        <v>0</v>
      </c>
      <c r="G41" s="110"/>
      <c r="H41" s="65"/>
    </row>
    <row r="42" spans="1:8" s="45" customFormat="1" ht="13.5" customHeight="1" x14ac:dyDescent="0.2">
      <c r="A42" s="469">
        <f>DATE(0+'Index and Structure'!$D$4-1,10,31)</f>
        <v>44500</v>
      </c>
      <c r="B42" s="473"/>
      <c r="C42" s="450"/>
      <c r="D42" s="377">
        <f t="shared" si="2"/>
        <v>0</v>
      </c>
      <c r="E42" s="1576">
        <f t="shared" si="0"/>
        <v>5.3699999999999998E-2</v>
      </c>
      <c r="F42" s="377">
        <f t="shared" si="1"/>
        <v>0</v>
      </c>
      <c r="G42" s="110"/>
      <c r="H42" s="65"/>
    </row>
    <row r="43" spans="1:8" s="45" customFormat="1" ht="13.5" customHeight="1" x14ac:dyDescent="0.2">
      <c r="A43" s="469">
        <f>DATE(0+'Index and Structure'!$D$4-1,11,30)</f>
        <v>44530</v>
      </c>
      <c r="B43" s="473"/>
      <c r="C43" s="450"/>
      <c r="D43" s="377">
        <f t="shared" si="2"/>
        <v>0</v>
      </c>
      <c r="E43" s="1576">
        <f t="shared" si="0"/>
        <v>5.3699999999999998E-2</v>
      </c>
      <c r="F43" s="377">
        <f t="shared" si="1"/>
        <v>0</v>
      </c>
      <c r="G43" s="110"/>
      <c r="H43" s="65"/>
    </row>
    <row r="44" spans="1:8" s="45" customFormat="1" ht="13.5" customHeight="1" x14ac:dyDescent="0.2">
      <c r="A44" s="469">
        <f>DATE(0+'Index and Structure'!$D$4-1,12,31)</f>
        <v>44561</v>
      </c>
      <c r="B44" s="473"/>
      <c r="C44" s="450"/>
      <c r="D44" s="377">
        <f t="shared" si="2"/>
        <v>0</v>
      </c>
      <c r="E44" s="1576">
        <f t="shared" si="0"/>
        <v>5.3699999999999998E-2</v>
      </c>
      <c r="F44" s="377">
        <f t="shared" si="1"/>
        <v>0</v>
      </c>
      <c r="G44" s="110"/>
      <c r="H44" s="65"/>
    </row>
    <row r="45" spans="1:8" s="45" customFormat="1" ht="13.5" customHeight="1" x14ac:dyDescent="0.2">
      <c r="A45" s="469">
        <f>DATE(0+'Index and Structure'!$D$4,1,31)</f>
        <v>44592</v>
      </c>
      <c r="B45" s="473"/>
      <c r="C45" s="450"/>
      <c r="D45" s="377">
        <f t="shared" si="2"/>
        <v>0</v>
      </c>
      <c r="E45" s="1576">
        <f t="shared" si="0"/>
        <v>5.3699999999999998E-2</v>
      </c>
      <c r="F45" s="377">
        <f t="shared" si="1"/>
        <v>0</v>
      </c>
      <c r="G45" s="110"/>
      <c r="H45" s="65"/>
    </row>
    <row r="46" spans="1:8" s="45" customFormat="1" ht="13.5" customHeight="1" x14ac:dyDescent="0.2">
      <c r="A46" s="469">
        <f>DATE(0+'Index and Structure'!$D$4,2,28)</f>
        <v>44620</v>
      </c>
      <c r="B46" s="474"/>
      <c r="C46" s="450"/>
      <c r="D46" s="377">
        <f t="shared" si="2"/>
        <v>0</v>
      </c>
      <c r="E46" s="1576">
        <f t="shared" si="0"/>
        <v>5.3699999999999998E-2</v>
      </c>
      <c r="F46" s="377">
        <f t="shared" si="1"/>
        <v>0</v>
      </c>
      <c r="G46" s="110"/>
      <c r="H46" s="65"/>
    </row>
    <row r="47" spans="1:8" s="45" customFormat="1" ht="13.5" customHeight="1" x14ac:dyDescent="0.2">
      <c r="A47" s="1572">
        <f>DATE(0+'Index and Structure'!$D$4,3,31)</f>
        <v>44651</v>
      </c>
      <c r="B47" s="1573"/>
      <c r="C47" s="1574"/>
      <c r="D47" s="1575">
        <f t="shared" si="2"/>
        <v>0</v>
      </c>
      <c r="E47" s="1577">
        <f t="shared" si="0"/>
        <v>5.3699999999999998E-2</v>
      </c>
      <c r="F47" s="377">
        <f>(A47-A46)/365*E47*D46</f>
        <v>0</v>
      </c>
      <c r="G47" s="110"/>
      <c r="H47" s="65"/>
    </row>
    <row r="48" spans="1:8" s="45" customFormat="1" ht="13.5" customHeight="1" x14ac:dyDescent="0.2">
      <c r="A48" s="1569">
        <f>DATE(0+'Index and Structure'!$D$4,4,30)</f>
        <v>44681</v>
      </c>
      <c r="B48" s="1570"/>
      <c r="C48" s="1571"/>
      <c r="D48" s="373">
        <f t="shared" si="2"/>
        <v>0</v>
      </c>
      <c r="E48" s="1578">
        <f>$E$31</f>
        <v>4.8000000000000001E-2</v>
      </c>
      <c r="F48" s="377">
        <f>(A48-A47)/365*E48*D47</f>
        <v>0</v>
      </c>
      <c r="G48" s="110"/>
      <c r="H48" s="65"/>
    </row>
    <row r="49" spans="1:8" s="45" customFormat="1" ht="13.5" customHeight="1" x14ac:dyDescent="0.2">
      <c r="A49" s="469">
        <f>DATE(0+'Index and Structure'!$D$4,5,31)</f>
        <v>44712</v>
      </c>
      <c r="B49" s="474"/>
      <c r="C49" s="450"/>
      <c r="D49" s="377">
        <f t="shared" si="2"/>
        <v>0</v>
      </c>
      <c r="E49" s="1578">
        <f>$E$31</f>
        <v>4.8000000000000001E-2</v>
      </c>
      <c r="F49" s="377">
        <f t="shared" si="1"/>
        <v>0</v>
      </c>
      <c r="G49" s="110"/>
      <c r="H49" s="65"/>
    </row>
    <row r="50" spans="1:8" s="45" customFormat="1" ht="13.5" customHeight="1" x14ac:dyDescent="0.2">
      <c r="A50" s="469">
        <f>DATE(0+'Index and Structure'!$D$4,6,30)</f>
        <v>44742</v>
      </c>
      <c r="B50" s="474"/>
      <c r="C50" s="450"/>
      <c r="D50" s="377">
        <f t="shared" si="2"/>
        <v>0</v>
      </c>
      <c r="E50" s="1578">
        <f>$E$31</f>
        <v>4.8000000000000001E-2</v>
      </c>
      <c r="F50" s="377">
        <f t="shared" si="1"/>
        <v>0</v>
      </c>
      <c r="G50" s="110"/>
      <c r="H50" s="65"/>
    </row>
    <row r="51" spans="1:8" s="45" customFormat="1" ht="13.5" customHeight="1" x14ac:dyDescent="0.2">
      <c r="A51" s="469">
        <f>DATE(0+'Index and Structure'!$D$4,6,30)</f>
        <v>44742</v>
      </c>
      <c r="B51" s="474"/>
      <c r="C51" s="450"/>
      <c r="D51" s="377">
        <f t="shared" si="2"/>
        <v>0</v>
      </c>
      <c r="E51" s="1578">
        <f>$E$31</f>
        <v>4.8000000000000001E-2</v>
      </c>
      <c r="F51" s="377">
        <f>(A51-A50)/365*E51*D50</f>
        <v>0</v>
      </c>
      <c r="G51" s="110"/>
      <c r="H51" s="65"/>
    </row>
    <row r="52" spans="1:8" s="45" customFormat="1" ht="13.5" customHeight="1" x14ac:dyDescent="0.2">
      <c r="A52" s="469">
        <f>DATE(0+'Index and Structure'!$D$4,6,30)</f>
        <v>44742</v>
      </c>
      <c r="B52" s="474" t="s">
        <v>5</v>
      </c>
      <c r="C52" s="450">
        <f>F54</f>
        <v>0</v>
      </c>
      <c r="D52" s="377">
        <f t="shared" si="2"/>
        <v>0</v>
      </c>
      <c r="E52" s="1578">
        <f>$E$31</f>
        <v>4.8000000000000001E-2</v>
      </c>
      <c r="F52" s="377">
        <f t="shared" si="1"/>
        <v>0</v>
      </c>
      <c r="G52" s="110"/>
      <c r="H52" s="65"/>
    </row>
    <row r="53" spans="1:8" s="45" customFormat="1" ht="13.5" customHeight="1" x14ac:dyDescent="0.2">
      <c r="A53" s="242"/>
      <c r="B53" s="459"/>
      <c r="C53" s="167"/>
      <c r="D53" s="167"/>
      <c r="E53" s="167"/>
      <c r="F53" s="167"/>
      <c r="G53" s="110"/>
      <c r="H53" s="65"/>
    </row>
    <row r="54" spans="1:8" s="45" customFormat="1" ht="13.5" customHeight="1" thickBot="1" x14ac:dyDescent="0.25">
      <c r="A54" s="242"/>
      <c r="B54" s="459"/>
      <c r="C54" s="167"/>
      <c r="D54" s="167"/>
      <c r="E54" s="167"/>
      <c r="F54" s="508">
        <f>SUM(F36:F52)</f>
        <v>0</v>
      </c>
      <c r="G54" s="110"/>
      <c r="H54" s="65"/>
    </row>
    <row r="55" spans="1:8" s="45" customFormat="1" ht="13.5" customHeight="1" thickTop="1" x14ac:dyDescent="0.2">
      <c r="A55" s="516"/>
      <c r="B55" s="459"/>
      <c r="C55" s="167"/>
      <c r="D55" s="167"/>
      <c r="E55" s="167"/>
      <c r="F55" s="513"/>
      <c r="G55" s="110"/>
      <c r="H55" s="65"/>
    </row>
    <row r="56" spans="1:8" s="45" customFormat="1" ht="13.5" customHeight="1" x14ac:dyDescent="0.2">
      <c r="A56" s="517"/>
      <c r="B56" s="459"/>
      <c r="C56" s="167"/>
      <c r="D56" s="167"/>
      <c r="E56" s="46"/>
      <c r="F56" s="48"/>
      <c r="G56" s="48"/>
      <c r="H56" s="65"/>
    </row>
    <row r="57" spans="1:8" s="45" customFormat="1" ht="13.5" customHeight="1" x14ac:dyDescent="0.2">
      <c r="A57" s="116"/>
      <c r="B57" s="48"/>
      <c r="C57" s="48"/>
      <c r="D57" s="48"/>
      <c r="E57" s="48"/>
      <c r="F57" s="48"/>
      <c r="G57" s="48"/>
      <c r="H57" s="65"/>
    </row>
    <row r="58" spans="1:8" s="45" customFormat="1" ht="13.5" customHeight="1" x14ac:dyDescent="0.2">
      <c r="A58" s="106"/>
      <c r="B58" s="2318" t="s">
        <v>580</v>
      </c>
      <c r="C58" s="2319"/>
      <c r="D58" s="2319"/>
      <c r="E58" s="2319"/>
      <c r="F58" s="2319"/>
      <c r="G58" s="2320"/>
      <c r="H58" s="65"/>
    </row>
    <row r="59" spans="1:8" s="45" customFormat="1" ht="13.5" customHeight="1" x14ac:dyDescent="0.2">
      <c r="A59" s="106"/>
      <c r="B59" s="2321"/>
      <c r="C59" s="2322"/>
      <c r="D59" s="2322"/>
      <c r="E59" s="2322"/>
      <c r="F59" s="2322"/>
      <c r="G59" s="2323"/>
      <c r="H59" s="65"/>
    </row>
    <row r="60" spans="1:8" s="45" customFormat="1" ht="13.5" customHeight="1" x14ac:dyDescent="0.2">
      <c r="A60" s="138"/>
      <c r="B60" s="66"/>
      <c r="C60" s="67"/>
      <c r="D60" s="66"/>
      <c r="E60" s="66"/>
      <c r="F60" s="68"/>
      <c r="G60" s="66"/>
      <c r="H60" s="509"/>
    </row>
  </sheetData>
  <customSheetViews>
    <customSheetView guid="{F72FE543-F911-423C-A34B-9CA018DFE603}" showPageBreaks="1" showGridLines="0" printArea="1" view="pageBreakPreview">
      <selection activeCell="H44" sqref="H44"/>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A2:C2"/>
    <mergeCell ref="B58:G59"/>
  </mergeCells>
  <hyperlinks>
    <hyperlink ref="A2" location="'Index and Structure'!A1" display="The Macro Group" xr:uid="{00000000-0004-0000-0D00-000000000000}"/>
    <hyperlink ref="B56:C56" r:id="rId2" display="FBT Benchmark Interest Rates" xr:uid="{00000000-0004-0000-0D00-000001000000}"/>
  </hyperlinks>
  <pageMargins left="0.74803149606299213" right="0.39370078740157483" top="0.55118110236220474" bottom="0.62992125984251968" header="0.51181102362204722" footer="0.47244094488188981"/>
  <pageSetup paperSize="9" scale="77" orientation="portrait" r:id="rId3"/>
  <headerFooter alignWithMargins="0">
    <oddFooter>&amp;LPrinted:&amp;T on &amp;D</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6132"/>
  <dimension ref="A1:H54"/>
  <sheetViews>
    <sheetView showGridLines="0" view="pageBreakPreview" topLeftCell="A13" zoomScaleNormal="100" zoomScaleSheetLayoutView="100" workbookViewId="0">
      <selection activeCell="O46" sqref="O46"/>
    </sheetView>
  </sheetViews>
  <sheetFormatPr defaultColWidth="9.140625" defaultRowHeight="15" x14ac:dyDescent="0.25"/>
  <cols>
    <col min="1" max="1" width="13.140625" style="19" customWidth="1"/>
    <col min="2" max="3" width="11.42578125" style="19" customWidth="1"/>
    <col min="4" max="4" width="7.28515625" style="19" customWidth="1"/>
    <col min="5" max="5" width="15.5703125" style="19" customWidth="1"/>
    <col min="6" max="6" width="19.140625" style="19" customWidth="1"/>
    <col min="7" max="7" width="15.28515625" style="408" customWidth="1"/>
    <col min="8" max="8" width="13.140625" style="19" customWidth="1"/>
    <col min="9" max="10" width="10.42578125" style="19" customWidth="1"/>
    <col min="11" max="16384" width="9.140625" style="19"/>
  </cols>
  <sheetData>
    <row r="1" spans="1:8" ht="5.25" customHeight="1" thickBot="1" x14ac:dyDescent="0.3"/>
    <row r="2" spans="1:8" ht="19.899999999999999" customHeight="1" thickBot="1" x14ac:dyDescent="0.3">
      <c r="A2" s="2339" t="s">
        <v>44</v>
      </c>
      <c r="B2" s="2340"/>
      <c r="C2" s="2341"/>
      <c r="D2" s="21"/>
      <c r="E2" s="21"/>
      <c r="F2" s="21"/>
      <c r="G2" s="426"/>
      <c r="H2" s="20"/>
    </row>
    <row r="3" spans="1:8" ht="27" customHeight="1" x14ac:dyDescent="0.25">
      <c r="A3" s="22"/>
    </row>
    <row r="4" spans="1:8" ht="19.5" customHeight="1" x14ac:dyDescent="0.25">
      <c r="A4" s="21"/>
    </row>
    <row r="5" spans="1:8" ht="5.25" customHeight="1" x14ac:dyDescent="0.25">
      <c r="A5" s="23"/>
      <c r="B5" s="24"/>
      <c r="C5" s="25"/>
      <c r="E5" s="23"/>
      <c r="F5" s="24"/>
      <c r="G5" s="427"/>
      <c r="H5" s="25"/>
    </row>
    <row r="6" spans="1:8" ht="14.25" customHeight="1" x14ac:dyDescent="0.25">
      <c r="A6" s="77" t="s">
        <v>40</v>
      </c>
      <c r="B6" s="28" t="str">
        <f>'Index and Structure'!B2</f>
        <v>Nicolo Superannuation fund</v>
      </c>
      <c r="C6" s="29"/>
      <c r="D6" s="30"/>
      <c r="E6" s="232" t="s">
        <v>38</v>
      </c>
      <c r="F6" s="32" t="str">
        <f>'Index and Structure'!B5</f>
        <v>NICO0024</v>
      </c>
      <c r="H6" s="33"/>
    </row>
    <row r="7" spans="1:8" ht="14.25" customHeight="1" x14ac:dyDescent="0.25">
      <c r="A7" s="77" t="s">
        <v>45</v>
      </c>
      <c r="B7" s="28" t="str">
        <f>'Index and Structure'!F18</f>
        <v>Shareholder Loan - credit balance</v>
      </c>
      <c r="C7" s="29"/>
      <c r="D7" s="30"/>
      <c r="E7" s="78" t="s">
        <v>41</v>
      </c>
      <c r="F7" s="28" t="str">
        <f>'Index and Structure'!B6</f>
        <v>Liam Aubin</v>
      </c>
      <c r="G7" s="408" t="s">
        <v>42</v>
      </c>
      <c r="H7" s="35"/>
    </row>
    <row r="8" spans="1:8" ht="14.25" customHeight="1" x14ac:dyDescent="0.25">
      <c r="A8" s="79" t="s">
        <v>46</v>
      </c>
      <c r="B8" s="37" t="str">
        <f>'Index and Structure'!B4</f>
        <v>30 June 2022</v>
      </c>
      <c r="C8" s="38"/>
      <c r="D8" s="30"/>
      <c r="E8" s="80" t="s">
        <v>43</v>
      </c>
      <c r="F8" s="40" t="str">
        <f>'Index and Structure'!B7</f>
        <v>Nicole Bryant</v>
      </c>
      <c r="G8" s="434" t="s">
        <v>42</v>
      </c>
      <c r="H8" s="41"/>
    </row>
    <row r="9" spans="1:8" ht="9.75" customHeight="1" x14ac:dyDescent="0.25"/>
    <row r="10" spans="1:8" ht="30" customHeight="1" x14ac:dyDescent="0.25">
      <c r="A10" s="42"/>
      <c r="B10" s="43"/>
      <c r="C10" s="43"/>
      <c r="D10" s="43"/>
      <c r="E10" s="43"/>
      <c r="F10" s="342">
        <f>'Index and Structure'!D4</f>
        <v>2022</v>
      </c>
      <c r="G10" s="428"/>
      <c r="H10" s="44"/>
    </row>
    <row r="11" spans="1:8" s="45" customFormat="1" ht="13.5" customHeight="1" x14ac:dyDescent="0.2">
      <c r="A11" s="235"/>
      <c r="B11" s="46"/>
      <c r="C11" s="46"/>
      <c r="D11" s="46"/>
      <c r="E11" s="70"/>
      <c r="F11" s="46"/>
      <c r="G11" s="429"/>
      <c r="H11" s="71"/>
    </row>
    <row r="12" spans="1:8" s="45" customFormat="1" ht="13.5" customHeight="1" thickBot="1" x14ac:dyDescent="0.25">
      <c r="A12" s="1266" t="str">
        <f>B7</f>
        <v>Shareholder Loan - credit balance</v>
      </c>
      <c r="B12" s="1263"/>
      <c r="C12" s="165"/>
      <c r="D12" s="165"/>
      <c r="E12" s="165"/>
      <c r="F12" s="198">
        <f>F35</f>
        <v>0</v>
      </c>
      <c r="G12" s="430"/>
      <c r="H12" s="196"/>
    </row>
    <row r="13" spans="1:8" s="45" customFormat="1" ht="13.5" customHeight="1" thickTop="1" x14ac:dyDescent="0.2">
      <c r="A13" s="197"/>
      <c r="B13" s="165"/>
      <c r="C13" s="165"/>
      <c r="D13" s="165"/>
      <c r="E13" s="165"/>
      <c r="F13" s="200"/>
      <c r="G13" s="430"/>
      <c r="H13" s="196"/>
    </row>
    <row r="14" spans="1:8" s="45" customFormat="1" ht="13.5" customHeight="1" x14ac:dyDescent="0.2">
      <c r="A14" s="197"/>
      <c r="B14" s="165"/>
      <c r="C14" s="201"/>
      <c r="D14" s="202"/>
      <c r="E14" s="165"/>
      <c r="F14" s="199"/>
      <c r="G14" s="430"/>
      <c r="H14" s="86"/>
    </row>
    <row r="15" spans="1:8" s="45" customFormat="1" ht="13.5" customHeight="1" x14ac:dyDescent="0.2">
      <c r="A15" s="197"/>
      <c r="C15" s="165"/>
      <c r="D15" s="202"/>
      <c r="E15" s="202"/>
      <c r="F15" s="199"/>
      <c r="G15" s="430"/>
      <c r="H15" s="86"/>
    </row>
    <row r="16" spans="1:8" s="45" customFormat="1" ht="13.5" customHeight="1" x14ac:dyDescent="0.2">
      <c r="A16" s="197"/>
      <c r="B16" s="201"/>
      <c r="C16" s="165"/>
      <c r="D16" s="202"/>
      <c r="E16" s="186"/>
      <c r="F16" s="199"/>
      <c r="G16" s="405" t="s">
        <v>50</v>
      </c>
      <c r="H16" s="86"/>
    </row>
    <row r="17" spans="1:8" s="45" customFormat="1" ht="13.5" customHeight="1" x14ac:dyDescent="0.2">
      <c r="A17" s="197"/>
      <c r="B17" s="343" t="s">
        <v>20</v>
      </c>
      <c r="C17" s="165"/>
      <c r="D17" s="204"/>
      <c r="E17" s="186"/>
      <c r="F17" s="205"/>
      <c r="G17" s="405"/>
      <c r="H17" s="86"/>
    </row>
    <row r="18" spans="1:8" s="45" customFormat="1" ht="13.5" customHeight="1" x14ac:dyDescent="0.2">
      <c r="A18" s="197"/>
      <c r="B18" s="201"/>
      <c r="C18" s="201"/>
      <c r="D18" s="204"/>
      <c r="E18" s="186"/>
      <c r="F18" s="199"/>
      <c r="G18" s="405"/>
      <c r="H18" s="86"/>
    </row>
    <row r="19" spans="1:8" s="45" customFormat="1" ht="13.5" customHeight="1" x14ac:dyDescent="0.2">
      <c r="A19" s="197"/>
      <c r="B19" s="165"/>
      <c r="C19" s="201"/>
      <c r="D19" s="204"/>
      <c r="E19" s="186"/>
      <c r="F19" s="199"/>
      <c r="G19" s="405"/>
      <c r="H19" s="86"/>
    </row>
    <row r="20" spans="1:8" s="45" customFormat="1" ht="13.5" customHeight="1" x14ac:dyDescent="0.2">
      <c r="A20" s="208" t="s">
        <v>65</v>
      </c>
      <c r="B20" s="165"/>
      <c r="C20" s="165"/>
      <c r="D20" s="165"/>
      <c r="E20" s="165"/>
      <c r="F20" s="205"/>
      <c r="G20" s="405"/>
      <c r="H20" s="86"/>
    </row>
    <row r="21" spans="1:8" s="45" customFormat="1" ht="13.5" customHeight="1" x14ac:dyDescent="0.2">
      <c r="A21" s="344"/>
      <c r="B21" s="165"/>
      <c r="C21" s="165"/>
      <c r="D21" s="165"/>
      <c r="E21" s="165"/>
      <c r="F21" s="205"/>
      <c r="G21" s="153"/>
      <c r="H21" s="86"/>
    </row>
    <row r="22" spans="1:8" s="45" customFormat="1" ht="13.5" customHeight="1" x14ac:dyDescent="0.2">
      <c r="A22" s="344"/>
      <c r="B22" s="165"/>
      <c r="C22" s="165"/>
      <c r="D22" s="165"/>
      <c r="E22" s="165"/>
      <c r="F22" s="205"/>
      <c r="G22" s="405"/>
      <c r="H22" s="86"/>
    </row>
    <row r="23" spans="1:8" s="45" customFormat="1" ht="13.5" customHeight="1" x14ac:dyDescent="0.2">
      <c r="A23" s="344"/>
      <c r="B23" s="165"/>
      <c r="C23" s="165"/>
      <c r="D23" s="165"/>
      <c r="E23" s="165"/>
      <c r="F23" s="205"/>
      <c r="G23" s="405"/>
      <c r="H23" s="86"/>
    </row>
    <row r="24" spans="1:8" s="45" customFormat="1" ht="13.5" customHeight="1" x14ac:dyDescent="0.2">
      <c r="A24" s="344"/>
      <c r="B24" s="165"/>
      <c r="C24" s="165"/>
      <c r="D24" s="165"/>
      <c r="E24" s="165"/>
      <c r="F24" s="205"/>
      <c r="G24" s="405"/>
      <c r="H24" s="86"/>
    </row>
    <row r="25" spans="1:8" s="45" customFormat="1" ht="13.5" customHeight="1" x14ac:dyDescent="0.2">
      <c r="A25" s="344"/>
      <c r="B25" s="165"/>
      <c r="C25" s="165"/>
      <c r="D25" s="165"/>
      <c r="E25" s="165"/>
      <c r="F25" s="205"/>
      <c r="G25" s="405"/>
      <c r="H25" s="86"/>
    </row>
    <row r="26" spans="1:8" s="45" customFormat="1" ht="13.5" customHeight="1" x14ac:dyDescent="0.2">
      <c r="A26" s="344"/>
      <c r="B26" s="165"/>
      <c r="C26" s="165"/>
      <c r="D26" s="165"/>
      <c r="E26" s="165"/>
      <c r="F26" s="205"/>
      <c r="G26" s="405"/>
      <c r="H26" s="86"/>
    </row>
    <row r="27" spans="1:8" s="45" customFormat="1" ht="13.5" customHeight="1" x14ac:dyDescent="0.2">
      <c r="A27" s="344"/>
      <c r="B27" s="165"/>
      <c r="C27" s="165"/>
      <c r="D27" s="204"/>
      <c r="E27" s="53"/>
      <c r="F27" s="212"/>
      <c r="G27" s="405"/>
      <c r="H27" s="86"/>
    </row>
    <row r="28" spans="1:8" s="45" customFormat="1" ht="13.5" customHeight="1" x14ac:dyDescent="0.2">
      <c r="A28" s="208" t="s">
        <v>51</v>
      </c>
      <c r="B28" s="51"/>
      <c r="C28" s="345"/>
      <c r="D28" s="345"/>
      <c r="E28" s="345"/>
      <c r="F28" s="213"/>
      <c r="G28" s="405"/>
      <c r="H28" s="346"/>
    </row>
    <row r="29" spans="1:8" s="45" customFormat="1" ht="13.5" customHeight="1" x14ac:dyDescent="0.2">
      <c r="A29" s="197"/>
      <c r="B29" s="51"/>
      <c r="C29" s="345"/>
      <c r="D29" s="345"/>
      <c r="E29" s="345"/>
      <c r="F29" s="213"/>
      <c r="G29" s="405"/>
      <c r="H29" s="346"/>
    </row>
    <row r="30" spans="1:8" s="45" customFormat="1" ht="13.5" customHeight="1" x14ac:dyDescent="0.2">
      <c r="A30" s="197"/>
      <c r="B30" s="51"/>
      <c r="C30" s="345"/>
      <c r="D30" s="345"/>
      <c r="E30" s="345"/>
      <c r="F30" s="213"/>
      <c r="G30" s="405"/>
      <c r="H30" s="346"/>
    </row>
    <row r="31" spans="1:8" s="45" customFormat="1" ht="13.5" customHeight="1" x14ac:dyDescent="0.2">
      <c r="A31" s="197"/>
      <c r="B31" s="51"/>
      <c r="C31" s="345"/>
      <c r="D31" s="345"/>
      <c r="E31" s="345"/>
      <c r="F31" s="213"/>
      <c r="G31" s="405"/>
      <c r="H31" s="346"/>
    </row>
    <row r="32" spans="1:8" s="45" customFormat="1" ht="13.5" customHeight="1" x14ac:dyDescent="0.2">
      <c r="A32" s="197"/>
      <c r="B32" s="51"/>
      <c r="C32" s="345"/>
      <c r="D32" s="345"/>
      <c r="E32" s="345"/>
      <c r="F32" s="213"/>
      <c r="G32" s="405"/>
      <c r="H32" s="346"/>
    </row>
    <row r="33" spans="1:8" s="45" customFormat="1" ht="12.75" customHeight="1" x14ac:dyDescent="0.2">
      <c r="A33" s="197"/>
      <c r="B33" s="51"/>
      <c r="C33" s="345"/>
      <c r="D33" s="345"/>
      <c r="E33" s="345"/>
      <c r="F33" s="213"/>
      <c r="G33" s="405"/>
      <c r="H33" s="346"/>
    </row>
    <row r="34" spans="1:8" s="45" customFormat="1" ht="12.75" customHeight="1" x14ac:dyDescent="0.2">
      <c r="A34" s="197"/>
      <c r="B34" s="165"/>
      <c r="C34" s="165"/>
      <c r="D34" s="165"/>
      <c r="E34" s="186"/>
      <c r="F34" s="215"/>
      <c r="G34" s="405"/>
      <c r="H34" s="346"/>
    </row>
    <row r="35" spans="1:8" s="45" customFormat="1" ht="13.5" customHeight="1" thickBot="1" x14ac:dyDescent="0.25">
      <c r="A35" s="197"/>
      <c r="B35" s="343" t="s">
        <v>4</v>
      </c>
      <c r="C35" s="165"/>
      <c r="D35" s="165"/>
      <c r="E35" s="186"/>
      <c r="F35" s="216">
        <f>F17+SUM(F20:F26)-SUM(F28:F33)</f>
        <v>0</v>
      </c>
      <c r="G35" s="405"/>
      <c r="H35" s="86"/>
    </row>
    <row r="36" spans="1:8" s="45" customFormat="1" ht="13.5" customHeight="1" thickTop="1" x14ac:dyDescent="0.2">
      <c r="A36" s="197"/>
      <c r="B36" s="165"/>
      <c r="C36" s="165"/>
      <c r="D36" s="165"/>
      <c r="E36" s="165"/>
      <c r="F36" s="204"/>
      <c r="G36" s="430"/>
      <c r="H36" s="86"/>
    </row>
    <row r="37" spans="1:8" s="45" customFormat="1" ht="13.5" customHeight="1" x14ac:dyDescent="0.2">
      <c r="A37" s="197"/>
      <c r="B37" s="165"/>
      <c r="C37" s="165"/>
      <c r="D37" s="165"/>
      <c r="E37" s="165"/>
      <c r="F37" s="204"/>
      <c r="G37" s="430"/>
      <c r="H37" s="86"/>
    </row>
    <row r="38" spans="1:8" s="45" customFormat="1" ht="13.5" customHeight="1" x14ac:dyDescent="0.2">
      <c r="A38" s="197"/>
      <c r="B38" s="165"/>
      <c r="C38" s="165"/>
      <c r="D38" s="165"/>
      <c r="E38" s="165"/>
      <c r="F38" s="204"/>
      <c r="G38" s="430"/>
      <c r="H38" s="217"/>
    </row>
    <row r="39" spans="1:8" s="45" customFormat="1" ht="13.5" customHeight="1" x14ac:dyDescent="0.2">
      <c r="A39" s="197"/>
      <c r="B39" s="168"/>
      <c r="C39" s="168"/>
      <c r="D39" s="168"/>
      <c r="E39" s="168"/>
      <c r="F39" s="218"/>
      <c r="G39" s="430"/>
      <c r="H39" s="217"/>
    </row>
    <row r="40" spans="1:8" s="45" customFormat="1" ht="13.5" customHeight="1" x14ac:dyDescent="0.2">
      <c r="A40" s="197"/>
      <c r="B40" s="168"/>
      <c r="C40" s="168"/>
      <c r="D40" s="168"/>
      <c r="E40" s="168"/>
      <c r="F40" s="218"/>
      <c r="G40" s="430"/>
      <c r="H40" s="217"/>
    </row>
    <row r="41" spans="1:8" s="45" customFormat="1" ht="13.5" customHeight="1" x14ac:dyDescent="0.2">
      <c r="A41" s="197"/>
      <c r="B41" s="168"/>
      <c r="C41" s="168"/>
      <c r="D41" s="168"/>
      <c r="E41" s="168"/>
      <c r="F41" s="218"/>
      <c r="G41" s="430"/>
      <c r="H41" s="217"/>
    </row>
    <row r="42" spans="1:8" s="45" customFormat="1" ht="13.5" customHeight="1" x14ac:dyDescent="0.2">
      <c r="A42" s="197"/>
      <c r="B42" s="168"/>
      <c r="C42" s="168"/>
      <c r="D42" s="168"/>
      <c r="E42" s="168"/>
      <c r="F42" s="218"/>
      <c r="G42" s="430"/>
      <c r="H42" s="217"/>
    </row>
    <row r="43" spans="1:8" s="45" customFormat="1" ht="13.5" customHeight="1" x14ac:dyDescent="0.2">
      <c r="A43" s="197"/>
      <c r="B43" s="168"/>
      <c r="C43" s="168"/>
      <c r="D43" s="168"/>
      <c r="E43" s="168"/>
      <c r="F43" s="218"/>
      <c r="G43" s="430"/>
      <c r="H43" s="217"/>
    </row>
    <row r="44" spans="1:8" s="45" customFormat="1" ht="13.5" customHeight="1" x14ac:dyDescent="0.2">
      <c r="A44" s="197"/>
      <c r="B44" s="168"/>
      <c r="C44" s="168"/>
      <c r="D44" s="168"/>
      <c r="E44" s="168"/>
      <c r="F44" s="218"/>
      <c r="G44" s="430"/>
      <c r="H44" s="217"/>
    </row>
    <row r="45" spans="1:8" s="45" customFormat="1" ht="13.5" customHeight="1" x14ac:dyDescent="0.2">
      <c r="A45" s="197"/>
      <c r="B45" s="168"/>
      <c r="C45" s="168"/>
      <c r="D45" s="168"/>
      <c r="E45" s="168"/>
      <c r="F45" s="218"/>
      <c r="G45" s="430"/>
      <c r="H45" s="217"/>
    </row>
    <row r="46" spans="1:8" s="45" customFormat="1" ht="13.5" customHeight="1" x14ac:dyDescent="0.2">
      <c r="A46" s="197"/>
      <c r="B46" s="168"/>
      <c r="C46" s="168"/>
      <c r="D46" s="168"/>
      <c r="E46" s="168"/>
      <c r="F46" s="218"/>
      <c r="G46" s="430"/>
      <c r="H46" s="217"/>
    </row>
    <row r="47" spans="1:8" s="45" customFormat="1" ht="13.5" customHeight="1" x14ac:dyDescent="0.2">
      <c r="A47" s="197"/>
      <c r="B47" s="168"/>
      <c r="C47" s="168"/>
      <c r="D47" s="168"/>
      <c r="E47" s="168"/>
      <c r="F47" s="218"/>
      <c r="G47" s="430"/>
      <c r="H47" s="217"/>
    </row>
    <row r="48" spans="1:8" s="45" customFormat="1" ht="13.5" customHeight="1" x14ac:dyDescent="0.2">
      <c r="A48" s="197"/>
      <c r="B48" s="168"/>
      <c r="C48" s="168"/>
      <c r="D48" s="168"/>
      <c r="E48" s="168"/>
      <c r="F48" s="218"/>
      <c r="G48" s="430"/>
      <c r="H48" s="217"/>
    </row>
    <row r="49" spans="1:8" s="45" customFormat="1" ht="13.5" customHeight="1" x14ac:dyDescent="0.2">
      <c r="A49" s="197"/>
      <c r="B49" s="168"/>
      <c r="C49" s="168"/>
      <c r="D49" s="168"/>
      <c r="E49" s="168"/>
      <c r="F49" s="218"/>
      <c r="G49" s="431"/>
      <c r="H49" s="217"/>
    </row>
    <row r="50" spans="1:8" s="45" customFormat="1" ht="13.5" customHeight="1" x14ac:dyDescent="0.2">
      <c r="A50" s="197"/>
      <c r="B50" s="168"/>
      <c r="C50" s="168"/>
      <c r="D50" s="168"/>
      <c r="E50" s="168"/>
      <c r="F50" s="218"/>
      <c r="G50" s="431"/>
      <c r="H50" s="217"/>
    </row>
    <row r="51" spans="1:8" s="45" customFormat="1" ht="13.5" customHeight="1" x14ac:dyDescent="0.2">
      <c r="A51" s="106"/>
      <c r="B51" s="63"/>
      <c r="C51" s="60"/>
      <c r="D51" s="63"/>
      <c r="E51" s="63"/>
      <c r="F51" s="61"/>
      <c r="G51" s="432"/>
      <c r="H51" s="55"/>
    </row>
    <row r="52" spans="1:8" s="45" customFormat="1" ht="13.5" customHeight="1" x14ac:dyDescent="0.2">
      <c r="A52" s="347"/>
      <c r="B52" s="2318" t="s">
        <v>249</v>
      </c>
      <c r="C52" s="2319"/>
      <c r="D52" s="2319"/>
      <c r="E52" s="2319"/>
      <c r="F52" s="2319"/>
      <c r="G52" s="2320"/>
      <c r="H52" s="65"/>
    </row>
    <row r="53" spans="1:8" s="45" customFormat="1" ht="19.899999999999999" customHeight="1" x14ac:dyDescent="0.2">
      <c r="A53" s="347"/>
      <c r="B53" s="2321"/>
      <c r="C53" s="2322"/>
      <c r="D53" s="2322"/>
      <c r="E53" s="2322"/>
      <c r="F53" s="2322"/>
      <c r="G53" s="2323"/>
      <c r="H53" s="65"/>
    </row>
    <row r="54" spans="1:8" s="45" customFormat="1" ht="13.5" customHeight="1" x14ac:dyDescent="0.2">
      <c r="A54" s="138"/>
      <c r="B54" s="139"/>
      <c r="C54" s="139"/>
      <c r="D54" s="139"/>
      <c r="E54" s="139"/>
      <c r="F54" s="139"/>
      <c r="G54" s="433"/>
      <c r="H54" s="54"/>
    </row>
  </sheetData>
  <mergeCells count="2">
    <mergeCell ref="A2:C2"/>
    <mergeCell ref="B52:G53"/>
  </mergeCells>
  <hyperlinks>
    <hyperlink ref="A2" location="'Index and Structure'!A1" display="The Macro Group" xr:uid="{00000000-0004-0000-0E00-000000000000}"/>
  </hyperlinks>
  <pageMargins left="0.74803149606299213" right="0.39370078740157483" top="0.55118110236220474" bottom="0.62992125984251968" header="0.51181102362204722" footer="0.47244094488188981"/>
  <pageSetup paperSize="9" scale="85" orientation="portrait" r:id="rId1"/>
  <headerFooter alignWithMargins="0">
    <oddFooter>&amp;LPrinted:&amp;T on &amp;D</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6159">
    <pageSetUpPr fitToPage="1"/>
  </sheetPr>
  <dimension ref="A1:I85"/>
  <sheetViews>
    <sheetView showGridLines="0" view="pageBreakPreview" topLeftCell="A22" zoomScaleNormal="50" zoomScaleSheetLayoutView="100" workbookViewId="0">
      <selection activeCell="E61" sqref="E61"/>
    </sheetView>
  </sheetViews>
  <sheetFormatPr defaultColWidth="9.140625" defaultRowHeight="15" x14ac:dyDescent="0.25"/>
  <cols>
    <col min="1" max="1" width="12.7109375" style="19" customWidth="1"/>
    <col min="2" max="2" width="16.7109375" style="19" customWidth="1"/>
    <col min="3" max="6" width="13.7109375" style="19" customWidth="1"/>
    <col min="7" max="7" width="14.7109375" style="19" customWidth="1"/>
    <col min="8" max="8" width="13.7109375" style="489" customWidth="1"/>
    <col min="9" max="9" width="13.7109375" style="19" customWidth="1"/>
    <col min="10" max="16384" width="9.140625" style="19"/>
  </cols>
  <sheetData>
    <row r="1" spans="1:9" ht="5.25" customHeight="1" thickBot="1" x14ac:dyDescent="0.3"/>
    <row r="2" spans="1:9" ht="19.899999999999999" customHeight="1" thickBot="1" x14ac:dyDescent="0.35">
      <c r="A2" s="2269" t="s">
        <v>44</v>
      </c>
      <c r="B2" s="2301"/>
      <c r="C2" s="2270"/>
      <c r="D2" s="21"/>
      <c r="E2" s="21"/>
      <c r="F2" s="21"/>
      <c r="G2" s="21"/>
    </row>
    <row r="3" spans="1:9" ht="27" customHeight="1" x14ac:dyDescent="0.25">
      <c r="A3" s="22"/>
    </row>
    <row r="4" spans="1:9" ht="19.5" customHeight="1" x14ac:dyDescent="0.25">
      <c r="A4" s="21"/>
    </row>
    <row r="5" spans="1:9" ht="5.25" customHeight="1" x14ac:dyDescent="0.25">
      <c r="A5" s="23"/>
      <c r="B5" s="24"/>
      <c r="C5" s="24"/>
      <c r="D5" s="25"/>
      <c r="F5" s="23"/>
      <c r="G5" s="24"/>
      <c r="H5" s="500"/>
      <c r="I5" s="25"/>
    </row>
    <row r="6" spans="1:9" ht="14.25" customHeight="1" x14ac:dyDescent="0.25">
      <c r="A6" s="77" t="s">
        <v>40</v>
      </c>
      <c r="B6" s="28" t="str">
        <f>'Index and Structure'!B2</f>
        <v>Nicolo Superannuation fund</v>
      </c>
      <c r="D6" s="29"/>
      <c r="E6" s="30"/>
      <c r="F6" s="232" t="s">
        <v>38</v>
      </c>
      <c r="G6" s="32" t="str">
        <f>'Index and Structure'!B5</f>
        <v>NICO0024</v>
      </c>
      <c r="I6" s="33"/>
    </row>
    <row r="7" spans="1:9" ht="14.25" customHeight="1" x14ac:dyDescent="0.25">
      <c r="A7" s="237" t="s">
        <v>45</v>
      </c>
      <c r="B7" s="2407" t="str">
        <f>'Index and Structure'!A24</f>
        <v xml:space="preserve">Shareholder Loan - Division 7A </v>
      </c>
      <c r="C7" s="2407"/>
      <c r="D7" s="2408"/>
      <c r="E7" s="30"/>
      <c r="F7" s="78" t="s">
        <v>41</v>
      </c>
      <c r="G7" s="28" t="str">
        <f>'Index and Structure'!B6</f>
        <v>Liam Aubin</v>
      </c>
      <c r="H7" s="496" t="s">
        <v>42</v>
      </c>
      <c r="I7" s="35"/>
    </row>
    <row r="8" spans="1:9" ht="14.25" customHeight="1" x14ac:dyDescent="0.25">
      <c r="A8" s="79" t="s">
        <v>46</v>
      </c>
      <c r="B8" s="37" t="str">
        <f>'Index and Structure'!B4</f>
        <v>30 June 2022</v>
      </c>
      <c r="C8" s="442"/>
      <c r="D8" s="84"/>
      <c r="E8" s="30"/>
      <c r="F8" s="80" t="s">
        <v>43</v>
      </c>
      <c r="G8" s="40" t="str">
        <f>'Index and Structure'!B7</f>
        <v>Nicole Bryant</v>
      </c>
      <c r="H8" s="506" t="s">
        <v>42</v>
      </c>
      <c r="I8" s="41"/>
    </row>
    <row r="9" spans="1:9" ht="19.5" customHeight="1" x14ac:dyDescent="0.25">
      <c r="A9" s="77"/>
      <c r="I9" s="33"/>
    </row>
    <row r="10" spans="1:9" ht="30" customHeight="1" x14ac:dyDescent="0.25">
      <c r="A10" s="42"/>
      <c r="B10" s="43"/>
      <c r="C10" s="43"/>
      <c r="D10" s="43"/>
      <c r="E10" s="43"/>
      <c r="F10" s="43"/>
      <c r="G10" s="342">
        <f>'Index and Structure'!D4</f>
        <v>2022</v>
      </c>
      <c r="H10" s="501"/>
      <c r="I10" s="44"/>
    </row>
    <row r="11" spans="1:9" s="45" customFormat="1" ht="13.5" customHeight="1" x14ac:dyDescent="0.2">
      <c r="A11" s="235"/>
      <c r="B11" s="69"/>
      <c r="C11" s="46"/>
      <c r="D11" s="46"/>
      <c r="E11" s="46"/>
      <c r="F11" s="70"/>
      <c r="G11" s="46"/>
      <c r="H11" s="502"/>
      <c r="I11" s="71"/>
    </row>
    <row r="12" spans="1:9" s="45" customFormat="1" ht="13.5" customHeight="1" thickBot="1" x14ac:dyDescent="0.25">
      <c r="A12" s="1266" t="str">
        <f>B7</f>
        <v xml:space="preserve">Shareholder Loan - Division 7A </v>
      </c>
      <c r="B12" s="1263"/>
      <c r="D12" s="48"/>
      <c r="E12" s="48"/>
      <c r="F12" s="48"/>
      <c r="G12" s="1873">
        <f>G28</f>
        <v>0</v>
      </c>
      <c r="H12" s="498"/>
      <c r="I12" s="71"/>
    </row>
    <row r="13" spans="1:9" s="45" customFormat="1" ht="13.5" customHeight="1" thickTop="1" x14ac:dyDescent="0.2">
      <c r="A13" s="106"/>
      <c r="B13" s="444"/>
      <c r="C13" s="60"/>
      <c r="D13" s="48"/>
      <c r="E13" s="48"/>
      <c r="F13" s="48"/>
      <c r="G13" s="150"/>
      <c r="H13" s="498"/>
      <c r="I13" s="71"/>
    </row>
    <row r="14" spans="1:9" s="45" customFormat="1" ht="13.5" customHeight="1" x14ac:dyDescent="0.2">
      <c r="A14" s="445" t="s">
        <v>250</v>
      </c>
      <c r="B14" s="446"/>
      <c r="C14" s="507">
        <v>2019</v>
      </c>
      <c r="E14" s="49"/>
      <c r="F14" s="48"/>
      <c r="G14" s="149"/>
      <c r="H14" s="498"/>
      <c r="I14" s="65"/>
    </row>
    <row r="15" spans="1:9" s="45" customFormat="1" ht="13.5" customHeight="1" x14ac:dyDescent="0.2">
      <c r="A15" s="106"/>
      <c r="B15" s="444"/>
      <c r="C15" s="2139" t="s">
        <v>960</v>
      </c>
      <c r="D15" s="51"/>
      <c r="E15" s="49"/>
      <c r="F15" s="49"/>
      <c r="G15" s="149"/>
      <c r="H15" s="498"/>
      <c r="I15" s="65"/>
    </row>
    <row r="16" spans="1:9" s="45" customFormat="1" ht="13.5" customHeight="1" x14ac:dyDescent="0.2">
      <c r="A16" s="106"/>
      <c r="B16" s="444"/>
      <c r="C16" s="47"/>
      <c r="D16" s="48"/>
      <c r="E16" s="49"/>
      <c r="F16" s="49"/>
      <c r="G16" s="149"/>
      <c r="H16" s="494" t="s">
        <v>50</v>
      </c>
      <c r="I16" s="65"/>
    </row>
    <row r="17" spans="1:9" s="45" customFormat="1" ht="13.5" customHeight="1" x14ac:dyDescent="0.2">
      <c r="A17" s="448"/>
      <c r="B17" s="444"/>
      <c r="C17" s="443" t="s">
        <v>86</v>
      </c>
      <c r="D17" s="1750"/>
      <c r="E17" s="1751"/>
      <c r="F17" s="1752"/>
      <c r="G17" s="151"/>
      <c r="H17" s="498"/>
      <c r="I17" s="379"/>
    </row>
    <row r="18" spans="1:9" s="45" customFormat="1" ht="13.5" customHeight="1" x14ac:dyDescent="0.2">
      <c r="A18" s="106"/>
      <c r="B18" s="444"/>
      <c r="C18" s="47"/>
      <c r="D18" s="1753"/>
      <c r="E18" s="1754"/>
      <c r="F18" s="1750"/>
      <c r="G18" s="149"/>
      <c r="H18" s="498"/>
      <c r="I18" s="369"/>
    </row>
    <row r="19" spans="1:9" s="45" customFormat="1" ht="13.5" customHeight="1" x14ac:dyDescent="0.2">
      <c r="A19" s="106"/>
      <c r="B19" s="444"/>
      <c r="C19" s="51"/>
      <c r="D19" s="1753"/>
      <c r="E19" s="1754"/>
      <c r="F19" s="1750"/>
      <c r="G19" s="149"/>
      <c r="H19" s="498"/>
      <c r="I19" s="369"/>
    </row>
    <row r="20" spans="1:9" s="45" customFormat="1" ht="13.5" customHeight="1" x14ac:dyDescent="0.2">
      <c r="A20" s="449"/>
      <c r="B20" s="1874" t="s">
        <v>65</v>
      </c>
      <c r="C20" s="165" t="s">
        <v>5</v>
      </c>
      <c r="D20" s="1755"/>
      <c r="E20" s="1756"/>
      <c r="F20" s="1757"/>
      <c r="G20" s="1692">
        <f>E64</f>
        <v>0</v>
      </c>
      <c r="H20" s="498"/>
      <c r="I20" s="369"/>
    </row>
    <row r="21" spans="1:9" s="45" customFormat="1" ht="13.5" customHeight="1" x14ac:dyDescent="0.2">
      <c r="A21" s="443"/>
      <c r="B21" s="1874"/>
      <c r="C21" s="165"/>
      <c r="D21" s="1755"/>
      <c r="E21" s="1756"/>
      <c r="F21" s="1758"/>
      <c r="G21" s="151"/>
      <c r="H21" s="498"/>
      <c r="I21" s="369"/>
    </row>
    <row r="22" spans="1:9" s="45" customFormat="1" ht="13.5" customHeight="1" x14ac:dyDescent="0.2">
      <c r="A22" s="443"/>
      <c r="B22" s="1874"/>
      <c r="C22" s="165"/>
      <c r="D22" s="1755"/>
      <c r="E22" s="1756"/>
      <c r="F22" s="1758"/>
      <c r="G22" s="1897"/>
      <c r="H22" s="498"/>
      <c r="I22" s="369"/>
    </row>
    <row r="23" spans="1:9" s="45" customFormat="1" ht="13.5" customHeight="1" x14ac:dyDescent="0.2">
      <c r="A23" s="443"/>
      <c r="B23" s="1874"/>
      <c r="C23" s="165"/>
      <c r="D23" s="1757"/>
      <c r="E23" s="1756"/>
      <c r="F23" s="1758"/>
      <c r="G23" s="157"/>
      <c r="H23" s="498"/>
      <c r="I23" s="369"/>
    </row>
    <row r="24" spans="1:9" s="45" customFormat="1" x14ac:dyDescent="0.2">
      <c r="A24" s="449"/>
      <c r="B24" s="1874" t="s">
        <v>51</v>
      </c>
      <c r="C24" s="165" t="s">
        <v>130</v>
      </c>
      <c r="D24" s="1757"/>
      <c r="E24" s="1756"/>
      <c r="F24" s="1756"/>
      <c r="G24" s="450">
        <f>-SUM(C47:C61)</f>
        <v>0</v>
      </c>
      <c r="H24" s="498"/>
      <c r="I24" s="369"/>
    </row>
    <row r="25" spans="1:9" s="45" customFormat="1" x14ac:dyDescent="0.2">
      <c r="A25" s="106"/>
      <c r="B25" s="444"/>
      <c r="C25" s="165"/>
      <c r="D25" s="1757"/>
      <c r="E25" s="1756"/>
      <c r="F25" s="1756"/>
      <c r="G25" s="450"/>
      <c r="H25" s="498"/>
      <c r="I25" s="369"/>
    </row>
    <row r="26" spans="1:9" s="45" customFormat="1" ht="13.5" customHeight="1" x14ac:dyDescent="0.2">
      <c r="A26" s="451"/>
      <c r="B26" s="62"/>
      <c r="C26" s="165"/>
      <c r="D26" s="1757"/>
      <c r="E26" s="1756"/>
      <c r="F26" s="1756"/>
      <c r="G26" s="450"/>
      <c r="H26" s="498"/>
      <c r="I26" s="369"/>
    </row>
    <row r="27" spans="1:9" s="45" customFormat="1" ht="12.75" customHeight="1" x14ac:dyDescent="0.2">
      <c r="A27" s="106"/>
      <c r="B27" s="444"/>
      <c r="C27" s="165"/>
      <c r="D27" s="1750"/>
      <c r="E27" s="1752"/>
      <c r="F27" s="1752"/>
      <c r="G27" s="452"/>
      <c r="H27" s="498"/>
      <c r="I27" s="369"/>
    </row>
    <row r="28" spans="1:9" s="45" customFormat="1" ht="13.5" customHeight="1" thickBot="1" x14ac:dyDescent="0.25">
      <c r="A28" s="106"/>
      <c r="B28" s="444"/>
      <c r="C28" s="443" t="s">
        <v>790</v>
      </c>
      <c r="D28" s="1750"/>
      <c r="E28" s="1752"/>
      <c r="F28" s="1752"/>
      <c r="G28" s="1872">
        <f>G17+SUM(G20:G22)-SUM(G24:G26)</f>
        <v>0</v>
      </c>
      <c r="H28" s="121"/>
      <c r="I28" s="369"/>
    </row>
    <row r="29" spans="1:9" s="45" customFormat="1" ht="13.5" customHeight="1" thickTop="1" x14ac:dyDescent="0.2">
      <c r="A29" s="106"/>
      <c r="B29" s="444"/>
      <c r="C29" s="48"/>
      <c r="D29" s="1750"/>
      <c r="E29" s="1752"/>
      <c r="F29" s="1752"/>
      <c r="G29" s="52"/>
      <c r="H29" s="121"/>
      <c r="I29" s="65"/>
    </row>
    <row r="30" spans="1:9" s="45" customFormat="1" ht="13.5" customHeight="1" x14ac:dyDescent="0.2">
      <c r="A30" s="106"/>
      <c r="B30" s="453"/>
      <c r="C30" s="63"/>
      <c r="D30" s="1759"/>
      <c r="E30" s="1760"/>
      <c r="F30" s="1760"/>
      <c r="G30" s="61"/>
      <c r="H30" s="121"/>
      <c r="I30" s="65"/>
    </row>
    <row r="31" spans="1:9" s="45" customFormat="1" ht="13.5" customHeight="1" thickBot="1" x14ac:dyDescent="0.25">
      <c r="A31" s="356"/>
      <c r="B31" s="454"/>
      <c r="C31" s="168"/>
      <c r="D31" s="1761"/>
      <c r="E31" s="1761"/>
      <c r="F31" s="1761"/>
      <c r="G31" s="204"/>
      <c r="H31" s="121"/>
      <c r="I31" s="86"/>
    </row>
    <row r="32" spans="1:9" s="45" customFormat="1" ht="13.5" customHeight="1" x14ac:dyDescent="0.2">
      <c r="A32" s="455" t="s">
        <v>299</v>
      </c>
      <c r="B32" s="456"/>
      <c r="C32" s="457"/>
      <c r="D32" s="1762"/>
      <c r="E32" s="1763"/>
      <c r="F32" s="1764"/>
      <c r="G32" s="458"/>
      <c r="H32" s="121"/>
      <c r="I32" s="86"/>
    </row>
    <row r="33" spans="1:9" s="45" customFormat="1" ht="13.5" customHeight="1" x14ac:dyDescent="0.2">
      <c r="A33" s="467">
        <v>2022</v>
      </c>
      <c r="B33" s="1749" t="s">
        <v>813</v>
      </c>
      <c r="C33" s="244"/>
      <c r="D33" s="1919">
        <v>4.5199999999999997E-2</v>
      </c>
      <c r="E33" s="1765"/>
      <c r="F33" s="1764"/>
      <c r="G33" s="458"/>
      <c r="H33" s="121"/>
      <c r="I33" s="86"/>
    </row>
    <row r="34" spans="1:9" s="45" customFormat="1" ht="13.5" customHeight="1" x14ac:dyDescent="0.2">
      <c r="A34" s="467">
        <v>2021</v>
      </c>
      <c r="B34" s="1749" t="s">
        <v>813</v>
      </c>
      <c r="C34" s="244"/>
      <c r="D34" s="1919">
        <v>4.5199999999999997E-2</v>
      </c>
      <c r="E34" s="1765"/>
      <c r="F34" s="1764"/>
      <c r="G34" s="458"/>
      <c r="H34" s="121"/>
      <c r="I34" s="86"/>
    </row>
    <row r="35" spans="1:9" s="45" customFormat="1" ht="13.5" customHeight="1" x14ac:dyDescent="0.2">
      <c r="A35" s="467">
        <v>2020</v>
      </c>
      <c r="B35" s="1749" t="s">
        <v>813</v>
      </c>
      <c r="C35" s="244"/>
      <c r="D35" s="1919">
        <v>5.3699999999999998E-2</v>
      </c>
      <c r="E35" s="1765"/>
      <c r="F35" s="1764"/>
      <c r="G35" s="458"/>
      <c r="H35" s="121"/>
      <c r="I35" s="86"/>
    </row>
    <row r="36" spans="1:9" s="45" customFormat="1" ht="13.5" customHeight="1" x14ac:dyDescent="0.2">
      <c r="A36" s="467">
        <v>2019</v>
      </c>
      <c r="B36" s="1749" t="s">
        <v>813</v>
      </c>
      <c r="C36" s="244"/>
      <c r="D36" s="1766">
        <v>5.1999999999999998E-2</v>
      </c>
      <c r="E36" s="1765"/>
      <c r="F36" s="1764"/>
      <c r="G36" s="458"/>
      <c r="H36" s="121"/>
      <c r="I36" s="86"/>
    </row>
    <row r="37" spans="1:9" s="45" customFormat="1" ht="13.5" customHeight="1" x14ac:dyDescent="0.2">
      <c r="A37" s="467">
        <v>2018</v>
      </c>
      <c r="B37" s="1749" t="s">
        <v>813</v>
      </c>
      <c r="C37" s="167"/>
      <c r="D37" s="1766">
        <v>5.2999999999999999E-2</v>
      </c>
      <c r="E37" s="461"/>
      <c r="F37" s="458"/>
      <c r="G37" s="458"/>
      <c r="H37" s="121"/>
      <c r="I37" s="86"/>
    </row>
    <row r="38" spans="1:9" s="45" customFormat="1" ht="13.5" customHeight="1" x14ac:dyDescent="0.2">
      <c r="A38" s="242">
        <v>2017</v>
      </c>
      <c r="B38" s="1749" t="s">
        <v>813</v>
      </c>
      <c r="C38" s="167"/>
      <c r="D38" s="460">
        <v>5.3999999999999999E-2</v>
      </c>
      <c r="E38" s="461"/>
      <c r="F38" s="458"/>
      <c r="G38" s="458"/>
      <c r="H38" s="121"/>
      <c r="I38" s="86"/>
    </row>
    <row r="39" spans="1:9" s="45" customFormat="1" ht="13.5" customHeight="1" x14ac:dyDescent="0.2">
      <c r="A39" s="242">
        <v>2016</v>
      </c>
      <c r="B39" s="1749" t="s">
        <v>813</v>
      </c>
      <c r="C39" s="243"/>
      <c r="D39" s="460">
        <v>5.45E-2</v>
      </c>
      <c r="E39" s="1900"/>
      <c r="F39" s="458"/>
      <c r="G39" s="458"/>
      <c r="H39" s="121"/>
      <c r="I39" s="86"/>
    </row>
    <row r="40" spans="1:9" s="45" customFormat="1" ht="13.5" customHeight="1" x14ac:dyDescent="0.2">
      <c r="A40" s="242"/>
      <c r="B40" s="1749"/>
      <c r="C40" s="243"/>
      <c r="D40" s="460"/>
      <c r="E40" s="1900"/>
      <c r="F40" s="458"/>
      <c r="G40" s="458"/>
      <c r="H40" s="121"/>
      <c r="I40" s="86"/>
    </row>
    <row r="41" spans="1:9" s="45" customFormat="1" ht="13.5" customHeight="1" x14ac:dyDescent="0.2">
      <c r="A41" s="239" t="s">
        <v>961</v>
      </c>
      <c r="B41" s="1749"/>
      <c r="C41" s="243"/>
      <c r="D41" s="460">
        <f>VLOOKUP(G10,$A$33:$D$39,4,FALSE)</f>
        <v>4.5199999999999997E-2</v>
      </c>
      <c r="E41" s="1900"/>
      <c r="F41" s="458"/>
      <c r="G41" s="458"/>
      <c r="H41" s="121"/>
      <c r="I41" s="86"/>
    </row>
    <row r="42" spans="1:9" s="45" customFormat="1" ht="13.5" customHeight="1" thickBot="1" x14ac:dyDescent="0.25">
      <c r="A42" s="462"/>
      <c r="B42" s="463"/>
      <c r="C42" s="464"/>
      <c r="D42" s="465"/>
      <c r="E42" s="466"/>
      <c r="F42" s="458"/>
      <c r="G42" s="458"/>
      <c r="H42" s="121"/>
      <c r="I42" s="86"/>
    </row>
    <row r="43" spans="1:9" s="45" customFormat="1" ht="13.5" customHeight="1" x14ac:dyDescent="0.2">
      <c r="A43" s="248"/>
      <c r="B43" s="467"/>
      <c r="C43" s="244"/>
      <c r="D43" s="244"/>
      <c r="E43" s="244"/>
      <c r="F43" s="244"/>
      <c r="G43" s="204"/>
      <c r="H43" s="121"/>
      <c r="I43" s="86"/>
    </row>
    <row r="44" spans="1:9" s="45" customFormat="1" ht="13.5" customHeight="1" x14ac:dyDescent="0.2">
      <c r="A44" s="239"/>
      <c r="B44" s="468"/>
      <c r="C44" s="158" t="s">
        <v>301</v>
      </c>
      <c r="D44" s="121" t="s">
        <v>300</v>
      </c>
      <c r="E44" s="158" t="s">
        <v>5</v>
      </c>
      <c r="F44" s="204"/>
      <c r="G44" s="204"/>
      <c r="H44" s="121"/>
      <c r="I44" s="86"/>
    </row>
    <row r="45" spans="1:9" s="45" customFormat="1" ht="13.5" customHeight="1" x14ac:dyDescent="0.2">
      <c r="A45" s="239" t="s">
        <v>30</v>
      </c>
      <c r="B45" s="468" t="s">
        <v>72</v>
      </c>
      <c r="C45" s="158" t="s">
        <v>34</v>
      </c>
      <c r="D45" s="121" t="s">
        <v>136</v>
      </c>
      <c r="E45" s="158" t="s">
        <v>137</v>
      </c>
      <c r="F45" s="204"/>
      <c r="G45" s="204"/>
      <c r="H45" s="121"/>
      <c r="I45" s="86"/>
    </row>
    <row r="46" spans="1:9" s="45" customFormat="1" ht="13.5" customHeight="1" x14ac:dyDescent="0.2">
      <c r="A46" s="469">
        <f>DATE(0+'Index and Structure'!$D$4-1,7,1)</f>
        <v>44378</v>
      </c>
      <c r="B46" s="470"/>
      <c r="C46" s="471"/>
      <c r="D46" s="377">
        <f>G17</f>
        <v>0</v>
      </c>
      <c r="E46" s="472"/>
      <c r="F46" s="204"/>
      <c r="G46" s="204"/>
      <c r="H46" s="121"/>
      <c r="I46" s="86"/>
    </row>
    <row r="47" spans="1:9" s="45" customFormat="1" ht="13.5" customHeight="1" x14ac:dyDescent="0.2">
      <c r="A47" s="469">
        <f>DATE(0+'Index and Structure'!$D$4-1,7,1)</f>
        <v>44378</v>
      </c>
      <c r="B47" s="473"/>
      <c r="C47" s="450"/>
      <c r="D47" s="377">
        <f>D46+C47</f>
        <v>0</v>
      </c>
      <c r="E47" s="377">
        <f>(A47-A46)/365*$D$41*D46</f>
        <v>0</v>
      </c>
      <c r="F47" s="204"/>
      <c r="G47" s="204"/>
      <c r="H47" s="121"/>
      <c r="I47" s="86"/>
    </row>
    <row r="48" spans="1:9" s="45" customFormat="1" ht="13.5" customHeight="1" x14ac:dyDescent="0.2">
      <c r="A48" s="469">
        <f>DATE(0+'Index and Structure'!$D$4-1,7,1)</f>
        <v>44378</v>
      </c>
      <c r="B48" s="473"/>
      <c r="C48" s="450"/>
      <c r="D48" s="377">
        <f t="shared" ref="D48:D62" si="0">D47+C48</f>
        <v>0</v>
      </c>
      <c r="E48" s="377">
        <f t="shared" ref="E48:E62" si="1">(A48-A47)/365*$D$41*D47</f>
        <v>0</v>
      </c>
      <c r="F48" s="204"/>
      <c r="G48" s="204"/>
      <c r="H48" s="121"/>
      <c r="I48" s="86"/>
    </row>
    <row r="49" spans="1:9" s="45" customFormat="1" ht="13.5" customHeight="1" x14ac:dyDescent="0.2">
      <c r="A49" s="469">
        <f>DATE(0+'Index and Structure'!$D$4-1,7,31)</f>
        <v>44408</v>
      </c>
      <c r="B49" s="473"/>
      <c r="C49" s="450"/>
      <c r="D49" s="377">
        <f t="shared" si="0"/>
        <v>0</v>
      </c>
      <c r="E49" s="377">
        <f t="shared" si="1"/>
        <v>0</v>
      </c>
      <c r="F49" s="204"/>
      <c r="G49" s="204"/>
      <c r="H49" s="121"/>
      <c r="I49" s="86"/>
    </row>
    <row r="50" spans="1:9" s="45" customFormat="1" ht="13.5" customHeight="1" x14ac:dyDescent="0.2">
      <c r="A50" s="469">
        <f>DATE(0+'Index and Structure'!$D$4-1,8,31)</f>
        <v>44439</v>
      </c>
      <c r="B50" s="473"/>
      <c r="C50" s="450"/>
      <c r="D50" s="377">
        <f t="shared" si="0"/>
        <v>0</v>
      </c>
      <c r="E50" s="377">
        <f t="shared" si="1"/>
        <v>0</v>
      </c>
      <c r="F50" s="204"/>
      <c r="G50" s="204"/>
      <c r="H50" s="121"/>
      <c r="I50" s="86"/>
    </row>
    <row r="51" spans="1:9" s="45" customFormat="1" ht="13.5" customHeight="1" x14ac:dyDescent="0.2">
      <c r="A51" s="469">
        <f>DATE(0+'Index and Structure'!$D$4-1,9,30)</f>
        <v>44469</v>
      </c>
      <c r="B51" s="473"/>
      <c r="C51" s="450"/>
      <c r="D51" s="377">
        <f t="shared" si="0"/>
        <v>0</v>
      </c>
      <c r="E51" s="377">
        <f>(A51-A50)/365*$D$41*D50</f>
        <v>0</v>
      </c>
      <c r="F51" s="204"/>
      <c r="G51" s="204"/>
      <c r="H51" s="121"/>
      <c r="I51" s="86"/>
    </row>
    <row r="52" spans="1:9" s="45" customFormat="1" ht="13.5" customHeight="1" x14ac:dyDescent="0.2">
      <c r="A52" s="469">
        <f>DATE(0+'Index and Structure'!$D$4-1,10,31)</f>
        <v>44500</v>
      </c>
      <c r="B52" s="473"/>
      <c r="C52" s="450"/>
      <c r="D52" s="377">
        <f t="shared" si="0"/>
        <v>0</v>
      </c>
      <c r="E52" s="377">
        <f t="shared" si="1"/>
        <v>0</v>
      </c>
      <c r="F52" s="1767"/>
      <c r="G52" s="204"/>
      <c r="H52" s="121"/>
      <c r="I52" s="86"/>
    </row>
    <row r="53" spans="1:9" s="45" customFormat="1" ht="13.5" customHeight="1" x14ac:dyDescent="0.2">
      <c r="A53" s="469">
        <f>DATE(0+'Index and Structure'!$D$4-1,11,30)</f>
        <v>44530</v>
      </c>
      <c r="B53" s="473"/>
      <c r="C53" s="450"/>
      <c r="D53" s="377">
        <f t="shared" si="0"/>
        <v>0</v>
      </c>
      <c r="E53" s="377">
        <f>(A53-A52)/365*$D$41*D52</f>
        <v>0</v>
      </c>
      <c r="F53" s="204"/>
      <c r="G53" s="204"/>
      <c r="H53" s="121"/>
      <c r="I53" s="86"/>
    </row>
    <row r="54" spans="1:9" s="45" customFormat="1" ht="13.5" customHeight="1" x14ac:dyDescent="0.2">
      <c r="A54" s="469">
        <f>DATE(0+'Index and Structure'!$D$4-1,12,31)</f>
        <v>44561</v>
      </c>
      <c r="B54" s="473"/>
      <c r="C54" s="450"/>
      <c r="D54" s="377">
        <f t="shared" si="0"/>
        <v>0</v>
      </c>
      <c r="E54" s="377">
        <f t="shared" si="1"/>
        <v>0</v>
      </c>
      <c r="F54" s="204"/>
      <c r="G54" s="204"/>
      <c r="H54" s="121"/>
      <c r="I54" s="86"/>
    </row>
    <row r="55" spans="1:9" s="45" customFormat="1" ht="13.5" customHeight="1" x14ac:dyDescent="0.2">
      <c r="A55" s="469">
        <f>DATE(0+'Index and Structure'!$D$4,1,31)</f>
        <v>44592</v>
      </c>
      <c r="B55" s="473"/>
      <c r="C55" s="450"/>
      <c r="D55" s="377">
        <f t="shared" si="0"/>
        <v>0</v>
      </c>
      <c r="E55" s="377">
        <f t="shared" si="1"/>
        <v>0</v>
      </c>
      <c r="F55" s="204"/>
      <c r="G55" s="204"/>
      <c r="H55" s="121"/>
      <c r="I55" s="86"/>
    </row>
    <row r="56" spans="1:9" s="45" customFormat="1" ht="13.5" customHeight="1" x14ac:dyDescent="0.2">
      <c r="A56" s="469">
        <f>DATE(0+'Index and Structure'!$D$4,2,28)</f>
        <v>44620</v>
      </c>
      <c r="B56" s="474"/>
      <c r="C56" s="450"/>
      <c r="D56" s="377">
        <f t="shared" si="0"/>
        <v>0</v>
      </c>
      <c r="E56" s="377">
        <f t="shared" si="1"/>
        <v>0</v>
      </c>
      <c r="F56" s="204"/>
      <c r="G56" s="204"/>
      <c r="H56" s="121"/>
      <c r="I56" s="86"/>
    </row>
    <row r="57" spans="1:9" s="45" customFormat="1" ht="13.5" customHeight="1" x14ac:dyDescent="0.2">
      <c r="A57" s="469">
        <f>DATE(0+'Index and Structure'!$D$4,3,31)</f>
        <v>44651</v>
      </c>
      <c r="B57" s="474"/>
      <c r="C57" s="450"/>
      <c r="D57" s="377">
        <f t="shared" si="0"/>
        <v>0</v>
      </c>
      <c r="E57" s="377">
        <f>(A57-A56)/365*$D$41*D56</f>
        <v>0</v>
      </c>
      <c r="F57" s="204"/>
      <c r="G57" s="204"/>
      <c r="H57" s="121"/>
      <c r="I57" s="86"/>
    </row>
    <row r="58" spans="1:9" s="45" customFormat="1" ht="13.5" customHeight="1" x14ac:dyDescent="0.2">
      <c r="A58" s="469">
        <f>DATE(0+'Index and Structure'!$D$4,4,30)</f>
        <v>44681</v>
      </c>
      <c r="B58" s="474"/>
      <c r="C58" s="450"/>
      <c r="D58" s="377">
        <f t="shared" si="0"/>
        <v>0</v>
      </c>
      <c r="E58" s="377">
        <f t="shared" si="1"/>
        <v>0</v>
      </c>
      <c r="F58" s="204"/>
      <c r="G58" s="204"/>
      <c r="H58" s="121"/>
      <c r="I58" s="86"/>
    </row>
    <row r="59" spans="1:9" s="45" customFormat="1" ht="13.5" customHeight="1" x14ac:dyDescent="0.2">
      <c r="A59" s="469">
        <f>DATE(0+'Index and Structure'!$D$4,5,31)</f>
        <v>44712</v>
      </c>
      <c r="B59" s="474"/>
      <c r="C59" s="450"/>
      <c r="D59" s="377">
        <f t="shared" si="0"/>
        <v>0</v>
      </c>
      <c r="E59" s="377">
        <f t="shared" si="1"/>
        <v>0</v>
      </c>
      <c r="F59" s="204"/>
      <c r="G59" s="204"/>
      <c r="H59" s="121"/>
      <c r="I59" s="86"/>
    </row>
    <row r="60" spans="1:9" s="45" customFormat="1" ht="13.5" customHeight="1" x14ac:dyDescent="0.2">
      <c r="A60" s="469">
        <f>DATE(0+'Index and Structure'!$D$4,6,30)</f>
        <v>44742</v>
      </c>
      <c r="B60" s="474"/>
      <c r="C60" s="450"/>
      <c r="D60" s="377">
        <f t="shared" si="0"/>
        <v>0</v>
      </c>
      <c r="E60" s="377">
        <f>(A60-A59)/365*$D$41*D59</f>
        <v>0</v>
      </c>
      <c r="F60" s="204"/>
      <c r="G60" s="204"/>
      <c r="H60" s="121"/>
      <c r="I60" s="86"/>
    </row>
    <row r="61" spans="1:9" s="45" customFormat="1" ht="13.5" customHeight="1" x14ac:dyDescent="0.2">
      <c r="A61" s="469">
        <f>DATE(0+'Index and Structure'!$D$4,6,30)</f>
        <v>44742</v>
      </c>
      <c r="B61" s="474"/>
      <c r="C61" s="450"/>
      <c r="D61" s="377">
        <f t="shared" si="0"/>
        <v>0</v>
      </c>
      <c r="E61" s="377">
        <f t="shared" si="1"/>
        <v>0</v>
      </c>
      <c r="F61" s="204"/>
      <c r="G61" s="204"/>
      <c r="H61" s="121"/>
      <c r="I61" s="86"/>
    </row>
    <row r="62" spans="1:9" s="45" customFormat="1" ht="13.5" customHeight="1" x14ac:dyDescent="0.2">
      <c r="A62" s="469">
        <f>DATE(0+'Index and Structure'!$D$4,6,30)</f>
        <v>44742</v>
      </c>
      <c r="B62" s="474" t="s">
        <v>5</v>
      </c>
      <c r="C62" s="450">
        <f>E64</f>
        <v>0</v>
      </c>
      <c r="D62" s="377">
        <f t="shared" si="0"/>
        <v>0</v>
      </c>
      <c r="E62" s="377">
        <f t="shared" si="1"/>
        <v>0</v>
      </c>
      <c r="F62" s="204"/>
      <c r="G62" s="204"/>
      <c r="H62" s="121"/>
      <c r="I62" s="86"/>
    </row>
    <row r="63" spans="1:9" s="45" customFormat="1" ht="13.5" customHeight="1" x14ac:dyDescent="0.2">
      <c r="A63" s="242"/>
      <c r="B63" s="459"/>
      <c r="C63" s="167"/>
      <c r="D63" s="167"/>
      <c r="E63" s="167"/>
      <c r="F63" s="204"/>
      <c r="G63" s="204"/>
      <c r="H63" s="121"/>
      <c r="I63" s="86"/>
    </row>
    <row r="64" spans="1:9" s="45" customFormat="1" ht="13.5" customHeight="1" thickBot="1" x14ac:dyDescent="0.25">
      <c r="A64" s="242"/>
      <c r="B64" s="459"/>
      <c r="C64" s="167"/>
      <c r="D64" s="167"/>
      <c r="E64" s="380">
        <f>SUM(E46:E62)</f>
        <v>0</v>
      </c>
      <c r="F64" s="167"/>
      <c r="G64" s="204"/>
      <c r="H64" s="121"/>
      <c r="I64" s="86"/>
    </row>
    <row r="65" spans="1:9" s="45" customFormat="1" ht="13.5" customHeight="1" thickTop="1" x14ac:dyDescent="0.2">
      <c r="A65" s="197"/>
      <c r="B65" s="475"/>
      <c r="C65" s="167"/>
      <c r="D65" s="167"/>
      <c r="E65" s="167"/>
      <c r="F65" s="167"/>
      <c r="G65" s="167"/>
      <c r="H65" s="121"/>
      <c r="I65" s="476"/>
    </row>
    <row r="66" spans="1:9" s="45" customFormat="1" ht="13.5" customHeight="1" x14ac:dyDescent="0.2">
      <c r="A66" s="477" t="s">
        <v>794</v>
      </c>
      <c r="B66" s="475"/>
      <c r="C66" s="167"/>
      <c r="D66" s="167"/>
      <c r="E66" s="167"/>
      <c r="F66" s="167"/>
      <c r="G66" s="167"/>
      <c r="H66" s="121"/>
      <c r="I66" s="476"/>
    </row>
    <row r="67" spans="1:9" s="45" customFormat="1" ht="13.5" customHeight="1" x14ac:dyDescent="0.2">
      <c r="A67" s="197"/>
      <c r="B67" s="475"/>
      <c r="C67" s="167"/>
      <c r="D67" s="167"/>
      <c r="E67" s="167"/>
      <c r="F67" s="167"/>
      <c r="G67" s="167"/>
      <c r="H67" s="121"/>
      <c r="I67" s="476"/>
    </row>
    <row r="68" spans="1:9" s="45" customFormat="1" ht="13.5" customHeight="1" x14ac:dyDescent="0.2">
      <c r="A68" s="478" t="s">
        <v>793</v>
      </c>
      <c r="B68" s="479"/>
      <c r="C68" s="1920">
        <f>'Index and Structure'!D4</f>
        <v>2022</v>
      </c>
      <c r="D68" s="499">
        <f t="shared" ref="D68:I68" si="2">C68+1</f>
        <v>2023</v>
      </c>
      <c r="E68" s="499">
        <f t="shared" si="2"/>
        <v>2024</v>
      </c>
      <c r="F68" s="499">
        <f t="shared" si="2"/>
        <v>2025</v>
      </c>
      <c r="G68" s="499">
        <f t="shared" si="2"/>
        <v>2026</v>
      </c>
      <c r="H68" s="499">
        <f t="shared" si="2"/>
        <v>2027</v>
      </c>
      <c r="I68" s="499">
        <f t="shared" si="2"/>
        <v>2028</v>
      </c>
    </row>
    <row r="69" spans="1:9" s="45" customFormat="1" ht="13.5" customHeight="1" x14ac:dyDescent="0.2">
      <c r="A69" s="197"/>
      <c r="B69" s="475"/>
      <c r="C69" s="167"/>
      <c r="D69" s="167"/>
      <c r="E69" s="167"/>
      <c r="F69" s="167"/>
      <c r="G69" s="166"/>
      <c r="H69" s="121"/>
      <c r="I69" s="245"/>
    </row>
    <row r="70" spans="1:9" s="45" customFormat="1" ht="13.5" customHeight="1" x14ac:dyDescent="0.2">
      <c r="A70" s="197" t="s">
        <v>792</v>
      </c>
      <c r="B70" s="475"/>
      <c r="C70" s="1437">
        <f>D46</f>
        <v>0</v>
      </c>
      <c r="D70" s="1565">
        <f t="shared" ref="D70:I70" si="3">C70-C76+C70*C72</f>
        <v>0</v>
      </c>
      <c r="E70" s="1565">
        <f t="shared" si="3"/>
        <v>0</v>
      </c>
      <c r="F70" s="1565">
        <f t="shared" si="3"/>
        <v>0</v>
      </c>
      <c r="G70" s="1565">
        <f t="shared" si="3"/>
        <v>0</v>
      </c>
      <c r="H70" s="1565">
        <f t="shared" si="3"/>
        <v>0</v>
      </c>
      <c r="I70" s="1565" t="e">
        <f t="shared" si="3"/>
        <v>#DIV/0!</v>
      </c>
    </row>
    <row r="71" spans="1:9" s="45" customFormat="1" ht="13.5" customHeight="1" x14ac:dyDescent="0.2">
      <c r="A71" s="197"/>
      <c r="B71" s="475"/>
      <c r="C71" s="167"/>
      <c r="D71" s="167"/>
      <c r="E71" s="167"/>
      <c r="F71" s="167"/>
      <c r="G71" s="166"/>
      <c r="H71" s="121"/>
      <c r="I71" s="245"/>
    </row>
    <row r="72" spans="1:9" s="45" customFormat="1" ht="13.5" customHeight="1" x14ac:dyDescent="0.2">
      <c r="A72" s="197" t="s">
        <v>138</v>
      </c>
      <c r="B72" s="475"/>
      <c r="C72" s="481">
        <f>VLOOKUP(C68,$A$33:$D$39,4,FALSE)</f>
        <v>4.5199999999999997E-2</v>
      </c>
      <c r="D72" s="1566">
        <f>IFERROR(VLOOKUP(D68,$A$34:$D$39,4,FALSE),C72)</f>
        <v>4.5199999999999997E-2</v>
      </c>
      <c r="E72" s="1566">
        <f t="shared" ref="E72:I72" si="4">IFERROR(VLOOKUP(E68,$A$34:$D$39,4,FALSE),D72)</f>
        <v>4.5199999999999997E-2</v>
      </c>
      <c r="F72" s="1566">
        <f t="shared" si="4"/>
        <v>4.5199999999999997E-2</v>
      </c>
      <c r="G72" s="1566">
        <f t="shared" si="4"/>
        <v>4.5199999999999997E-2</v>
      </c>
      <c r="H72" s="1566">
        <f t="shared" si="4"/>
        <v>4.5199999999999997E-2</v>
      </c>
      <c r="I72" s="1566">
        <f t="shared" si="4"/>
        <v>4.5199999999999997E-2</v>
      </c>
    </row>
    <row r="73" spans="1:9" s="45" customFormat="1" ht="13.5" customHeight="1" x14ac:dyDescent="0.2">
      <c r="A73" s="197"/>
      <c r="B73" s="475"/>
      <c r="C73" s="167"/>
      <c r="D73" s="167"/>
      <c r="E73" s="167"/>
      <c r="F73" s="167"/>
      <c r="G73" s="166"/>
      <c r="H73" s="121"/>
      <c r="I73" s="245"/>
    </row>
    <row r="74" spans="1:9" s="45" customFormat="1" ht="13.5" customHeight="1" x14ac:dyDescent="0.2">
      <c r="A74" s="197" t="s">
        <v>140</v>
      </c>
      <c r="B74" s="475"/>
      <c r="C74" s="1918">
        <f t="shared" ref="C74:I74" si="5">+$C$14-C$68+8</f>
        <v>5</v>
      </c>
      <c r="D74" s="1918">
        <f t="shared" si="5"/>
        <v>4</v>
      </c>
      <c r="E74" s="1918">
        <f t="shared" si="5"/>
        <v>3</v>
      </c>
      <c r="F74" s="1918">
        <f t="shared" si="5"/>
        <v>2</v>
      </c>
      <c r="G74" s="1918">
        <f t="shared" si="5"/>
        <v>1</v>
      </c>
      <c r="H74" s="1918">
        <f t="shared" si="5"/>
        <v>0</v>
      </c>
      <c r="I74" s="1918">
        <f t="shared" si="5"/>
        <v>-1</v>
      </c>
    </row>
    <row r="75" spans="1:9" s="45" customFormat="1" ht="13.5" customHeight="1" x14ac:dyDescent="0.2">
      <c r="A75" s="197"/>
      <c r="B75" s="475"/>
      <c r="C75" s="243"/>
      <c r="D75" s="243"/>
      <c r="E75" s="243"/>
      <c r="F75" s="243"/>
      <c r="G75" s="482"/>
      <c r="H75" s="504"/>
      <c r="I75" s="483"/>
    </row>
    <row r="76" spans="1:9" s="45" customFormat="1" ht="13.5" customHeight="1" thickBot="1" x14ac:dyDescent="0.25">
      <c r="A76" s="214" t="s">
        <v>791</v>
      </c>
      <c r="B76" s="475"/>
      <c r="C76" s="380">
        <f>C72*C70/(1-(1/(1+C72))^C74)</f>
        <v>0</v>
      </c>
      <c r="D76" s="380">
        <f t="shared" ref="D76:I76" si="6">D72*D70/(1-(1/(1+D72))^D74)</f>
        <v>0</v>
      </c>
      <c r="E76" s="380">
        <f t="shared" si="6"/>
        <v>0</v>
      </c>
      <c r="F76" s="380">
        <f t="shared" si="6"/>
        <v>0</v>
      </c>
      <c r="G76" s="381">
        <f t="shared" si="6"/>
        <v>0</v>
      </c>
      <c r="H76" s="380" t="e">
        <f t="shared" si="6"/>
        <v>#DIV/0!</v>
      </c>
      <c r="I76" s="484" t="e">
        <f t="shared" si="6"/>
        <v>#DIV/0!</v>
      </c>
    </row>
    <row r="77" spans="1:9" s="45" customFormat="1" ht="13.5" customHeight="1" thickTop="1" x14ac:dyDescent="0.2">
      <c r="A77" s="197"/>
      <c r="B77" s="475"/>
      <c r="C77" s="193"/>
      <c r="D77" s="193"/>
      <c r="E77" s="193"/>
      <c r="F77" s="193"/>
      <c r="G77" s="485"/>
      <c r="H77" s="494"/>
      <c r="I77" s="238"/>
    </row>
    <row r="78" spans="1:9" s="45" customFormat="1" ht="13.5" customHeight="1" thickBot="1" x14ac:dyDescent="0.25">
      <c r="A78" s="356"/>
      <c r="B78" s="454"/>
      <c r="C78" s="168"/>
      <c r="D78" s="168"/>
      <c r="E78" s="165"/>
      <c r="F78" s="165"/>
      <c r="G78" s="204"/>
      <c r="H78" s="121"/>
      <c r="I78" s="86"/>
    </row>
    <row r="79" spans="1:9" s="45" customFormat="1" ht="21.75" customHeight="1" thickBot="1" x14ac:dyDescent="0.25">
      <c r="A79" s="475"/>
      <c r="B79" s="1438" t="s">
        <v>252</v>
      </c>
      <c r="C79" s="486"/>
      <c r="D79" s="487"/>
      <c r="E79" s="475"/>
      <c r="F79" s="165"/>
      <c r="G79" s="204"/>
      <c r="H79" s="121"/>
      <c r="I79" s="86"/>
    </row>
    <row r="80" spans="1:9" s="45" customFormat="1" ht="13.5" customHeight="1" thickBot="1" x14ac:dyDescent="0.25">
      <c r="A80" s="356"/>
      <c r="B80" s="454"/>
      <c r="C80" s="168"/>
      <c r="D80" s="168"/>
      <c r="E80" s="165"/>
      <c r="F80" s="165"/>
      <c r="G80" s="204"/>
      <c r="H80" s="121"/>
      <c r="I80" s="86"/>
    </row>
    <row r="81" spans="1:9" s="45" customFormat="1" ht="13.5" customHeight="1" x14ac:dyDescent="0.2">
      <c r="A81" s="347"/>
      <c r="B81" s="2398" t="s">
        <v>648</v>
      </c>
      <c r="C81" s="2399"/>
      <c r="D81" s="2399"/>
      <c r="E81" s="2399"/>
      <c r="F81" s="2399"/>
      <c r="G81" s="2400"/>
      <c r="H81" s="503"/>
      <c r="I81" s="65"/>
    </row>
    <row r="82" spans="1:9" s="45" customFormat="1" ht="13.5" customHeight="1" x14ac:dyDescent="0.2">
      <c r="A82" s="347"/>
      <c r="B82" s="2401"/>
      <c r="C82" s="2402"/>
      <c r="D82" s="2402"/>
      <c r="E82" s="2402"/>
      <c r="F82" s="2402"/>
      <c r="G82" s="2403"/>
      <c r="H82" s="503"/>
      <c r="I82" s="65"/>
    </row>
    <row r="83" spans="1:9" s="45" customFormat="1" ht="13.5" customHeight="1" thickBot="1" x14ac:dyDescent="0.25">
      <c r="A83" s="347"/>
      <c r="B83" s="2404"/>
      <c r="C83" s="2405"/>
      <c r="D83" s="2405"/>
      <c r="E83" s="2405"/>
      <c r="F83" s="2405"/>
      <c r="G83" s="2406"/>
      <c r="H83" s="503"/>
      <c r="I83" s="65"/>
    </row>
    <row r="84" spans="1:9" s="45" customFormat="1" ht="13.5" customHeight="1" x14ac:dyDescent="0.2">
      <c r="A84" s="106"/>
      <c r="B84" s="69"/>
      <c r="C84" s="46"/>
      <c r="D84" s="56"/>
      <c r="E84" s="46"/>
      <c r="F84" s="46"/>
      <c r="G84" s="57"/>
      <c r="H84" s="121"/>
      <c r="I84" s="65"/>
    </row>
    <row r="85" spans="1:9" s="45" customFormat="1" ht="13.5" customHeight="1" x14ac:dyDescent="0.2">
      <c r="A85" s="219"/>
      <c r="B85" s="488"/>
      <c r="C85" s="249"/>
      <c r="D85" s="249"/>
      <c r="E85" s="249"/>
      <c r="F85" s="249"/>
      <c r="G85" s="397"/>
      <c r="H85" s="505"/>
      <c r="I85" s="87"/>
    </row>
  </sheetData>
  <customSheetViews>
    <customSheetView guid="{F72FE543-F911-423C-A34B-9CA018DFE603}" showPageBreaks="1" showGridLines="0" printArea="1" view="pageBreakPreview" topLeftCell="A10">
      <selection activeCell="G27" sqref="G27"/>
      <pageMargins left="0.74803149606299213" right="0.39370078740157483" top="0.55118110236220474" bottom="0.62992125984251968" header="0.51181102362204722" footer="0.47244094488188981"/>
      <pageSetup paperSize="9" scale="88" orientation="portrait" r:id="rId1"/>
      <headerFooter alignWithMargins="0">
        <oddFooter>&amp;LPrinted:&amp;T on &amp;D</oddFooter>
      </headerFooter>
    </customSheetView>
  </customSheetViews>
  <mergeCells count="3">
    <mergeCell ref="B81:G83"/>
    <mergeCell ref="A2:C2"/>
    <mergeCell ref="B7:D7"/>
  </mergeCells>
  <hyperlinks>
    <hyperlink ref="A2" location="'Index and Structure'!A1" display="The Macro Group" xr:uid="{00000000-0004-0000-0B00-000000000000}"/>
    <hyperlink ref="B79" r:id="rId2" xr:uid="{00000000-0004-0000-0B00-000001000000}"/>
  </hyperlinks>
  <pageMargins left="0.74803149606299213" right="0.18" top="0.55118110236220474" bottom="0.62992125984251968" header="0.51181102362204722" footer="0.47244094488188981"/>
  <pageSetup paperSize="9" scale="59" orientation="portrait" r:id="rId3"/>
  <headerFooter alignWithMargins="0">
    <oddFooter>&amp;LPrinted:&amp;T on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11CFB-8CF9-45D1-9105-E4B0D2C7480E}">
  <sheetPr codeName="Sheet6">
    <tabColor rgb="FFFF0000"/>
  </sheetPr>
  <dimension ref="A1:O86"/>
  <sheetViews>
    <sheetView zoomScale="80" zoomScaleNormal="80" workbookViewId="0">
      <selection activeCell="M18" sqref="M18"/>
    </sheetView>
  </sheetViews>
  <sheetFormatPr defaultRowHeight="12.75" x14ac:dyDescent="0.2"/>
  <cols>
    <col min="2" max="2" width="44.28515625" customWidth="1"/>
    <col min="4" max="4" width="11.28515625" customWidth="1"/>
    <col min="5" max="5" width="11" customWidth="1"/>
    <col min="9" max="9" width="24" customWidth="1"/>
    <col min="10" max="10" width="27.42578125" customWidth="1"/>
    <col min="11" max="11" width="12.42578125" customWidth="1"/>
  </cols>
  <sheetData>
    <row r="1" spans="1:12" ht="19.5" thickBot="1" x14ac:dyDescent="0.35">
      <c r="A1" s="2269" t="s">
        <v>44</v>
      </c>
      <c r="B1" s="2270"/>
      <c r="C1" s="19"/>
      <c r="D1" s="19"/>
      <c r="E1" s="19"/>
      <c r="F1" s="21"/>
      <c r="G1" s="21"/>
      <c r="H1" s="21"/>
      <c r="I1" s="21"/>
      <c r="J1" s="21"/>
      <c r="K1" s="520"/>
      <c r="L1" s="20"/>
    </row>
    <row r="2" spans="1:12" ht="15" x14ac:dyDescent="0.25">
      <c r="A2" s="22"/>
      <c r="B2" s="19"/>
      <c r="C2" s="19"/>
      <c r="D2" s="19"/>
      <c r="E2" s="19"/>
      <c r="F2" s="19"/>
      <c r="G2" s="19"/>
      <c r="H2" s="19"/>
      <c r="I2" s="19"/>
      <c r="J2" s="19"/>
      <c r="K2" s="28"/>
      <c r="L2" s="19"/>
    </row>
    <row r="3" spans="1:12" ht="15" x14ac:dyDescent="0.25">
      <c r="A3" s="23"/>
      <c r="B3" s="24"/>
      <c r="C3" s="25"/>
      <c r="D3" s="19"/>
      <c r="E3" s="19"/>
      <c r="F3" s="19"/>
      <c r="G3" s="19"/>
      <c r="H3" s="19"/>
      <c r="I3" s="23"/>
      <c r="J3" s="24"/>
      <c r="K3" s="74"/>
      <c r="L3" s="25"/>
    </row>
    <row r="4" spans="1:12" ht="15" x14ac:dyDescent="0.25">
      <c r="A4" s="26" t="s">
        <v>40</v>
      </c>
      <c r="B4" s="28">
        <f>'Index and Structure'!B1</f>
        <v>0</v>
      </c>
      <c r="C4" s="29"/>
      <c r="D4" s="1769"/>
      <c r="E4" s="1769"/>
      <c r="F4" s="30"/>
      <c r="G4" s="30"/>
      <c r="H4" s="30"/>
      <c r="I4" s="31" t="s">
        <v>718</v>
      </c>
      <c r="J4" s="32" t="str">
        <f>'Index and Structure'!B4</f>
        <v>30 June 2022</v>
      </c>
      <c r="K4" s="28"/>
      <c r="L4" s="33"/>
    </row>
    <row r="5" spans="1:12" ht="15" x14ac:dyDescent="0.25">
      <c r="A5" s="26" t="s">
        <v>719</v>
      </c>
      <c r="B5" s="28" t="s">
        <v>844</v>
      </c>
      <c r="C5" s="29"/>
      <c r="D5" s="1769"/>
      <c r="E5" s="1769"/>
      <c r="F5" s="30"/>
      <c r="G5" s="30"/>
      <c r="H5" s="30"/>
      <c r="I5" s="34" t="s">
        <v>41</v>
      </c>
      <c r="J5" s="28" t="str">
        <f>'Index and Structure'!B5</f>
        <v>NICO0024</v>
      </c>
      <c r="K5" s="1802" t="s">
        <v>42</v>
      </c>
      <c r="L5" s="1803"/>
    </row>
    <row r="6" spans="1:12" ht="15" x14ac:dyDescent="0.25">
      <c r="A6" s="36" t="s">
        <v>721</v>
      </c>
      <c r="B6" s="37" t="str">
        <f>'Index and Structure'!B4</f>
        <v>30 June 2022</v>
      </c>
      <c r="C6" s="38"/>
      <c r="D6" s="1769"/>
      <c r="E6" s="1769"/>
      <c r="F6" s="30"/>
      <c r="G6" s="30"/>
      <c r="H6" s="30"/>
      <c r="I6" s="39" t="s">
        <v>43</v>
      </c>
      <c r="J6" s="40" t="str">
        <f>'Index and Structure'!B6</f>
        <v>Liam Aubin</v>
      </c>
      <c r="K6" s="1804" t="s">
        <v>42</v>
      </c>
      <c r="L6" s="1805"/>
    </row>
    <row r="7" spans="1:12" ht="15" x14ac:dyDescent="0.25">
      <c r="A7" s="19"/>
      <c r="B7" s="19"/>
      <c r="C7" s="19"/>
      <c r="D7" s="19"/>
      <c r="E7" s="19"/>
      <c r="F7" s="19"/>
      <c r="G7" s="19"/>
      <c r="H7" s="19"/>
      <c r="I7" s="19"/>
      <c r="J7" s="19"/>
      <c r="K7" s="28"/>
      <c r="L7" s="19"/>
    </row>
    <row r="8" spans="1:12" ht="15" x14ac:dyDescent="0.25">
      <c r="A8" s="1988"/>
      <c r="B8" s="1988"/>
      <c r="C8" s="1988"/>
      <c r="D8" s="1988"/>
      <c r="E8" s="1988"/>
      <c r="F8" s="1988"/>
      <c r="G8" s="1988"/>
      <c r="H8" s="1988"/>
      <c r="I8" s="1988"/>
      <c r="J8" s="1989"/>
      <c r="K8" s="1990"/>
      <c r="L8" s="1988"/>
    </row>
    <row r="9" spans="1:12" ht="18.75" customHeight="1" x14ac:dyDescent="0.2">
      <c r="A9" s="1991"/>
      <c r="B9" s="1991" t="s">
        <v>845</v>
      </c>
      <c r="C9" s="1991"/>
      <c r="D9" s="2274" t="s">
        <v>846</v>
      </c>
      <c r="E9" s="2274"/>
      <c r="F9" s="2257" t="s">
        <v>925</v>
      </c>
      <c r="G9" s="2257"/>
      <c r="H9" s="2257"/>
      <c r="I9" s="2257"/>
      <c r="J9" s="1991"/>
      <c r="K9" s="1993"/>
      <c r="L9" s="1991"/>
    </row>
    <row r="10" spans="1:12" ht="15" x14ac:dyDescent="0.2">
      <c r="A10" s="1994"/>
      <c r="B10" s="1994"/>
      <c r="C10" s="1995"/>
      <c r="D10" s="1995"/>
      <c r="E10" s="1995"/>
      <c r="F10" s="1995"/>
      <c r="G10" s="1995"/>
      <c r="H10" s="1995"/>
      <c r="I10" s="1995"/>
      <c r="J10" s="1995"/>
      <c r="K10" s="1996"/>
      <c r="L10" s="1995"/>
    </row>
    <row r="11" spans="1:12" ht="15" x14ac:dyDescent="0.2">
      <c r="A11" s="1995"/>
      <c r="E11" s="1995"/>
      <c r="F11" s="1995"/>
      <c r="G11" s="1995"/>
      <c r="H11" s="1995"/>
      <c r="I11" s="1995"/>
      <c r="J11" s="1997"/>
      <c r="K11" s="1996"/>
      <c r="L11" s="1995"/>
    </row>
    <row r="12" spans="1:12" ht="15" x14ac:dyDescent="0.2">
      <c r="A12" s="1995"/>
      <c r="B12" s="2271" t="s">
        <v>851</v>
      </c>
      <c r="C12" s="2271"/>
      <c r="D12" s="2271"/>
      <c r="E12" s="1998"/>
      <c r="F12" s="1995"/>
      <c r="G12" s="1995"/>
      <c r="H12" s="85"/>
      <c r="L12" s="1995"/>
    </row>
    <row r="13" spans="1:12" ht="15" x14ac:dyDescent="0.2">
      <c r="A13" s="1999"/>
      <c r="E13" s="1995"/>
      <c r="F13" s="1995"/>
      <c r="G13" s="1995"/>
      <c r="H13" s="1995"/>
      <c r="I13" s="1995"/>
      <c r="J13" s="1941"/>
      <c r="K13" s="2000"/>
      <c r="L13" s="1995"/>
    </row>
    <row r="14" spans="1:12" ht="15" x14ac:dyDescent="0.2">
      <c r="A14" s="1995"/>
      <c r="B14" s="1995"/>
      <c r="C14" s="1995"/>
      <c r="D14" s="2016" t="s">
        <v>815</v>
      </c>
      <c r="E14" s="2257" t="s">
        <v>872</v>
      </c>
      <c r="F14" s="2257"/>
      <c r="G14" s="2257"/>
      <c r="H14" s="1995"/>
      <c r="I14" s="85" t="s">
        <v>920</v>
      </c>
      <c r="J14" s="2002"/>
      <c r="K14" s="2003"/>
      <c r="L14" s="1995"/>
    </row>
    <row r="15" spans="1:12" ht="30" x14ac:dyDescent="0.2">
      <c r="A15" s="1995"/>
      <c r="B15" s="2014" t="s">
        <v>847</v>
      </c>
      <c r="C15" s="1998"/>
      <c r="D15" s="2004"/>
      <c r="E15" s="2273"/>
      <c r="F15" s="2273"/>
      <c r="G15" s="2273"/>
      <c r="H15" s="1995"/>
      <c r="I15" s="1943" t="s">
        <v>919</v>
      </c>
      <c r="J15" s="2011"/>
      <c r="K15" s="2011"/>
      <c r="L15" s="1995"/>
    </row>
    <row r="16" spans="1:12" ht="30" x14ac:dyDescent="0.2">
      <c r="A16" s="1995"/>
      <c r="B16" s="2013" t="s">
        <v>924</v>
      </c>
      <c r="C16" s="1995"/>
      <c r="D16" s="2004"/>
      <c r="E16" s="2273"/>
      <c r="F16" s="2273"/>
      <c r="G16" s="2273"/>
      <c r="H16" s="1995"/>
      <c r="I16" s="2011" t="s">
        <v>852</v>
      </c>
      <c r="J16" s="2011"/>
      <c r="K16" s="2011"/>
      <c r="L16" s="1995"/>
    </row>
    <row r="17" spans="1:13" ht="15" x14ac:dyDescent="0.2">
      <c r="A17" s="1995"/>
      <c r="B17" s="2015" t="s">
        <v>848</v>
      </c>
      <c r="C17" s="1995"/>
      <c r="D17" s="2004"/>
      <c r="E17" s="2273"/>
      <c r="F17" s="2273"/>
      <c r="G17" s="1995"/>
      <c r="H17" s="1995"/>
      <c r="I17" s="1943" t="s">
        <v>926</v>
      </c>
      <c r="J17" s="2011"/>
      <c r="K17" s="2011"/>
      <c r="L17" s="1995"/>
    </row>
    <row r="18" spans="1:13" ht="45" x14ac:dyDescent="0.2">
      <c r="A18" s="2005"/>
      <c r="B18" s="2014" t="s">
        <v>849</v>
      </c>
      <c r="C18" s="1995"/>
      <c r="D18" s="2004"/>
      <c r="E18" s="2273"/>
      <c r="F18" s="2273"/>
      <c r="G18" s="2273"/>
      <c r="H18" s="1995"/>
      <c r="I18" s="2011"/>
      <c r="J18" s="2011"/>
      <c r="K18" s="2011"/>
      <c r="L18" s="1995"/>
    </row>
    <row r="19" spans="1:13" ht="30" x14ac:dyDescent="0.2">
      <c r="A19" s="2006"/>
      <c r="B19" s="2024" t="s">
        <v>850</v>
      </c>
      <c r="C19" s="1995"/>
      <c r="D19" s="2004"/>
      <c r="E19" s="2273"/>
      <c r="F19" s="2273"/>
      <c r="G19" s="2273"/>
      <c r="H19" s="1995"/>
      <c r="I19" s="2011"/>
      <c r="J19" s="2011"/>
      <c r="K19" s="2011"/>
      <c r="L19" s="1995"/>
    </row>
    <row r="20" spans="1:13" ht="30" x14ac:dyDescent="0.2">
      <c r="A20" s="2006"/>
      <c r="B20" s="2013" t="s">
        <v>922</v>
      </c>
      <c r="C20" s="1995"/>
      <c r="D20" s="2004"/>
      <c r="E20" s="2273"/>
      <c r="F20" s="2273"/>
      <c r="G20" s="2273"/>
      <c r="H20" s="1995"/>
      <c r="I20" s="1943" t="s">
        <v>921</v>
      </c>
      <c r="J20" s="2011"/>
      <c r="K20" s="2011"/>
      <c r="L20" s="1995"/>
    </row>
    <row r="21" spans="1:13" ht="30" x14ac:dyDescent="0.2">
      <c r="A21" s="2006"/>
      <c r="B21" s="2017" t="s">
        <v>923</v>
      </c>
      <c r="C21" s="1995"/>
      <c r="D21" s="2004"/>
      <c r="E21" s="2273"/>
      <c r="F21" s="2273"/>
      <c r="G21" s="2273"/>
      <c r="H21" s="1995"/>
      <c r="I21" s="2011"/>
      <c r="J21" s="2011"/>
      <c r="K21" s="2011"/>
      <c r="L21" s="1995"/>
    </row>
    <row r="22" spans="1:13" ht="30" x14ac:dyDescent="0.2">
      <c r="A22" s="2006"/>
      <c r="B22" s="2018" t="s">
        <v>859</v>
      </c>
      <c r="C22" s="1995"/>
      <c r="D22" s="2001"/>
      <c r="E22" s="1995"/>
      <c r="F22" s="1995"/>
      <c r="G22" s="1995"/>
      <c r="H22" s="1995"/>
      <c r="I22" s="2272" t="s">
        <v>860</v>
      </c>
      <c r="J22" s="2272"/>
      <c r="K22" s="2272"/>
      <c r="L22" s="1995"/>
      <c r="M22" t="s">
        <v>987</v>
      </c>
    </row>
    <row r="23" spans="1:13" ht="15" x14ac:dyDescent="0.2">
      <c r="A23" s="2006"/>
      <c r="B23" s="2019" t="s">
        <v>853</v>
      </c>
      <c r="C23" s="1995"/>
      <c r="D23" s="2004"/>
      <c r="E23" s="2273"/>
      <c r="F23" s="2273"/>
      <c r="G23" s="2273"/>
      <c r="H23" s="1995"/>
      <c r="I23" s="2272"/>
      <c r="J23" s="2272"/>
      <c r="K23" s="2272"/>
      <c r="L23" s="1995"/>
    </row>
    <row r="24" spans="1:13" ht="15" x14ac:dyDescent="0.2">
      <c r="A24" s="2006"/>
      <c r="B24" s="2019" t="s">
        <v>854</v>
      </c>
      <c r="C24" s="1995"/>
      <c r="D24" s="2004"/>
      <c r="E24" s="2273"/>
      <c r="F24" s="2273"/>
      <c r="G24" s="2273"/>
      <c r="H24" s="1995"/>
      <c r="I24" s="2272"/>
      <c r="J24" s="2272"/>
      <c r="K24" s="2272"/>
      <c r="L24" s="1995"/>
    </row>
    <row r="25" spans="1:13" ht="15" x14ac:dyDescent="0.2">
      <c r="A25" s="2006"/>
      <c r="B25" s="2019" t="s">
        <v>855</v>
      </c>
      <c r="C25" s="1995"/>
      <c r="D25" s="2004"/>
      <c r="E25" s="2273"/>
      <c r="F25" s="2273"/>
      <c r="G25" s="2273"/>
      <c r="H25" s="1995"/>
      <c r="I25" s="2272"/>
      <c r="J25" s="2272"/>
      <c r="K25" s="2272"/>
      <c r="L25" s="1995"/>
    </row>
    <row r="26" spans="1:13" ht="15" x14ac:dyDescent="0.2">
      <c r="A26" s="2006"/>
      <c r="B26" s="2019" t="s">
        <v>856</v>
      </c>
      <c r="C26" s="1995"/>
      <c r="D26" s="2004"/>
      <c r="E26" s="2273"/>
      <c r="F26" s="2273"/>
      <c r="G26" s="2273"/>
      <c r="H26" s="1995"/>
      <c r="I26" s="2272"/>
      <c r="J26" s="2272"/>
      <c r="K26" s="2272"/>
      <c r="L26" s="1995"/>
    </row>
    <row r="27" spans="1:13" ht="15" x14ac:dyDescent="0.2">
      <c r="A27" s="2006"/>
      <c r="B27" s="2020" t="s">
        <v>857</v>
      </c>
      <c r="C27" s="1995"/>
      <c r="D27" s="2004"/>
      <c r="E27" s="2273"/>
      <c r="F27" s="2273"/>
      <c r="G27" s="2273"/>
      <c r="H27" s="1995"/>
      <c r="I27" s="2272"/>
      <c r="J27" s="2272"/>
      <c r="K27" s="2272"/>
      <c r="L27" s="1995"/>
    </row>
    <row r="28" spans="1:13" ht="15" x14ac:dyDescent="0.2">
      <c r="A28" s="1999"/>
      <c r="B28" s="2020" t="s">
        <v>858</v>
      </c>
      <c r="C28" s="1995"/>
      <c r="D28" s="2004"/>
      <c r="E28" s="2273"/>
      <c r="F28" s="2273"/>
      <c r="G28" s="2273"/>
      <c r="H28" s="1995"/>
      <c r="I28" s="2272"/>
      <c r="J28" s="2272"/>
      <c r="K28" s="2272"/>
      <c r="L28" s="2009"/>
    </row>
    <row r="29" spans="1:13" ht="15" x14ac:dyDescent="0.2">
      <c r="A29" s="1995"/>
      <c r="B29" s="1995"/>
      <c r="C29" s="1995"/>
      <c r="D29" s="1995"/>
      <c r="E29" s="1995"/>
      <c r="F29" s="1995"/>
      <c r="G29" s="1995"/>
      <c r="H29" s="1995"/>
      <c r="I29" s="1995"/>
      <c r="J29" s="2008"/>
      <c r="K29" s="2007"/>
      <c r="L29" s="2009"/>
    </row>
    <row r="30" spans="1:13" ht="15" x14ac:dyDescent="0.2">
      <c r="A30" s="1995"/>
      <c r="B30" s="2023" t="s">
        <v>861</v>
      </c>
      <c r="D30" s="85" t="s">
        <v>815</v>
      </c>
      <c r="E30" s="85" t="s">
        <v>872</v>
      </c>
      <c r="F30" s="1995"/>
      <c r="G30" s="1995"/>
      <c r="H30" s="1995"/>
      <c r="I30" s="1995"/>
      <c r="J30" s="2008"/>
      <c r="K30" s="2007"/>
      <c r="L30" s="2009"/>
    </row>
    <row r="31" spans="1:13" ht="45" x14ac:dyDescent="0.2">
      <c r="A31" s="1995"/>
      <c r="B31" s="2021" t="s">
        <v>862</v>
      </c>
      <c r="C31" s="1995"/>
      <c r="D31" s="1995"/>
      <c r="E31" s="1995"/>
      <c r="F31" s="1995"/>
      <c r="G31" s="1995"/>
      <c r="H31" s="1995"/>
      <c r="I31" s="2272" t="s">
        <v>870</v>
      </c>
      <c r="J31" s="2272"/>
      <c r="K31" s="2272"/>
      <c r="L31" s="2009"/>
    </row>
    <row r="32" spans="1:13" ht="15" x14ac:dyDescent="0.2">
      <c r="A32" s="1995"/>
      <c r="B32" s="2021" t="s">
        <v>863</v>
      </c>
      <c r="C32" s="1995"/>
      <c r="D32" s="1995"/>
      <c r="E32" s="1995"/>
      <c r="F32" s="1995"/>
      <c r="G32" s="1995"/>
      <c r="H32" s="1995"/>
      <c r="I32" s="1995"/>
      <c r="J32" s="2008"/>
      <c r="K32" s="2007"/>
      <c r="L32" s="2009"/>
    </row>
    <row r="33" spans="1:13" ht="60" x14ac:dyDescent="0.2">
      <c r="A33" s="1999"/>
      <c r="B33" s="2021" t="s">
        <v>864</v>
      </c>
      <c r="C33" s="1995"/>
      <c r="D33" s="1995"/>
      <c r="E33" s="1995"/>
      <c r="F33" s="1995"/>
      <c r="G33" s="1995"/>
      <c r="H33" s="1995"/>
      <c r="I33" s="1995"/>
      <c r="J33" s="2008"/>
      <c r="K33" s="2007"/>
      <c r="L33" s="2009"/>
    </row>
    <row r="34" spans="1:13" ht="45" x14ac:dyDescent="0.2">
      <c r="A34" s="1995"/>
      <c r="B34" s="2021" t="s">
        <v>865</v>
      </c>
      <c r="C34" s="1995"/>
      <c r="D34" s="1995"/>
      <c r="E34" s="1995"/>
      <c r="F34" s="1995"/>
      <c r="G34" s="1995"/>
      <c r="H34" s="1995"/>
      <c r="I34" s="1995"/>
      <c r="J34" s="2008"/>
      <c r="K34" s="2007"/>
      <c r="L34" s="2009"/>
    </row>
    <row r="35" spans="1:13" ht="30" x14ac:dyDescent="0.2">
      <c r="A35" s="1995"/>
      <c r="B35" s="2021" t="s">
        <v>866</v>
      </c>
      <c r="C35" s="1995"/>
      <c r="D35" s="1995"/>
      <c r="E35" s="1995"/>
      <c r="F35" s="1995"/>
      <c r="G35" s="1995"/>
      <c r="H35" s="1995"/>
      <c r="I35" s="1995"/>
      <c r="J35" s="2008"/>
      <c r="K35" s="2007"/>
      <c r="L35" s="2009"/>
    </row>
    <row r="36" spans="1:13" ht="15" x14ac:dyDescent="0.2">
      <c r="A36" s="1995"/>
      <c r="B36" s="2022" t="s">
        <v>869</v>
      </c>
      <c r="C36" s="1995"/>
      <c r="D36" s="1995"/>
      <c r="E36" s="1995"/>
      <c r="F36" s="1995"/>
      <c r="G36" s="1995"/>
      <c r="H36" s="1995"/>
      <c r="I36" s="1995"/>
      <c r="J36" s="2008"/>
      <c r="K36" s="2007"/>
      <c r="L36" s="1995"/>
    </row>
    <row r="37" spans="1:13" ht="30" x14ac:dyDescent="0.2">
      <c r="A37" s="1995"/>
      <c r="B37" s="2021" t="s">
        <v>867</v>
      </c>
      <c r="C37" s="1995"/>
      <c r="D37" s="1995"/>
      <c r="E37" s="1995"/>
      <c r="F37" s="1995"/>
      <c r="G37" s="1995"/>
      <c r="H37" s="1995"/>
      <c r="I37" s="1995"/>
      <c r="J37" s="1998"/>
      <c r="K37" s="1996"/>
      <c r="L37" s="1995"/>
    </row>
    <row r="38" spans="1:13" ht="30" x14ac:dyDescent="0.2">
      <c r="A38" s="1995"/>
      <c r="B38" s="2021" t="s">
        <v>868</v>
      </c>
      <c r="C38" s="1995"/>
      <c r="D38" s="1995"/>
      <c r="E38" s="1995"/>
      <c r="F38" s="1995"/>
      <c r="G38" s="1995"/>
      <c r="H38" s="1995"/>
      <c r="I38" s="1995"/>
      <c r="J38" s="1998"/>
      <c r="K38" s="1996"/>
      <c r="L38" s="1995"/>
    </row>
    <row r="39" spans="1:13" ht="15" x14ac:dyDescent="0.2">
      <c r="A39" s="1995"/>
      <c r="B39" s="1995"/>
      <c r="C39" s="1995"/>
      <c r="D39" s="1995"/>
      <c r="E39" s="1995"/>
      <c r="F39" s="1995"/>
      <c r="G39" s="1995"/>
      <c r="H39" s="1995"/>
      <c r="I39" s="1995"/>
      <c r="J39" s="1998"/>
      <c r="K39" s="1996"/>
      <c r="L39" s="1995"/>
    </row>
    <row r="40" spans="1:13" ht="15" x14ac:dyDescent="0.2">
      <c r="A40" s="1995"/>
      <c r="B40" s="2023" t="s">
        <v>873</v>
      </c>
      <c r="C40" s="1995"/>
      <c r="D40" s="1995"/>
      <c r="E40" s="1995"/>
      <c r="F40" s="1995"/>
      <c r="G40" s="1995"/>
      <c r="H40" s="1995"/>
      <c r="I40" s="1995"/>
      <c r="J40" s="1998"/>
      <c r="K40" s="1996"/>
      <c r="L40" s="1995"/>
    </row>
    <row r="41" spans="1:13" ht="15" x14ac:dyDescent="0.2">
      <c r="A41" s="1995"/>
      <c r="B41" s="1995"/>
      <c r="C41" s="1995"/>
      <c r="D41" s="1995"/>
      <c r="E41" s="1995"/>
      <c r="F41" s="1995"/>
      <c r="G41" s="1995"/>
      <c r="H41" s="1995"/>
      <c r="I41" s="1995"/>
      <c r="J41" s="1998"/>
      <c r="K41" s="1996"/>
      <c r="L41" s="1995"/>
    </row>
    <row r="42" spans="1:13" ht="15.75" thickBot="1" x14ac:dyDescent="0.25">
      <c r="A42" s="1995"/>
      <c r="B42" s="1995"/>
      <c r="C42" s="1995"/>
      <c r="D42" s="1995"/>
      <c r="E42" s="1995"/>
      <c r="F42" s="1995"/>
      <c r="G42" s="1995"/>
      <c r="H42" s="1995"/>
      <c r="I42" s="1995"/>
      <c r="J42" s="1998"/>
      <c r="K42" s="1996"/>
      <c r="L42" s="1995"/>
    </row>
    <row r="43" spans="1:13" ht="15.75" thickBot="1" x14ac:dyDescent="0.25">
      <c r="A43" s="1995"/>
      <c r="B43" s="2295" t="s">
        <v>874</v>
      </c>
      <c r="C43" s="2291" t="s">
        <v>875</v>
      </c>
      <c r="D43" s="2292"/>
      <c r="E43" s="2292"/>
      <c r="F43" s="2292"/>
      <c r="G43" s="2292"/>
      <c r="H43" s="2293"/>
      <c r="I43" s="1995"/>
      <c r="J43" s="1998"/>
      <c r="K43" s="1996"/>
      <c r="L43" s="1995"/>
    </row>
    <row r="44" spans="1:13" ht="15.75" thickBot="1" x14ac:dyDescent="0.25">
      <c r="A44" s="1995"/>
      <c r="B44" s="2296"/>
      <c r="C44" s="2051">
        <v>1</v>
      </c>
      <c r="D44" s="2052">
        <v>2</v>
      </c>
      <c r="E44" s="2052">
        <v>3</v>
      </c>
      <c r="F44" s="2052">
        <v>4</v>
      </c>
      <c r="G44" s="2052">
        <v>5</v>
      </c>
      <c r="H44" s="2053">
        <v>6</v>
      </c>
      <c r="I44" s="2039"/>
      <c r="J44" s="2289" t="s">
        <v>905</v>
      </c>
      <c r="K44" s="2289"/>
      <c r="L44" s="2289"/>
    </row>
    <row r="45" spans="1:13" ht="60" customHeight="1" thickBot="1" x14ac:dyDescent="0.25">
      <c r="A45" s="1995"/>
      <c r="B45" s="2050" t="s">
        <v>904</v>
      </c>
      <c r="C45" s="2038" t="s">
        <v>876</v>
      </c>
      <c r="D45" s="2026" t="s">
        <v>877</v>
      </c>
      <c r="E45" s="2026" t="s">
        <v>878</v>
      </c>
      <c r="F45" s="2026" t="s">
        <v>879</v>
      </c>
      <c r="G45" s="2026" t="s">
        <v>880</v>
      </c>
      <c r="H45" s="2027">
        <v>0.25</v>
      </c>
      <c r="I45" s="2039"/>
      <c r="J45" s="2290" t="s">
        <v>906</v>
      </c>
      <c r="K45" s="2290"/>
      <c r="L45" s="2290"/>
      <c r="M45" s="2290"/>
    </row>
    <row r="46" spans="1:13" ht="30.75" thickBot="1" x14ac:dyDescent="0.25">
      <c r="A46" s="1995"/>
      <c r="B46" s="2050" t="s">
        <v>881</v>
      </c>
      <c r="C46" s="2037" t="s">
        <v>882</v>
      </c>
      <c r="D46" s="2046" t="s">
        <v>883</v>
      </c>
      <c r="E46" s="2046" t="s">
        <v>884</v>
      </c>
      <c r="F46" s="2046" t="s">
        <v>885</v>
      </c>
      <c r="G46" s="2046" t="s">
        <v>886</v>
      </c>
      <c r="H46" s="2049">
        <v>0.2</v>
      </c>
      <c r="J46" s="1998"/>
      <c r="K46" s="1996"/>
      <c r="L46" s="1995"/>
    </row>
    <row r="47" spans="1:13" ht="60.75" thickBot="1" x14ac:dyDescent="0.25">
      <c r="A47" s="1995"/>
      <c r="B47" s="2050" t="s">
        <v>887</v>
      </c>
      <c r="C47" s="2037" t="s">
        <v>888</v>
      </c>
      <c r="D47" s="2046" t="s">
        <v>889</v>
      </c>
      <c r="E47" s="2046" t="s">
        <v>890</v>
      </c>
      <c r="F47" s="2046" t="s">
        <v>891</v>
      </c>
      <c r="G47" s="2046" t="s">
        <v>892</v>
      </c>
      <c r="H47" s="2049">
        <v>0.7</v>
      </c>
      <c r="J47" s="1998"/>
      <c r="K47" s="1996"/>
      <c r="L47" s="1995"/>
    </row>
    <row r="48" spans="1:13" ht="15.75" thickBot="1" x14ac:dyDescent="0.25">
      <c r="A48" s="1995"/>
      <c r="B48" s="1995"/>
      <c r="C48" s="1995"/>
      <c r="D48" s="1995"/>
      <c r="E48" s="1995"/>
      <c r="F48" s="1995"/>
      <c r="G48" s="1995"/>
      <c r="H48" s="1995"/>
      <c r="I48" s="1995"/>
      <c r="J48" s="1998"/>
      <c r="K48" s="1996"/>
      <c r="L48" s="1995"/>
    </row>
    <row r="49" spans="1:15" ht="51.75" customHeight="1" thickBot="1" x14ac:dyDescent="0.25">
      <c r="A49" s="1995"/>
      <c r="B49" s="2047" t="s">
        <v>893</v>
      </c>
      <c r="C49" s="2034" t="s">
        <v>894</v>
      </c>
      <c r="D49" s="2252" t="s">
        <v>895</v>
      </c>
      <c r="E49" s="2254"/>
      <c r="F49" s="2253" t="s">
        <v>903</v>
      </c>
      <c r="G49" s="2253"/>
      <c r="H49" s="2253"/>
      <c r="I49" s="2254"/>
      <c r="J49" s="1998"/>
      <c r="K49" s="1996"/>
      <c r="L49" s="1995"/>
    </row>
    <row r="50" spans="1:15" ht="15" x14ac:dyDescent="0.2">
      <c r="A50" s="1999"/>
      <c r="B50" s="2028" t="s">
        <v>896</v>
      </c>
      <c r="C50" s="2001" t="s">
        <v>899</v>
      </c>
      <c r="D50" s="2258">
        <v>7</v>
      </c>
      <c r="E50" s="2259"/>
      <c r="F50" s="2262">
        <v>10</v>
      </c>
      <c r="G50" s="2262"/>
      <c r="H50" s="2262"/>
      <c r="I50" s="2259"/>
      <c r="J50" s="1998"/>
      <c r="K50" s="1996"/>
      <c r="L50" s="1995"/>
    </row>
    <row r="51" spans="1:15" ht="15" x14ac:dyDescent="0.2">
      <c r="A51" s="1999"/>
      <c r="B51" s="2029" t="s">
        <v>897</v>
      </c>
      <c r="C51" s="2001" t="s">
        <v>900</v>
      </c>
      <c r="D51" s="2258">
        <v>8</v>
      </c>
      <c r="E51" s="2259"/>
      <c r="F51" s="2262" t="s">
        <v>902</v>
      </c>
      <c r="G51" s="2262"/>
      <c r="H51" s="2262"/>
      <c r="I51" s="2259"/>
      <c r="J51" s="1998"/>
      <c r="K51" s="1996"/>
      <c r="L51" s="1995"/>
    </row>
    <row r="52" spans="1:15" ht="15.75" thickBot="1" x14ac:dyDescent="0.25">
      <c r="A52" s="1999"/>
      <c r="B52" s="2030" t="s">
        <v>898</v>
      </c>
      <c r="C52" s="2025" t="s">
        <v>901</v>
      </c>
      <c r="D52" s="2260">
        <v>9</v>
      </c>
      <c r="E52" s="2261"/>
      <c r="F52" s="2263">
        <v>13</v>
      </c>
      <c r="G52" s="2263"/>
      <c r="H52" s="2263"/>
      <c r="I52" s="2261"/>
      <c r="J52" s="1998"/>
      <c r="K52" s="1996"/>
      <c r="L52" s="1995"/>
    </row>
    <row r="53" spans="1:15" ht="15" x14ac:dyDescent="0.2">
      <c r="A53" s="1999"/>
      <c r="B53" s="1995"/>
      <c r="C53" s="1995"/>
      <c r="D53" s="1995"/>
      <c r="E53" s="1995"/>
      <c r="F53" s="1995"/>
      <c r="G53" s="1995"/>
      <c r="H53" s="1995"/>
      <c r="I53" s="1995"/>
      <c r="J53" s="1998"/>
      <c r="K53" s="1996"/>
      <c r="L53" s="1995"/>
    </row>
    <row r="54" spans="1:15" ht="15" x14ac:dyDescent="0.2">
      <c r="A54" s="1999"/>
      <c r="B54" s="2257" t="s">
        <v>904</v>
      </c>
      <c r="C54" s="2257"/>
      <c r="D54" s="2257"/>
      <c r="E54" s="2257"/>
      <c r="F54" s="2257"/>
      <c r="G54" s="2257"/>
      <c r="H54" s="2257"/>
      <c r="I54" s="2257"/>
      <c r="J54" s="2031" t="s">
        <v>918</v>
      </c>
      <c r="K54" s="1996"/>
      <c r="L54" s="1995"/>
    </row>
    <row r="55" spans="1:15" ht="15.75" thickBot="1" x14ac:dyDescent="0.25">
      <c r="A55" s="2010"/>
      <c r="B55" s="2257"/>
      <c r="C55" s="2257"/>
      <c r="D55" s="2257"/>
      <c r="E55" s="2257"/>
      <c r="F55" s="2257"/>
      <c r="G55" s="2257"/>
      <c r="H55" s="2257"/>
      <c r="I55" s="2257"/>
      <c r="J55" s="1998"/>
      <c r="K55" s="1996"/>
      <c r="L55" s="1995"/>
    </row>
    <row r="56" spans="1:15" ht="15" x14ac:dyDescent="0.2">
      <c r="A56" s="1999"/>
      <c r="B56" s="2297" t="s">
        <v>907</v>
      </c>
      <c r="C56" s="2297"/>
      <c r="D56" s="2297"/>
      <c r="E56" s="2297"/>
      <c r="F56" s="2297"/>
      <c r="G56" s="2297"/>
      <c r="H56" s="2297"/>
      <c r="I56" s="2297"/>
      <c r="J56" s="2265">
        <v>0.85</v>
      </c>
      <c r="K56" s="1996"/>
      <c r="L56" s="1995"/>
    </row>
    <row r="57" spans="1:15" ht="15.75" thickBot="1" x14ac:dyDescent="0.25">
      <c r="A57" s="1995"/>
      <c r="B57" s="2297"/>
      <c r="C57" s="2297"/>
      <c r="D57" s="2297"/>
      <c r="E57" s="2297"/>
      <c r="F57" s="2297"/>
      <c r="G57" s="2297"/>
      <c r="H57" s="2297"/>
      <c r="I57" s="2297"/>
      <c r="J57" s="2266"/>
      <c r="K57" s="1996"/>
      <c r="L57" s="1995"/>
    </row>
    <row r="58" spans="1:15" ht="15" x14ac:dyDescent="0.2">
      <c r="A58" s="1995"/>
      <c r="B58" s="85"/>
      <c r="C58" s="1995"/>
      <c r="D58" s="2011"/>
      <c r="E58" s="1995"/>
      <c r="F58" s="1995"/>
      <c r="G58" s="1995"/>
      <c r="H58" s="1995"/>
      <c r="I58" s="1995"/>
      <c r="J58" s="1998"/>
      <c r="K58" s="2012"/>
      <c r="L58" s="1995"/>
    </row>
    <row r="59" spans="1:15" ht="15" x14ac:dyDescent="0.2">
      <c r="A59" s="1995"/>
      <c r="B59" s="2257" t="s">
        <v>881</v>
      </c>
      <c r="C59" s="2257"/>
      <c r="D59" s="2257"/>
      <c r="E59" s="2257"/>
      <c r="F59" s="2257"/>
      <c r="G59" s="2257"/>
      <c r="H59" s="2257"/>
      <c r="I59" s="2257"/>
      <c r="J59" s="1998"/>
      <c r="K59" s="2012"/>
      <c r="L59" s="1995"/>
    </row>
    <row r="60" spans="1:15" ht="15.75" thickBot="1" x14ac:dyDescent="0.25">
      <c r="A60" s="1995"/>
      <c r="B60" s="2257"/>
      <c r="C60" s="2257"/>
      <c r="D60" s="2257"/>
      <c r="E60" s="2257"/>
      <c r="F60" s="2257"/>
      <c r="G60" s="2257"/>
      <c r="H60" s="2257"/>
      <c r="I60" s="2257"/>
      <c r="J60" s="1998"/>
      <c r="K60" s="2012"/>
      <c r="L60" s="1995"/>
    </row>
    <row r="61" spans="1:15" ht="75" customHeight="1" thickBot="1" x14ac:dyDescent="0.25">
      <c r="A61" s="1995"/>
      <c r="B61" s="2294" t="s">
        <v>908</v>
      </c>
      <c r="C61" s="2294"/>
      <c r="D61" s="2294"/>
      <c r="E61" s="2294"/>
      <c r="F61" s="2294"/>
      <c r="G61" s="2294"/>
      <c r="H61" s="2294"/>
      <c r="I61" s="2294"/>
      <c r="J61" s="2048">
        <v>0.2</v>
      </c>
      <c r="K61" s="2012"/>
      <c r="L61" s="1995"/>
    </row>
    <row r="62" spans="1:15" ht="15" x14ac:dyDescent="0.2">
      <c r="A62" s="1991"/>
      <c r="B62" s="2032"/>
      <c r="C62" s="2032"/>
      <c r="D62" s="2032"/>
      <c r="E62" s="2032"/>
      <c r="F62" s="2032"/>
      <c r="G62" s="2032"/>
      <c r="H62" s="2032"/>
      <c r="I62" s="2032"/>
      <c r="J62" s="1992"/>
      <c r="K62" s="1993"/>
      <c r="L62" s="1991"/>
      <c r="O62" s="2033" t="s">
        <v>909</v>
      </c>
    </row>
    <row r="63" spans="1:15" x14ac:dyDescent="0.2">
      <c r="B63" s="2257" t="s">
        <v>910</v>
      </c>
      <c r="C63" s="2257"/>
      <c r="D63" s="2257"/>
      <c r="E63" s="2257"/>
      <c r="F63" s="2257"/>
      <c r="G63" s="2257"/>
      <c r="H63" s="2257"/>
      <c r="I63" s="2257"/>
    </row>
    <row r="64" spans="1:15" ht="13.5" thickBot="1" x14ac:dyDescent="0.25">
      <c r="B64" s="2257"/>
      <c r="C64" s="2257"/>
      <c r="D64" s="2257"/>
      <c r="E64" s="2257"/>
      <c r="F64" s="2257"/>
      <c r="G64" s="2257"/>
      <c r="H64" s="2257"/>
      <c r="I64" s="2257"/>
    </row>
    <row r="65" spans="2:10" ht="12.75" customHeight="1" x14ac:dyDescent="0.2">
      <c r="B65" s="2297" t="s">
        <v>911</v>
      </c>
      <c r="C65" s="2297"/>
      <c r="D65" s="2297"/>
      <c r="E65" s="2297"/>
      <c r="F65" s="2297"/>
      <c r="G65" s="2297"/>
      <c r="H65" s="2297"/>
      <c r="I65" s="2297"/>
      <c r="J65" s="2267"/>
    </row>
    <row r="66" spans="2:10" ht="13.5" thickBot="1" x14ac:dyDescent="0.25">
      <c r="B66" s="2297"/>
      <c r="C66" s="2297"/>
      <c r="D66" s="2297"/>
      <c r="E66" s="2297"/>
      <c r="F66" s="2297"/>
      <c r="G66" s="2297"/>
      <c r="H66" s="2297"/>
      <c r="I66" s="2297"/>
      <c r="J66" s="2268"/>
    </row>
    <row r="73" spans="2:10" ht="13.5" thickBot="1" x14ac:dyDescent="0.25">
      <c r="B73" s="2264" t="s">
        <v>912</v>
      </c>
      <c r="C73" s="2264"/>
      <c r="D73" s="2264"/>
      <c r="E73" s="2264"/>
      <c r="F73" s="2264"/>
      <c r="G73" s="2264"/>
      <c r="H73" s="2264"/>
      <c r="I73" s="2264"/>
      <c r="J73" s="2264"/>
    </row>
    <row r="74" spans="2:10" ht="21.75" customHeight="1" thickBot="1" x14ac:dyDescent="0.25">
      <c r="B74" s="2047" t="s">
        <v>874</v>
      </c>
      <c r="C74" s="2252" t="s">
        <v>913</v>
      </c>
      <c r="D74" s="2253"/>
      <c r="E74" s="2253"/>
      <c r="F74" s="2253"/>
      <c r="G74" s="2253"/>
      <c r="H74" s="2254"/>
      <c r="I74" s="2035" t="s">
        <v>915</v>
      </c>
      <c r="J74" s="2035" t="s">
        <v>914</v>
      </c>
    </row>
    <row r="75" spans="2:10" ht="38.25" customHeight="1" x14ac:dyDescent="0.2">
      <c r="B75" s="2255" t="s">
        <v>904</v>
      </c>
      <c r="C75" s="2036">
        <v>1</v>
      </c>
      <c r="D75" s="2036">
        <v>0.9</v>
      </c>
      <c r="E75" s="2036">
        <v>0.75</v>
      </c>
      <c r="F75" s="2036">
        <v>0.6</v>
      </c>
      <c r="G75" s="2036">
        <v>0.5</v>
      </c>
      <c r="H75" s="2036">
        <v>0.25</v>
      </c>
      <c r="I75" s="2286">
        <f>J56</f>
        <v>0.85</v>
      </c>
      <c r="J75" s="2277">
        <f>IF(I75&lt;=H75,H77,IF(I75&lt;=G75,G77,IF(I75&lt;=F75,F77,IF(I75&lt;=E75,E77,IF(I75&lt;=D75,D77,C77)))))</f>
        <v>2</v>
      </c>
    </row>
    <row r="76" spans="2:10" ht="30.75" customHeight="1" x14ac:dyDescent="0.2">
      <c r="B76" s="2256"/>
      <c r="C76" s="2040">
        <v>0.9</v>
      </c>
      <c r="D76" s="2041">
        <v>0.75</v>
      </c>
      <c r="E76" s="2041">
        <v>0.6</v>
      </c>
      <c r="F76" s="2041">
        <v>0.5</v>
      </c>
      <c r="G76" s="2041">
        <v>0.25</v>
      </c>
      <c r="H76" s="2041">
        <v>0</v>
      </c>
      <c r="I76" s="2287"/>
      <c r="J76" s="2278"/>
    </row>
    <row r="77" spans="2:10" ht="30.75" customHeight="1" thickBot="1" x14ac:dyDescent="0.25">
      <c r="B77" s="2044" t="s">
        <v>914</v>
      </c>
      <c r="C77" s="2045">
        <v>1</v>
      </c>
      <c r="D77" s="2045">
        <v>2</v>
      </c>
      <c r="E77" s="2045">
        <v>3</v>
      </c>
      <c r="F77" s="2045">
        <v>4</v>
      </c>
      <c r="G77" s="2045">
        <v>5</v>
      </c>
      <c r="H77" s="2045">
        <v>6</v>
      </c>
      <c r="I77" s="2288"/>
      <c r="J77" s="2279"/>
    </row>
    <row r="78" spans="2:10" ht="30.75" customHeight="1" x14ac:dyDescent="0.2">
      <c r="B78" s="2256" t="s">
        <v>881</v>
      </c>
      <c r="C78" s="2043">
        <v>1</v>
      </c>
      <c r="D78" s="2043">
        <v>0.4</v>
      </c>
      <c r="E78" s="2043">
        <v>0.35</v>
      </c>
      <c r="F78" s="2043">
        <v>0.3</v>
      </c>
      <c r="G78" s="2043">
        <v>0.25</v>
      </c>
      <c r="H78" s="2043">
        <v>0.2</v>
      </c>
      <c r="I78" s="2283">
        <f>J61</f>
        <v>0.2</v>
      </c>
      <c r="J78" s="2280">
        <f>IF(I78&lt;=H78,H80,IF(I78&lt;=G78,G80,IF(I78&lt;=F78,F80,IF(I79&lt;=E78,E80,IF(I78&lt;=D78,D80,C80)))))</f>
        <v>6</v>
      </c>
    </row>
    <row r="79" spans="2:10" ht="27.75" customHeight="1" thickBot="1" x14ac:dyDescent="0.25">
      <c r="B79" s="2256"/>
      <c r="C79" s="2058">
        <v>0.4</v>
      </c>
      <c r="D79" s="2041">
        <v>0.35</v>
      </c>
      <c r="E79" s="2041">
        <v>0.3</v>
      </c>
      <c r="F79" s="2041">
        <v>0.25</v>
      </c>
      <c r="G79" s="2041">
        <v>0.2</v>
      </c>
      <c r="H79" s="2059">
        <v>0</v>
      </c>
      <c r="I79" s="2284"/>
      <c r="J79" s="2281"/>
    </row>
    <row r="80" spans="2:10" ht="33" customHeight="1" thickBot="1" x14ac:dyDescent="0.25">
      <c r="B80" s="2060" t="s">
        <v>914</v>
      </c>
      <c r="C80" s="2061">
        <v>1</v>
      </c>
      <c r="D80" s="2061">
        <v>2</v>
      </c>
      <c r="E80" s="2061">
        <v>3</v>
      </c>
      <c r="F80" s="2061">
        <v>4</v>
      </c>
      <c r="G80" s="2061">
        <v>5</v>
      </c>
      <c r="H80" s="2062">
        <v>6</v>
      </c>
      <c r="I80" s="2285"/>
      <c r="J80" s="2282"/>
    </row>
    <row r="81" spans="2:10" ht="33.75" customHeight="1" thickBot="1" x14ac:dyDescent="0.25">
      <c r="I81" s="2054" t="s">
        <v>916</v>
      </c>
      <c r="J81" s="2055">
        <f>SUM(J75:J80)</f>
        <v>8</v>
      </c>
    </row>
    <row r="82" spans="2:10" ht="33.75" customHeight="1" x14ac:dyDescent="0.2">
      <c r="B82" s="2271" t="s">
        <v>917</v>
      </c>
      <c r="C82" s="2271"/>
      <c r="D82" s="2271"/>
      <c r="E82" s="2271"/>
      <c r="F82" s="2271"/>
      <c r="G82" s="2271"/>
      <c r="H82" s="2271"/>
      <c r="I82" s="2056"/>
      <c r="J82" s="2057"/>
    </row>
    <row r="83" spans="2:10" ht="15" x14ac:dyDescent="0.2">
      <c r="B83" s="2256" t="s">
        <v>887</v>
      </c>
      <c r="C83" s="2043"/>
      <c r="D83" s="2043">
        <v>2</v>
      </c>
      <c r="E83" s="2043">
        <v>1.5</v>
      </c>
      <c r="F83" s="2043" t="s">
        <v>927</v>
      </c>
      <c r="G83" s="2043">
        <v>0.9</v>
      </c>
      <c r="H83" s="2043">
        <v>0.7</v>
      </c>
      <c r="I83" s="2275">
        <f>J65</f>
        <v>0</v>
      </c>
      <c r="J83" s="2276">
        <f>IF(I83&lt;=H83,H85,IF(I83&lt;=G83,G85,IF(I83&lt;=F83,F85,IF(I83&lt;=E83,E85,IF(I83&lt;=D83,D85,C85)))))</f>
        <v>6</v>
      </c>
    </row>
    <row r="84" spans="2:10" ht="27.75" customHeight="1" x14ac:dyDescent="0.2">
      <c r="B84" s="2256"/>
      <c r="C84" s="2058">
        <v>2</v>
      </c>
      <c r="D84" s="2041">
        <v>1.5</v>
      </c>
      <c r="E84" s="2041">
        <v>1</v>
      </c>
      <c r="F84" s="2041">
        <v>0.9</v>
      </c>
      <c r="G84" s="2041">
        <v>0.7</v>
      </c>
      <c r="H84" s="2059">
        <v>0</v>
      </c>
      <c r="I84" s="2275"/>
      <c r="J84" s="2276"/>
    </row>
    <row r="85" spans="2:10" ht="15.75" thickBot="1" x14ac:dyDescent="0.25">
      <c r="B85" s="2042" t="s">
        <v>914</v>
      </c>
      <c r="C85" s="2063">
        <v>1</v>
      </c>
      <c r="D85" s="2063">
        <v>2</v>
      </c>
      <c r="E85" s="2063">
        <v>3</v>
      </c>
      <c r="F85" s="2063">
        <v>4</v>
      </c>
      <c r="G85" s="2063">
        <v>5</v>
      </c>
      <c r="H85" s="2063">
        <v>6</v>
      </c>
    </row>
    <row r="86" spans="2:10" ht="13.5" thickBot="1" x14ac:dyDescent="0.25">
      <c r="I86" s="2054" t="s">
        <v>916</v>
      </c>
      <c r="J86" s="2055">
        <f>SUM(J75,J78,J83)</f>
        <v>14</v>
      </c>
    </row>
  </sheetData>
  <mergeCells count="47">
    <mergeCell ref="C43:H43"/>
    <mergeCell ref="B61:I61"/>
    <mergeCell ref="B63:I64"/>
    <mergeCell ref="B43:B44"/>
    <mergeCell ref="B65:I66"/>
    <mergeCell ref="B56:I57"/>
    <mergeCell ref="J44:L44"/>
    <mergeCell ref="J45:M45"/>
    <mergeCell ref="D49:E49"/>
    <mergeCell ref="F49:I49"/>
    <mergeCell ref="D50:E50"/>
    <mergeCell ref="F50:I50"/>
    <mergeCell ref="I83:I84"/>
    <mergeCell ref="J83:J84"/>
    <mergeCell ref="B83:B84"/>
    <mergeCell ref="J75:J77"/>
    <mergeCell ref="J78:J80"/>
    <mergeCell ref="B82:H82"/>
    <mergeCell ref="B78:B79"/>
    <mergeCell ref="I78:I80"/>
    <mergeCell ref="I75:I77"/>
    <mergeCell ref="A1:B1"/>
    <mergeCell ref="B12:D12"/>
    <mergeCell ref="I31:K31"/>
    <mergeCell ref="E14:G14"/>
    <mergeCell ref="E15:G15"/>
    <mergeCell ref="E17:F17"/>
    <mergeCell ref="E16:G16"/>
    <mergeCell ref="E18:G18"/>
    <mergeCell ref="E19:G19"/>
    <mergeCell ref="E20:G20"/>
    <mergeCell ref="E21:G21"/>
    <mergeCell ref="E23:G28"/>
    <mergeCell ref="D9:E9"/>
    <mergeCell ref="F9:I9"/>
    <mergeCell ref="I22:K28"/>
    <mergeCell ref="C74:H74"/>
    <mergeCell ref="B75:B76"/>
    <mergeCell ref="B59:I60"/>
    <mergeCell ref="B54:I55"/>
    <mergeCell ref="D51:E51"/>
    <mergeCell ref="D52:E52"/>
    <mergeCell ref="F51:I51"/>
    <mergeCell ref="F52:I52"/>
    <mergeCell ref="B73:J73"/>
    <mergeCell ref="J56:J57"/>
    <mergeCell ref="J65:J66"/>
  </mergeCells>
  <conditionalFormatting sqref="J75">
    <cfRule type="expression" priority="15">
      <formula>AND($I$75&gt;$C$76,$C$77)</formula>
    </cfRule>
  </conditionalFormatting>
  <conditionalFormatting sqref="J81:J82">
    <cfRule type="colorScale" priority="3">
      <colorScale>
        <cfvo type="min"/>
        <cfvo type="num" val="8"/>
        <cfvo type="max"/>
        <color rgb="FF00B050"/>
        <color theme="9"/>
        <color rgb="FFFF0000"/>
      </colorScale>
    </cfRule>
  </conditionalFormatting>
  <conditionalFormatting sqref="J86">
    <cfRule type="colorScale" priority="1">
      <colorScale>
        <cfvo type="min"/>
        <cfvo type="num" val="&quot;11,12&quot;"/>
        <cfvo type="max"/>
        <color rgb="FF00B050"/>
        <color theme="9"/>
        <color rgb="FFFF0000"/>
      </colorScale>
    </cfRule>
  </conditionalFormatting>
  <dataValidations count="1">
    <dataValidation type="list" allowBlank="1" showInputMessage="1" showErrorMessage="1" sqref="D15:D21 D23:D28 D31:D35 D37:D38" xr:uid="{6A1CBC5C-9281-4753-BC64-C430CCBA87FC}">
      <formula1>"YES,NO"</formula1>
    </dataValidation>
  </dataValidations>
  <hyperlinks>
    <hyperlink ref="A1" location="'Index and Structure'!A1" display="The Macro Group" xr:uid="{C5AD19C5-6FD8-4C19-A304-1E9B98B4E05B}"/>
    <hyperlink ref="D9" r:id="rId1" xr:uid="{BF4939AF-3C11-458D-B4D9-8BDD2E83BAED}"/>
    <hyperlink ref="I22:K28" r:id="rId2" display="paragraph 29 of PCG 2021/D2" xr:uid="{7760846D-7DDB-4810-BAA8-F5A1BEF20C82}"/>
    <hyperlink ref="I31:K31" r:id="rId3" display="paragraph 41 of PCG 2021/D2" xr:uid="{C6B4D8CF-D16E-4B81-A79E-5B8F627FDA7A}"/>
  </hyperlinks>
  <pageMargins left="0.7" right="0.7" top="0.75" bottom="0.75" header="0.3" footer="0.3"/>
  <pageSetup paperSize="9" orientation="portrait" r:id="rId4"/>
  <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68ADA-70F3-4C47-96A1-62A824D43231}">
  <sheetPr codeName="Sheet36117"/>
  <dimension ref="A1:H38"/>
  <sheetViews>
    <sheetView showGridLines="0" view="pageBreakPreview" zoomScaleNormal="100" zoomScaleSheetLayoutView="100" workbookViewId="0">
      <selection activeCell="C1" sqref="C1"/>
    </sheetView>
  </sheetViews>
  <sheetFormatPr defaultRowHeight="15" x14ac:dyDescent="0.25"/>
  <cols>
    <col min="1" max="1" width="13.140625" style="2175" customWidth="1"/>
    <col min="2" max="2" width="11.42578125" style="2175" customWidth="1"/>
    <col min="3" max="3" width="30.85546875" style="2175" customWidth="1"/>
    <col min="4" max="4" width="9.5703125" style="2175" customWidth="1"/>
    <col min="5" max="5" width="14.5703125" style="2175" customWidth="1"/>
    <col min="6" max="6" width="15.5703125" style="2175" customWidth="1"/>
    <col min="7" max="7" width="13.28515625" style="2176" customWidth="1"/>
    <col min="8" max="8" width="13.140625" style="2175" customWidth="1"/>
    <col min="9" max="10" width="10.42578125" style="2175" customWidth="1"/>
    <col min="11" max="256" width="9.140625" style="2175"/>
    <col min="257" max="257" width="13.140625" style="2175" customWidth="1"/>
    <col min="258" max="258" width="11.42578125" style="2175" customWidth="1"/>
    <col min="259" max="259" width="30.85546875" style="2175" customWidth="1"/>
    <col min="260" max="260" width="9.5703125" style="2175" customWidth="1"/>
    <col min="261" max="261" width="14.5703125" style="2175" customWidth="1"/>
    <col min="262" max="262" width="15.5703125" style="2175" customWidth="1"/>
    <col min="263" max="263" width="13.28515625" style="2175" customWidth="1"/>
    <col min="264" max="264" width="13.140625" style="2175" customWidth="1"/>
    <col min="265" max="266" width="10.42578125" style="2175" customWidth="1"/>
    <col min="267" max="512" width="9.140625" style="2175"/>
    <col min="513" max="513" width="13.140625" style="2175" customWidth="1"/>
    <col min="514" max="514" width="11.42578125" style="2175" customWidth="1"/>
    <col min="515" max="515" width="30.85546875" style="2175" customWidth="1"/>
    <col min="516" max="516" width="9.5703125" style="2175" customWidth="1"/>
    <col min="517" max="517" width="14.5703125" style="2175" customWidth="1"/>
    <col min="518" max="518" width="15.5703125" style="2175" customWidth="1"/>
    <col min="519" max="519" width="13.28515625" style="2175" customWidth="1"/>
    <col min="520" max="520" width="13.140625" style="2175" customWidth="1"/>
    <col min="521" max="522" width="10.42578125" style="2175" customWidth="1"/>
    <col min="523" max="768" width="9.140625" style="2175"/>
    <col min="769" max="769" width="13.140625" style="2175" customWidth="1"/>
    <col min="770" max="770" width="11.42578125" style="2175" customWidth="1"/>
    <col min="771" max="771" width="30.85546875" style="2175" customWidth="1"/>
    <col min="772" max="772" width="9.5703125" style="2175" customWidth="1"/>
    <col min="773" max="773" width="14.5703125" style="2175" customWidth="1"/>
    <col min="774" max="774" width="15.5703125" style="2175" customWidth="1"/>
    <col min="775" max="775" width="13.28515625" style="2175" customWidth="1"/>
    <col min="776" max="776" width="13.140625" style="2175" customWidth="1"/>
    <col min="777" max="778" width="10.42578125" style="2175" customWidth="1"/>
    <col min="779" max="1024" width="9.140625" style="2175"/>
    <col min="1025" max="1025" width="13.140625" style="2175" customWidth="1"/>
    <col min="1026" max="1026" width="11.42578125" style="2175" customWidth="1"/>
    <col min="1027" max="1027" width="30.85546875" style="2175" customWidth="1"/>
    <col min="1028" max="1028" width="9.5703125" style="2175" customWidth="1"/>
    <col min="1029" max="1029" width="14.5703125" style="2175" customWidth="1"/>
    <col min="1030" max="1030" width="15.5703125" style="2175" customWidth="1"/>
    <col min="1031" max="1031" width="13.28515625" style="2175" customWidth="1"/>
    <col min="1032" max="1032" width="13.140625" style="2175" customWidth="1"/>
    <col min="1033" max="1034" width="10.42578125" style="2175" customWidth="1"/>
    <col min="1035" max="1280" width="9.140625" style="2175"/>
    <col min="1281" max="1281" width="13.140625" style="2175" customWidth="1"/>
    <col min="1282" max="1282" width="11.42578125" style="2175" customWidth="1"/>
    <col min="1283" max="1283" width="30.85546875" style="2175" customWidth="1"/>
    <col min="1284" max="1284" width="9.5703125" style="2175" customWidth="1"/>
    <col min="1285" max="1285" width="14.5703125" style="2175" customWidth="1"/>
    <col min="1286" max="1286" width="15.5703125" style="2175" customWidth="1"/>
    <col min="1287" max="1287" width="13.28515625" style="2175" customWidth="1"/>
    <col min="1288" max="1288" width="13.140625" style="2175" customWidth="1"/>
    <col min="1289" max="1290" width="10.42578125" style="2175" customWidth="1"/>
    <col min="1291" max="1536" width="9.140625" style="2175"/>
    <col min="1537" max="1537" width="13.140625" style="2175" customWidth="1"/>
    <col min="1538" max="1538" width="11.42578125" style="2175" customWidth="1"/>
    <col min="1539" max="1539" width="30.85546875" style="2175" customWidth="1"/>
    <col min="1540" max="1540" width="9.5703125" style="2175" customWidth="1"/>
    <col min="1541" max="1541" width="14.5703125" style="2175" customWidth="1"/>
    <col min="1542" max="1542" width="15.5703125" style="2175" customWidth="1"/>
    <col min="1543" max="1543" width="13.28515625" style="2175" customWidth="1"/>
    <col min="1544" max="1544" width="13.140625" style="2175" customWidth="1"/>
    <col min="1545" max="1546" width="10.42578125" style="2175" customWidth="1"/>
    <col min="1547" max="1792" width="9.140625" style="2175"/>
    <col min="1793" max="1793" width="13.140625" style="2175" customWidth="1"/>
    <col min="1794" max="1794" width="11.42578125" style="2175" customWidth="1"/>
    <col min="1795" max="1795" width="30.85546875" style="2175" customWidth="1"/>
    <col min="1796" max="1796" width="9.5703125" style="2175" customWidth="1"/>
    <col min="1797" max="1797" width="14.5703125" style="2175" customWidth="1"/>
    <col min="1798" max="1798" width="15.5703125" style="2175" customWidth="1"/>
    <col min="1799" max="1799" width="13.28515625" style="2175" customWidth="1"/>
    <col min="1800" max="1800" width="13.140625" style="2175" customWidth="1"/>
    <col min="1801" max="1802" width="10.42578125" style="2175" customWidth="1"/>
    <col min="1803" max="2048" width="9.140625" style="2175"/>
    <col min="2049" max="2049" width="13.140625" style="2175" customWidth="1"/>
    <col min="2050" max="2050" width="11.42578125" style="2175" customWidth="1"/>
    <col min="2051" max="2051" width="30.85546875" style="2175" customWidth="1"/>
    <col min="2052" max="2052" width="9.5703125" style="2175" customWidth="1"/>
    <col min="2053" max="2053" width="14.5703125" style="2175" customWidth="1"/>
    <col min="2054" max="2054" width="15.5703125" style="2175" customWidth="1"/>
    <col min="2055" max="2055" width="13.28515625" style="2175" customWidth="1"/>
    <col min="2056" max="2056" width="13.140625" style="2175" customWidth="1"/>
    <col min="2057" max="2058" width="10.42578125" style="2175" customWidth="1"/>
    <col min="2059" max="2304" width="9.140625" style="2175"/>
    <col min="2305" max="2305" width="13.140625" style="2175" customWidth="1"/>
    <col min="2306" max="2306" width="11.42578125" style="2175" customWidth="1"/>
    <col min="2307" max="2307" width="30.85546875" style="2175" customWidth="1"/>
    <col min="2308" max="2308" width="9.5703125" style="2175" customWidth="1"/>
    <col min="2309" max="2309" width="14.5703125" style="2175" customWidth="1"/>
    <col min="2310" max="2310" width="15.5703125" style="2175" customWidth="1"/>
    <col min="2311" max="2311" width="13.28515625" style="2175" customWidth="1"/>
    <col min="2312" max="2312" width="13.140625" style="2175" customWidth="1"/>
    <col min="2313" max="2314" width="10.42578125" style="2175" customWidth="1"/>
    <col min="2315" max="2560" width="9.140625" style="2175"/>
    <col min="2561" max="2561" width="13.140625" style="2175" customWidth="1"/>
    <col min="2562" max="2562" width="11.42578125" style="2175" customWidth="1"/>
    <col min="2563" max="2563" width="30.85546875" style="2175" customWidth="1"/>
    <col min="2564" max="2564" width="9.5703125" style="2175" customWidth="1"/>
    <col min="2565" max="2565" width="14.5703125" style="2175" customWidth="1"/>
    <col min="2566" max="2566" width="15.5703125" style="2175" customWidth="1"/>
    <col min="2567" max="2567" width="13.28515625" style="2175" customWidth="1"/>
    <col min="2568" max="2568" width="13.140625" style="2175" customWidth="1"/>
    <col min="2569" max="2570" width="10.42578125" style="2175" customWidth="1"/>
    <col min="2571" max="2816" width="9.140625" style="2175"/>
    <col min="2817" max="2817" width="13.140625" style="2175" customWidth="1"/>
    <col min="2818" max="2818" width="11.42578125" style="2175" customWidth="1"/>
    <col min="2819" max="2819" width="30.85546875" style="2175" customWidth="1"/>
    <col min="2820" max="2820" width="9.5703125" style="2175" customWidth="1"/>
    <col min="2821" max="2821" width="14.5703125" style="2175" customWidth="1"/>
    <col min="2822" max="2822" width="15.5703125" style="2175" customWidth="1"/>
    <col min="2823" max="2823" width="13.28515625" style="2175" customWidth="1"/>
    <col min="2824" max="2824" width="13.140625" style="2175" customWidth="1"/>
    <col min="2825" max="2826" width="10.42578125" style="2175" customWidth="1"/>
    <col min="2827" max="3072" width="9.140625" style="2175"/>
    <col min="3073" max="3073" width="13.140625" style="2175" customWidth="1"/>
    <col min="3074" max="3074" width="11.42578125" style="2175" customWidth="1"/>
    <col min="3075" max="3075" width="30.85546875" style="2175" customWidth="1"/>
    <col min="3076" max="3076" width="9.5703125" style="2175" customWidth="1"/>
    <col min="3077" max="3077" width="14.5703125" style="2175" customWidth="1"/>
    <col min="3078" max="3078" width="15.5703125" style="2175" customWidth="1"/>
    <col min="3079" max="3079" width="13.28515625" style="2175" customWidth="1"/>
    <col min="3080" max="3080" width="13.140625" style="2175" customWidth="1"/>
    <col min="3081" max="3082" width="10.42578125" style="2175" customWidth="1"/>
    <col min="3083" max="3328" width="9.140625" style="2175"/>
    <col min="3329" max="3329" width="13.140625" style="2175" customWidth="1"/>
    <col min="3330" max="3330" width="11.42578125" style="2175" customWidth="1"/>
    <col min="3331" max="3331" width="30.85546875" style="2175" customWidth="1"/>
    <col min="3332" max="3332" width="9.5703125" style="2175" customWidth="1"/>
    <col min="3333" max="3333" width="14.5703125" style="2175" customWidth="1"/>
    <col min="3334" max="3334" width="15.5703125" style="2175" customWidth="1"/>
    <col min="3335" max="3335" width="13.28515625" style="2175" customWidth="1"/>
    <col min="3336" max="3336" width="13.140625" style="2175" customWidth="1"/>
    <col min="3337" max="3338" width="10.42578125" style="2175" customWidth="1"/>
    <col min="3339" max="3584" width="9.140625" style="2175"/>
    <col min="3585" max="3585" width="13.140625" style="2175" customWidth="1"/>
    <col min="3586" max="3586" width="11.42578125" style="2175" customWidth="1"/>
    <col min="3587" max="3587" width="30.85546875" style="2175" customWidth="1"/>
    <col min="3588" max="3588" width="9.5703125" style="2175" customWidth="1"/>
    <col min="3589" max="3589" width="14.5703125" style="2175" customWidth="1"/>
    <col min="3590" max="3590" width="15.5703125" style="2175" customWidth="1"/>
    <col min="3591" max="3591" width="13.28515625" style="2175" customWidth="1"/>
    <col min="3592" max="3592" width="13.140625" style="2175" customWidth="1"/>
    <col min="3593" max="3594" width="10.42578125" style="2175" customWidth="1"/>
    <col min="3595" max="3840" width="9.140625" style="2175"/>
    <col min="3841" max="3841" width="13.140625" style="2175" customWidth="1"/>
    <col min="3842" max="3842" width="11.42578125" style="2175" customWidth="1"/>
    <col min="3843" max="3843" width="30.85546875" style="2175" customWidth="1"/>
    <col min="3844" max="3844" width="9.5703125" style="2175" customWidth="1"/>
    <col min="3845" max="3845" width="14.5703125" style="2175" customWidth="1"/>
    <col min="3846" max="3846" width="15.5703125" style="2175" customWidth="1"/>
    <col min="3847" max="3847" width="13.28515625" style="2175" customWidth="1"/>
    <col min="3848" max="3848" width="13.140625" style="2175" customWidth="1"/>
    <col min="3849" max="3850" width="10.42578125" style="2175" customWidth="1"/>
    <col min="3851" max="4096" width="9.140625" style="2175"/>
    <col min="4097" max="4097" width="13.140625" style="2175" customWidth="1"/>
    <col min="4098" max="4098" width="11.42578125" style="2175" customWidth="1"/>
    <col min="4099" max="4099" width="30.85546875" style="2175" customWidth="1"/>
    <col min="4100" max="4100" width="9.5703125" style="2175" customWidth="1"/>
    <col min="4101" max="4101" width="14.5703125" style="2175" customWidth="1"/>
    <col min="4102" max="4102" width="15.5703125" style="2175" customWidth="1"/>
    <col min="4103" max="4103" width="13.28515625" style="2175" customWidth="1"/>
    <col min="4104" max="4104" width="13.140625" style="2175" customWidth="1"/>
    <col min="4105" max="4106" width="10.42578125" style="2175" customWidth="1"/>
    <col min="4107" max="4352" width="9.140625" style="2175"/>
    <col min="4353" max="4353" width="13.140625" style="2175" customWidth="1"/>
    <col min="4354" max="4354" width="11.42578125" style="2175" customWidth="1"/>
    <col min="4355" max="4355" width="30.85546875" style="2175" customWidth="1"/>
    <col min="4356" max="4356" width="9.5703125" style="2175" customWidth="1"/>
    <col min="4357" max="4357" width="14.5703125" style="2175" customWidth="1"/>
    <col min="4358" max="4358" width="15.5703125" style="2175" customWidth="1"/>
    <col min="4359" max="4359" width="13.28515625" style="2175" customWidth="1"/>
    <col min="4360" max="4360" width="13.140625" style="2175" customWidth="1"/>
    <col min="4361" max="4362" width="10.42578125" style="2175" customWidth="1"/>
    <col min="4363" max="4608" width="9.140625" style="2175"/>
    <col min="4609" max="4609" width="13.140625" style="2175" customWidth="1"/>
    <col min="4610" max="4610" width="11.42578125" style="2175" customWidth="1"/>
    <col min="4611" max="4611" width="30.85546875" style="2175" customWidth="1"/>
    <col min="4612" max="4612" width="9.5703125" style="2175" customWidth="1"/>
    <col min="4613" max="4613" width="14.5703125" style="2175" customWidth="1"/>
    <col min="4614" max="4614" width="15.5703125" style="2175" customWidth="1"/>
    <col min="4615" max="4615" width="13.28515625" style="2175" customWidth="1"/>
    <col min="4616" max="4616" width="13.140625" style="2175" customWidth="1"/>
    <col min="4617" max="4618" width="10.42578125" style="2175" customWidth="1"/>
    <col min="4619" max="4864" width="9.140625" style="2175"/>
    <col min="4865" max="4865" width="13.140625" style="2175" customWidth="1"/>
    <col min="4866" max="4866" width="11.42578125" style="2175" customWidth="1"/>
    <col min="4867" max="4867" width="30.85546875" style="2175" customWidth="1"/>
    <col min="4868" max="4868" width="9.5703125" style="2175" customWidth="1"/>
    <col min="4869" max="4869" width="14.5703125" style="2175" customWidth="1"/>
    <col min="4870" max="4870" width="15.5703125" style="2175" customWidth="1"/>
    <col min="4871" max="4871" width="13.28515625" style="2175" customWidth="1"/>
    <col min="4872" max="4872" width="13.140625" style="2175" customWidth="1"/>
    <col min="4873" max="4874" width="10.42578125" style="2175" customWidth="1"/>
    <col min="4875" max="5120" width="9.140625" style="2175"/>
    <col min="5121" max="5121" width="13.140625" style="2175" customWidth="1"/>
    <col min="5122" max="5122" width="11.42578125" style="2175" customWidth="1"/>
    <col min="5123" max="5123" width="30.85546875" style="2175" customWidth="1"/>
    <col min="5124" max="5124" width="9.5703125" style="2175" customWidth="1"/>
    <col min="5125" max="5125" width="14.5703125" style="2175" customWidth="1"/>
    <col min="5126" max="5126" width="15.5703125" style="2175" customWidth="1"/>
    <col min="5127" max="5127" width="13.28515625" style="2175" customWidth="1"/>
    <col min="5128" max="5128" width="13.140625" style="2175" customWidth="1"/>
    <col min="5129" max="5130" width="10.42578125" style="2175" customWidth="1"/>
    <col min="5131" max="5376" width="9.140625" style="2175"/>
    <col min="5377" max="5377" width="13.140625" style="2175" customWidth="1"/>
    <col min="5378" max="5378" width="11.42578125" style="2175" customWidth="1"/>
    <col min="5379" max="5379" width="30.85546875" style="2175" customWidth="1"/>
    <col min="5380" max="5380" width="9.5703125" style="2175" customWidth="1"/>
    <col min="5381" max="5381" width="14.5703125" style="2175" customWidth="1"/>
    <col min="5382" max="5382" width="15.5703125" style="2175" customWidth="1"/>
    <col min="5383" max="5383" width="13.28515625" style="2175" customWidth="1"/>
    <col min="5384" max="5384" width="13.140625" style="2175" customWidth="1"/>
    <col min="5385" max="5386" width="10.42578125" style="2175" customWidth="1"/>
    <col min="5387" max="5632" width="9.140625" style="2175"/>
    <col min="5633" max="5633" width="13.140625" style="2175" customWidth="1"/>
    <col min="5634" max="5634" width="11.42578125" style="2175" customWidth="1"/>
    <col min="5635" max="5635" width="30.85546875" style="2175" customWidth="1"/>
    <col min="5636" max="5636" width="9.5703125" style="2175" customWidth="1"/>
    <col min="5637" max="5637" width="14.5703125" style="2175" customWidth="1"/>
    <col min="5638" max="5638" width="15.5703125" style="2175" customWidth="1"/>
    <col min="5639" max="5639" width="13.28515625" style="2175" customWidth="1"/>
    <col min="5640" max="5640" width="13.140625" style="2175" customWidth="1"/>
    <col min="5641" max="5642" width="10.42578125" style="2175" customWidth="1"/>
    <col min="5643" max="5888" width="9.140625" style="2175"/>
    <col min="5889" max="5889" width="13.140625" style="2175" customWidth="1"/>
    <col min="5890" max="5890" width="11.42578125" style="2175" customWidth="1"/>
    <col min="5891" max="5891" width="30.85546875" style="2175" customWidth="1"/>
    <col min="5892" max="5892" width="9.5703125" style="2175" customWidth="1"/>
    <col min="5893" max="5893" width="14.5703125" style="2175" customWidth="1"/>
    <col min="5894" max="5894" width="15.5703125" style="2175" customWidth="1"/>
    <col min="5895" max="5895" width="13.28515625" style="2175" customWidth="1"/>
    <col min="5896" max="5896" width="13.140625" style="2175" customWidth="1"/>
    <col min="5897" max="5898" width="10.42578125" style="2175" customWidth="1"/>
    <col min="5899" max="6144" width="9.140625" style="2175"/>
    <col min="6145" max="6145" width="13.140625" style="2175" customWidth="1"/>
    <col min="6146" max="6146" width="11.42578125" style="2175" customWidth="1"/>
    <col min="6147" max="6147" width="30.85546875" style="2175" customWidth="1"/>
    <col min="6148" max="6148" width="9.5703125" style="2175" customWidth="1"/>
    <col min="6149" max="6149" width="14.5703125" style="2175" customWidth="1"/>
    <col min="6150" max="6150" width="15.5703125" style="2175" customWidth="1"/>
    <col min="6151" max="6151" width="13.28515625" style="2175" customWidth="1"/>
    <col min="6152" max="6152" width="13.140625" style="2175" customWidth="1"/>
    <col min="6153" max="6154" width="10.42578125" style="2175" customWidth="1"/>
    <col min="6155" max="6400" width="9.140625" style="2175"/>
    <col min="6401" max="6401" width="13.140625" style="2175" customWidth="1"/>
    <col min="6402" max="6402" width="11.42578125" style="2175" customWidth="1"/>
    <col min="6403" max="6403" width="30.85546875" style="2175" customWidth="1"/>
    <col min="6404" max="6404" width="9.5703125" style="2175" customWidth="1"/>
    <col min="6405" max="6405" width="14.5703125" style="2175" customWidth="1"/>
    <col min="6406" max="6406" width="15.5703125" style="2175" customWidth="1"/>
    <col min="6407" max="6407" width="13.28515625" style="2175" customWidth="1"/>
    <col min="6408" max="6408" width="13.140625" style="2175" customWidth="1"/>
    <col min="6409" max="6410" width="10.42578125" style="2175" customWidth="1"/>
    <col min="6411" max="6656" width="9.140625" style="2175"/>
    <col min="6657" max="6657" width="13.140625" style="2175" customWidth="1"/>
    <col min="6658" max="6658" width="11.42578125" style="2175" customWidth="1"/>
    <col min="6659" max="6659" width="30.85546875" style="2175" customWidth="1"/>
    <col min="6660" max="6660" width="9.5703125" style="2175" customWidth="1"/>
    <col min="6661" max="6661" width="14.5703125" style="2175" customWidth="1"/>
    <col min="6662" max="6662" width="15.5703125" style="2175" customWidth="1"/>
    <col min="6663" max="6663" width="13.28515625" style="2175" customWidth="1"/>
    <col min="6664" max="6664" width="13.140625" style="2175" customWidth="1"/>
    <col min="6665" max="6666" width="10.42578125" style="2175" customWidth="1"/>
    <col min="6667" max="6912" width="9.140625" style="2175"/>
    <col min="6913" max="6913" width="13.140625" style="2175" customWidth="1"/>
    <col min="6914" max="6914" width="11.42578125" style="2175" customWidth="1"/>
    <col min="6915" max="6915" width="30.85546875" style="2175" customWidth="1"/>
    <col min="6916" max="6916" width="9.5703125" style="2175" customWidth="1"/>
    <col min="6917" max="6917" width="14.5703125" style="2175" customWidth="1"/>
    <col min="6918" max="6918" width="15.5703125" style="2175" customWidth="1"/>
    <col min="6919" max="6919" width="13.28515625" style="2175" customWidth="1"/>
    <col min="6920" max="6920" width="13.140625" style="2175" customWidth="1"/>
    <col min="6921" max="6922" width="10.42578125" style="2175" customWidth="1"/>
    <col min="6923" max="7168" width="9.140625" style="2175"/>
    <col min="7169" max="7169" width="13.140625" style="2175" customWidth="1"/>
    <col min="7170" max="7170" width="11.42578125" style="2175" customWidth="1"/>
    <col min="7171" max="7171" width="30.85546875" style="2175" customWidth="1"/>
    <col min="7172" max="7172" width="9.5703125" style="2175" customWidth="1"/>
    <col min="7173" max="7173" width="14.5703125" style="2175" customWidth="1"/>
    <col min="7174" max="7174" width="15.5703125" style="2175" customWidth="1"/>
    <col min="7175" max="7175" width="13.28515625" style="2175" customWidth="1"/>
    <col min="7176" max="7176" width="13.140625" style="2175" customWidth="1"/>
    <col min="7177" max="7178" width="10.42578125" style="2175" customWidth="1"/>
    <col min="7179" max="7424" width="9.140625" style="2175"/>
    <col min="7425" max="7425" width="13.140625" style="2175" customWidth="1"/>
    <col min="7426" max="7426" width="11.42578125" style="2175" customWidth="1"/>
    <col min="7427" max="7427" width="30.85546875" style="2175" customWidth="1"/>
    <col min="7428" max="7428" width="9.5703125" style="2175" customWidth="1"/>
    <col min="7429" max="7429" width="14.5703125" style="2175" customWidth="1"/>
    <col min="7430" max="7430" width="15.5703125" style="2175" customWidth="1"/>
    <col min="7431" max="7431" width="13.28515625" style="2175" customWidth="1"/>
    <col min="7432" max="7432" width="13.140625" style="2175" customWidth="1"/>
    <col min="7433" max="7434" width="10.42578125" style="2175" customWidth="1"/>
    <col min="7435" max="7680" width="9.140625" style="2175"/>
    <col min="7681" max="7681" width="13.140625" style="2175" customWidth="1"/>
    <col min="7682" max="7682" width="11.42578125" style="2175" customWidth="1"/>
    <col min="7683" max="7683" width="30.85546875" style="2175" customWidth="1"/>
    <col min="7684" max="7684" width="9.5703125" style="2175" customWidth="1"/>
    <col min="7685" max="7685" width="14.5703125" style="2175" customWidth="1"/>
    <col min="7686" max="7686" width="15.5703125" style="2175" customWidth="1"/>
    <col min="7687" max="7687" width="13.28515625" style="2175" customWidth="1"/>
    <col min="7688" max="7688" width="13.140625" style="2175" customWidth="1"/>
    <col min="7689" max="7690" width="10.42578125" style="2175" customWidth="1"/>
    <col min="7691" max="7936" width="9.140625" style="2175"/>
    <col min="7937" max="7937" width="13.140625" style="2175" customWidth="1"/>
    <col min="7938" max="7938" width="11.42578125" style="2175" customWidth="1"/>
    <col min="7939" max="7939" width="30.85546875" style="2175" customWidth="1"/>
    <col min="7940" max="7940" width="9.5703125" style="2175" customWidth="1"/>
    <col min="7941" max="7941" width="14.5703125" style="2175" customWidth="1"/>
    <col min="7942" max="7942" width="15.5703125" style="2175" customWidth="1"/>
    <col min="7943" max="7943" width="13.28515625" style="2175" customWidth="1"/>
    <col min="7944" max="7944" width="13.140625" style="2175" customWidth="1"/>
    <col min="7945" max="7946" width="10.42578125" style="2175" customWidth="1"/>
    <col min="7947" max="8192" width="9.140625" style="2175"/>
    <col min="8193" max="8193" width="13.140625" style="2175" customWidth="1"/>
    <col min="8194" max="8194" width="11.42578125" style="2175" customWidth="1"/>
    <col min="8195" max="8195" width="30.85546875" style="2175" customWidth="1"/>
    <col min="8196" max="8196" width="9.5703125" style="2175" customWidth="1"/>
    <col min="8197" max="8197" width="14.5703125" style="2175" customWidth="1"/>
    <col min="8198" max="8198" width="15.5703125" style="2175" customWidth="1"/>
    <col min="8199" max="8199" width="13.28515625" style="2175" customWidth="1"/>
    <col min="8200" max="8200" width="13.140625" style="2175" customWidth="1"/>
    <col min="8201" max="8202" width="10.42578125" style="2175" customWidth="1"/>
    <col min="8203" max="8448" width="9.140625" style="2175"/>
    <col min="8449" max="8449" width="13.140625" style="2175" customWidth="1"/>
    <col min="8450" max="8450" width="11.42578125" style="2175" customWidth="1"/>
    <col min="8451" max="8451" width="30.85546875" style="2175" customWidth="1"/>
    <col min="8452" max="8452" width="9.5703125" style="2175" customWidth="1"/>
    <col min="8453" max="8453" width="14.5703125" style="2175" customWidth="1"/>
    <col min="8454" max="8454" width="15.5703125" style="2175" customWidth="1"/>
    <col min="8455" max="8455" width="13.28515625" style="2175" customWidth="1"/>
    <col min="8456" max="8456" width="13.140625" style="2175" customWidth="1"/>
    <col min="8457" max="8458" width="10.42578125" style="2175" customWidth="1"/>
    <col min="8459" max="8704" width="9.140625" style="2175"/>
    <col min="8705" max="8705" width="13.140625" style="2175" customWidth="1"/>
    <col min="8706" max="8706" width="11.42578125" style="2175" customWidth="1"/>
    <col min="8707" max="8707" width="30.85546875" style="2175" customWidth="1"/>
    <col min="8708" max="8708" width="9.5703125" style="2175" customWidth="1"/>
    <col min="8709" max="8709" width="14.5703125" style="2175" customWidth="1"/>
    <col min="8710" max="8710" width="15.5703125" style="2175" customWidth="1"/>
    <col min="8711" max="8711" width="13.28515625" style="2175" customWidth="1"/>
    <col min="8712" max="8712" width="13.140625" style="2175" customWidth="1"/>
    <col min="8713" max="8714" width="10.42578125" style="2175" customWidth="1"/>
    <col min="8715" max="8960" width="9.140625" style="2175"/>
    <col min="8961" max="8961" width="13.140625" style="2175" customWidth="1"/>
    <col min="8962" max="8962" width="11.42578125" style="2175" customWidth="1"/>
    <col min="8963" max="8963" width="30.85546875" style="2175" customWidth="1"/>
    <col min="8964" max="8964" width="9.5703125" style="2175" customWidth="1"/>
    <col min="8965" max="8965" width="14.5703125" style="2175" customWidth="1"/>
    <col min="8966" max="8966" width="15.5703125" style="2175" customWidth="1"/>
    <col min="8967" max="8967" width="13.28515625" style="2175" customWidth="1"/>
    <col min="8968" max="8968" width="13.140625" style="2175" customWidth="1"/>
    <col min="8969" max="8970" width="10.42578125" style="2175" customWidth="1"/>
    <col min="8971" max="9216" width="9.140625" style="2175"/>
    <col min="9217" max="9217" width="13.140625" style="2175" customWidth="1"/>
    <col min="9218" max="9218" width="11.42578125" style="2175" customWidth="1"/>
    <col min="9219" max="9219" width="30.85546875" style="2175" customWidth="1"/>
    <col min="9220" max="9220" width="9.5703125" style="2175" customWidth="1"/>
    <col min="9221" max="9221" width="14.5703125" style="2175" customWidth="1"/>
    <col min="9222" max="9222" width="15.5703125" style="2175" customWidth="1"/>
    <col min="9223" max="9223" width="13.28515625" style="2175" customWidth="1"/>
    <col min="9224" max="9224" width="13.140625" style="2175" customWidth="1"/>
    <col min="9225" max="9226" width="10.42578125" style="2175" customWidth="1"/>
    <col min="9227" max="9472" width="9.140625" style="2175"/>
    <col min="9473" max="9473" width="13.140625" style="2175" customWidth="1"/>
    <col min="9474" max="9474" width="11.42578125" style="2175" customWidth="1"/>
    <col min="9475" max="9475" width="30.85546875" style="2175" customWidth="1"/>
    <col min="9476" max="9476" width="9.5703125" style="2175" customWidth="1"/>
    <col min="9477" max="9477" width="14.5703125" style="2175" customWidth="1"/>
    <col min="9478" max="9478" width="15.5703125" style="2175" customWidth="1"/>
    <col min="9479" max="9479" width="13.28515625" style="2175" customWidth="1"/>
    <col min="9480" max="9480" width="13.140625" style="2175" customWidth="1"/>
    <col min="9481" max="9482" width="10.42578125" style="2175" customWidth="1"/>
    <col min="9483" max="9728" width="9.140625" style="2175"/>
    <col min="9729" max="9729" width="13.140625" style="2175" customWidth="1"/>
    <col min="9730" max="9730" width="11.42578125" style="2175" customWidth="1"/>
    <col min="9731" max="9731" width="30.85546875" style="2175" customWidth="1"/>
    <col min="9732" max="9732" width="9.5703125" style="2175" customWidth="1"/>
    <col min="9733" max="9733" width="14.5703125" style="2175" customWidth="1"/>
    <col min="9734" max="9734" width="15.5703125" style="2175" customWidth="1"/>
    <col min="9735" max="9735" width="13.28515625" style="2175" customWidth="1"/>
    <col min="9736" max="9736" width="13.140625" style="2175" customWidth="1"/>
    <col min="9737" max="9738" width="10.42578125" style="2175" customWidth="1"/>
    <col min="9739" max="9984" width="9.140625" style="2175"/>
    <col min="9985" max="9985" width="13.140625" style="2175" customWidth="1"/>
    <col min="9986" max="9986" width="11.42578125" style="2175" customWidth="1"/>
    <col min="9987" max="9987" width="30.85546875" style="2175" customWidth="1"/>
    <col min="9988" max="9988" width="9.5703125" style="2175" customWidth="1"/>
    <col min="9989" max="9989" width="14.5703125" style="2175" customWidth="1"/>
    <col min="9990" max="9990" width="15.5703125" style="2175" customWidth="1"/>
    <col min="9991" max="9991" width="13.28515625" style="2175" customWidth="1"/>
    <col min="9992" max="9992" width="13.140625" style="2175" customWidth="1"/>
    <col min="9993" max="9994" width="10.42578125" style="2175" customWidth="1"/>
    <col min="9995" max="10240" width="9.140625" style="2175"/>
    <col min="10241" max="10241" width="13.140625" style="2175" customWidth="1"/>
    <col min="10242" max="10242" width="11.42578125" style="2175" customWidth="1"/>
    <col min="10243" max="10243" width="30.85546875" style="2175" customWidth="1"/>
    <col min="10244" max="10244" width="9.5703125" style="2175" customWidth="1"/>
    <col min="10245" max="10245" width="14.5703125" style="2175" customWidth="1"/>
    <col min="10246" max="10246" width="15.5703125" style="2175" customWidth="1"/>
    <col min="10247" max="10247" width="13.28515625" style="2175" customWidth="1"/>
    <col min="10248" max="10248" width="13.140625" style="2175" customWidth="1"/>
    <col min="10249" max="10250" width="10.42578125" style="2175" customWidth="1"/>
    <col min="10251" max="10496" width="9.140625" style="2175"/>
    <col min="10497" max="10497" width="13.140625" style="2175" customWidth="1"/>
    <col min="10498" max="10498" width="11.42578125" style="2175" customWidth="1"/>
    <col min="10499" max="10499" width="30.85546875" style="2175" customWidth="1"/>
    <col min="10500" max="10500" width="9.5703125" style="2175" customWidth="1"/>
    <col min="10501" max="10501" width="14.5703125" style="2175" customWidth="1"/>
    <col min="10502" max="10502" width="15.5703125" style="2175" customWidth="1"/>
    <col min="10503" max="10503" width="13.28515625" style="2175" customWidth="1"/>
    <col min="10504" max="10504" width="13.140625" style="2175" customWidth="1"/>
    <col min="10505" max="10506" width="10.42578125" style="2175" customWidth="1"/>
    <col min="10507" max="10752" width="9.140625" style="2175"/>
    <col min="10753" max="10753" width="13.140625" style="2175" customWidth="1"/>
    <col min="10754" max="10754" width="11.42578125" style="2175" customWidth="1"/>
    <col min="10755" max="10755" width="30.85546875" style="2175" customWidth="1"/>
    <col min="10756" max="10756" width="9.5703125" style="2175" customWidth="1"/>
    <col min="10757" max="10757" width="14.5703125" style="2175" customWidth="1"/>
    <col min="10758" max="10758" width="15.5703125" style="2175" customWidth="1"/>
    <col min="10759" max="10759" width="13.28515625" style="2175" customWidth="1"/>
    <col min="10760" max="10760" width="13.140625" style="2175" customWidth="1"/>
    <col min="10761" max="10762" width="10.42578125" style="2175" customWidth="1"/>
    <col min="10763" max="11008" width="9.140625" style="2175"/>
    <col min="11009" max="11009" width="13.140625" style="2175" customWidth="1"/>
    <col min="11010" max="11010" width="11.42578125" style="2175" customWidth="1"/>
    <col min="11011" max="11011" width="30.85546875" style="2175" customWidth="1"/>
    <col min="11012" max="11012" width="9.5703125" style="2175" customWidth="1"/>
    <col min="11013" max="11013" width="14.5703125" style="2175" customWidth="1"/>
    <col min="11014" max="11014" width="15.5703125" style="2175" customWidth="1"/>
    <col min="11015" max="11015" width="13.28515625" style="2175" customWidth="1"/>
    <col min="11016" max="11016" width="13.140625" style="2175" customWidth="1"/>
    <col min="11017" max="11018" width="10.42578125" style="2175" customWidth="1"/>
    <col min="11019" max="11264" width="9.140625" style="2175"/>
    <col min="11265" max="11265" width="13.140625" style="2175" customWidth="1"/>
    <col min="11266" max="11266" width="11.42578125" style="2175" customWidth="1"/>
    <col min="11267" max="11267" width="30.85546875" style="2175" customWidth="1"/>
    <col min="11268" max="11268" width="9.5703125" style="2175" customWidth="1"/>
    <col min="11269" max="11269" width="14.5703125" style="2175" customWidth="1"/>
    <col min="11270" max="11270" width="15.5703125" style="2175" customWidth="1"/>
    <col min="11271" max="11271" width="13.28515625" style="2175" customWidth="1"/>
    <col min="11272" max="11272" width="13.140625" style="2175" customWidth="1"/>
    <col min="11273" max="11274" width="10.42578125" style="2175" customWidth="1"/>
    <col min="11275" max="11520" width="9.140625" style="2175"/>
    <col min="11521" max="11521" width="13.140625" style="2175" customWidth="1"/>
    <col min="11522" max="11522" width="11.42578125" style="2175" customWidth="1"/>
    <col min="11523" max="11523" width="30.85546875" style="2175" customWidth="1"/>
    <col min="11524" max="11524" width="9.5703125" style="2175" customWidth="1"/>
    <col min="11525" max="11525" width="14.5703125" style="2175" customWidth="1"/>
    <col min="11526" max="11526" width="15.5703125" style="2175" customWidth="1"/>
    <col min="11527" max="11527" width="13.28515625" style="2175" customWidth="1"/>
    <col min="11528" max="11528" width="13.140625" style="2175" customWidth="1"/>
    <col min="11529" max="11530" width="10.42578125" style="2175" customWidth="1"/>
    <col min="11531" max="11776" width="9.140625" style="2175"/>
    <col min="11777" max="11777" width="13.140625" style="2175" customWidth="1"/>
    <col min="11778" max="11778" width="11.42578125" style="2175" customWidth="1"/>
    <col min="11779" max="11779" width="30.85546875" style="2175" customWidth="1"/>
    <col min="11780" max="11780" width="9.5703125" style="2175" customWidth="1"/>
    <col min="11781" max="11781" width="14.5703125" style="2175" customWidth="1"/>
    <col min="11782" max="11782" width="15.5703125" style="2175" customWidth="1"/>
    <col min="11783" max="11783" width="13.28515625" style="2175" customWidth="1"/>
    <col min="11784" max="11784" width="13.140625" style="2175" customWidth="1"/>
    <col min="11785" max="11786" width="10.42578125" style="2175" customWidth="1"/>
    <col min="11787" max="12032" width="9.140625" style="2175"/>
    <col min="12033" max="12033" width="13.140625" style="2175" customWidth="1"/>
    <col min="12034" max="12034" width="11.42578125" style="2175" customWidth="1"/>
    <col min="12035" max="12035" width="30.85546875" style="2175" customWidth="1"/>
    <col min="12036" max="12036" width="9.5703125" style="2175" customWidth="1"/>
    <col min="12037" max="12037" width="14.5703125" style="2175" customWidth="1"/>
    <col min="12038" max="12038" width="15.5703125" style="2175" customWidth="1"/>
    <col min="12039" max="12039" width="13.28515625" style="2175" customWidth="1"/>
    <col min="12040" max="12040" width="13.140625" style="2175" customWidth="1"/>
    <col min="12041" max="12042" width="10.42578125" style="2175" customWidth="1"/>
    <col min="12043" max="12288" width="9.140625" style="2175"/>
    <col min="12289" max="12289" width="13.140625" style="2175" customWidth="1"/>
    <col min="12290" max="12290" width="11.42578125" style="2175" customWidth="1"/>
    <col min="12291" max="12291" width="30.85546875" style="2175" customWidth="1"/>
    <col min="12292" max="12292" width="9.5703125" style="2175" customWidth="1"/>
    <col min="12293" max="12293" width="14.5703125" style="2175" customWidth="1"/>
    <col min="12294" max="12294" width="15.5703125" style="2175" customWidth="1"/>
    <col min="12295" max="12295" width="13.28515625" style="2175" customWidth="1"/>
    <col min="12296" max="12296" width="13.140625" style="2175" customWidth="1"/>
    <col min="12297" max="12298" width="10.42578125" style="2175" customWidth="1"/>
    <col min="12299" max="12544" width="9.140625" style="2175"/>
    <col min="12545" max="12545" width="13.140625" style="2175" customWidth="1"/>
    <col min="12546" max="12546" width="11.42578125" style="2175" customWidth="1"/>
    <col min="12547" max="12547" width="30.85546875" style="2175" customWidth="1"/>
    <col min="12548" max="12548" width="9.5703125" style="2175" customWidth="1"/>
    <col min="12549" max="12549" width="14.5703125" style="2175" customWidth="1"/>
    <col min="12550" max="12550" width="15.5703125" style="2175" customWidth="1"/>
    <col min="12551" max="12551" width="13.28515625" style="2175" customWidth="1"/>
    <col min="12552" max="12552" width="13.140625" style="2175" customWidth="1"/>
    <col min="12553" max="12554" width="10.42578125" style="2175" customWidth="1"/>
    <col min="12555" max="12800" width="9.140625" style="2175"/>
    <col min="12801" max="12801" width="13.140625" style="2175" customWidth="1"/>
    <col min="12802" max="12802" width="11.42578125" style="2175" customWidth="1"/>
    <col min="12803" max="12803" width="30.85546875" style="2175" customWidth="1"/>
    <col min="12804" max="12804" width="9.5703125" style="2175" customWidth="1"/>
    <col min="12805" max="12805" width="14.5703125" style="2175" customWidth="1"/>
    <col min="12806" max="12806" width="15.5703125" style="2175" customWidth="1"/>
    <col min="12807" max="12807" width="13.28515625" style="2175" customWidth="1"/>
    <col min="12808" max="12808" width="13.140625" style="2175" customWidth="1"/>
    <col min="12809" max="12810" width="10.42578125" style="2175" customWidth="1"/>
    <col min="12811" max="13056" width="9.140625" style="2175"/>
    <col min="13057" max="13057" width="13.140625" style="2175" customWidth="1"/>
    <col min="13058" max="13058" width="11.42578125" style="2175" customWidth="1"/>
    <col min="13059" max="13059" width="30.85546875" style="2175" customWidth="1"/>
    <col min="13060" max="13060" width="9.5703125" style="2175" customWidth="1"/>
    <col min="13061" max="13061" width="14.5703125" style="2175" customWidth="1"/>
    <col min="13062" max="13062" width="15.5703125" style="2175" customWidth="1"/>
    <col min="13063" max="13063" width="13.28515625" style="2175" customWidth="1"/>
    <col min="13064" max="13064" width="13.140625" style="2175" customWidth="1"/>
    <col min="13065" max="13066" width="10.42578125" style="2175" customWidth="1"/>
    <col min="13067" max="13312" width="9.140625" style="2175"/>
    <col min="13313" max="13313" width="13.140625" style="2175" customWidth="1"/>
    <col min="13314" max="13314" width="11.42578125" style="2175" customWidth="1"/>
    <col min="13315" max="13315" width="30.85546875" style="2175" customWidth="1"/>
    <col min="13316" max="13316" width="9.5703125" style="2175" customWidth="1"/>
    <col min="13317" max="13317" width="14.5703125" style="2175" customWidth="1"/>
    <col min="13318" max="13318" width="15.5703125" style="2175" customWidth="1"/>
    <col min="13319" max="13319" width="13.28515625" style="2175" customWidth="1"/>
    <col min="13320" max="13320" width="13.140625" style="2175" customWidth="1"/>
    <col min="13321" max="13322" width="10.42578125" style="2175" customWidth="1"/>
    <col min="13323" max="13568" width="9.140625" style="2175"/>
    <col min="13569" max="13569" width="13.140625" style="2175" customWidth="1"/>
    <col min="13570" max="13570" width="11.42578125" style="2175" customWidth="1"/>
    <col min="13571" max="13571" width="30.85546875" style="2175" customWidth="1"/>
    <col min="13572" max="13572" width="9.5703125" style="2175" customWidth="1"/>
    <col min="13573" max="13573" width="14.5703125" style="2175" customWidth="1"/>
    <col min="13574" max="13574" width="15.5703125" style="2175" customWidth="1"/>
    <col min="13575" max="13575" width="13.28515625" style="2175" customWidth="1"/>
    <col min="13576" max="13576" width="13.140625" style="2175" customWidth="1"/>
    <col min="13577" max="13578" width="10.42578125" style="2175" customWidth="1"/>
    <col min="13579" max="13824" width="9.140625" style="2175"/>
    <col min="13825" max="13825" width="13.140625" style="2175" customWidth="1"/>
    <col min="13826" max="13826" width="11.42578125" style="2175" customWidth="1"/>
    <col min="13827" max="13827" width="30.85546875" style="2175" customWidth="1"/>
    <col min="13828" max="13828" width="9.5703125" style="2175" customWidth="1"/>
    <col min="13829" max="13829" width="14.5703125" style="2175" customWidth="1"/>
    <col min="13830" max="13830" width="15.5703125" style="2175" customWidth="1"/>
    <col min="13831" max="13831" width="13.28515625" style="2175" customWidth="1"/>
    <col min="13832" max="13832" width="13.140625" style="2175" customWidth="1"/>
    <col min="13833" max="13834" width="10.42578125" style="2175" customWidth="1"/>
    <col min="13835" max="14080" width="9.140625" style="2175"/>
    <col min="14081" max="14081" width="13.140625" style="2175" customWidth="1"/>
    <col min="14082" max="14082" width="11.42578125" style="2175" customWidth="1"/>
    <col min="14083" max="14083" width="30.85546875" style="2175" customWidth="1"/>
    <col min="14084" max="14084" width="9.5703125" style="2175" customWidth="1"/>
    <col min="14085" max="14085" width="14.5703125" style="2175" customWidth="1"/>
    <col min="14086" max="14086" width="15.5703125" style="2175" customWidth="1"/>
    <col min="14087" max="14087" width="13.28515625" style="2175" customWidth="1"/>
    <col min="14088" max="14088" width="13.140625" style="2175" customWidth="1"/>
    <col min="14089" max="14090" width="10.42578125" style="2175" customWidth="1"/>
    <col min="14091" max="14336" width="9.140625" style="2175"/>
    <col min="14337" max="14337" width="13.140625" style="2175" customWidth="1"/>
    <col min="14338" max="14338" width="11.42578125" style="2175" customWidth="1"/>
    <col min="14339" max="14339" width="30.85546875" style="2175" customWidth="1"/>
    <col min="14340" max="14340" width="9.5703125" style="2175" customWidth="1"/>
    <col min="14341" max="14341" width="14.5703125" style="2175" customWidth="1"/>
    <col min="14342" max="14342" width="15.5703125" style="2175" customWidth="1"/>
    <col min="14343" max="14343" width="13.28515625" style="2175" customWidth="1"/>
    <col min="14344" max="14344" width="13.140625" style="2175" customWidth="1"/>
    <col min="14345" max="14346" width="10.42578125" style="2175" customWidth="1"/>
    <col min="14347" max="14592" width="9.140625" style="2175"/>
    <col min="14593" max="14593" width="13.140625" style="2175" customWidth="1"/>
    <col min="14594" max="14594" width="11.42578125" style="2175" customWidth="1"/>
    <col min="14595" max="14595" width="30.85546875" style="2175" customWidth="1"/>
    <col min="14596" max="14596" width="9.5703125" style="2175" customWidth="1"/>
    <col min="14597" max="14597" width="14.5703125" style="2175" customWidth="1"/>
    <col min="14598" max="14598" width="15.5703125" style="2175" customWidth="1"/>
    <col min="14599" max="14599" width="13.28515625" style="2175" customWidth="1"/>
    <col min="14600" max="14600" width="13.140625" style="2175" customWidth="1"/>
    <col min="14601" max="14602" width="10.42578125" style="2175" customWidth="1"/>
    <col min="14603" max="14848" width="9.140625" style="2175"/>
    <col min="14849" max="14849" width="13.140625" style="2175" customWidth="1"/>
    <col min="14850" max="14850" width="11.42578125" style="2175" customWidth="1"/>
    <col min="14851" max="14851" width="30.85546875" style="2175" customWidth="1"/>
    <col min="14852" max="14852" width="9.5703125" style="2175" customWidth="1"/>
    <col min="14853" max="14853" width="14.5703125" style="2175" customWidth="1"/>
    <col min="14854" max="14854" width="15.5703125" style="2175" customWidth="1"/>
    <col min="14855" max="14855" width="13.28515625" style="2175" customWidth="1"/>
    <col min="14856" max="14856" width="13.140625" style="2175" customWidth="1"/>
    <col min="14857" max="14858" width="10.42578125" style="2175" customWidth="1"/>
    <col min="14859" max="15104" width="9.140625" style="2175"/>
    <col min="15105" max="15105" width="13.140625" style="2175" customWidth="1"/>
    <col min="15106" max="15106" width="11.42578125" style="2175" customWidth="1"/>
    <col min="15107" max="15107" width="30.85546875" style="2175" customWidth="1"/>
    <col min="15108" max="15108" width="9.5703125" style="2175" customWidth="1"/>
    <col min="15109" max="15109" width="14.5703125" style="2175" customWidth="1"/>
    <col min="15110" max="15110" width="15.5703125" style="2175" customWidth="1"/>
    <col min="15111" max="15111" width="13.28515625" style="2175" customWidth="1"/>
    <col min="15112" max="15112" width="13.140625" style="2175" customWidth="1"/>
    <col min="15113" max="15114" width="10.42578125" style="2175" customWidth="1"/>
    <col min="15115" max="15360" width="9.140625" style="2175"/>
    <col min="15361" max="15361" width="13.140625" style="2175" customWidth="1"/>
    <col min="15362" max="15362" width="11.42578125" style="2175" customWidth="1"/>
    <col min="15363" max="15363" width="30.85546875" style="2175" customWidth="1"/>
    <col min="15364" max="15364" width="9.5703125" style="2175" customWidth="1"/>
    <col min="15365" max="15365" width="14.5703125" style="2175" customWidth="1"/>
    <col min="15366" max="15366" width="15.5703125" style="2175" customWidth="1"/>
    <col min="15367" max="15367" width="13.28515625" style="2175" customWidth="1"/>
    <col min="15368" max="15368" width="13.140625" style="2175" customWidth="1"/>
    <col min="15369" max="15370" width="10.42578125" style="2175" customWidth="1"/>
    <col min="15371" max="15616" width="9.140625" style="2175"/>
    <col min="15617" max="15617" width="13.140625" style="2175" customWidth="1"/>
    <col min="15618" max="15618" width="11.42578125" style="2175" customWidth="1"/>
    <col min="15619" max="15619" width="30.85546875" style="2175" customWidth="1"/>
    <col min="15620" max="15620" width="9.5703125" style="2175" customWidth="1"/>
    <col min="15621" max="15621" width="14.5703125" style="2175" customWidth="1"/>
    <col min="15622" max="15622" width="15.5703125" style="2175" customWidth="1"/>
    <col min="15623" max="15623" width="13.28515625" style="2175" customWidth="1"/>
    <col min="15624" max="15624" width="13.140625" style="2175" customWidth="1"/>
    <col min="15625" max="15626" width="10.42578125" style="2175" customWidth="1"/>
    <col min="15627" max="15872" width="9.140625" style="2175"/>
    <col min="15873" max="15873" width="13.140625" style="2175" customWidth="1"/>
    <col min="15874" max="15874" width="11.42578125" style="2175" customWidth="1"/>
    <col min="15875" max="15875" width="30.85546875" style="2175" customWidth="1"/>
    <col min="15876" max="15876" width="9.5703125" style="2175" customWidth="1"/>
    <col min="15877" max="15877" width="14.5703125" style="2175" customWidth="1"/>
    <col min="15878" max="15878" width="15.5703125" style="2175" customWidth="1"/>
    <col min="15879" max="15879" width="13.28515625" style="2175" customWidth="1"/>
    <col min="15880" max="15880" width="13.140625" style="2175" customWidth="1"/>
    <col min="15881" max="15882" width="10.42578125" style="2175" customWidth="1"/>
    <col min="15883" max="16128" width="9.140625" style="2175"/>
    <col min="16129" max="16129" width="13.140625" style="2175" customWidth="1"/>
    <col min="16130" max="16130" width="11.42578125" style="2175" customWidth="1"/>
    <col min="16131" max="16131" width="30.85546875" style="2175" customWidth="1"/>
    <col min="16132" max="16132" width="9.5703125" style="2175" customWidth="1"/>
    <col min="16133" max="16133" width="14.5703125" style="2175" customWidth="1"/>
    <col min="16134" max="16134" width="15.5703125" style="2175" customWidth="1"/>
    <col min="16135" max="16135" width="13.28515625" style="2175" customWidth="1"/>
    <col min="16136" max="16136" width="13.140625" style="2175" customWidth="1"/>
    <col min="16137" max="16138" width="10.42578125" style="2175" customWidth="1"/>
    <col min="16139" max="16384" width="9.140625" style="2175"/>
  </cols>
  <sheetData>
    <row r="1" spans="1:8" ht="5.25" customHeight="1" thickBot="1" x14ac:dyDescent="0.3"/>
    <row r="2" spans="1:8" ht="19.899999999999999" customHeight="1" thickBot="1" x14ac:dyDescent="0.35">
      <c r="A2" s="2269" t="s">
        <v>44</v>
      </c>
      <c r="B2" s="2301"/>
      <c r="C2" s="2270"/>
      <c r="D2" s="2177"/>
      <c r="E2" s="2177"/>
      <c r="F2" s="2177"/>
      <c r="H2" s="2178"/>
    </row>
    <row r="3" spans="1:8" ht="27" customHeight="1" x14ac:dyDescent="0.25">
      <c r="A3" s="22"/>
    </row>
    <row r="4" spans="1:8" ht="19.5" customHeight="1" x14ac:dyDescent="0.25">
      <c r="A4" s="2177"/>
    </row>
    <row r="5" spans="1:8" ht="5.25" customHeight="1" x14ac:dyDescent="0.25">
      <c r="A5" s="2179"/>
      <c r="B5" s="2180"/>
      <c r="C5" s="2181"/>
      <c r="E5" s="2179"/>
      <c r="F5" s="2180"/>
      <c r="G5" s="2182"/>
      <c r="H5" s="2181"/>
    </row>
    <row r="6" spans="1:8" ht="14.25" customHeight="1" x14ac:dyDescent="0.25">
      <c r="A6" s="2183" t="s">
        <v>40</v>
      </c>
      <c r="B6" s="2184" t="str">
        <f>'Index and Structure'!B2</f>
        <v>Nicolo Superannuation fund</v>
      </c>
      <c r="C6" s="2185"/>
      <c r="D6" s="2186"/>
      <c r="E6" s="2187" t="s">
        <v>38</v>
      </c>
      <c r="F6" s="2188" t="str">
        <f>'Index and Structure'!B5</f>
        <v>NICO0024</v>
      </c>
      <c r="H6" s="2189"/>
    </row>
    <row r="7" spans="1:8" ht="14.25" customHeight="1" x14ac:dyDescent="0.25">
      <c r="A7" s="2183" t="s">
        <v>45</v>
      </c>
      <c r="B7" s="2184" t="s">
        <v>1060</v>
      </c>
      <c r="C7" s="2185"/>
      <c r="D7" s="2186"/>
      <c r="E7" s="2190" t="s">
        <v>41</v>
      </c>
      <c r="F7" s="2188" t="str">
        <f>'Index and Structure'!B6</f>
        <v>Liam Aubin</v>
      </c>
      <c r="G7" s="2191" t="s">
        <v>42</v>
      </c>
      <c r="H7" s="2192"/>
    </row>
    <row r="8" spans="1:8" ht="14.25" customHeight="1" x14ac:dyDescent="0.25">
      <c r="A8" s="2193" t="s">
        <v>46</v>
      </c>
      <c r="B8" s="2194" t="str">
        <f>'Index and Structure'!B4</f>
        <v>30 June 2022</v>
      </c>
      <c r="C8" s="2195"/>
      <c r="D8" s="2186"/>
      <c r="E8" s="2196" t="s">
        <v>43</v>
      </c>
      <c r="F8" s="2243" t="str">
        <f>'Index and Structure'!B7</f>
        <v>Nicole Bryant</v>
      </c>
      <c r="G8" s="2197" t="s">
        <v>42</v>
      </c>
      <c r="H8" s="2198"/>
    </row>
    <row r="9" spans="1:8" ht="18" customHeight="1" x14ac:dyDescent="0.25"/>
    <row r="10" spans="1:8" ht="30" customHeight="1" x14ac:dyDescent="0.25">
      <c r="A10" s="2199"/>
      <c r="B10" s="2200"/>
      <c r="C10" s="2200"/>
      <c r="D10" s="2200"/>
      <c r="E10" s="2200"/>
      <c r="F10" s="2201">
        <f>'Index and Structure'!D4</f>
        <v>2022</v>
      </c>
      <c r="G10" s="2202"/>
      <c r="H10" s="2203"/>
    </row>
    <row r="11" spans="1:8" s="2209" customFormat="1" ht="13.5" customHeight="1" x14ac:dyDescent="0.2">
      <c r="A11" s="2204"/>
      <c r="B11" s="2205"/>
      <c r="C11" s="2205"/>
      <c r="D11" s="2205"/>
      <c r="E11" s="2206"/>
      <c r="F11" s="2205"/>
      <c r="G11" s="2207"/>
      <c r="H11" s="2208"/>
    </row>
    <row r="12" spans="1:8" s="2209" customFormat="1" ht="13.5" customHeight="1" thickBot="1" x14ac:dyDescent="0.25">
      <c r="A12" s="2210" t="s">
        <v>1049</v>
      </c>
      <c r="B12" s="2211" t="str">
        <f>B7</f>
        <v>Distributable Surplus</v>
      </c>
      <c r="C12" s="2212"/>
      <c r="D12" s="2212"/>
      <c r="E12" s="2212"/>
      <c r="F12" s="2213">
        <f>F35</f>
        <v>0</v>
      </c>
      <c r="G12" s="405"/>
      <c r="H12" s="2214"/>
    </row>
    <row r="13" spans="1:8" s="2209" customFormat="1" ht="13.5" customHeight="1" thickTop="1" x14ac:dyDescent="0.2">
      <c r="A13" s="2210"/>
      <c r="B13" s="2411" t="s">
        <v>1061</v>
      </c>
      <c r="C13" s="2412"/>
      <c r="D13" s="2413"/>
      <c r="E13" s="2212"/>
      <c r="F13" s="405"/>
      <c r="G13" s="405"/>
      <c r="H13" s="2214"/>
    </row>
    <row r="14" spans="1:8" s="2209" customFormat="1" ht="13.5" customHeight="1" x14ac:dyDescent="0.2">
      <c r="A14" s="2215"/>
      <c r="B14" s="2414"/>
      <c r="C14" s="2415"/>
      <c r="D14" s="2416"/>
      <c r="E14" s="2212"/>
      <c r="F14" s="2216"/>
      <c r="G14" s="405"/>
      <c r="H14" s="2214"/>
    </row>
    <row r="15" spans="1:8" s="2209" customFormat="1" ht="30" customHeight="1" x14ac:dyDescent="0.2">
      <c r="A15" s="2215"/>
      <c r="B15" s="2417"/>
      <c r="C15" s="2418"/>
      <c r="D15" s="2419"/>
      <c r="E15" s="2212"/>
      <c r="F15" s="2211"/>
      <c r="G15" s="405"/>
      <c r="H15" s="2217"/>
    </row>
    <row r="16" spans="1:8" s="2209" customFormat="1" ht="13.5" customHeight="1" x14ac:dyDescent="0.2">
      <c r="A16" s="2215"/>
      <c r="B16" s="2212"/>
      <c r="C16" s="2212"/>
      <c r="D16" s="2212"/>
      <c r="E16" s="2212"/>
      <c r="F16" s="2218"/>
      <c r="G16" s="405"/>
      <c r="H16" s="2217"/>
    </row>
    <row r="17" spans="1:8" s="2209" customFormat="1" ht="13.5" customHeight="1" x14ac:dyDescent="0.2">
      <c r="A17" s="2215"/>
      <c r="B17" s="2212"/>
      <c r="C17" s="2212"/>
      <c r="D17" s="2219"/>
      <c r="E17" s="2212"/>
      <c r="F17" s="200"/>
      <c r="G17" s="405"/>
      <c r="H17" s="2217"/>
    </row>
    <row r="18" spans="1:8" s="2209" customFormat="1" ht="13.5" customHeight="1" x14ac:dyDescent="0.2">
      <c r="A18" s="2220" t="s">
        <v>1050</v>
      </c>
      <c r="B18" s="2221"/>
      <c r="C18" s="2212"/>
      <c r="D18" s="2219"/>
      <c r="E18" s="2222"/>
      <c r="F18" s="199"/>
      <c r="G18" s="405"/>
      <c r="H18" s="2223"/>
    </row>
    <row r="19" spans="1:8" s="2209" customFormat="1" ht="13.5" customHeight="1" x14ac:dyDescent="0.2">
      <c r="A19" s="2220"/>
      <c r="B19" s="2221"/>
      <c r="C19" s="2212"/>
      <c r="D19" s="2219"/>
      <c r="E19" s="2222"/>
      <c r="F19" s="199"/>
      <c r="G19" s="405"/>
      <c r="H19" s="2223"/>
    </row>
    <row r="20" spans="1:8" s="2209" customFormat="1" ht="13.5" customHeight="1" x14ac:dyDescent="0.2">
      <c r="A20" s="2215"/>
      <c r="B20" s="2211" t="s">
        <v>1051</v>
      </c>
      <c r="C20" s="2212"/>
      <c r="D20" s="2224"/>
      <c r="E20" s="2222"/>
      <c r="F20" s="2225"/>
      <c r="G20" s="405"/>
      <c r="H20" s="2223"/>
    </row>
    <row r="21" spans="1:8" s="2209" customFormat="1" ht="78" customHeight="1" x14ac:dyDescent="0.2">
      <c r="A21" s="2215"/>
      <c r="B21" s="2211"/>
      <c r="C21" s="2409" t="s">
        <v>1052</v>
      </c>
      <c r="D21" s="2410"/>
      <c r="E21" s="2222"/>
      <c r="F21" s="2226"/>
      <c r="G21" s="405"/>
      <c r="H21" s="2223"/>
    </row>
    <row r="22" spans="1:8" s="2209" customFormat="1" ht="93" customHeight="1" x14ac:dyDescent="0.2">
      <c r="A22" s="2215"/>
      <c r="B22" s="2211"/>
      <c r="C22" s="2409" t="s">
        <v>1053</v>
      </c>
      <c r="D22" s="2410"/>
      <c r="E22" s="2222"/>
      <c r="F22" s="2226"/>
      <c r="G22" s="405"/>
      <c r="H22" s="2223"/>
    </row>
    <row r="23" spans="1:8" s="2209" customFormat="1" ht="13.5" customHeight="1" x14ac:dyDescent="0.2">
      <c r="A23" s="2215"/>
      <c r="B23" s="2221"/>
      <c r="C23" s="2221"/>
      <c r="D23" s="2224"/>
      <c r="E23" s="2222"/>
      <c r="F23" s="199"/>
      <c r="G23" s="405"/>
      <c r="H23" s="2223"/>
    </row>
    <row r="24" spans="1:8" s="2209" customFormat="1" ht="13.5" customHeight="1" x14ac:dyDescent="0.2">
      <c r="A24" s="2227"/>
      <c r="B24" s="2228" t="s">
        <v>65</v>
      </c>
      <c r="C24" s="2212" t="s">
        <v>1062</v>
      </c>
      <c r="D24" s="2212"/>
      <c r="E24" s="2212"/>
      <c r="F24" s="2229"/>
      <c r="G24" s="405"/>
      <c r="H24" s="2223"/>
    </row>
    <row r="25" spans="1:8" s="2209" customFormat="1" ht="75" customHeight="1" x14ac:dyDescent="0.2">
      <c r="A25" s="2230"/>
      <c r="B25" s="2231"/>
      <c r="C25" s="2409" t="s">
        <v>1054</v>
      </c>
      <c r="D25" s="2410"/>
      <c r="E25" s="2212"/>
      <c r="F25" s="1825"/>
      <c r="G25" s="405"/>
      <c r="H25" s="2223"/>
    </row>
    <row r="26" spans="1:8" s="2209" customFormat="1" ht="13.5" customHeight="1" x14ac:dyDescent="0.2">
      <c r="A26" s="2230"/>
      <c r="B26" s="2231"/>
      <c r="C26" s="2232"/>
      <c r="D26" s="2212"/>
      <c r="E26" s="2212"/>
      <c r="F26" s="1825"/>
      <c r="G26" s="405"/>
      <c r="H26" s="2223"/>
    </row>
    <row r="27" spans="1:8" s="2209" customFormat="1" ht="13.5" customHeight="1" x14ac:dyDescent="0.2">
      <c r="A27" s="2230"/>
      <c r="B27" s="2231"/>
      <c r="C27" s="2212"/>
      <c r="D27" s="2224"/>
      <c r="E27" s="2233"/>
      <c r="F27" s="212"/>
      <c r="G27" s="405"/>
      <c r="H27" s="2223"/>
    </row>
    <row r="28" spans="1:8" s="2209" customFormat="1" ht="13.5" customHeight="1" x14ac:dyDescent="0.2">
      <c r="A28" s="2227"/>
      <c r="B28" s="2228" t="s">
        <v>51</v>
      </c>
      <c r="C28" s="2234" t="s">
        <v>1055</v>
      </c>
      <c r="D28" s="2235"/>
      <c r="E28" s="2235"/>
      <c r="F28" s="2236"/>
      <c r="G28" s="405"/>
      <c r="H28" s="346"/>
    </row>
    <row r="29" spans="1:8" s="2209" customFormat="1" ht="13.5" customHeight="1" x14ac:dyDescent="0.2">
      <c r="A29" s="2215"/>
      <c r="B29" s="2234"/>
      <c r="C29" s="2234" t="s">
        <v>1056</v>
      </c>
      <c r="D29" s="2235"/>
      <c r="E29" s="2235"/>
      <c r="F29" s="2236"/>
      <c r="G29" s="405"/>
      <c r="H29" s="346"/>
    </row>
    <row r="30" spans="1:8" s="2209" customFormat="1" ht="51" customHeight="1" x14ac:dyDescent="0.2">
      <c r="A30" s="2215"/>
      <c r="B30" s="2234"/>
      <c r="C30" s="2409" t="s">
        <v>1057</v>
      </c>
      <c r="D30" s="2410"/>
      <c r="E30" s="2235"/>
      <c r="F30" s="1831"/>
      <c r="G30" s="405"/>
      <c r="H30" s="346"/>
    </row>
    <row r="31" spans="1:8" s="2209" customFormat="1" ht="66" customHeight="1" x14ac:dyDescent="0.2">
      <c r="A31" s="2215"/>
      <c r="B31" s="2234"/>
      <c r="C31" s="2409" t="s">
        <v>1058</v>
      </c>
      <c r="D31" s="2410"/>
      <c r="E31" s="2235"/>
      <c r="F31" s="1831"/>
      <c r="G31" s="405"/>
      <c r="H31" s="346"/>
    </row>
    <row r="32" spans="1:8" s="2209" customFormat="1" ht="13.5" customHeight="1" x14ac:dyDescent="0.2">
      <c r="A32" s="2215"/>
      <c r="B32" s="2234"/>
      <c r="C32" s="2234" t="s">
        <v>1059</v>
      </c>
      <c r="D32" s="2235"/>
      <c r="E32" s="2235"/>
      <c r="F32" s="2236"/>
      <c r="G32" s="405"/>
      <c r="H32" s="346"/>
    </row>
    <row r="33" spans="1:8" s="2209" customFormat="1" ht="13.5" customHeight="1" x14ac:dyDescent="0.2">
      <c r="A33" s="2215"/>
      <c r="B33" s="2234"/>
      <c r="C33" s="2234"/>
      <c r="D33" s="2235"/>
      <c r="E33" s="2235"/>
      <c r="F33" s="2236"/>
      <c r="G33" s="405"/>
      <c r="H33" s="346"/>
    </row>
    <row r="34" spans="1:8" s="2209" customFormat="1" ht="12.75" customHeight="1" x14ac:dyDescent="0.2">
      <c r="A34" s="2215"/>
      <c r="B34" s="2212"/>
      <c r="C34" s="2212"/>
      <c r="D34" s="2212"/>
      <c r="E34" s="2222"/>
      <c r="F34" s="215"/>
      <c r="G34" s="405"/>
      <c r="H34" s="346"/>
    </row>
    <row r="35" spans="1:8" s="2209" customFormat="1" ht="13.5" customHeight="1" thickBot="1" x14ac:dyDescent="0.25">
      <c r="A35" s="2215"/>
      <c r="B35" s="2211" t="s">
        <v>1060</v>
      </c>
      <c r="C35" s="2212"/>
      <c r="D35" s="2212"/>
      <c r="E35" s="2222"/>
      <c r="F35" s="2237">
        <f>F20+SUM(F24:F26)-SUM(F28:F33)</f>
        <v>0</v>
      </c>
      <c r="G35" s="405"/>
      <c r="H35" s="2223"/>
    </row>
    <row r="36" spans="1:8" s="2209" customFormat="1" ht="13.5" customHeight="1" thickTop="1" x14ac:dyDescent="0.2">
      <c r="A36" s="2215"/>
      <c r="B36" s="2212"/>
      <c r="C36" s="2212"/>
      <c r="D36" s="2212"/>
      <c r="E36" s="2212"/>
      <c r="F36" s="2224"/>
      <c r="G36" s="405"/>
      <c r="H36" s="2223"/>
    </row>
    <row r="37" spans="1:8" s="2209" customFormat="1" ht="13.5" customHeight="1" x14ac:dyDescent="0.2">
      <c r="A37" s="2215"/>
      <c r="B37" s="2212"/>
      <c r="C37" s="2212"/>
      <c r="D37" s="2212"/>
      <c r="E37" s="2212"/>
      <c r="F37" s="2224"/>
      <c r="G37" s="405"/>
      <c r="H37" s="2223"/>
    </row>
    <row r="38" spans="1:8" s="2209" customFormat="1" ht="13.5" customHeight="1" x14ac:dyDescent="0.2">
      <c r="A38" s="2238"/>
      <c r="B38" s="2239"/>
      <c r="C38" s="2239"/>
      <c r="D38" s="2239"/>
      <c r="E38" s="2239"/>
      <c r="F38" s="2240"/>
      <c r="G38" s="2241"/>
      <c r="H38" s="2242"/>
    </row>
  </sheetData>
  <mergeCells count="7">
    <mergeCell ref="C31:D31"/>
    <mergeCell ref="A2:C2"/>
    <mergeCell ref="B13:D15"/>
    <mergeCell ref="C21:D21"/>
    <mergeCell ref="C22:D22"/>
    <mergeCell ref="C25:D25"/>
    <mergeCell ref="C30:D30"/>
  </mergeCells>
  <hyperlinks>
    <hyperlink ref="A2" location="'Index and Structure'!A1" display="The Macro Group" xr:uid="{10D4C82C-7B06-4F22-A124-3568CDA4E02E}"/>
  </hyperlinks>
  <pageMargins left="0.74803149606299213" right="0.39370078740157483" top="0.55118110236220474" bottom="0.62992125984251968" header="0.51181102362204722" footer="0.47244094488188981"/>
  <pageSetup paperSize="9" scale="76"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2717-FEDE-4294-8A86-A93ED0050CBC}">
  <sheetPr codeName="Sheet36168">
    <pageSetUpPr fitToPage="1"/>
  </sheetPr>
  <dimension ref="A1:I86"/>
  <sheetViews>
    <sheetView showGridLines="0" view="pageBreakPreview" topLeftCell="A32" zoomScaleNormal="50" zoomScaleSheetLayoutView="100" workbookViewId="0">
      <selection activeCell="E60" sqref="E60"/>
    </sheetView>
  </sheetViews>
  <sheetFormatPr defaultColWidth="9.140625" defaultRowHeight="15" x14ac:dyDescent="0.25"/>
  <cols>
    <col min="1" max="1" width="12.7109375" style="19" customWidth="1"/>
    <col min="2" max="2" width="16.7109375" style="19" customWidth="1"/>
    <col min="3" max="6" width="13.7109375" style="19" customWidth="1"/>
    <col min="7" max="7" width="14.7109375" style="19" customWidth="1"/>
    <col min="8" max="8" width="13.7109375" style="489" customWidth="1"/>
    <col min="9" max="9" width="13.7109375" style="19" customWidth="1"/>
    <col min="10" max="16384" width="9.140625" style="19"/>
  </cols>
  <sheetData>
    <row r="1" spans="1:9" ht="5.25" customHeight="1" thickBot="1" x14ac:dyDescent="0.3"/>
    <row r="2" spans="1:9" ht="19.899999999999999" customHeight="1" thickBot="1" x14ac:dyDescent="0.35">
      <c r="A2" s="2269" t="s">
        <v>44</v>
      </c>
      <c r="B2" s="2301"/>
      <c r="C2" s="2270"/>
      <c r="D2" s="21"/>
      <c r="E2" s="21"/>
      <c r="F2" s="21"/>
      <c r="G2" s="21"/>
    </row>
    <row r="3" spans="1:9" ht="27" customHeight="1" x14ac:dyDescent="0.25">
      <c r="A3" s="22"/>
    </row>
    <row r="4" spans="1:9" ht="19.5" customHeight="1" x14ac:dyDescent="0.25">
      <c r="A4" s="21"/>
    </row>
    <row r="5" spans="1:9" ht="5.25" customHeight="1" x14ac:dyDescent="0.25">
      <c r="A5" s="23"/>
      <c r="B5" s="24"/>
      <c r="C5" s="24"/>
      <c r="D5" s="25"/>
      <c r="F5" s="23"/>
      <c r="G5" s="24"/>
      <c r="H5" s="500"/>
      <c r="I5" s="25"/>
    </row>
    <row r="6" spans="1:9" ht="14.25" customHeight="1" x14ac:dyDescent="0.25">
      <c r="A6" s="77" t="s">
        <v>40</v>
      </c>
      <c r="B6" s="28" t="str">
        <f>'Index and Structure'!B2</f>
        <v>Nicolo Superannuation fund</v>
      </c>
      <c r="D6" s="29"/>
      <c r="E6" s="30"/>
      <c r="F6" s="232" t="s">
        <v>38</v>
      </c>
      <c r="G6" s="32" t="str">
        <f>'Index and Structure'!B5</f>
        <v>NICO0024</v>
      </c>
      <c r="I6" s="33"/>
    </row>
    <row r="7" spans="1:9" ht="14.25" customHeight="1" x14ac:dyDescent="0.25">
      <c r="A7" s="237" t="s">
        <v>45</v>
      </c>
      <c r="B7" s="2407" t="str">
        <f>'Index and Structure'!A24</f>
        <v xml:space="preserve">Shareholder Loan - Division 7A </v>
      </c>
      <c r="C7" s="2407"/>
      <c r="D7" s="2408"/>
      <c r="E7" s="30"/>
      <c r="F7" s="78" t="s">
        <v>41</v>
      </c>
      <c r="G7" s="28" t="str">
        <f>'Index and Structure'!B6</f>
        <v>Liam Aubin</v>
      </c>
      <c r="H7" s="496" t="s">
        <v>42</v>
      </c>
      <c r="I7" s="35"/>
    </row>
    <row r="8" spans="1:9" ht="14.25" customHeight="1" x14ac:dyDescent="0.25">
      <c r="A8" s="79" t="s">
        <v>46</v>
      </c>
      <c r="B8" s="37" t="str">
        <f>'Index and Structure'!B4</f>
        <v>30 June 2022</v>
      </c>
      <c r="C8" s="442"/>
      <c r="D8" s="84"/>
      <c r="E8" s="30"/>
      <c r="F8" s="80" t="s">
        <v>43</v>
      </c>
      <c r="G8" s="40" t="str">
        <f>'Index and Structure'!B7</f>
        <v>Nicole Bryant</v>
      </c>
      <c r="H8" s="506" t="s">
        <v>42</v>
      </c>
      <c r="I8" s="41"/>
    </row>
    <row r="9" spans="1:9" ht="15" customHeight="1" x14ac:dyDescent="0.25">
      <c r="A9" s="77"/>
      <c r="I9" s="33"/>
    </row>
    <row r="10" spans="1:9" ht="30" customHeight="1" x14ac:dyDescent="0.25">
      <c r="A10" s="42"/>
      <c r="B10" s="43"/>
      <c r="C10" s="43"/>
      <c r="D10" s="43"/>
      <c r="E10" s="43"/>
      <c r="F10" s="43"/>
      <c r="G10" s="342">
        <f>'Index and Structure'!D4</f>
        <v>2022</v>
      </c>
      <c r="H10" s="501"/>
      <c r="I10" s="44"/>
    </row>
    <row r="11" spans="1:9" s="45" customFormat="1" ht="13.5" customHeight="1" x14ac:dyDescent="0.2">
      <c r="A11" s="235"/>
      <c r="B11" s="69"/>
      <c r="C11" s="46"/>
      <c r="D11" s="46"/>
      <c r="E11" s="46"/>
      <c r="F11" s="70"/>
      <c r="G11" s="46"/>
      <c r="H11" s="502"/>
      <c r="I11" s="71"/>
    </row>
    <row r="12" spans="1:9" s="45" customFormat="1" ht="13.5" customHeight="1" thickBot="1" x14ac:dyDescent="0.25">
      <c r="A12" s="1266" t="str">
        <f>B7</f>
        <v xml:space="preserve">Shareholder Loan - Division 7A </v>
      </c>
      <c r="B12" s="1263"/>
      <c r="D12" s="48"/>
      <c r="E12" s="48"/>
      <c r="F12" s="48"/>
      <c r="G12" s="1873">
        <f>G28</f>
        <v>0</v>
      </c>
      <c r="H12" s="498"/>
      <c r="I12" s="71"/>
    </row>
    <row r="13" spans="1:9" s="45" customFormat="1" ht="13.5" customHeight="1" thickTop="1" x14ac:dyDescent="0.2">
      <c r="A13" s="106"/>
      <c r="B13" s="444"/>
      <c r="C13" s="60"/>
      <c r="D13" s="48"/>
      <c r="E13" s="48"/>
      <c r="F13" s="48"/>
      <c r="G13" s="150"/>
      <c r="H13" s="498"/>
      <c r="I13" s="71"/>
    </row>
    <row r="14" spans="1:9" s="45" customFormat="1" ht="13.5" customHeight="1" x14ac:dyDescent="0.2">
      <c r="A14" s="445" t="s">
        <v>250</v>
      </c>
      <c r="B14" s="446"/>
      <c r="C14" s="507">
        <v>2020</v>
      </c>
      <c r="D14" s="447"/>
      <c r="E14" s="49"/>
      <c r="F14" s="48"/>
      <c r="G14" s="149"/>
      <c r="H14" s="498"/>
      <c r="I14" s="65"/>
    </row>
    <row r="15" spans="1:9" s="45" customFormat="1" ht="13.5" customHeight="1" x14ac:dyDescent="0.2">
      <c r="A15" s="106"/>
      <c r="B15" s="444"/>
      <c r="D15" s="51"/>
      <c r="E15" s="49"/>
      <c r="F15" s="49"/>
      <c r="G15" s="149"/>
      <c r="H15" s="498"/>
      <c r="I15" s="65"/>
    </row>
    <row r="16" spans="1:9" s="45" customFormat="1" ht="13.5" customHeight="1" x14ac:dyDescent="0.2">
      <c r="A16" s="106"/>
      <c r="B16" s="444"/>
      <c r="C16" s="47"/>
      <c r="D16" s="48"/>
      <c r="E16" s="49"/>
      <c r="F16" s="49"/>
      <c r="G16" s="149"/>
      <c r="H16" s="494" t="s">
        <v>50</v>
      </c>
      <c r="I16" s="65"/>
    </row>
    <row r="17" spans="1:9" s="45" customFormat="1" ht="13.5" customHeight="1" x14ac:dyDescent="0.2">
      <c r="A17" s="448"/>
      <c r="B17" s="444"/>
      <c r="C17" s="443" t="s">
        <v>86</v>
      </c>
      <c r="D17" s="1750"/>
      <c r="E17" s="1751"/>
      <c r="F17" s="1752"/>
      <c r="G17" s="151"/>
      <c r="H17" s="498"/>
      <c r="I17" s="379"/>
    </row>
    <row r="18" spans="1:9" s="45" customFormat="1" ht="13.5" customHeight="1" x14ac:dyDescent="0.2">
      <c r="A18" s="106"/>
      <c r="B18" s="444"/>
      <c r="C18" s="47"/>
      <c r="D18" s="1753"/>
      <c r="E18" s="1754"/>
      <c r="F18" s="1750"/>
      <c r="G18" s="149"/>
      <c r="H18" s="498"/>
      <c r="I18" s="369"/>
    </row>
    <row r="19" spans="1:9" s="45" customFormat="1" ht="13.5" customHeight="1" x14ac:dyDescent="0.2">
      <c r="A19" s="106"/>
      <c r="B19" s="444"/>
      <c r="C19" s="51"/>
      <c r="D19" s="1753"/>
      <c r="E19" s="1754"/>
      <c r="F19" s="1750"/>
      <c r="G19" s="149"/>
      <c r="H19" s="498"/>
      <c r="I19" s="369"/>
    </row>
    <row r="20" spans="1:9" s="45" customFormat="1" ht="13.5" customHeight="1" x14ac:dyDescent="0.2">
      <c r="A20" s="449"/>
      <c r="B20" s="1874" t="s">
        <v>65</v>
      </c>
      <c r="C20" s="165" t="s">
        <v>5</v>
      </c>
      <c r="D20" s="1755"/>
      <c r="E20" s="1756"/>
      <c r="F20" s="1757"/>
      <c r="G20" s="1692">
        <f>E65</f>
        <v>0</v>
      </c>
      <c r="H20" s="498"/>
      <c r="I20" s="369"/>
    </row>
    <row r="21" spans="1:9" s="45" customFormat="1" ht="13.5" customHeight="1" x14ac:dyDescent="0.2">
      <c r="A21" s="443"/>
      <c r="B21" s="1874"/>
      <c r="C21" s="165"/>
      <c r="D21" s="1755"/>
      <c r="E21" s="1756"/>
      <c r="F21" s="1758"/>
      <c r="G21" s="151"/>
      <c r="H21" s="498"/>
      <c r="I21" s="369"/>
    </row>
    <row r="22" spans="1:9" s="45" customFormat="1" ht="13.5" customHeight="1" x14ac:dyDescent="0.2">
      <c r="A22" s="443"/>
      <c r="B22" s="1874"/>
      <c r="C22" s="165"/>
      <c r="D22" s="1755"/>
      <c r="E22" s="1756"/>
      <c r="F22" s="1758"/>
      <c r="G22" s="1897"/>
      <c r="H22" s="498"/>
      <c r="I22" s="369"/>
    </row>
    <row r="23" spans="1:9" s="45" customFormat="1" ht="13.5" customHeight="1" x14ac:dyDescent="0.2">
      <c r="A23" s="443"/>
      <c r="B23" s="1874"/>
      <c r="C23" s="165"/>
      <c r="D23" s="1757"/>
      <c r="E23" s="1756"/>
      <c r="F23" s="1758"/>
      <c r="G23" s="157"/>
      <c r="H23" s="498"/>
      <c r="I23" s="369"/>
    </row>
    <row r="24" spans="1:9" s="45" customFormat="1" x14ac:dyDescent="0.2">
      <c r="A24" s="449"/>
      <c r="B24" s="1874" t="s">
        <v>51</v>
      </c>
      <c r="C24" s="165" t="s">
        <v>130</v>
      </c>
      <c r="D24" s="1757"/>
      <c r="E24" s="1756"/>
      <c r="F24" s="1756"/>
      <c r="G24" s="450">
        <f>-SUM(C48:C62)</f>
        <v>0</v>
      </c>
      <c r="H24" s="498"/>
      <c r="I24" s="369"/>
    </row>
    <row r="25" spans="1:9" s="45" customFormat="1" x14ac:dyDescent="0.2">
      <c r="A25" s="106"/>
      <c r="B25" s="444"/>
      <c r="C25" s="165"/>
      <c r="D25" s="1757"/>
      <c r="E25" s="1756"/>
      <c r="F25" s="1756"/>
      <c r="G25" s="450"/>
      <c r="H25" s="498"/>
      <c r="I25" s="369"/>
    </row>
    <row r="26" spans="1:9" s="45" customFormat="1" ht="13.5" customHeight="1" x14ac:dyDescent="0.2">
      <c r="A26" s="451"/>
      <c r="B26" s="62"/>
      <c r="C26" s="165"/>
      <c r="D26" s="1757"/>
      <c r="E26" s="1756"/>
      <c r="F26" s="1756"/>
      <c r="G26" s="450"/>
      <c r="H26" s="498"/>
      <c r="I26" s="369"/>
    </row>
    <row r="27" spans="1:9" s="45" customFormat="1" ht="12.75" customHeight="1" x14ac:dyDescent="0.2">
      <c r="A27" s="106"/>
      <c r="B27" s="444"/>
      <c r="C27" s="165"/>
      <c r="D27" s="1750"/>
      <c r="E27" s="1752"/>
      <c r="F27" s="1752"/>
      <c r="G27" s="452"/>
      <c r="H27" s="498"/>
      <c r="I27" s="369"/>
    </row>
    <row r="28" spans="1:9" s="45" customFormat="1" ht="13.5" customHeight="1" thickBot="1" x14ac:dyDescent="0.25">
      <c r="A28" s="106"/>
      <c r="B28" s="444"/>
      <c r="C28" s="443" t="s">
        <v>790</v>
      </c>
      <c r="D28" s="1750"/>
      <c r="E28" s="1752"/>
      <c r="F28" s="1752"/>
      <c r="G28" s="1872">
        <f>G17+SUM(G20:G21)-SUM(G24:G26)</f>
        <v>0</v>
      </c>
      <c r="H28" s="121"/>
      <c r="I28" s="369"/>
    </row>
    <row r="29" spans="1:9" s="45" customFormat="1" ht="13.5" customHeight="1" thickTop="1" x14ac:dyDescent="0.2">
      <c r="A29" s="106"/>
      <c r="B29" s="444"/>
      <c r="C29" s="48"/>
      <c r="D29" s="1750"/>
      <c r="E29" s="1752"/>
      <c r="F29" s="1752"/>
      <c r="G29" s="52"/>
      <c r="H29" s="121"/>
      <c r="I29" s="65"/>
    </row>
    <row r="30" spans="1:9" s="45" customFormat="1" ht="13.5" customHeight="1" x14ac:dyDescent="0.2">
      <c r="A30" s="106"/>
      <c r="B30" s="453"/>
      <c r="C30" s="63"/>
      <c r="D30" s="1759"/>
      <c r="E30" s="1760"/>
      <c r="F30" s="1760"/>
      <c r="G30" s="61"/>
      <c r="H30" s="121"/>
      <c r="I30" s="65"/>
    </row>
    <row r="31" spans="1:9" s="45" customFormat="1" ht="13.5" customHeight="1" thickBot="1" x14ac:dyDescent="0.25">
      <c r="A31" s="356"/>
      <c r="B31" s="454"/>
      <c r="C31" s="168"/>
      <c r="D31" s="1761"/>
      <c r="E31" s="1761"/>
      <c r="F31" s="1761"/>
      <c r="G31" s="204"/>
      <c r="H31" s="121"/>
      <c r="I31" s="86"/>
    </row>
    <row r="32" spans="1:9" s="45" customFormat="1" ht="13.5" customHeight="1" x14ac:dyDescent="0.2">
      <c r="A32" s="455" t="s">
        <v>299</v>
      </c>
      <c r="B32" s="456"/>
      <c r="C32" s="457"/>
      <c r="D32" s="1762"/>
      <c r="E32" s="1763"/>
      <c r="F32" s="1764"/>
      <c r="G32" s="458"/>
      <c r="H32" s="121"/>
      <c r="I32" s="86"/>
    </row>
    <row r="33" spans="1:9" s="45" customFormat="1" ht="13.5" customHeight="1" x14ac:dyDescent="0.2">
      <c r="A33" s="467">
        <v>2022</v>
      </c>
      <c r="B33" s="1749" t="s">
        <v>813</v>
      </c>
      <c r="C33" s="244"/>
      <c r="D33" s="1919">
        <v>4.5199999999999997E-2</v>
      </c>
      <c r="E33" s="1765"/>
      <c r="F33" s="1764"/>
      <c r="G33" s="458"/>
      <c r="H33" s="121"/>
      <c r="I33" s="86"/>
    </row>
    <row r="34" spans="1:9" s="45" customFormat="1" ht="13.5" customHeight="1" x14ac:dyDescent="0.2">
      <c r="A34" s="467">
        <v>2021</v>
      </c>
      <c r="B34" s="1749" t="s">
        <v>813</v>
      </c>
      <c r="C34" s="244"/>
      <c r="D34" s="1919">
        <v>4.5199999999999997E-2</v>
      </c>
      <c r="E34" s="1765"/>
      <c r="F34" s="1764"/>
      <c r="G34" s="458"/>
      <c r="H34" s="121"/>
      <c r="I34" s="86"/>
    </row>
    <row r="35" spans="1:9" s="45" customFormat="1" ht="13.5" customHeight="1" x14ac:dyDescent="0.2">
      <c r="A35" s="467">
        <v>2020</v>
      </c>
      <c r="B35" s="1749" t="s">
        <v>813</v>
      </c>
      <c r="C35" s="244"/>
      <c r="D35" s="1919">
        <v>5.3699999999999998E-2</v>
      </c>
      <c r="E35" s="1765"/>
      <c r="F35" s="1764"/>
      <c r="G35" s="458"/>
      <c r="H35" s="121"/>
      <c r="I35" s="86"/>
    </row>
    <row r="36" spans="1:9" s="45" customFormat="1" ht="13.5" customHeight="1" x14ac:dyDescent="0.2">
      <c r="A36" s="467">
        <v>2019</v>
      </c>
      <c r="B36" s="1749" t="s">
        <v>813</v>
      </c>
      <c r="C36" s="244"/>
      <c r="D36" s="1766">
        <v>5.1999999999999998E-2</v>
      </c>
      <c r="E36" s="1765"/>
      <c r="F36" s="1764"/>
      <c r="G36" s="458"/>
      <c r="H36" s="121"/>
      <c r="I36" s="86"/>
    </row>
    <row r="37" spans="1:9" s="45" customFormat="1" ht="13.5" customHeight="1" x14ac:dyDescent="0.2">
      <c r="A37" s="467">
        <v>2018</v>
      </c>
      <c r="B37" s="1749" t="s">
        <v>813</v>
      </c>
      <c r="C37" s="167"/>
      <c r="D37" s="1766">
        <v>5.2999999999999999E-2</v>
      </c>
      <c r="E37" s="461"/>
      <c r="F37" s="458"/>
      <c r="G37" s="458"/>
      <c r="H37" s="121"/>
      <c r="I37" s="86"/>
    </row>
    <row r="38" spans="1:9" s="45" customFormat="1" ht="13.5" customHeight="1" x14ac:dyDescent="0.2">
      <c r="A38" s="242">
        <v>2017</v>
      </c>
      <c r="B38" s="1749" t="s">
        <v>813</v>
      </c>
      <c r="C38" s="167"/>
      <c r="D38" s="460">
        <v>5.3999999999999999E-2</v>
      </c>
      <c r="E38" s="461"/>
      <c r="F38" s="458"/>
      <c r="G38" s="458"/>
      <c r="H38" s="121"/>
      <c r="I38" s="86"/>
    </row>
    <row r="39" spans="1:9" s="45" customFormat="1" ht="13.5" customHeight="1" x14ac:dyDescent="0.2">
      <c r="A39" s="242">
        <v>2016</v>
      </c>
      <c r="B39" s="1749" t="s">
        <v>813</v>
      </c>
      <c r="C39" s="243"/>
      <c r="D39" s="460">
        <v>5.45E-2</v>
      </c>
      <c r="E39" s="1900"/>
      <c r="F39" s="458"/>
      <c r="G39" s="458"/>
      <c r="H39" s="121"/>
      <c r="I39" s="86"/>
    </row>
    <row r="40" spans="1:9" s="45" customFormat="1" ht="13.5" customHeight="1" x14ac:dyDescent="0.2">
      <c r="A40" s="1921"/>
      <c r="B40" s="1898"/>
      <c r="C40" s="243"/>
      <c r="D40" s="1899"/>
      <c r="E40" s="1900"/>
      <c r="F40" s="458"/>
      <c r="G40" s="458"/>
      <c r="H40" s="121"/>
      <c r="I40" s="86"/>
    </row>
    <row r="41" spans="1:9" s="45" customFormat="1" ht="13.5" customHeight="1" x14ac:dyDescent="0.2">
      <c r="A41" s="239" t="s">
        <v>961</v>
      </c>
      <c r="B41" s="1749"/>
      <c r="C41" s="243"/>
      <c r="D41" s="460">
        <f>VLOOKUP(G10,$A$33:$D$39,4,FALSE)</f>
        <v>4.5199999999999997E-2</v>
      </c>
      <c r="E41" s="1900"/>
      <c r="F41" s="458"/>
      <c r="G41" s="458"/>
      <c r="H41" s="121"/>
      <c r="I41" s="86"/>
    </row>
    <row r="42" spans="1:9" s="45" customFormat="1" ht="13.5" customHeight="1" x14ac:dyDescent="0.2">
      <c r="A42" s="1898"/>
      <c r="B42" s="1898"/>
      <c r="C42" s="243"/>
      <c r="D42" s="1899"/>
      <c r="E42" s="1900"/>
      <c r="F42" s="458"/>
      <c r="G42" s="458"/>
      <c r="H42" s="121"/>
      <c r="I42" s="86"/>
    </row>
    <row r="43" spans="1:9" s="45" customFormat="1" ht="13.5" customHeight="1" thickBot="1" x14ac:dyDescent="0.25">
      <c r="A43" s="462"/>
      <c r="B43" s="463"/>
      <c r="C43" s="464"/>
      <c r="D43" s="465"/>
      <c r="E43" s="466"/>
      <c r="F43" s="458"/>
      <c r="G43" s="458"/>
      <c r="H43" s="121"/>
      <c r="I43" s="86"/>
    </row>
    <row r="44" spans="1:9" s="45" customFormat="1" ht="13.5" customHeight="1" x14ac:dyDescent="0.2">
      <c r="A44" s="248"/>
      <c r="B44" s="467"/>
      <c r="C44" s="244"/>
      <c r="D44" s="244"/>
      <c r="E44" s="244"/>
      <c r="F44" s="244"/>
      <c r="G44" s="204"/>
      <c r="H44" s="121"/>
      <c r="I44" s="86"/>
    </row>
    <row r="45" spans="1:9" s="45" customFormat="1" ht="13.5" customHeight="1" x14ac:dyDescent="0.2">
      <c r="A45" s="239"/>
      <c r="B45" s="468"/>
      <c r="C45" s="121" t="s">
        <v>301</v>
      </c>
      <c r="D45" s="121" t="s">
        <v>300</v>
      </c>
      <c r="E45" s="121" t="s">
        <v>5</v>
      </c>
      <c r="F45" s="204"/>
      <c r="G45" s="204"/>
      <c r="H45" s="121"/>
      <c r="I45" s="86"/>
    </row>
    <row r="46" spans="1:9" s="45" customFormat="1" ht="13.5" customHeight="1" x14ac:dyDescent="0.2">
      <c r="A46" s="2138" t="s">
        <v>30</v>
      </c>
      <c r="B46" s="468" t="s">
        <v>72</v>
      </c>
      <c r="C46" s="121" t="s">
        <v>34</v>
      </c>
      <c r="D46" s="121" t="s">
        <v>136</v>
      </c>
      <c r="E46" s="121" t="s">
        <v>137</v>
      </c>
      <c r="F46" s="204"/>
      <c r="G46" s="204"/>
      <c r="H46" s="121"/>
      <c r="I46" s="86"/>
    </row>
    <row r="47" spans="1:9" s="45" customFormat="1" ht="13.5" customHeight="1" x14ac:dyDescent="0.2">
      <c r="A47" s="2137">
        <v>44378</v>
      </c>
      <c r="B47" s="470"/>
      <c r="C47" s="471"/>
      <c r="D47" s="377">
        <f>G17</f>
        <v>0</v>
      </c>
      <c r="E47" s="472"/>
      <c r="F47" s="204"/>
      <c r="G47" s="204"/>
      <c r="H47" s="121"/>
      <c r="I47" s="86"/>
    </row>
    <row r="48" spans="1:9" s="45" customFormat="1" ht="13.5" customHeight="1" x14ac:dyDescent="0.2">
      <c r="A48" s="2137">
        <v>44378</v>
      </c>
      <c r="B48" s="473"/>
      <c r="C48" s="450"/>
      <c r="D48" s="377">
        <f>D47+C48</f>
        <v>0</v>
      </c>
      <c r="E48" s="377">
        <f>(A48-A47)/366*$D$41*D47</f>
        <v>0</v>
      </c>
      <c r="F48" s="204"/>
      <c r="G48" s="204"/>
      <c r="H48" s="121"/>
      <c r="I48" s="86"/>
    </row>
    <row r="49" spans="1:9" s="45" customFormat="1" ht="13.5" customHeight="1" x14ac:dyDescent="0.2">
      <c r="A49" s="2137">
        <v>44378</v>
      </c>
      <c r="B49" s="473"/>
      <c r="C49" s="450"/>
      <c r="D49" s="377">
        <f t="shared" ref="D49:D62" si="0">D48+C49</f>
        <v>0</v>
      </c>
      <c r="E49" s="377">
        <f t="shared" ref="E49:E63" si="1">(A49-A48)/366*$D$41*D48</f>
        <v>0</v>
      </c>
      <c r="F49" s="204"/>
      <c r="G49" s="204"/>
      <c r="H49" s="121"/>
      <c r="I49" s="86"/>
    </row>
    <row r="50" spans="1:9" s="45" customFormat="1" ht="13.5" customHeight="1" x14ac:dyDescent="0.2">
      <c r="A50" s="2137">
        <f>DATE(0+'Index and Structure'!$D$4-1,7,31)</f>
        <v>44408</v>
      </c>
      <c r="B50" s="473"/>
      <c r="C50" s="450"/>
      <c r="D50" s="377">
        <f t="shared" si="0"/>
        <v>0</v>
      </c>
      <c r="E50" s="377">
        <f t="shared" si="1"/>
        <v>0</v>
      </c>
      <c r="F50" s="204"/>
      <c r="G50" s="204"/>
      <c r="H50" s="121"/>
      <c r="I50" s="86"/>
    </row>
    <row r="51" spans="1:9" s="45" customFormat="1" ht="13.5" customHeight="1" x14ac:dyDescent="0.2">
      <c r="A51" s="2137">
        <f>DATE(0+'Index and Structure'!$D$4-1,8,31)</f>
        <v>44439</v>
      </c>
      <c r="B51" s="473"/>
      <c r="C51" s="450"/>
      <c r="D51" s="377">
        <f t="shared" si="0"/>
        <v>0</v>
      </c>
      <c r="E51" s="377">
        <f t="shared" si="1"/>
        <v>0</v>
      </c>
      <c r="F51" s="204"/>
      <c r="G51" s="204"/>
      <c r="H51" s="121"/>
      <c r="I51" s="86"/>
    </row>
    <row r="52" spans="1:9" s="45" customFormat="1" ht="13.5" customHeight="1" x14ac:dyDescent="0.2">
      <c r="A52" s="2137">
        <f>DATE(0+'Index and Structure'!$D$4-1,9,30)</f>
        <v>44469</v>
      </c>
      <c r="B52" s="473"/>
      <c r="C52" s="450"/>
      <c r="D52" s="377">
        <f t="shared" si="0"/>
        <v>0</v>
      </c>
      <c r="E52" s="377">
        <f t="shared" si="1"/>
        <v>0</v>
      </c>
      <c r="F52" s="204"/>
      <c r="G52" s="204"/>
      <c r="H52" s="121"/>
      <c r="I52" s="86"/>
    </row>
    <row r="53" spans="1:9" s="45" customFormat="1" ht="13.5" customHeight="1" x14ac:dyDescent="0.2">
      <c r="A53" s="2137">
        <f>DATE(0+'Index and Structure'!$D$4-1,10,31)</f>
        <v>44500</v>
      </c>
      <c r="B53" s="473"/>
      <c r="C53" s="450"/>
      <c r="D53" s="377">
        <f t="shared" si="0"/>
        <v>0</v>
      </c>
      <c r="E53" s="377">
        <f t="shared" si="1"/>
        <v>0</v>
      </c>
      <c r="F53" s="1767"/>
      <c r="G53" s="204"/>
      <c r="H53" s="121"/>
      <c r="I53" s="86"/>
    </row>
    <row r="54" spans="1:9" s="45" customFormat="1" ht="13.5" customHeight="1" x14ac:dyDescent="0.2">
      <c r="A54" s="2137">
        <f>DATE(0+'Index and Structure'!$D$4-1,11,30)</f>
        <v>44530</v>
      </c>
      <c r="B54" s="473"/>
      <c r="C54" s="450"/>
      <c r="D54" s="377">
        <f t="shared" si="0"/>
        <v>0</v>
      </c>
      <c r="E54" s="377">
        <f t="shared" si="1"/>
        <v>0</v>
      </c>
      <c r="F54" s="204"/>
      <c r="G54" s="204"/>
      <c r="H54" s="121"/>
      <c r="I54" s="86"/>
    </row>
    <row r="55" spans="1:9" s="45" customFormat="1" ht="13.5" customHeight="1" x14ac:dyDescent="0.2">
      <c r="A55" s="2137">
        <f>DATE(0+'Index and Structure'!$D$4-1,12,31)</f>
        <v>44561</v>
      </c>
      <c r="B55" s="473"/>
      <c r="C55" s="450"/>
      <c r="D55" s="377">
        <f t="shared" si="0"/>
        <v>0</v>
      </c>
      <c r="E55" s="377">
        <f t="shared" si="1"/>
        <v>0</v>
      </c>
      <c r="F55" s="204"/>
      <c r="G55" s="204"/>
      <c r="H55" s="121"/>
      <c r="I55" s="86"/>
    </row>
    <row r="56" spans="1:9" s="45" customFormat="1" ht="13.5" customHeight="1" x14ac:dyDescent="0.2">
      <c r="A56" s="2137">
        <f>DATE(0+'Index and Structure'!$D$4,1,31)</f>
        <v>44592</v>
      </c>
      <c r="B56" s="473"/>
      <c r="C56" s="450"/>
      <c r="D56" s="377">
        <f t="shared" si="0"/>
        <v>0</v>
      </c>
      <c r="E56" s="377">
        <f t="shared" si="1"/>
        <v>0</v>
      </c>
      <c r="F56" s="204"/>
      <c r="G56" s="204"/>
      <c r="H56" s="121"/>
      <c r="I56" s="86"/>
    </row>
    <row r="57" spans="1:9" s="45" customFormat="1" ht="13.5" customHeight="1" x14ac:dyDescent="0.2">
      <c r="A57" s="2137">
        <f>DATE(0+'Index and Structure'!$D$4,2,28)</f>
        <v>44620</v>
      </c>
      <c r="B57" s="474"/>
      <c r="C57" s="450"/>
      <c r="D57" s="377">
        <f t="shared" si="0"/>
        <v>0</v>
      </c>
      <c r="E57" s="377">
        <f t="shared" si="1"/>
        <v>0</v>
      </c>
      <c r="F57" s="204"/>
      <c r="G57" s="204"/>
      <c r="H57" s="121"/>
      <c r="I57" s="86"/>
    </row>
    <row r="58" spans="1:9" s="45" customFormat="1" ht="13.5" customHeight="1" x14ac:dyDescent="0.2">
      <c r="A58" s="2137">
        <f>DATE(0+'Index and Structure'!$D$4,3,31)</f>
        <v>44651</v>
      </c>
      <c r="B58" s="474"/>
      <c r="C58" s="450"/>
      <c r="D58" s="377">
        <f>D57+C58</f>
        <v>0</v>
      </c>
      <c r="E58" s="377">
        <f t="shared" si="1"/>
        <v>0</v>
      </c>
      <c r="F58" s="204"/>
      <c r="G58" s="204"/>
      <c r="H58" s="121"/>
      <c r="I58" s="86"/>
    </row>
    <row r="59" spans="1:9" s="45" customFormat="1" ht="13.5" customHeight="1" x14ac:dyDescent="0.2">
      <c r="A59" s="2137">
        <f>DATE(0+'Index and Structure'!$D$4,4,30)</f>
        <v>44681</v>
      </c>
      <c r="B59" s="474"/>
      <c r="C59" s="450"/>
      <c r="D59" s="377">
        <f t="shared" si="0"/>
        <v>0</v>
      </c>
      <c r="E59" s="377">
        <f>(A59-A58)/366*$D$41*D58</f>
        <v>0</v>
      </c>
      <c r="F59" s="204"/>
      <c r="G59" s="204"/>
      <c r="H59" s="121"/>
      <c r="I59" s="86"/>
    </row>
    <row r="60" spans="1:9" s="45" customFormat="1" ht="13.5" customHeight="1" x14ac:dyDescent="0.2">
      <c r="A60" s="2137">
        <f>DATE(0+'Index and Structure'!$D$4,5,31)</f>
        <v>44712</v>
      </c>
      <c r="B60" s="474"/>
      <c r="C60" s="450"/>
      <c r="D60" s="377">
        <f t="shared" si="0"/>
        <v>0</v>
      </c>
      <c r="E60" s="377">
        <f t="shared" si="1"/>
        <v>0</v>
      </c>
      <c r="F60" s="204"/>
      <c r="G60" s="204"/>
      <c r="H60" s="121"/>
      <c r="I60" s="86"/>
    </row>
    <row r="61" spans="1:9" s="45" customFormat="1" ht="13.5" customHeight="1" x14ac:dyDescent="0.2">
      <c r="A61" s="2137">
        <f>DATE(0+'Index and Structure'!$D$4,6,30)</f>
        <v>44742</v>
      </c>
      <c r="B61" s="474"/>
      <c r="C61" s="450"/>
      <c r="D61" s="377">
        <f t="shared" si="0"/>
        <v>0</v>
      </c>
      <c r="E61" s="377">
        <f t="shared" si="1"/>
        <v>0</v>
      </c>
      <c r="F61" s="204"/>
      <c r="G61" s="204"/>
      <c r="H61" s="121"/>
      <c r="I61" s="86"/>
    </row>
    <row r="62" spans="1:9" s="45" customFormat="1" ht="13.5" customHeight="1" x14ac:dyDescent="0.2">
      <c r="A62" s="2137">
        <f>DATE(0+'Index and Structure'!$D$4,6,30)</f>
        <v>44742</v>
      </c>
      <c r="B62" s="474"/>
      <c r="C62" s="450"/>
      <c r="D62" s="377">
        <f t="shared" si="0"/>
        <v>0</v>
      </c>
      <c r="E62" s="377">
        <f t="shared" si="1"/>
        <v>0</v>
      </c>
      <c r="F62" s="204"/>
      <c r="G62" s="204"/>
      <c r="H62" s="121"/>
      <c r="I62" s="86"/>
    </row>
    <row r="63" spans="1:9" s="45" customFormat="1" ht="13.5" customHeight="1" x14ac:dyDescent="0.2">
      <c r="A63" s="2137">
        <f>DATE(0+'Index and Structure'!$D$4,6,30)</f>
        <v>44742</v>
      </c>
      <c r="B63" s="474" t="s">
        <v>5</v>
      </c>
      <c r="C63" s="450">
        <f>E65</f>
        <v>0</v>
      </c>
      <c r="D63" s="377">
        <f>D62+C63</f>
        <v>0</v>
      </c>
      <c r="E63" s="377">
        <f t="shared" si="1"/>
        <v>0</v>
      </c>
      <c r="F63" s="204"/>
      <c r="G63" s="204"/>
      <c r="H63" s="121"/>
      <c r="I63" s="86"/>
    </row>
    <row r="64" spans="1:9" s="45" customFormat="1" ht="13.5" customHeight="1" x14ac:dyDescent="0.2">
      <c r="A64" s="242"/>
      <c r="B64" s="459"/>
      <c r="C64" s="167"/>
      <c r="D64" s="167"/>
      <c r="E64" s="167"/>
      <c r="F64" s="204"/>
      <c r="G64" s="204"/>
      <c r="H64" s="121"/>
      <c r="I64" s="86"/>
    </row>
    <row r="65" spans="1:9" s="45" customFormat="1" ht="13.5" customHeight="1" thickBot="1" x14ac:dyDescent="0.25">
      <c r="A65" s="242"/>
      <c r="B65" s="459"/>
      <c r="C65" s="167"/>
      <c r="D65" s="167"/>
      <c r="E65" s="380">
        <f>SUM(E47:E63)</f>
        <v>0</v>
      </c>
      <c r="F65" s="167"/>
      <c r="G65" s="204"/>
      <c r="H65" s="121"/>
      <c r="I65" s="86"/>
    </row>
    <row r="66" spans="1:9" s="45" customFormat="1" ht="13.5" customHeight="1" thickTop="1" x14ac:dyDescent="0.2">
      <c r="A66" s="197"/>
      <c r="B66" s="475"/>
      <c r="C66" s="167"/>
      <c r="D66" s="167"/>
      <c r="E66" s="167"/>
      <c r="F66" s="167"/>
      <c r="G66" s="167"/>
      <c r="H66" s="121"/>
      <c r="I66" s="476"/>
    </row>
    <row r="67" spans="1:9" s="45" customFormat="1" ht="13.5" customHeight="1" x14ac:dyDescent="0.2">
      <c r="A67" s="477" t="s">
        <v>794</v>
      </c>
      <c r="B67" s="475"/>
      <c r="C67" s="167"/>
      <c r="D67" s="167"/>
      <c r="E67" s="167"/>
      <c r="F67" s="167"/>
      <c r="G67" s="167"/>
      <c r="H67" s="121"/>
      <c r="I67" s="476"/>
    </row>
    <row r="68" spans="1:9" s="45" customFormat="1" ht="13.5" customHeight="1" x14ac:dyDescent="0.2">
      <c r="A68" s="197"/>
      <c r="B68" s="475"/>
      <c r="C68" s="167"/>
      <c r="D68" s="167"/>
      <c r="E68" s="167"/>
      <c r="F68" s="167"/>
      <c r="G68" s="167"/>
      <c r="H68" s="121"/>
      <c r="I68" s="476"/>
    </row>
    <row r="69" spans="1:9" s="45" customFormat="1" ht="13.5" customHeight="1" x14ac:dyDescent="0.2">
      <c r="A69" s="478" t="s">
        <v>793</v>
      </c>
      <c r="B69" s="479"/>
      <c r="C69" s="1920">
        <f>'Index and Structure'!D4</f>
        <v>2022</v>
      </c>
      <c r="D69" s="480">
        <f t="shared" ref="D69:I69" si="2">C69+1</f>
        <v>2023</v>
      </c>
      <c r="E69" s="480">
        <f t="shared" si="2"/>
        <v>2024</v>
      </c>
      <c r="F69" s="480">
        <f t="shared" si="2"/>
        <v>2025</v>
      </c>
      <c r="G69" s="480">
        <f t="shared" si="2"/>
        <v>2026</v>
      </c>
      <c r="H69" s="499">
        <f t="shared" si="2"/>
        <v>2027</v>
      </c>
      <c r="I69" s="480">
        <f t="shared" si="2"/>
        <v>2028</v>
      </c>
    </row>
    <row r="70" spans="1:9" s="45" customFormat="1" ht="13.5" customHeight="1" x14ac:dyDescent="0.2">
      <c r="A70" s="197"/>
      <c r="B70" s="475"/>
      <c r="C70" s="167"/>
      <c r="D70" s="167"/>
      <c r="E70" s="167"/>
      <c r="F70" s="167"/>
      <c r="G70" s="166"/>
      <c r="H70" s="121"/>
      <c r="I70" s="245"/>
    </row>
    <row r="71" spans="1:9" s="45" customFormat="1" ht="13.5" customHeight="1" x14ac:dyDescent="0.2">
      <c r="A71" s="197" t="s">
        <v>792</v>
      </c>
      <c r="B71" s="475"/>
      <c r="C71" s="1437">
        <f>D47</f>
        <v>0</v>
      </c>
      <c r="D71" s="1565">
        <f t="shared" ref="D71:I71" si="3">C71-C77+C71*C73</f>
        <v>0</v>
      </c>
      <c r="E71" s="1565">
        <f t="shared" si="3"/>
        <v>0</v>
      </c>
      <c r="F71" s="1565">
        <f t="shared" si="3"/>
        <v>0</v>
      </c>
      <c r="G71" s="1565">
        <f t="shared" si="3"/>
        <v>0</v>
      </c>
      <c r="H71" s="1565">
        <f t="shared" si="3"/>
        <v>0</v>
      </c>
      <c r="I71" s="1565">
        <f t="shared" si="3"/>
        <v>0</v>
      </c>
    </row>
    <row r="72" spans="1:9" s="45" customFormat="1" ht="13.5" customHeight="1" x14ac:dyDescent="0.2">
      <c r="A72" s="197"/>
      <c r="B72" s="475"/>
      <c r="C72" s="167"/>
      <c r="D72" s="167"/>
      <c r="E72" s="167"/>
      <c r="F72" s="167"/>
      <c r="G72" s="166"/>
      <c r="H72" s="121"/>
      <c r="I72" s="245"/>
    </row>
    <row r="73" spans="1:9" s="45" customFormat="1" ht="13.5" customHeight="1" x14ac:dyDescent="0.2">
      <c r="A73" s="197" t="s">
        <v>138</v>
      </c>
      <c r="B73" s="475"/>
      <c r="C73" s="481">
        <f>VLOOKUP(C69,$A$33:$D$39,4,FALSE)</f>
        <v>4.5199999999999997E-2</v>
      </c>
      <c r="D73" s="1566">
        <f>IFERROR(VLOOKUP(D69,$A$34:$D$39,4,FALSE),C73)</f>
        <v>4.5199999999999997E-2</v>
      </c>
      <c r="E73" s="1566">
        <f t="shared" ref="E73:I73" si="4">IFERROR(VLOOKUP(E69,$A$34:$D$39,4,FALSE),D73)</f>
        <v>4.5199999999999997E-2</v>
      </c>
      <c r="F73" s="1566">
        <f t="shared" si="4"/>
        <v>4.5199999999999997E-2</v>
      </c>
      <c r="G73" s="1566">
        <f t="shared" si="4"/>
        <v>4.5199999999999997E-2</v>
      </c>
      <c r="H73" s="1566">
        <f t="shared" si="4"/>
        <v>4.5199999999999997E-2</v>
      </c>
      <c r="I73" s="1566">
        <f t="shared" si="4"/>
        <v>4.5199999999999997E-2</v>
      </c>
    </row>
    <row r="74" spans="1:9" s="45" customFormat="1" ht="13.5" customHeight="1" x14ac:dyDescent="0.2">
      <c r="A74" s="197"/>
      <c r="B74" s="475"/>
      <c r="C74" s="167"/>
      <c r="D74" s="167"/>
      <c r="E74" s="167"/>
      <c r="F74" s="167"/>
      <c r="G74" s="166"/>
      <c r="H74" s="121"/>
      <c r="I74" s="245"/>
    </row>
    <row r="75" spans="1:9" s="45" customFormat="1" ht="13.5" customHeight="1" x14ac:dyDescent="0.2">
      <c r="A75" s="197" t="s">
        <v>140</v>
      </c>
      <c r="B75" s="475"/>
      <c r="C75" s="1918">
        <f>+$C$14-C$69+8</f>
        <v>6</v>
      </c>
      <c r="D75" s="1918">
        <f t="shared" ref="D75:I75" si="5">+$C$14-D$69+8</f>
        <v>5</v>
      </c>
      <c r="E75" s="1918">
        <f t="shared" si="5"/>
        <v>4</v>
      </c>
      <c r="F75" s="1918">
        <f t="shared" si="5"/>
        <v>3</v>
      </c>
      <c r="G75" s="1918">
        <f t="shared" si="5"/>
        <v>2</v>
      </c>
      <c r="H75" s="1918">
        <f t="shared" si="5"/>
        <v>1</v>
      </c>
      <c r="I75" s="1918">
        <f t="shared" si="5"/>
        <v>0</v>
      </c>
    </row>
    <row r="76" spans="1:9" s="45" customFormat="1" ht="13.5" customHeight="1" x14ac:dyDescent="0.2">
      <c r="A76" s="197"/>
      <c r="B76" s="475"/>
      <c r="C76" s="243"/>
      <c r="D76" s="243"/>
      <c r="E76" s="243"/>
      <c r="F76" s="243"/>
      <c r="G76" s="482"/>
      <c r="H76" s="504"/>
      <c r="I76" s="483"/>
    </row>
    <row r="77" spans="1:9" s="45" customFormat="1" ht="13.5" customHeight="1" thickBot="1" x14ac:dyDescent="0.25">
      <c r="A77" s="214" t="s">
        <v>791</v>
      </c>
      <c r="B77" s="475"/>
      <c r="C77" s="380">
        <f>C73*C71/(1-(1/(1+C73))^C75)</f>
        <v>0</v>
      </c>
      <c r="D77" s="380">
        <f t="shared" ref="D77:I77" si="6">D73*D71/(1-(1/(1+D73))^D75)</f>
        <v>0</v>
      </c>
      <c r="E77" s="380">
        <f t="shared" si="6"/>
        <v>0</v>
      </c>
      <c r="F77" s="380">
        <f t="shared" si="6"/>
        <v>0</v>
      </c>
      <c r="G77" s="381">
        <f t="shared" si="6"/>
        <v>0</v>
      </c>
      <c r="H77" s="380">
        <f t="shared" si="6"/>
        <v>0</v>
      </c>
      <c r="I77" s="484" t="e">
        <f t="shared" si="6"/>
        <v>#DIV/0!</v>
      </c>
    </row>
    <row r="78" spans="1:9" s="45" customFormat="1" ht="13.5" customHeight="1" thickTop="1" x14ac:dyDescent="0.2">
      <c r="A78" s="197"/>
      <c r="B78" s="475"/>
      <c r="C78" s="193"/>
      <c r="D78" s="193"/>
      <c r="E78" s="193"/>
      <c r="F78" s="193"/>
      <c r="G78" s="485"/>
      <c r="H78" s="494"/>
      <c r="I78" s="238"/>
    </row>
    <row r="79" spans="1:9" s="45" customFormat="1" ht="13.5" customHeight="1" thickBot="1" x14ac:dyDescent="0.25">
      <c r="A79" s="356"/>
      <c r="B79" s="454"/>
      <c r="C79" s="168"/>
      <c r="D79" s="168"/>
      <c r="E79" s="165"/>
      <c r="F79" s="165"/>
      <c r="G79" s="204"/>
      <c r="H79" s="121"/>
      <c r="I79" s="86"/>
    </row>
    <row r="80" spans="1:9" s="45" customFormat="1" ht="21.75" customHeight="1" thickBot="1" x14ac:dyDescent="0.25">
      <c r="A80" s="475"/>
      <c r="B80" s="1438" t="s">
        <v>252</v>
      </c>
      <c r="C80" s="486"/>
      <c r="D80" s="487"/>
      <c r="E80" s="475"/>
      <c r="F80" s="165"/>
      <c r="G80" s="204"/>
      <c r="H80" s="121"/>
      <c r="I80" s="86"/>
    </row>
    <row r="81" spans="1:9" s="45" customFormat="1" ht="13.5" customHeight="1" thickBot="1" x14ac:dyDescent="0.25">
      <c r="A81" s="356"/>
      <c r="B81" s="454"/>
      <c r="C81" s="168"/>
      <c r="D81" s="168"/>
      <c r="E81" s="165"/>
      <c r="F81" s="165"/>
      <c r="G81" s="204"/>
      <c r="H81" s="121"/>
      <c r="I81" s="86"/>
    </row>
    <row r="82" spans="1:9" s="45" customFormat="1" ht="13.5" customHeight="1" x14ac:dyDescent="0.2">
      <c r="A82" s="347"/>
      <c r="B82" s="2398" t="s">
        <v>648</v>
      </c>
      <c r="C82" s="2399"/>
      <c r="D82" s="2399"/>
      <c r="E82" s="2399"/>
      <c r="F82" s="2399"/>
      <c r="G82" s="2400"/>
      <c r="H82" s="503"/>
      <c r="I82" s="65"/>
    </row>
    <row r="83" spans="1:9" s="45" customFormat="1" ht="13.5" customHeight="1" x14ac:dyDescent="0.2">
      <c r="A83" s="347"/>
      <c r="B83" s="2401"/>
      <c r="C83" s="2402"/>
      <c r="D83" s="2402"/>
      <c r="E83" s="2402"/>
      <c r="F83" s="2402"/>
      <c r="G83" s="2403"/>
      <c r="H83" s="503"/>
      <c r="I83" s="65"/>
    </row>
    <row r="84" spans="1:9" s="45" customFormat="1" ht="13.5" customHeight="1" thickBot="1" x14ac:dyDescent="0.25">
      <c r="A84" s="347"/>
      <c r="B84" s="2404"/>
      <c r="C84" s="2405"/>
      <c r="D84" s="2405"/>
      <c r="E84" s="2405"/>
      <c r="F84" s="2405"/>
      <c r="G84" s="2406"/>
      <c r="H84" s="503"/>
      <c r="I84" s="65"/>
    </row>
    <row r="85" spans="1:9" s="45" customFormat="1" ht="13.5" customHeight="1" x14ac:dyDescent="0.2">
      <c r="A85" s="106"/>
      <c r="B85" s="69"/>
      <c r="C85" s="46"/>
      <c r="D85" s="56"/>
      <c r="E85" s="46"/>
      <c r="F85" s="46"/>
      <c r="G85" s="57"/>
      <c r="H85" s="121"/>
      <c r="I85" s="65"/>
    </row>
    <row r="86" spans="1:9" s="45" customFormat="1" ht="13.5" customHeight="1" x14ac:dyDescent="0.2">
      <c r="A86" s="219"/>
      <c r="B86" s="488"/>
      <c r="C86" s="249"/>
      <c r="D86" s="249"/>
      <c r="E86" s="249"/>
      <c r="F86" s="249"/>
      <c r="G86" s="397"/>
      <c r="H86" s="505"/>
      <c r="I86" s="87"/>
    </row>
  </sheetData>
  <mergeCells count="3">
    <mergeCell ref="A2:C2"/>
    <mergeCell ref="B7:D7"/>
    <mergeCell ref="B82:G84"/>
  </mergeCells>
  <hyperlinks>
    <hyperlink ref="A2" location="'Index and Structure'!A1" display="The Macro Group" xr:uid="{47154AF8-0798-4FB9-8AE7-9AEA0B8A669B}"/>
    <hyperlink ref="B80" r:id="rId1" xr:uid="{BE405D59-713C-4DB4-B09C-887E79EDD31B}"/>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D4169-3116-421C-A975-6951C5A1EFBB}">
  <sheetPr codeName="Sheet36170">
    <pageSetUpPr fitToPage="1"/>
  </sheetPr>
  <dimension ref="A1:I86"/>
  <sheetViews>
    <sheetView showGridLines="0" view="pageBreakPreview" topLeftCell="A30" zoomScaleNormal="50" zoomScaleSheetLayoutView="100" workbookViewId="0">
      <selection activeCell="E61" sqref="E61"/>
    </sheetView>
  </sheetViews>
  <sheetFormatPr defaultColWidth="9.140625" defaultRowHeight="15" x14ac:dyDescent="0.25"/>
  <cols>
    <col min="1" max="1" width="12.7109375" style="19" customWidth="1"/>
    <col min="2" max="2" width="16.7109375" style="19" customWidth="1"/>
    <col min="3" max="6" width="13.7109375" style="19" customWidth="1"/>
    <col min="7" max="7" width="14.7109375" style="19" customWidth="1"/>
    <col min="8" max="8" width="13.7109375" style="489" customWidth="1"/>
    <col min="9" max="9" width="13.7109375" style="19" customWidth="1"/>
    <col min="10" max="16384" width="9.140625" style="19"/>
  </cols>
  <sheetData>
    <row r="1" spans="1:9" ht="5.25" customHeight="1" thickBot="1" x14ac:dyDescent="0.3"/>
    <row r="2" spans="1:9" ht="19.899999999999999" customHeight="1" thickBot="1" x14ac:dyDescent="0.35">
      <c r="A2" s="2269" t="s">
        <v>44</v>
      </c>
      <c r="B2" s="2301"/>
      <c r="C2" s="2270"/>
      <c r="D2" s="21"/>
      <c r="E2" s="21"/>
      <c r="F2" s="21"/>
      <c r="G2" s="21"/>
    </row>
    <row r="3" spans="1:9" ht="27" customHeight="1" x14ac:dyDescent="0.25">
      <c r="A3" s="22"/>
    </row>
    <row r="4" spans="1:9" ht="19.5" customHeight="1" x14ac:dyDescent="0.25">
      <c r="A4" s="21"/>
    </row>
    <row r="5" spans="1:9" ht="5.25" customHeight="1" x14ac:dyDescent="0.25">
      <c r="A5" s="23"/>
      <c r="B5" s="24"/>
      <c r="C5" s="24"/>
      <c r="D5" s="25"/>
      <c r="F5" s="23"/>
      <c r="G5" s="24"/>
      <c r="H5" s="500"/>
      <c r="I5" s="25"/>
    </row>
    <row r="6" spans="1:9" ht="14.25" customHeight="1" x14ac:dyDescent="0.25">
      <c r="A6" s="77" t="s">
        <v>40</v>
      </c>
      <c r="B6" s="28" t="str">
        <f>'Index and Structure'!B2</f>
        <v>Nicolo Superannuation fund</v>
      </c>
      <c r="D6" s="29"/>
      <c r="E6" s="30"/>
      <c r="F6" s="232" t="s">
        <v>38</v>
      </c>
      <c r="G6" s="32" t="str">
        <f>'Index and Structure'!B5</f>
        <v>NICO0024</v>
      </c>
      <c r="I6" s="33"/>
    </row>
    <row r="7" spans="1:9" ht="14.25" customHeight="1" x14ac:dyDescent="0.25">
      <c r="A7" s="237" t="s">
        <v>45</v>
      </c>
      <c r="B7" s="2407" t="str">
        <f>'Index and Structure'!A24</f>
        <v xml:space="preserve">Shareholder Loan - Division 7A </v>
      </c>
      <c r="C7" s="2407"/>
      <c r="D7" s="2408"/>
      <c r="E7" s="30"/>
      <c r="F7" s="78" t="s">
        <v>41</v>
      </c>
      <c r="G7" s="28" t="str">
        <f>'Index and Structure'!B6</f>
        <v>Liam Aubin</v>
      </c>
      <c r="H7" s="496" t="s">
        <v>42</v>
      </c>
      <c r="I7" s="35"/>
    </row>
    <row r="8" spans="1:9" ht="14.25" customHeight="1" x14ac:dyDescent="0.25">
      <c r="A8" s="79" t="s">
        <v>46</v>
      </c>
      <c r="B8" s="37" t="str">
        <f>'Index and Structure'!B4</f>
        <v>30 June 2022</v>
      </c>
      <c r="C8" s="442"/>
      <c r="D8" s="84"/>
      <c r="E8" s="30"/>
      <c r="F8" s="80" t="s">
        <v>43</v>
      </c>
      <c r="G8" s="40" t="str">
        <f>'Index and Structure'!B7</f>
        <v>Nicole Bryant</v>
      </c>
      <c r="H8" s="506" t="s">
        <v>42</v>
      </c>
      <c r="I8" s="41"/>
    </row>
    <row r="9" spans="1:9" ht="15" customHeight="1" x14ac:dyDescent="0.25">
      <c r="A9" s="77"/>
      <c r="I9" s="33"/>
    </row>
    <row r="10" spans="1:9" ht="30" customHeight="1" x14ac:dyDescent="0.25">
      <c r="A10" s="42"/>
      <c r="B10" s="43"/>
      <c r="C10" s="43"/>
      <c r="D10" s="43"/>
      <c r="E10" s="43"/>
      <c r="F10" s="43"/>
      <c r="G10" s="342">
        <f>'Index and Structure'!D4</f>
        <v>2022</v>
      </c>
      <c r="H10" s="501"/>
      <c r="I10" s="44"/>
    </row>
    <row r="11" spans="1:9" s="45" customFormat="1" ht="13.5" customHeight="1" x14ac:dyDescent="0.2">
      <c r="A11" s="235"/>
      <c r="B11" s="69"/>
      <c r="C11" s="46"/>
      <c r="D11" s="46"/>
      <c r="E11" s="46"/>
      <c r="F11" s="70"/>
      <c r="G11" s="46"/>
      <c r="H11" s="502"/>
      <c r="I11" s="71"/>
    </row>
    <row r="12" spans="1:9" s="45" customFormat="1" ht="13.5" customHeight="1" thickBot="1" x14ac:dyDescent="0.25">
      <c r="A12" s="1266" t="str">
        <f>B7</f>
        <v xml:space="preserve">Shareholder Loan - Division 7A </v>
      </c>
      <c r="B12" s="1263"/>
      <c r="D12" s="48"/>
      <c r="E12" s="48"/>
      <c r="F12" s="48"/>
      <c r="G12" s="1873">
        <f>G28</f>
        <v>0</v>
      </c>
      <c r="H12" s="498"/>
      <c r="I12" s="71"/>
    </row>
    <row r="13" spans="1:9" s="45" customFormat="1" ht="13.5" customHeight="1" thickTop="1" x14ac:dyDescent="0.2">
      <c r="A13" s="106"/>
      <c r="B13" s="444"/>
      <c r="C13" s="60"/>
      <c r="D13" s="48"/>
      <c r="E13" s="48"/>
      <c r="F13" s="48"/>
      <c r="G13" s="150"/>
      <c r="H13" s="498"/>
      <c r="I13" s="71"/>
    </row>
    <row r="14" spans="1:9" s="45" customFormat="1" ht="13.5" customHeight="1" x14ac:dyDescent="0.2">
      <c r="A14" s="445" t="s">
        <v>250</v>
      </c>
      <c r="B14" s="446"/>
      <c r="C14" s="507">
        <v>2021</v>
      </c>
      <c r="D14" s="447"/>
      <c r="E14" s="49"/>
      <c r="F14" s="48"/>
      <c r="G14" s="149"/>
      <c r="H14" s="498"/>
      <c r="I14" s="65"/>
    </row>
    <row r="15" spans="1:9" s="45" customFormat="1" ht="13.5" customHeight="1" x14ac:dyDescent="0.2">
      <c r="A15" s="106"/>
      <c r="B15" s="444"/>
      <c r="D15" s="51"/>
      <c r="E15" s="49"/>
      <c r="F15" s="49"/>
      <c r="G15" s="149"/>
      <c r="H15" s="498"/>
      <c r="I15" s="65"/>
    </row>
    <row r="16" spans="1:9" s="45" customFormat="1" ht="13.5" customHeight="1" x14ac:dyDescent="0.2">
      <c r="A16" s="106"/>
      <c r="B16" s="444"/>
      <c r="C16" s="47"/>
      <c r="D16" s="48"/>
      <c r="E16" s="49"/>
      <c r="F16" s="49"/>
      <c r="G16" s="149"/>
      <c r="H16" s="494" t="s">
        <v>50</v>
      </c>
      <c r="I16" s="65"/>
    </row>
    <row r="17" spans="1:9" s="45" customFormat="1" ht="13.5" customHeight="1" x14ac:dyDescent="0.2">
      <c r="A17" s="448"/>
      <c r="B17" s="444"/>
      <c r="C17" s="443" t="s">
        <v>86</v>
      </c>
      <c r="D17" s="1750"/>
      <c r="E17" s="1751"/>
      <c r="F17" s="1752"/>
      <c r="G17" s="151"/>
      <c r="H17" s="498"/>
      <c r="I17" s="379"/>
    </row>
    <row r="18" spans="1:9" s="45" customFormat="1" ht="13.5" customHeight="1" x14ac:dyDescent="0.2">
      <c r="A18" s="106"/>
      <c r="B18" s="444"/>
      <c r="C18" s="47"/>
      <c r="D18" s="1753"/>
      <c r="E18" s="1754"/>
      <c r="F18" s="1750"/>
      <c r="G18" s="149"/>
      <c r="H18" s="498"/>
      <c r="I18" s="369"/>
    </row>
    <row r="19" spans="1:9" s="45" customFormat="1" ht="13.5" customHeight="1" x14ac:dyDescent="0.2">
      <c r="A19" s="106"/>
      <c r="B19" s="444"/>
      <c r="C19" s="51"/>
      <c r="D19" s="1753"/>
      <c r="E19" s="1754"/>
      <c r="F19" s="1750"/>
      <c r="G19" s="149"/>
      <c r="H19" s="498"/>
      <c r="I19" s="369"/>
    </row>
    <row r="20" spans="1:9" s="45" customFormat="1" ht="13.5" customHeight="1" x14ac:dyDescent="0.2">
      <c r="A20" s="449"/>
      <c r="B20" s="1874" t="s">
        <v>65</v>
      </c>
      <c r="C20" s="165" t="s">
        <v>5</v>
      </c>
      <c r="D20" s="1755"/>
      <c r="E20" s="1756"/>
      <c r="F20" s="1757"/>
      <c r="G20" s="1692">
        <f>E65</f>
        <v>0</v>
      </c>
      <c r="H20" s="498"/>
      <c r="I20" s="369"/>
    </row>
    <row r="21" spans="1:9" s="45" customFormat="1" ht="13.5" customHeight="1" x14ac:dyDescent="0.2">
      <c r="A21" s="443"/>
      <c r="B21" s="1874"/>
      <c r="C21" s="165"/>
      <c r="D21" s="1755"/>
      <c r="E21" s="1756"/>
      <c r="F21" s="1758"/>
      <c r="G21" s="151"/>
      <c r="H21" s="498"/>
      <c r="I21" s="369"/>
    </row>
    <row r="22" spans="1:9" s="45" customFormat="1" ht="13.5" customHeight="1" x14ac:dyDescent="0.2">
      <c r="A22" s="443"/>
      <c r="B22" s="1874"/>
      <c r="C22" s="165"/>
      <c r="D22" s="1755"/>
      <c r="E22" s="1756"/>
      <c r="F22" s="1758"/>
      <c r="G22" s="1897"/>
      <c r="H22" s="498"/>
      <c r="I22" s="369"/>
    </row>
    <row r="23" spans="1:9" s="45" customFormat="1" ht="13.5" customHeight="1" x14ac:dyDescent="0.2">
      <c r="A23" s="443"/>
      <c r="B23" s="1874"/>
      <c r="C23" s="165"/>
      <c r="D23" s="1757"/>
      <c r="E23" s="1756"/>
      <c r="F23" s="1758"/>
      <c r="G23" s="157"/>
      <c r="H23" s="498"/>
      <c r="I23" s="369"/>
    </row>
    <row r="24" spans="1:9" s="45" customFormat="1" x14ac:dyDescent="0.2">
      <c r="A24" s="449"/>
      <c r="B24" s="1874" t="s">
        <v>51</v>
      </c>
      <c r="C24" s="165" t="s">
        <v>130</v>
      </c>
      <c r="D24" s="1757"/>
      <c r="E24" s="1756"/>
      <c r="F24" s="1756"/>
      <c r="G24" s="450">
        <f>-SUM(C48:C62)</f>
        <v>0</v>
      </c>
      <c r="H24" s="498"/>
      <c r="I24" s="369"/>
    </row>
    <row r="25" spans="1:9" s="45" customFormat="1" x14ac:dyDescent="0.2">
      <c r="A25" s="106"/>
      <c r="B25" s="444"/>
      <c r="C25" s="165"/>
      <c r="D25" s="1757"/>
      <c r="E25" s="1756"/>
      <c r="F25" s="1756"/>
      <c r="G25" s="450"/>
      <c r="H25" s="498"/>
      <c r="I25" s="369"/>
    </row>
    <row r="26" spans="1:9" s="45" customFormat="1" ht="13.5" customHeight="1" x14ac:dyDescent="0.2">
      <c r="A26" s="451"/>
      <c r="B26" s="62"/>
      <c r="C26" s="165"/>
      <c r="D26" s="1757"/>
      <c r="E26" s="1756"/>
      <c r="F26" s="1756"/>
      <c r="G26" s="450"/>
      <c r="H26" s="498"/>
      <c r="I26" s="369"/>
    </row>
    <row r="27" spans="1:9" s="45" customFormat="1" ht="12.75" customHeight="1" x14ac:dyDescent="0.2">
      <c r="A27" s="106"/>
      <c r="B27" s="444"/>
      <c r="C27" s="165"/>
      <c r="D27" s="1750"/>
      <c r="E27" s="1752"/>
      <c r="F27" s="1752"/>
      <c r="G27" s="452"/>
      <c r="H27" s="498"/>
      <c r="I27" s="369"/>
    </row>
    <row r="28" spans="1:9" s="45" customFormat="1" ht="13.5" customHeight="1" thickBot="1" x14ac:dyDescent="0.25">
      <c r="A28" s="106"/>
      <c r="B28" s="444"/>
      <c r="C28" s="443" t="s">
        <v>790</v>
      </c>
      <c r="D28" s="1750"/>
      <c r="E28" s="1752"/>
      <c r="F28" s="1752"/>
      <c r="G28" s="1872">
        <f>G17+SUM(G20:G21)-SUM(G24:G26)</f>
        <v>0</v>
      </c>
      <c r="H28" s="121"/>
      <c r="I28" s="369"/>
    </row>
    <row r="29" spans="1:9" s="45" customFormat="1" ht="13.5" customHeight="1" thickTop="1" x14ac:dyDescent="0.2">
      <c r="A29" s="106"/>
      <c r="B29" s="444"/>
      <c r="C29" s="48"/>
      <c r="D29" s="1750"/>
      <c r="E29" s="1752"/>
      <c r="F29" s="1752"/>
      <c r="G29" s="52"/>
      <c r="H29" s="121"/>
      <c r="I29" s="65"/>
    </row>
    <row r="30" spans="1:9" s="45" customFormat="1" ht="13.5" customHeight="1" x14ac:dyDescent="0.2">
      <c r="A30" s="106"/>
      <c r="B30" s="453"/>
      <c r="C30" s="63"/>
      <c r="D30" s="1759"/>
      <c r="E30" s="1760"/>
      <c r="F30" s="1760"/>
      <c r="G30" s="61"/>
      <c r="H30" s="121"/>
      <c r="I30" s="65"/>
    </row>
    <row r="31" spans="1:9" s="45" customFormat="1" ht="13.5" customHeight="1" thickBot="1" x14ac:dyDescent="0.25">
      <c r="A31" s="356"/>
      <c r="B31" s="454"/>
      <c r="C31" s="168"/>
      <c r="D31" s="1761"/>
      <c r="E31" s="1761"/>
      <c r="F31" s="1761"/>
      <c r="G31" s="204"/>
      <c r="H31" s="121"/>
      <c r="I31" s="86"/>
    </row>
    <row r="32" spans="1:9" s="45" customFormat="1" ht="13.5" customHeight="1" x14ac:dyDescent="0.2">
      <c r="A32" s="455" t="s">
        <v>299</v>
      </c>
      <c r="B32" s="456"/>
      <c r="C32" s="457"/>
      <c r="D32" s="1762"/>
      <c r="E32" s="1763"/>
      <c r="F32" s="1764"/>
      <c r="G32" s="458"/>
      <c r="H32" s="121"/>
      <c r="I32" s="86"/>
    </row>
    <row r="33" spans="1:9" s="45" customFormat="1" ht="13.5" customHeight="1" x14ac:dyDescent="0.2">
      <c r="A33" s="467">
        <v>2022</v>
      </c>
      <c r="B33" s="1749" t="s">
        <v>813</v>
      </c>
      <c r="C33" s="244"/>
      <c r="D33" s="1919">
        <v>4.5199999999999997E-2</v>
      </c>
      <c r="E33" s="1765"/>
      <c r="F33" s="1764"/>
      <c r="G33" s="458"/>
      <c r="H33" s="121"/>
      <c r="I33" s="86"/>
    </row>
    <row r="34" spans="1:9" s="45" customFormat="1" ht="13.5" customHeight="1" x14ac:dyDescent="0.2">
      <c r="A34" s="467">
        <v>2021</v>
      </c>
      <c r="B34" s="1749" t="s">
        <v>813</v>
      </c>
      <c r="C34" s="244"/>
      <c r="D34" s="1919">
        <v>4.5199999999999997E-2</v>
      </c>
      <c r="E34" s="1765"/>
      <c r="F34" s="1764"/>
      <c r="G34" s="458"/>
      <c r="H34" s="121"/>
      <c r="I34" s="86"/>
    </row>
    <row r="35" spans="1:9" s="45" customFormat="1" ht="13.5" customHeight="1" x14ac:dyDescent="0.2">
      <c r="A35" s="467">
        <v>2020</v>
      </c>
      <c r="B35" s="1749" t="s">
        <v>813</v>
      </c>
      <c r="C35" s="244"/>
      <c r="D35" s="1919">
        <v>5.3699999999999998E-2</v>
      </c>
      <c r="E35" s="1765"/>
      <c r="F35" s="1764"/>
      <c r="G35" s="458"/>
      <c r="H35" s="121"/>
      <c r="I35" s="86"/>
    </row>
    <row r="36" spans="1:9" s="45" customFormat="1" ht="13.5" customHeight="1" x14ac:dyDescent="0.2">
      <c r="A36" s="467">
        <v>2019</v>
      </c>
      <c r="B36" s="1749" t="s">
        <v>813</v>
      </c>
      <c r="C36" s="244"/>
      <c r="D36" s="1766">
        <v>5.1999999999999998E-2</v>
      </c>
      <c r="E36" s="1765"/>
      <c r="F36" s="1764"/>
      <c r="G36" s="458"/>
      <c r="H36" s="121"/>
      <c r="I36" s="86"/>
    </row>
    <row r="37" spans="1:9" s="45" customFormat="1" ht="13.5" customHeight="1" x14ac:dyDescent="0.2">
      <c r="A37" s="467">
        <v>2018</v>
      </c>
      <c r="B37" s="1749" t="s">
        <v>813</v>
      </c>
      <c r="C37" s="167"/>
      <c r="D37" s="1766">
        <v>5.2999999999999999E-2</v>
      </c>
      <c r="E37" s="461"/>
      <c r="F37" s="458"/>
      <c r="G37" s="458"/>
      <c r="H37" s="121"/>
      <c r="I37" s="86"/>
    </row>
    <row r="38" spans="1:9" s="45" customFormat="1" ht="13.5" customHeight="1" x14ac:dyDescent="0.2">
      <c r="A38" s="242">
        <v>2017</v>
      </c>
      <c r="B38" s="1749" t="s">
        <v>813</v>
      </c>
      <c r="C38" s="167"/>
      <c r="D38" s="460">
        <v>5.3999999999999999E-2</v>
      </c>
      <c r="E38" s="461"/>
      <c r="F38" s="458"/>
      <c r="G38" s="458"/>
      <c r="H38" s="121"/>
      <c r="I38" s="86"/>
    </row>
    <row r="39" spans="1:9" s="45" customFormat="1" ht="13.5" customHeight="1" x14ac:dyDescent="0.2">
      <c r="A39" s="242">
        <v>2016</v>
      </c>
      <c r="B39" s="1749" t="s">
        <v>813</v>
      </c>
      <c r="C39" s="243"/>
      <c r="D39" s="460">
        <v>5.45E-2</v>
      </c>
      <c r="E39" s="1900"/>
      <c r="F39" s="458"/>
      <c r="G39" s="458"/>
      <c r="H39" s="121"/>
      <c r="I39" s="86"/>
    </row>
    <row r="40" spans="1:9" s="45" customFormat="1" ht="13.5" customHeight="1" x14ac:dyDescent="0.2">
      <c r="A40" s="1921"/>
      <c r="B40" s="1898"/>
      <c r="C40" s="243"/>
      <c r="D40" s="1899"/>
      <c r="E40" s="1900"/>
      <c r="F40" s="458"/>
      <c r="G40" s="458"/>
      <c r="H40" s="121"/>
      <c r="I40" s="86"/>
    </row>
    <row r="41" spans="1:9" s="45" customFormat="1" ht="13.5" customHeight="1" x14ac:dyDescent="0.2">
      <c r="A41" s="239" t="s">
        <v>961</v>
      </c>
      <c r="B41" s="1749"/>
      <c r="C41" s="243"/>
      <c r="D41" s="460">
        <f>D33</f>
        <v>4.5199999999999997E-2</v>
      </c>
      <c r="E41" s="1900"/>
      <c r="F41" s="458"/>
      <c r="G41" s="458"/>
      <c r="H41" s="121"/>
      <c r="I41" s="86"/>
    </row>
    <row r="42" spans="1:9" s="45" customFormat="1" ht="13.5" customHeight="1" x14ac:dyDescent="0.2">
      <c r="A42" s="1898"/>
      <c r="B42" s="1898"/>
      <c r="C42" s="243"/>
      <c r="D42" s="1899"/>
      <c r="E42" s="1900"/>
      <c r="F42" s="458"/>
      <c r="G42" s="458"/>
      <c r="H42" s="121"/>
      <c r="I42" s="86"/>
    </row>
    <row r="43" spans="1:9" s="45" customFormat="1" ht="13.5" customHeight="1" thickBot="1" x14ac:dyDescent="0.25">
      <c r="A43" s="462"/>
      <c r="B43" s="463"/>
      <c r="C43" s="464"/>
      <c r="D43" s="465"/>
      <c r="E43" s="466"/>
      <c r="F43" s="458"/>
      <c r="G43" s="458"/>
      <c r="H43" s="121"/>
      <c r="I43" s="86"/>
    </row>
    <row r="44" spans="1:9" s="45" customFormat="1" ht="13.5" customHeight="1" x14ac:dyDescent="0.2">
      <c r="A44" s="248"/>
      <c r="B44" s="467"/>
      <c r="C44" s="244"/>
      <c r="D44" s="244"/>
      <c r="E44" s="244"/>
      <c r="F44" s="244"/>
      <c r="G44" s="204"/>
      <c r="H44" s="121"/>
      <c r="I44" s="86"/>
    </row>
    <row r="45" spans="1:9" s="45" customFormat="1" ht="13.5" customHeight="1" x14ac:dyDescent="0.2">
      <c r="A45" s="239"/>
      <c r="B45" s="468"/>
      <c r="C45" s="121" t="s">
        <v>301</v>
      </c>
      <c r="D45" s="121" t="s">
        <v>300</v>
      </c>
      <c r="E45" s="121" t="s">
        <v>5</v>
      </c>
      <c r="F45" s="204"/>
      <c r="G45" s="204"/>
      <c r="H45" s="121"/>
      <c r="I45" s="86"/>
    </row>
    <row r="46" spans="1:9" s="45" customFormat="1" ht="13.5" customHeight="1" x14ac:dyDescent="0.2">
      <c r="A46" s="2138" t="s">
        <v>30</v>
      </c>
      <c r="B46" s="468" t="s">
        <v>72</v>
      </c>
      <c r="C46" s="121" t="s">
        <v>34</v>
      </c>
      <c r="D46" s="121" t="s">
        <v>136</v>
      </c>
      <c r="E46" s="121" t="s">
        <v>137</v>
      </c>
      <c r="F46" s="204"/>
      <c r="G46" s="204"/>
      <c r="H46" s="121"/>
      <c r="I46" s="86"/>
    </row>
    <row r="47" spans="1:9" s="45" customFormat="1" ht="13.5" customHeight="1" x14ac:dyDescent="0.2">
      <c r="A47" s="2137">
        <v>44378</v>
      </c>
      <c r="B47" s="470"/>
      <c r="C47" s="471"/>
      <c r="D47" s="377">
        <f>G17</f>
        <v>0</v>
      </c>
      <c r="E47" s="472"/>
      <c r="F47" s="204"/>
      <c r="G47" s="204"/>
      <c r="H47" s="121"/>
      <c r="I47" s="86"/>
    </row>
    <row r="48" spans="1:9" s="45" customFormat="1" ht="13.5" customHeight="1" x14ac:dyDescent="0.2">
      <c r="A48" s="2137">
        <v>44378</v>
      </c>
      <c r="B48" s="473"/>
      <c r="C48" s="450"/>
      <c r="D48" s="377">
        <f>D47+C48</f>
        <v>0</v>
      </c>
      <c r="E48" s="377">
        <f>(A48-A47)/366*$D$41*D47</f>
        <v>0</v>
      </c>
      <c r="F48" s="204"/>
      <c r="G48" s="204"/>
      <c r="H48" s="121"/>
      <c r="I48" s="86"/>
    </row>
    <row r="49" spans="1:9" s="45" customFormat="1" ht="13.5" customHeight="1" x14ac:dyDescent="0.2">
      <c r="A49" s="2137">
        <v>44378</v>
      </c>
      <c r="B49" s="473"/>
      <c r="C49" s="450"/>
      <c r="D49" s="377">
        <f t="shared" ref="D49:D62" si="0">D48+C49</f>
        <v>0</v>
      </c>
      <c r="E49" s="377">
        <f t="shared" ref="E49:E63" si="1">(A49-A48)/366*$D$41*D48</f>
        <v>0</v>
      </c>
      <c r="F49" s="204"/>
      <c r="G49" s="204"/>
      <c r="H49" s="121"/>
      <c r="I49" s="86"/>
    </row>
    <row r="50" spans="1:9" s="45" customFormat="1" ht="13.5" customHeight="1" x14ac:dyDescent="0.2">
      <c r="A50" s="2137">
        <f>DATE(0+'Index and Structure'!$D$4-1,7,31)</f>
        <v>44408</v>
      </c>
      <c r="B50" s="473"/>
      <c r="C50" s="450"/>
      <c r="D50" s="377">
        <f t="shared" si="0"/>
        <v>0</v>
      </c>
      <c r="E50" s="377">
        <f t="shared" si="1"/>
        <v>0</v>
      </c>
      <c r="F50" s="204"/>
      <c r="G50" s="204"/>
      <c r="H50" s="121"/>
      <c r="I50" s="86"/>
    </row>
    <row r="51" spans="1:9" s="45" customFormat="1" ht="13.5" customHeight="1" x14ac:dyDescent="0.2">
      <c r="A51" s="2137">
        <f>DATE(0+'Index and Structure'!$D$4-1,8,31)</f>
        <v>44439</v>
      </c>
      <c r="B51" s="473"/>
      <c r="C51" s="450"/>
      <c r="D51" s="377">
        <f t="shared" si="0"/>
        <v>0</v>
      </c>
      <c r="E51" s="377">
        <f t="shared" si="1"/>
        <v>0</v>
      </c>
      <c r="F51" s="204"/>
      <c r="G51" s="204"/>
      <c r="H51" s="121"/>
      <c r="I51" s="86"/>
    </row>
    <row r="52" spans="1:9" s="45" customFormat="1" ht="13.5" customHeight="1" x14ac:dyDescent="0.2">
      <c r="A52" s="2137">
        <f>DATE(0+'Index and Structure'!$D$4-1,9,30)</f>
        <v>44469</v>
      </c>
      <c r="B52" s="473"/>
      <c r="C52" s="450"/>
      <c r="D52" s="377">
        <f t="shared" si="0"/>
        <v>0</v>
      </c>
      <c r="E52" s="377">
        <f t="shared" si="1"/>
        <v>0</v>
      </c>
      <c r="F52" s="204"/>
      <c r="G52" s="204"/>
      <c r="H52" s="121"/>
      <c r="I52" s="86"/>
    </row>
    <row r="53" spans="1:9" s="45" customFormat="1" ht="13.5" customHeight="1" x14ac:dyDescent="0.2">
      <c r="A53" s="2137">
        <f>DATE(0+'Index and Structure'!$D$4-1,10,31)</f>
        <v>44500</v>
      </c>
      <c r="B53" s="473"/>
      <c r="C53" s="450"/>
      <c r="D53" s="377">
        <f t="shared" si="0"/>
        <v>0</v>
      </c>
      <c r="E53" s="377">
        <f t="shared" si="1"/>
        <v>0</v>
      </c>
      <c r="F53" s="1767"/>
      <c r="G53" s="204"/>
      <c r="H53" s="121"/>
      <c r="I53" s="86"/>
    </row>
    <row r="54" spans="1:9" s="45" customFormat="1" ht="13.5" customHeight="1" x14ac:dyDescent="0.2">
      <c r="A54" s="2137">
        <f>DATE(0+'Index and Structure'!$D$4-1,11,30)</f>
        <v>44530</v>
      </c>
      <c r="B54" s="473"/>
      <c r="C54" s="450"/>
      <c r="D54" s="377">
        <f t="shared" si="0"/>
        <v>0</v>
      </c>
      <c r="E54" s="377">
        <f t="shared" si="1"/>
        <v>0</v>
      </c>
      <c r="F54" s="204"/>
      <c r="G54" s="204"/>
      <c r="H54" s="121"/>
      <c r="I54" s="86"/>
    </row>
    <row r="55" spans="1:9" s="45" customFormat="1" ht="13.5" customHeight="1" x14ac:dyDescent="0.2">
      <c r="A55" s="2137">
        <f>DATE(0+'Index and Structure'!$D$4-1,12,31)</f>
        <v>44561</v>
      </c>
      <c r="B55" s="473"/>
      <c r="C55" s="450"/>
      <c r="D55" s="377">
        <f t="shared" si="0"/>
        <v>0</v>
      </c>
      <c r="E55" s="377">
        <f t="shared" si="1"/>
        <v>0</v>
      </c>
      <c r="F55" s="204"/>
      <c r="G55" s="204"/>
      <c r="H55" s="121"/>
      <c r="I55" s="86"/>
    </row>
    <row r="56" spans="1:9" s="45" customFormat="1" ht="13.5" customHeight="1" x14ac:dyDescent="0.2">
      <c r="A56" s="2137">
        <f>DATE(0+'Index and Structure'!$D$4,1,31)</f>
        <v>44592</v>
      </c>
      <c r="B56" s="473"/>
      <c r="C56" s="450"/>
      <c r="D56" s="377">
        <f t="shared" si="0"/>
        <v>0</v>
      </c>
      <c r="E56" s="377">
        <f t="shared" si="1"/>
        <v>0</v>
      </c>
      <c r="F56" s="204"/>
      <c r="G56" s="204"/>
      <c r="H56" s="121"/>
      <c r="I56" s="86"/>
    </row>
    <row r="57" spans="1:9" s="45" customFormat="1" ht="13.5" customHeight="1" x14ac:dyDescent="0.2">
      <c r="A57" s="2137">
        <f>DATE(0+'Index and Structure'!$D$4,2,28)</f>
        <v>44620</v>
      </c>
      <c r="B57" s="474"/>
      <c r="C57" s="450"/>
      <c r="D57" s="377">
        <f t="shared" si="0"/>
        <v>0</v>
      </c>
      <c r="E57" s="377">
        <f t="shared" si="1"/>
        <v>0</v>
      </c>
      <c r="F57" s="204"/>
      <c r="G57" s="204"/>
      <c r="H57" s="121"/>
      <c r="I57" s="86"/>
    </row>
    <row r="58" spans="1:9" s="45" customFormat="1" ht="13.5" customHeight="1" x14ac:dyDescent="0.2">
      <c r="A58" s="2137">
        <f>DATE(0+'Index and Structure'!$D$4,3,31)</f>
        <v>44651</v>
      </c>
      <c r="B58" s="474"/>
      <c r="C58" s="450"/>
      <c r="D58" s="377">
        <f>D57+C58</f>
        <v>0</v>
      </c>
      <c r="E58" s="377">
        <f t="shared" si="1"/>
        <v>0</v>
      </c>
      <c r="F58" s="204"/>
      <c r="G58" s="204"/>
      <c r="H58" s="121"/>
      <c r="I58" s="86"/>
    </row>
    <row r="59" spans="1:9" s="45" customFormat="1" ht="13.5" customHeight="1" x14ac:dyDescent="0.2">
      <c r="A59" s="2137">
        <f>DATE(0+'Index and Structure'!$D$4,4,30)</f>
        <v>44681</v>
      </c>
      <c r="B59" s="474"/>
      <c r="C59" s="450"/>
      <c r="D59" s="377">
        <f t="shared" si="0"/>
        <v>0</v>
      </c>
      <c r="E59" s="377">
        <f>(A59-A58)/366*$D$41*D58</f>
        <v>0</v>
      </c>
      <c r="F59" s="204"/>
      <c r="G59" s="204"/>
      <c r="H59" s="121"/>
      <c r="I59" s="86"/>
    </row>
    <row r="60" spans="1:9" s="45" customFormat="1" ht="13.5" customHeight="1" x14ac:dyDescent="0.2">
      <c r="A60" s="2137">
        <f>DATE(0+'Index and Structure'!$D$4,5,31)</f>
        <v>44712</v>
      </c>
      <c r="B60" s="474"/>
      <c r="C60" s="450"/>
      <c r="D60" s="377">
        <f t="shared" si="0"/>
        <v>0</v>
      </c>
      <c r="E60" s="377">
        <f>(A60-A59)/366*$D$41*D59</f>
        <v>0</v>
      </c>
      <c r="F60" s="204"/>
      <c r="G60" s="204"/>
      <c r="H60" s="121"/>
      <c r="I60" s="86"/>
    </row>
    <row r="61" spans="1:9" s="45" customFormat="1" ht="13.5" customHeight="1" x14ac:dyDescent="0.2">
      <c r="A61" s="2137">
        <f>DATE(0+'Index and Structure'!$D$4,6,30)</f>
        <v>44742</v>
      </c>
      <c r="B61" s="474"/>
      <c r="C61" s="450"/>
      <c r="D61" s="377">
        <f t="shared" si="0"/>
        <v>0</v>
      </c>
      <c r="E61" s="377">
        <f t="shared" si="1"/>
        <v>0</v>
      </c>
      <c r="F61" s="204"/>
      <c r="G61" s="204"/>
      <c r="H61" s="121"/>
      <c r="I61" s="86"/>
    </row>
    <row r="62" spans="1:9" s="45" customFormat="1" ht="13.5" customHeight="1" x14ac:dyDescent="0.2">
      <c r="A62" s="2137">
        <f>DATE(0+'Index and Structure'!$D$4,6,30)</f>
        <v>44742</v>
      </c>
      <c r="B62" s="474"/>
      <c r="C62" s="450"/>
      <c r="D62" s="377">
        <f t="shared" si="0"/>
        <v>0</v>
      </c>
      <c r="E62" s="377">
        <f t="shared" si="1"/>
        <v>0</v>
      </c>
      <c r="F62" s="204"/>
      <c r="G62" s="204"/>
      <c r="H62" s="121"/>
      <c r="I62" s="86"/>
    </row>
    <row r="63" spans="1:9" s="45" customFormat="1" ht="13.5" customHeight="1" x14ac:dyDescent="0.2">
      <c r="A63" s="2137">
        <f>DATE(0+'Index and Structure'!$D$4,6,30)</f>
        <v>44742</v>
      </c>
      <c r="B63" s="474" t="s">
        <v>5</v>
      </c>
      <c r="C63" s="450">
        <f>E65</f>
        <v>0</v>
      </c>
      <c r="D63" s="377">
        <f>D62+C63</f>
        <v>0</v>
      </c>
      <c r="E63" s="377">
        <f t="shared" si="1"/>
        <v>0</v>
      </c>
      <c r="F63" s="204"/>
      <c r="G63" s="204"/>
      <c r="H63" s="121"/>
      <c r="I63" s="86"/>
    </row>
    <row r="64" spans="1:9" s="45" customFormat="1" ht="13.5" customHeight="1" x14ac:dyDescent="0.2">
      <c r="A64" s="242"/>
      <c r="B64" s="459"/>
      <c r="C64" s="167"/>
      <c r="D64" s="167"/>
      <c r="E64" s="167"/>
      <c r="F64" s="204"/>
      <c r="G64" s="204"/>
      <c r="H64" s="121"/>
      <c r="I64" s="86"/>
    </row>
    <row r="65" spans="1:9" s="45" customFormat="1" ht="13.5" customHeight="1" thickBot="1" x14ac:dyDescent="0.25">
      <c r="A65" s="242"/>
      <c r="B65" s="459"/>
      <c r="C65" s="167"/>
      <c r="D65" s="167"/>
      <c r="E65" s="380">
        <f>SUM(E47:E63)</f>
        <v>0</v>
      </c>
      <c r="F65" s="167"/>
      <c r="G65" s="204"/>
      <c r="H65" s="121"/>
      <c r="I65" s="86"/>
    </row>
    <row r="66" spans="1:9" s="45" customFormat="1" ht="13.5" customHeight="1" thickTop="1" x14ac:dyDescent="0.2">
      <c r="A66" s="197"/>
      <c r="B66" s="475"/>
      <c r="C66" s="167"/>
      <c r="D66" s="167"/>
      <c r="E66" s="167"/>
      <c r="F66" s="167"/>
      <c r="G66" s="167"/>
      <c r="H66" s="121"/>
      <c r="I66" s="476"/>
    </row>
    <row r="67" spans="1:9" s="45" customFormat="1" ht="13.5" customHeight="1" x14ac:dyDescent="0.2">
      <c r="A67" s="477" t="s">
        <v>794</v>
      </c>
      <c r="B67" s="475"/>
      <c r="C67" s="167"/>
      <c r="D67" s="167"/>
      <c r="E67" s="167"/>
      <c r="F67" s="167"/>
      <c r="G67" s="167"/>
      <c r="H67" s="121"/>
      <c r="I67" s="476"/>
    </row>
    <row r="68" spans="1:9" s="45" customFormat="1" ht="13.5" customHeight="1" x14ac:dyDescent="0.2">
      <c r="A68" s="197"/>
      <c r="B68" s="475"/>
      <c r="C68" s="167"/>
      <c r="D68" s="167"/>
      <c r="E68" s="167"/>
      <c r="F68" s="167"/>
      <c r="G68" s="167"/>
      <c r="H68" s="121"/>
      <c r="I68" s="476"/>
    </row>
    <row r="69" spans="1:9" s="45" customFormat="1" ht="13.5" customHeight="1" x14ac:dyDescent="0.2">
      <c r="A69" s="478" t="s">
        <v>793</v>
      </c>
      <c r="B69" s="479"/>
      <c r="C69" s="1920">
        <f>'Index and Structure'!D4</f>
        <v>2022</v>
      </c>
      <c r="D69" s="480">
        <f t="shared" ref="D69:I69" si="2">C69+1</f>
        <v>2023</v>
      </c>
      <c r="E69" s="480">
        <f t="shared" si="2"/>
        <v>2024</v>
      </c>
      <c r="F69" s="480">
        <f t="shared" si="2"/>
        <v>2025</v>
      </c>
      <c r="G69" s="480">
        <f t="shared" si="2"/>
        <v>2026</v>
      </c>
      <c r="H69" s="499">
        <f t="shared" si="2"/>
        <v>2027</v>
      </c>
      <c r="I69" s="480">
        <f t="shared" si="2"/>
        <v>2028</v>
      </c>
    </row>
    <row r="70" spans="1:9" s="45" customFormat="1" ht="13.5" customHeight="1" x14ac:dyDescent="0.2">
      <c r="A70" s="197"/>
      <c r="B70" s="475"/>
      <c r="C70" s="167"/>
      <c r="D70" s="167"/>
      <c r="E70" s="167"/>
      <c r="F70" s="167"/>
      <c r="G70" s="166"/>
      <c r="H70" s="121"/>
      <c r="I70" s="245"/>
    </row>
    <row r="71" spans="1:9" s="45" customFormat="1" ht="13.5" customHeight="1" x14ac:dyDescent="0.2">
      <c r="A71" s="197" t="s">
        <v>792</v>
      </c>
      <c r="B71" s="475"/>
      <c r="C71" s="1437">
        <f>D47</f>
        <v>0</v>
      </c>
      <c r="D71" s="1565">
        <f t="shared" ref="D71:I71" si="3">C71-C77+C71*C73</f>
        <v>0</v>
      </c>
      <c r="E71" s="1565">
        <f t="shared" si="3"/>
        <v>0</v>
      </c>
      <c r="F71" s="1565">
        <f t="shared" si="3"/>
        <v>0</v>
      </c>
      <c r="G71" s="1565">
        <f t="shared" si="3"/>
        <v>0</v>
      </c>
      <c r="H71" s="1565">
        <f t="shared" si="3"/>
        <v>0</v>
      </c>
      <c r="I71" s="1565">
        <f t="shared" si="3"/>
        <v>0</v>
      </c>
    </row>
    <row r="72" spans="1:9" s="45" customFormat="1" ht="13.5" customHeight="1" x14ac:dyDescent="0.2">
      <c r="A72" s="197"/>
      <c r="B72" s="475"/>
      <c r="C72" s="167"/>
      <c r="D72" s="167"/>
      <c r="E72" s="167"/>
      <c r="F72" s="167"/>
      <c r="G72" s="166"/>
      <c r="H72" s="121"/>
      <c r="I72" s="245"/>
    </row>
    <row r="73" spans="1:9" s="45" customFormat="1" ht="13.5" customHeight="1" x14ac:dyDescent="0.2">
      <c r="A73" s="197" t="s">
        <v>138</v>
      </c>
      <c r="B73" s="475"/>
      <c r="C73" s="481">
        <f>VLOOKUP(C69,$A$33:$D$39,4,FALSE)</f>
        <v>4.5199999999999997E-2</v>
      </c>
      <c r="D73" s="1566">
        <f>IFERROR(VLOOKUP(D69,$A$34:$D$39,4,FALSE),C73)</f>
        <v>4.5199999999999997E-2</v>
      </c>
      <c r="E73" s="1566">
        <f t="shared" ref="E73:I73" si="4">IFERROR(VLOOKUP(E69,$A$34:$D$39,4,FALSE),D73)</f>
        <v>4.5199999999999997E-2</v>
      </c>
      <c r="F73" s="1566">
        <f t="shared" si="4"/>
        <v>4.5199999999999997E-2</v>
      </c>
      <c r="G73" s="1566">
        <f t="shared" si="4"/>
        <v>4.5199999999999997E-2</v>
      </c>
      <c r="H73" s="1566">
        <f t="shared" si="4"/>
        <v>4.5199999999999997E-2</v>
      </c>
      <c r="I73" s="1566">
        <f t="shared" si="4"/>
        <v>4.5199999999999997E-2</v>
      </c>
    </row>
    <row r="74" spans="1:9" s="45" customFormat="1" ht="13.5" customHeight="1" x14ac:dyDescent="0.2">
      <c r="A74" s="197"/>
      <c r="B74" s="475"/>
      <c r="C74" s="167"/>
      <c r="D74" s="167"/>
      <c r="E74" s="167"/>
      <c r="F74" s="167"/>
      <c r="G74" s="166"/>
      <c r="H74" s="121"/>
      <c r="I74" s="245"/>
    </row>
    <row r="75" spans="1:9" s="45" customFormat="1" ht="13.5" customHeight="1" x14ac:dyDescent="0.2">
      <c r="A75" s="197" t="s">
        <v>140</v>
      </c>
      <c r="B75" s="475"/>
      <c r="C75" s="1918">
        <f>+$C$14-C$69+8</f>
        <v>7</v>
      </c>
      <c r="D75" s="1918">
        <f t="shared" ref="D75:I75" si="5">+$C$14-D$69+8</f>
        <v>6</v>
      </c>
      <c r="E75" s="1918">
        <f t="shared" si="5"/>
        <v>5</v>
      </c>
      <c r="F75" s="1918">
        <f t="shared" si="5"/>
        <v>4</v>
      </c>
      <c r="G75" s="1918">
        <f t="shared" si="5"/>
        <v>3</v>
      </c>
      <c r="H75" s="1918">
        <f t="shared" si="5"/>
        <v>2</v>
      </c>
      <c r="I75" s="1918">
        <f t="shared" si="5"/>
        <v>1</v>
      </c>
    </row>
    <row r="76" spans="1:9" s="45" customFormat="1" ht="13.5" customHeight="1" x14ac:dyDescent="0.2">
      <c r="A76" s="197"/>
      <c r="B76" s="475"/>
      <c r="C76" s="243"/>
      <c r="D76" s="243"/>
      <c r="E76" s="243"/>
      <c r="F76" s="243"/>
      <c r="G76" s="482"/>
      <c r="H76" s="504"/>
      <c r="I76" s="483"/>
    </row>
    <row r="77" spans="1:9" s="45" customFormat="1" ht="13.5" customHeight="1" thickBot="1" x14ac:dyDescent="0.25">
      <c r="A77" s="214" t="s">
        <v>791</v>
      </c>
      <c r="B77" s="475"/>
      <c r="C77" s="380">
        <f>C73*C71/(1-(1/(1+C73))^C75)</f>
        <v>0</v>
      </c>
      <c r="D77" s="380">
        <f t="shared" ref="D77:I77" si="6">D73*D71/(1-(1/(1+D73))^D75)</f>
        <v>0</v>
      </c>
      <c r="E77" s="380">
        <f t="shared" si="6"/>
        <v>0</v>
      </c>
      <c r="F77" s="380">
        <f t="shared" si="6"/>
        <v>0</v>
      </c>
      <c r="G77" s="381">
        <f t="shared" si="6"/>
        <v>0</v>
      </c>
      <c r="H77" s="380">
        <f t="shared" si="6"/>
        <v>0</v>
      </c>
      <c r="I77" s="484">
        <f t="shared" si="6"/>
        <v>0</v>
      </c>
    </row>
    <row r="78" spans="1:9" s="45" customFormat="1" ht="13.5" customHeight="1" thickTop="1" x14ac:dyDescent="0.2">
      <c r="A78" s="197"/>
      <c r="B78" s="475"/>
      <c r="C78" s="193"/>
      <c r="D78" s="193"/>
      <c r="E78" s="193"/>
      <c r="F78" s="193"/>
      <c r="G78" s="485"/>
      <c r="H78" s="494"/>
      <c r="I78" s="238"/>
    </row>
    <row r="79" spans="1:9" s="45" customFormat="1" ht="13.5" customHeight="1" thickBot="1" x14ac:dyDescent="0.25">
      <c r="A79" s="356"/>
      <c r="B79" s="454"/>
      <c r="C79" s="168"/>
      <c r="D79" s="168"/>
      <c r="E79" s="165"/>
      <c r="F79" s="165"/>
      <c r="G79" s="204"/>
      <c r="H79" s="121"/>
      <c r="I79" s="86"/>
    </row>
    <row r="80" spans="1:9" s="45" customFormat="1" ht="21.75" customHeight="1" thickBot="1" x14ac:dyDescent="0.25">
      <c r="A80" s="475"/>
      <c r="B80" s="1438" t="s">
        <v>252</v>
      </c>
      <c r="C80" s="486"/>
      <c r="D80" s="487"/>
      <c r="E80" s="475"/>
      <c r="F80" s="165"/>
      <c r="G80" s="204"/>
      <c r="H80" s="121"/>
      <c r="I80" s="86"/>
    </row>
    <row r="81" spans="1:9" s="45" customFormat="1" ht="13.5" customHeight="1" thickBot="1" x14ac:dyDescent="0.25">
      <c r="A81" s="356"/>
      <c r="B81" s="454"/>
      <c r="C81" s="168"/>
      <c r="D81" s="168"/>
      <c r="E81" s="165"/>
      <c r="F81" s="165"/>
      <c r="G81" s="204"/>
      <c r="H81" s="121"/>
      <c r="I81" s="86"/>
    </row>
    <row r="82" spans="1:9" s="45" customFormat="1" ht="13.5" customHeight="1" x14ac:dyDescent="0.2">
      <c r="A82" s="347"/>
      <c r="B82" s="2398" t="s">
        <v>648</v>
      </c>
      <c r="C82" s="2399"/>
      <c r="D82" s="2399"/>
      <c r="E82" s="2399"/>
      <c r="F82" s="2399"/>
      <c r="G82" s="2400"/>
      <c r="H82" s="503"/>
      <c r="I82" s="65"/>
    </row>
    <row r="83" spans="1:9" s="45" customFormat="1" ht="13.5" customHeight="1" x14ac:dyDescent="0.2">
      <c r="A83" s="347"/>
      <c r="B83" s="2401"/>
      <c r="C83" s="2402"/>
      <c r="D83" s="2402"/>
      <c r="E83" s="2402"/>
      <c r="F83" s="2402"/>
      <c r="G83" s="2403"/>
      <c r="H83" s="503"/>
      <c r="I83" s="65"/>
    </row>
    <row r="84" spans="1:9" s="45" customFormat="1" ht="13.5" customHeight="1" thickBot="1" x14ac:dyDescent="0.25">
      <c r="A84" s="347"/>
      <c r="B84" s="2404"/>
      <c r="C84" s="2405"/>
      <c r="D84" s="2405"/>
      <c r="E84" s="2405"/>
      <c r="F84" s="2405"/>
      <c r="G84" s="2406"/>
      <c r="H84" s="503"/>
      <c r="I84" s="65"/>
    </row>
    <row r="85" spans="1:9" s="45" customFormat="1" ht="13.5" customHeight="1" x14ac:dyDescent="0.2">
      <c r="A85" s="106"/>
      <c r="B85" s="69"/>
      <c r="C85" s="46"/>
      <c r="D85" s="56"/>
      <c r="E85" s="46"/>
      <c r="F85" s="46"/>
      <c r="G85" s="57"/>
      <c r="H85" s="121"/>
      <c r="I85" s="65"/>
    </row>
    <row r="86" spans="1:9" s="45" customFormat="1" ht="13.5" customHeight="1" x14ac:dyDescent="0.2">
      <c r="A86" s="219"/>
      <c r="B86" s="488"/>
      <c r="C86" s="249"/>
      <c r="D86" s="249"/>
      <c r="E86" s="249"/>
      <c r="F86" s="249"/>
      <c r="G86" s="397"/>
      <c r="H86" s="505"/>
      <c r="I86" s="87"/>
    </row>
  </sheetData>
  <mergeCells count="3">
    <mergeCell ref="A2:C2"/>
    <mergeCell ref="B7:D7"/>
    <mergeCell ref="B82:G84"/>
  </mergeCells>
  <hyperlinks>
    <hyperlink ref="A2" location="'Index and Structure'!A1" display="The Macro Group" xr:uid="{67D54CA9-0E28-405E-BC98-7432CFC942E1}"/>
    <hyperlink ref="B80" r:id="rId1" xr:uid="{9B9FDD53-BC80-4BDF-9571-FD223EBBBCEF}"/>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6165">
    <pageSetUpPr fitToPage="1"/>
  </sheetPr>
  <dimension ref="A1:T82"/>
  <sheetViews>
    <sheetView showGridLines="0" zoomScale="70" zoomScaleNormal="70" zoomScaleSheetLayoutView="100" workbookViewId="0">
      <selection activeCell="R80" sqref="R80"/>
    </sheetView>
  </sheetViews>
  <sheetFormatPr defaultColWidth="9.140625" defaultRowHeight="15" x14ac:dyDescent="0.25"/>
  <cols>
    <col min="1" max="2" width="11.42578125" style="19" customWidth="1"/>
    <col min="3" max="3" width="13.7109375" style="19" customWidth="1"/>
    <col min="4" max="4" width="9.28515625" style="19" customWidth="1"/>
    <col min="5" max="5" width="12.140625" style="19" customWidth="1"/>
    <col min="6" max="6" width="15.85546875" style="28" customWidth="1"/>
    <col min="7" max="7" width="19.140625" style="19" customWidth="1"/>
    <col min="8" max="8" width="17.140625" style="19" customWidth="1"/>
    <col min="9" max="9" width="10.42578125" style="19" customWidth="1"/>
    <col min="10" max="10" width="11.140625" style="19" bestFit="1" customWidth="1"/>
    <col min="11" max="14" width="9.140625" style="19"/>
    <col min="15" max="15" width="7.5703125" style="19" bestFit="1" customWidth="1"/>
    <col min="16" max="17" width="9.140625" style="19"/>
    <col min="18" max="18" width="24" style="19" bestFit="1" customWidth="1"/>
    <col min="19" max="19" width="9.140625" style="19"/>
    <col min="20" max="20" width="11.140625" style="19" bestFit="1" customWidth="1"/>
    <col min="21" max="16384" width="9.140625" style="19"/>
  </cols>
  <sheetData>
    <row r="1" spans="1:20" ht="5.25" customHeight="1" thickBot="1" x14ac:dyDescent="0.3"/>
    <row r="2" spans="1:20" ht="19.899999999999999" customHeight="1" thickBot="1" x14ac:dyDescent="0.35">
      <c r="A2" s="2269" t="s">
        <v>44</v>
      </c>
      <c r="B2" s="2301"/>
      <c r="C2" s="2270"/>
      <c r="D2" s="21"/>
      <c r="E2" s="21"/>
      <c r="F2" s="520"/>
      <c r="G2" s="21"/>
      <c r="H2" s="20"/>
    </row>
    <row r="3" spans="1:20" ht="27" customHeight="1" x14ac:dyDescent="0.25">
      <c r="A3" s="22"/>
    </row>
    <row r="4" spans="1:20" ht="19.5" customHeight="1" x14ac:dyDescent="0.25">
      <c r="A4" s="21"/>
    </row>
    <row r="5" spans="1:20" ht="5.25" customHeight="1" x14ac:dyDescent="0.25">
      <c r="A5" s="23"/>
      <c r="B5" s="24"/>
      <c r="C5" s="25"/>
      <c r="E5" s="23"/>
      <c r="F5" s="74"/>
      <c r="G5" s="24"/>
      <c r="H5" s="25"/>
    </row>
    <row r="6" spans="1:20" ht="14.25" customHeight="1" x14ac:dyDescent="0.25">
      <c r="A6" s="26" t="s">
        <v>40</v>
      </c>
      <c r="B6" s="28" t="str">
        <f>'Index and Structure'!B2</f>
        <v>Nicolo Superannuation fund</v>
      </c>
      <c r="C6" s="29"/>
      <c r="D6" s="30"/>
      <c r="E6" s="31" t="s">
        <v>38</v>
      </c>
      <c r="F6" s="32" t="str">
        <f>'Index and Structure'!B5</f>
        <v>NICO0024</v>
      </c>
      <c r="H6" s="33"/>
    </row>
    <row r="7" spans="1:20" ht="14.25" customHeight="1" x14ac:dyDescent="0.25">
      <c r="A7" s="26" t="s">
        <v>45</v>
      </c>
      <c r="B7" s="28" t="str">
        <f>'Index and Structure'!F19&amp;'Index and Structure'!G19</f>
        <v>GST Rec (MYOB)</v>
      </c>
      <c r="C7" s="29"/>
      <c r="D7" s="30"/>
      <c r="E7" s="34" t="s">
        <v>41</v>
      </c>
      <c r="F7" s="28" t="str">
        <f>'Index and Structure'!B6</f>
        <v>Liam Aubin</v>
      </c>
      <c r="G7" s="1864" t="s">
        <v>42</v>
      </c>
      <c r="H7" s="35"/>
    </row>
    <row r="8" spans="1:20" ht="14.25" customHeight="1" x14ac:dyDescent="0.25">
      <c r="A8" s="36" t="s">
        <v>46</v>
      </c>
      <c r="B8" s="37" t="str">
        <f>'Index and Structure'!B4</f>
        <v>30 June 2022</v>
      </c>
      <c r="C8" s="38"/>
      <c r="D8" s="30"/>
      <c r="E8" s="39" t="s">
        <v>43</v>
      </c>
      <c r="F8" s="40" t="str">
        <f>'Index and Structure'!B7</f>
        <v>Nicole Bryant</v>
      </c>
      <c r="G8" s="1865" t="s">
        <v>42</v>
      </c>
      <c r="H8" s="41"/>
    </row>
    <row r="9" spans="1:20" ht="14.25" customHeight="1" x14ac:dyDescent="0.25">
      <c r="A9" s="27"/>
      <c r="B9" s="1768"/>
      <c r="C9" s="1769"/>
      <c r="D9" s="30"/>
      <c r="E9" s="1770"/>
      <c r="G9" s="27"/>
      <c r="H9" s="1771"/>
    </row>
    <row r="10" spans="1:20" ht="27" customHeight="1" x14ac:dyDescent="0.25">
      <c r="A10" s="2427" t="s">
        <v>703</v>
      </c>
      <c r="B10" s="2427"/>
      <c r="C10" s="2427"/>
      <c r="D10" s="2427"/>
      <c r="E10" s="2427"/>
      <c r="F10" s="2427"/>
      <c r="G10" s="2427"/>
      <c r="H10" s="2427"/>
      <c r="I10" s="2427"/>
      <c r="J10" s="2427"/>
      <c r="K10" s="2427"/>
      <c r="L10" s="2427"/>
      <c r="M10" s="2427"/>
      <c r="N10" s="2427"/>
      <c r="O10" s="2427"/>
      <c r="P10" s="2427"/>
      <c r="Q10" s="2427"/>
      <c r="R10" s="2427"/>
      <c r="S10" s="2427"/>
    </row>
    <row r="11" spans="1:20" ht="15.75" customHeight="1" x14ac:dyDescent="0.25">
      <c r="A11"/>
      <c r="B11"/>
      <c r="C11"/>
      <c r="D11"/>
      <c r="E11"/>
      <c r="F11"/>
      <c r="G11"/>
      <c r="H11"/>
      <c r="I11"/>
      <c r="J11"/>
      <c r="K11"/>
      <c r="L11"/>
      <c r="M11"/>
      <c r="N11"/>
      <c r="O11"/>
      <c r="P11"/>
      <c r="Q11"/>
      <c r="R11"/>
      <c r="S11"/>
    </row>
    <row r="12" spans="1:20" s="45" customFormat="1" ht="13.5" customHeight="1" x14ac:dyDescent="0.2">
      <c r="A12" s="2427" t="s">
        <v>704</v>
      </c>
      <c r="B12" s="2427"/>
      <c r="C12" s="2427"/>
      <c r="D12" s="2427"/>
      <c r="E12" s="2427"/>
      <c r="F12" s="2427"/>
      <c r="G12" s="2427"/>
      <c r="H12" s="2427"/>
      <c r="I12" s="2427"/>
      <c r="J12" s="2427"/>
      <c r="K12" s="2427"/>
      <c r="L12" s="2427"/>
      <c r="M12" s="2427"/>
      <c r="N12" s="2427"/>
      <c r="O12" s="2427"/>
      <c r="P12" s="2427"/>
      <c r="Q12" s="2427"/>
      <c r="R12" s="2427"/>
      <c r="S12" s="2427"/>
      <c r="T12" s="1736"/>
    </row>
    <row r="13" spans="1:20" s="45" customFormat="1" ht="13.5" customHeight="1" x14ac:dyDescent="0.2">
      <c r="A13" s="1736"/>
      <c r="B13" s="1736"/>
      <c r="C13" s="1736"/>
      <c r="D13" s="1736"/>
      <c r="E13" s="1736"/>
      <c r="F13" s="1736"/>
      <c r="G13" s="1736"/>
      <c r="H13" s="1736"/>
      <c r="I13" s="1736"/>
      <c r="J13" s="1736"/>
      <c r="K13" s="1736"/>
      <c r="L13"/>
      <c r="M13"/>
      <c r="N13"/>
      <c r="O13"/>
      <c r="P13"/>
      <c r="Q13"/>
      <c r="R13"/>
      <c r="S13"/>
    </row>
    <row r="14" spans="1:20" s="45" customFormat="1" ht="13.5" customHeight="1" x14ac:dyDescent="0.2">
      <c r="A14" s="1721"/>
      <c r="B14" s="2422"/>
      <c r="C14" s="2423"/>
      <c r="D14" s="1697" t="s">
        <v>658</v>
      </c>
      <c r="E14" s="1697"/>
      <c r="F14" s="1697" t="s">
        <v>6</v>
      </c>
      <c r="G14" s="1697" t="s">
        <v>7</v>
      </c>
      <c r="H14" s="1697" t="s">
        <v>8</v>
      </c>
      <c r="I14" s="1697" t="s">
        <v>9</v>
      </c>
      <c r="J14" s="1697" t="s">
        <v>10</v>
      </c>
      <c r="K14" s="1697" t="s">
        <v>11</v>
      </c>
      <c r="L14" s="1697" t="s">
        <v>12</v>
      </c>
      <c r="M14" s="1697" t="s">
        <v>13</v>
      </c>
      <c r="N14" s="1697" t="s">
        <v>14</v>
      </c>
      <c r="O14" s="1697" t="s">
        <v>15</v>
      </c>
      <c r="P14" s="1697" t="s">
        <v>16</v>
      </c>
      <c r="Q14" s="1697" t="s">
        <v>17</v>
      </c>
      <c r="R14" s="1698" t="s">
        <v>33</v>
      </c>
      <c r="S14" s="1722"/>
    </row>
    <row r="15" spans="1:20" s="45" customFormat="1" ht="13.5" customHeight="1" x14ac:dyDescent="0.2">
      <c r="A15" s="1723"/>
      <c r="B15"/>
      <c r="C15"/>
      <c r="D15"/>
      <c r="E15"/>
      <c r="F15"/>
      <c r="G15"/>
      <c r="H15"/>
      <c r="I15"/>
      <c r="J15"/>
      <c r="K15"/>
      <c r="L15"/>
      <c r="M15"/>
      <c r="N15"/>
      <c r="O15"/>
      <c r="P15"/>
      <c r="Q15"/>
      <c r="R15"/>
      <c r="S15" s="1722"/>
    </row>
    <row r="16" spans="1:20" s="45" customFormat="1" ht="13.5" customHeight="1" x14ac:dyDescent="0.2">
      <c r="A16" s="1723"/>
      <c r="B16" s="2421" t="s">
        <v>659</v>
      </c>
      <c r="C16" s="2421"/>
      <c r="D16" s="1699" t="s">
        <v>95</v>
      </c>
      <c r="E16" s="1699"/>
      <c r="F16" s="1700"/>
      <c r="G16" s="1700"/>
      <c r="H16" s="1700"/>
      <c r="I16" s="1700"/>
      <c r="J16" s="1700"/>
      <c r="K16" s="1700"/>
      <c r="L16" s="1700"/>
      <c r="M16" s="1700"/>
      <c r="N16" s="1700"/>
      <c r="O16" s="1700"/>
      <c r="P16" s="1700"/>
      <c r="Q16" s="1700"/>
      <c r="R16" s="1701">
        <f>SUM(F16:Q16)</f>
        <v>0</v>
      </c>
      <c r="S16" s="1722"/>
    </row>
    <row r="17" spans="1:19" s="45" customFormat="1" ht="13.5" customHeight="1" x14ac:dyDescent="0.2">
      <c r="A17" s="1723"/>
      <c r="B17" s="2421" t="s">
        <v>660</v>
      </c>
      <c r="C17" s="2421"/>
      <c r="D17" s="1699" t="s">
        <v>253</v>
      </c>
      <c r="E17" s="1699"/>
      <c r="F17" s="1700"/>
      <c r="G17" s="1700"/>
      <c r="H17" s="1700"/>
      <c r="I17" s="1700"/>
      <c r="J17" s="1700"/>
      <c r="K17" s="1700"/>
      <c r="L17" s="1700"/>
      <c r="M17" s="1700"/>
      <c r="N17" s="1700"/>
      <c r="O17" s="1700"/>
      <c r="P17" s="1700"/>
      <c r="Q17" s="1700"/>
      <c r="R17" s="1701">
        <f>SUM(F17:Q17)</f>
        <v>0</v>
      </c>
      <c r="S17" s="1722"/>
    </row>
    <row r="18" spans="1:19" s="45" customFormat="1" ht="13.5" customHeight="1" x14ac:dyDescent="0.2">
      <c r="A18" s="1723"/>
      <c r="B18" s="2421" t="s">
        <v>661</v>
      </c>
      <c r="C18" s="2421"/>
      <c r="D18" s="1699" t="s">
        <v>96</v>
      </c>
      <c r="E18" s="1699"/>
      <c r="F18" s="1700"/>
      <c r="G18" s="1700"/>
      <c r="H18" s="1700"/>
      <c r="I18" s="1700"/>
      <c r="J18" s="1700"/>
      <c r="K18" s="1700"/>
      <c r="L18" s="1700"/>
      <c r="M18" s="1700"/>
      <c r="N18" s="1700"/>
      <c r="O18" s="1700"/>
      <c r="P18" s="1700"/>
      <c r="Q18" s="1700"/>
      <c r="R18" s="1701">
        <f>SUM(F18:Q18)</f>
        <v>0</v>
      </c>
      <c r="S18" s="1722"/>
    </row>
    <row r="19" spans="1:19" s="45" customFormat="1" ht="13.5" customHeight="1" x14ac:dyDescent="0.2">
      <c r="A19" s="1723"/>
      <c r="B19" s="2420" t="s">
        <v>662</v>
      </c>
      <c r="C19" s="2420"/>
      <c r="D19" s="1699" t="s">
        <v>101</v>
      </c>
      <c r="E19" s="1699"/>
      <c r="F19" s="1700"/>
      <c r="G19" s="1700"/>
      <c r="H19" s="1700"/>
      <c r="I19" s="1700"/>
      <c r="J19" s="1700"/>
      <c r="K19" s="1700"/>
      <c r="L19" s="1700"/>
      <c r="M19" s="1700"/>
      <c r="N19" s="1700"/>
      <c r="O19" s="1700"/>
      <c r="P19" s="1700"/>
      <c r="Q19" s="1700"/>
      <c r="R19" s="1701">
        <f>SUM(F19:Q19)</f>
        <v>0</v>
      </c>
      <c r="S19" s="1722"/>
    </row>
    <row r="20" spans="1:19" s="45" customFormat="1" ht="13.5" customHeight="1" x14ac:dyDescent="0.2">
      <c r="A20" s="1723"/>
      <c r="B20" s="1702"/>
      <c r="C20" s="1702"/>
      <c r="D20" s="1699"/>
      <c r="E20" s="1699"/>
      <c r="F20"/>
      <c r="G20"/>
      <c r="H20"/>
      <c r="I20"/>
      <c r="J20"/>
      <c r="K20"/>
      <c r="L20"/>
      <c r="M20"/>
      <c r="N20"/>
      <c r="O20"/>
      <c r="P20"/>
      <c r="Q20"/>
      <c r="R20" s="1724"/>
      <c r="S20" s="1722"/>
    </row>
    <row r="21" spans="1:19" s="45" customFormat="1" ht="13.5" customHeight="1" x14ac:dyDescent="0.2">
      <c r="A21" s="1723"/>
      <c r="B21" s="2421" t="s">
        <v>663</v>
      </c>
      <c r="C21" s="2421"/>
      <c r="D21" s="1699" t="s">
        <v>97</v>
      </c>
      <c r="E21" s="1699"/>
      <c r="F21" s="1700"/>
      <c r="G21" s="1700"/>
      <c r="H21" s="1700"/>
      <c r="I21" s="1700"/>
      <c r="J21" s="1700"/>
      <c r="K21" s="1700"/>
      <c r="L21" s="1700"/>
      <c r="M21" s="1700"/>
      <c r="N21" s="1700"/>
      <c r="O21" s="1700"/>
      <c r="P21" s="1700"/>
      <c r="Q21" s="1700"/>
      <c r="R21" s="1701">
        <f>SUM(F21:Q21)</f>
        <v>0</v>
      </c>
      <c r="S21" s="1722"/>
    </row>
    <row r="22" spans="1:19" s="45" customFormat="1" ht="13.5" customHeight="1" x14ac:dyDescent="0.2">
      <c r="A22" s="1723"/>
      <c r="B22" s="2421" t="s">
        <v>664</v>
      </c>
      <c r="C22" s="2421"/>
      <c r="D22" s="1699" t="s">
        <v>98</v>
      </c>
      <c r="E22" s="1699"/>
      <c r="F22" s="1700"/>
      <c r="G22" s="1700"/>
      <c r="H22" s="1700"/>
      <c r="I22" s="1700"/>
      <c r="J22" s="1700"/>
      <c r="K22" s="1700"/>
      <c r="L22" s="1700"/>
      <c r="M22" s="1700"/>
      <c r="N22" s="1700"/>
      <c r="O22" s="1700"/>
      <c r="P22" s="1700"/>
      <c r="Q22" s="1700"/>
      <c r="R22" s="1701">
        <f>SUM(F22:Q22)</f>
        <v>0</v>
      </c>
      <c r="S22" s="1722"/>
    </row>
    <row r="23" spans="1:19" s="45" customFormat="1" ht="13.5" customHeight="1" x14ac:dyDescent="0.2">
      <c r="A23" s="1723"/>
      <c r="B23" s="2420" t="s">
        <v>665</v>
      </c>
      <c r="C23" s="2420"/>
      <c r="D23" s="1699" t="s">
        <v>105</v>
      </c>
      <c r="E23" s="1699"/>
      <c r="F23" s="1700"/>
      <c r="G23" s="1700"/>
      <c r="H23" s="1700"/>
      <c r="I23" s="1700"/>
      <c r="J23" s="1700"/>
      <c r="K23" s="1700"/>
      <c r="L23" s="1700"/>
      <c r="M23" s="1700"/>
      <c r="N23" s="1700"/>
      <c r="O23" s="1700"/>
      <c r="P23" s="1700"/>
      <c r="Q23" s="1700"/>
      <c r="R23" s="1701">
        <f>SUM(F23:Q23)</f>
        <v>0</v>
      </c>
      <c r="S23" s="1722"/>
    </row>
    <row r="24" spans="1:19" s="45" customFormat="1" ht="13.5" customHeight="1" x14ac:dyDescent="0.2">
      <c r="A24" s="1723"/>
      <c r="B24" s="1702"/>
      <c r="C24" s="1702"/>
      <c r="D24" s="1699"/>
      <c r="E24" s="1699"/>
      <c r="F24"/>
      <c r="G24"/>
      <c r="H24"/>
      <c r="I24"/>
      <c r="J24"/>
      <c r="K24"/>
      <c r="L24"/>
      <c r="M24"/>
      <c r="N24"/>
      <c r="O24"/>
      <c r="P24"/>
      <c r="Q24"/>
      <c r="R24" s="1724"/>
      <c r="S24" s="1722"/>
    </row>
    <row r="25" spans="1:19" s="45" customFormat="1" x14ac:dyDescent="0.2">
      <c r="A25" s="1723"/>
      <c r="B25" s="2420" t="s">
        <v>666</v>
      </c>
      <c r="C25" s="2420"/>
      <c r="D25" s="1699" t="s">
        <v>99</v>
      </c>
      <c r="E25" s="1699"/>
      <c r="F25" s="1700"/>
      <c r="G25" s="1700"/>
      <c r="H25" s="1700"/>
      <c r="I25" s="1700"/>
      <c r="J25" s="1700"/>
      <c r="K25" s="1700"/>
      <c r="L25" s="1700"/>
      <c r="M25" s="1700"/>
      <c r="N25" s="1700"/>
      <c r="O25" s="1700"/>
      <c r="P25" s="1700"/>
      <c r="Q25" s="1700"/>
      <c r="R25" s="1701">
        <f>SUM(F25:Q25)</f>
        <v>0</v>
      </c>
      <c r="S25" s="1722"/>
    </row>
    <row r="26" spans="1:19" s="45" customFormat="1" ht="13.5" customHeight="1" x14ac:dyDescent="0.2">
      <c r="A26" s="1723"/>
      <c r="B26" s="2420" t="s">
        <v>667</v>
      </c>
      <c r="C26" s="2420"/>
      <c r="D26" s="1699">
        <v>4</v>
      </c>
      <c r="E26" s="1699"/>
      <c r="F26" s="1700"/>
      <c r="G26" s="1700"/>
      <c r="H26" s="1700"/>
      <c r="I26" s="1700"/>
      <c r="J26" s="1700"/>
      <c r="K26" s="1700"/>
      <c r="L26" s="1700"/>
      <c r="M26" s="1700"/>
      <c r="N26" s="1700"/>
      <c r="O26" s="1700"/>
      <c r="P26" s="1700"/>
      <c r="Q26" s="1700"/>
      <c r="R26" s="1701">
        <f>SUM(F26:Q26)</f>
        <v>0</v>
      </c>
      <c r="S26" s="1722"/>
    </row>
    <row r="27" spans="1:19" s="45" customFormat="1" ht="13.5" customHeight="1" x14ac:dyDescent="0.2">
      <c r="A27" s="1725"/>
      <c r="B27" s="1726"/>
      <c r="C27" s="1726"/>
      <c r="D27" s="1726"/>
      <c r="E27" s="1726"/>
      <c r="F27" s="1726"/>
      <c r="G27" s="1726"/>
      <c r="H27" s="1726"/>
      <c r="I27" s="1726"/>
      <c r="J27" s="1726"/>
      <c r="K27" s="1726"/>
      <c r="L27" s="1726"/>
      <c r="M27" s="1726"/>
      <c r="N27" s="1726"/>
      <c r="O27" s="1726"/>
      <c r="P27" s="1726"/>
      <c r="Q27" s="1726"/>
      <c r="R27" s="1726"/>
      <c r="S27" s="1727"/>
    </row>
    <row r="28" spans="1:19" s="45" customFormat="1" ht="13.5" customHeight="1" x14ac:dyDescent="0.2">
      <c r="A28"/>
      <c r="B28"/>
      <c r="C28"/>
      <c r="D28"/>
      <c r="E28"/>
      <c r="F28"/>
      <c r="G28"/>
      <c r="H28"/>
      <c r="I28"/>
      <c r="J28"/>
      <c r="K28"/>
      <c r="L28"/>
      <c r="M28"/>
      <c r="N28"/>
      <c r="O28"/>
      <c r="P28"/>
      <c r="Q28"/>
      <c r="R28"/>
      <c r="S28"/>
    </row>
    <row r="29" spans="1:19" s="45" customFormat="1" ht="13.5" customHeight="1" x14ac:dyDescent="0.2">
      <c r="A29" s="2428" t="s">
        <v>705</v>
      </c>
      <c r="B29" s="2428"/>
      <c r="C29" s="2428"/>
      <c r="D29" s="2428"/>
      <c r="E29" s="2428"/>
      <c r="F29" s="2428"/>
      <c r="G29" s="2428"/>
      <c r="H29" s="2428"/>
      <c r="I29" s="2428"/>
      <c r="J29" s="2428"/>
      <c r="K29" s="2428"/>
      <c r="L29" s="2428"/>
      <c r="M29" s="2428"/>
      <c r="N29" s="2428"/>
      <c r="O29" s="2428"/>
      <c r="P29" s="2428"/>
      <c r="Q29" s="2428"/>
      <c r="R29" s="2428"/>
      <c r="S29" s="2428"/>
    </row>
    <row r="30" spans="1:19" s="45" customFormat="1" ht="12.75" customHeight="1" x14ac:dyDescent="0.2">
      <c r="A30" s="1728"/>
      <c r="B30" s="1729"/>
      <c r="C30" s="1729"/>
      <c r="D30" s="1729"/>
      <c r="E30" s="1729"/>
      <c r="F30" s="1729"/>
      <c r="G30" s="1729"/>
      <c r="H30" s="1729"/>
      <c r="I30" s="1729"/>
      <c r="J30" s="1729"/>
      <c r="K30" s="1729"/>
      <c r="L30" s="1729"/>
      <c r="M30" s="1729"/>
      <c r="N30" s="1729"/>
      <c r="O30" s="1729"/>
      <c r="P30" s="1729"/>
      <c r="Q30" s="1729"/>
      <c r="R30" s="1729"/>
      <c r="S30" s="1730"/>
    </row>
    <row r="31" spans="1:19" s="45" customFormat="1" ht="13.5" customHeight="1" x14ac:dyDescent="0.2">
      <c r="A31" s="1731"/>
      <c r="B31" s="2422"/>
      <c r="C31" s="2423"/>
      <c r="D31" s="1697" t="s">
        <v>658</v>
      </c>
      <c r="E31" s="1697"/>
      <c r="F31" s="1697" t="s">
        <v>6</v>
      </c>
      <c r="G31" s="1697" t="s">
        <v>7</v>
      </c>
      <c r="H31" s="1697" t="s">
        <v>8</v>
      </c>
      <c r="I31" s="1697" t="s">
        <v>9</v>
      </c>
      <c r="J31" s="1697" t="s">
        <v>10</v>
      </c>
      <c r="K31" s="1697" t="s">
        <v>11</v>
      </c>
      <c r="L31" s="1697" t="s">
        <v>12</v>
      </c>
      <c r="M31" s="1697" t="s">
        <v>13</v>
      </c>
      <c r="N31" s="1697" t="s">
        <v>14</v>
      </c>
      <c r="O31" s="1697" t="s">
        <v>15</v>
      </c>
      <c r="P31" s="1697" t="s">
        <v>16</v>
      </c>
      <c r="Q31" s="1697" t="s">
        <v>17</v>
      </c>
      <c r="R31" s="1698" t="s">
        <v>33</v>
      </c>
      <c r="S31" s="1732"/>
    </row>
    <row r="32" spans="1:19" s="45" customFormat="1" ht="13.5" customHeight="1" x14ac:dyDescent="0.2">
      <c r="A32" s="1731"/>
      <c r="B32"/>
      <c r="C32"/>
      <c r="D32"/>
      <c r="E32"/>
      <c r="F32"/>
      <c r="G32"/>
      <c r="H32"/>
      <c r="I32"/>
      <c r="J32"/>
      <c r="K32"/>
      <c r="L32"/>
      <c r="M32"/>
      <c r="N32"/>
      <c r="O32"/>
      <c r="P32"/>
      <c r="Q32"/>
      <c r="R32"/>
      <c r="S32" s="1732"/>
    </row>
    <row r="33" spans="1:19" s="45" customFormat="1" ht="13.5" customHeight="1" x14ac:dyDescent="0.2">
      <c r="A33" s="1731"/>
      <c r="B33" s="2421" t="s">
        <v>668</v>
      </c>
      <c r="C33" s="2421"/>
      <c r="D33" s="1699" t="s">
        <v>101</v>
      </c>
      <c r="E33" s="1699"/>
      <c r="F33" s="1700"/>
      <c r="G33" s="1700"/>
      <c r="H33" s="1700"/>
      <c r="I33" s="1700"/>
      <c r="J33" s="1700"/>
      <c r="K33" s="1700"/>
      <c r="L33" s="1700"/>
      <c r="M33" s="1700"/>
      <c r="N33" s="1700"/>
      <c r="O33" s="1700"/>
      <c r="P33" s="1700"/>
      <c r="Q33" s="1700"/>
      <c r="R33" s="1701">
        <f>SUM(F33:Q33)</f>
        <v>0</v>
      </c>
      <c r="S33" s="1732"/>
    </row>
    <row r="34" spans="1:19" s="45" customFormat="1" ht="13.5" customHeight="1" x14ac:dyDescent="0.2">
      <c r="A34" s="1731"/>
      <c r="B34" s="2421" t="s">
        <v>669</v>
      </c>
      <c r="C34" s="2421"/>
      <c r="D34" s="1699" t="s">
        <v>105</v>
      </c>
      <c r="E34" s="1699"/>
      <c r="F34" s="1700"/>
      <c r="G34" s="1700"/>
      <c r="H34" s="1700"/>
      <c r="I34" s="1700"/>
      <c r="J34" s="1700"/>
      <c r="K34" s="1700"/>
      <c r="L34" s="1700"/>
      <c r="M34" s="1700"/>
      <c r="N34" s="1700"/>
      <c r="O34" s="1700"/>
      <c r="P34" s="1700"/>
      <c r="Q34" s="1700"/>
      <c r="R34" s="1701">
        <f>SUM(F34:Q34)</f>
        <v>0</v>
      </c>
      <c r="S34" s="1732"/>
    </row>
    <row r="35" spans="1:19" s="45" customFormat="1" ht="13.5" customHeight="1" x14ac:dyDescent="0.2">
      <c r="A35" s="1731"/>
      <c r="B35" s="2420" t="s">
        <v>670</v>
      </c>
      <c r="C35" s="2420"/>
      <c r="D35" s="1699"/>
      <c r="E35" s="1699"/>
      <c r="F35" s="1703">
        <f t="shared" ref="F35:R35" si="0">F33-F34</f>
        <v>0</v>
      </c>
      <c r="G35" s="1703">
        <f t="shared" si="0"/>
        <v>0</v>
      </c>
      <c r="H35" s="1703">
        <f t="shared" si="0"/>
        <v>0</v>
      </c>
      <c r="I35" s="1703">
        <f t="shared" si="0"/>
        <v>0</v>
      </c>
      <c r="J35" s="1703">
        <f t="shared" si="0"/>
        <v>0</v>
      </c>
      <c r="K35" s="1703">
        <f t="shared" si="0"/>
        <v>0</v>
      </c>
      <c r="L35" s="1703">
        <f t="shared" si="0"/>
        <v>0</v>
      </c>
      <c r="M35" s="1703">
        <f t="shared" si="0"/>
        <v>0</v>
      </c>
      <c r="N35" s="1703">
        <f t="shared" si="0"/>
        <v>0</v>
      </c>
      <c r="O35" s="1703">
        <f t="shared" si="0"/>
        <v>0</v>
      </c>
      <c r="P35" s="1703">
        <f t="shared" si="0"/>
        <v>0</v>
      </c>
      <c r="Q35" s="1703">
        <f t="shared" si="0"/>
        <v>0</v>
      </c>
      <c r="R35" s="1703">
        <f t="shared" si="0"/>
        <v>0</v>
      </c>
      <c r="S35" s="1732"/>
    </row>
    <row r="36" spans="1:19" s="45" customFormat="1" ht="13.5" customHeight="1" x14ac:dyDescent="0.2">
      <c r="A36" s="1731"/>
      <c r="B36" s="2421" t="s">
        <v>666</v>
      </c>
      <c r="C36" s="2421"/>
      <c r="D36" s="1699" t="s">
        <v>99</v>
      </c>
      <c r="E36" s="1699"/>
      <c r="F36" s="1700"/>
      <c r="G36" s="1700"/>
      <c r="H36" s="1700"/>
      <c r="I36" s="1700"/>
      <c r="J36" s="1700"/>
      <c r="K36" s="1700"/>
      <c r="L36" s="1700"/>
      <c r="M36" s="1700"/>
      <c r="N36" s="1700"/>
      <c r="O36" s="1700"/>
      <c r="P36" s="1700"/>
      <c r="Q36" s="1700"/>
      <c r="R36" s="1701">
        <f t="shared" ref="R36:R47" si="1">SUM(F36:Q36)</f>
        <v>0</v>
      </c>
      <c r="S36" s="1732"/>
    </row>
    <row r="37" spans="1:19" s="45" customFormat="1" ht="13.5" customHeight="1" x14ac:dyDescent="0.2">
      <c r="A37" s="1731"/>
      <c r="B37" s="2421" t="s">
        <v>667</v>
      </c>
      <c r="C37" s="2421"/>
      <c r="D37" s="1699">
        <v>4</v>
      </c>
      <c r="E37" s="1699"/>
      <c r="F37" s="1700"/>
      <c r="G37" s="1700"/>
      <c r="H37" s="1700"/>
      <c r="I37" s="1700"/>
      <c r="J37" s="1700"/>
      <c r="K37" s="1700"/>
      <c r="L37" s="1700"/>
      <c r="M37" s="1700"/>
      <c r="N37" s="1700"/>
      <c r="O37" s="1700"/>
      <c r="P37" s="1700"/>
      <c r="Q37" s="1700"/>
      <c r="R37" s="1701">
        <f t="shared" si="1"/>
        <v>0</v>
      </c>
      <c r="S37" s="1732"/>
    </row>
    <row r="38" spans="1:19" s="45" customFormat="1" ht="13.5" customHeight="1" x14ac:dyDescent="0.2">
      <c r="A38" s="1731"/>
      <c r="B38" s="2421" t="s">
        <v>671</v>
      </c>
      <c r="C38" s="2421"/>
      <c r="D38" s="1699" t="s">
        <v>102</v>
      </c>
      <c r="E38" s="1699"/>
      <c r="F38" s="1700"/>
      <c r="G38" s="1700"/>
      <c r="H38" s="1700"/>
      <c r="I38" s="1700"/>
      <c r="J38" s="1700"/>
      <c r="K38" s="1700"/>
      <c r="L38" s="1700"/>
      <c r="M38" s="1700"/>
      <c r="N38" s="1700"/>
      <c r="O38" s="1700"/>
      <c r="P38" s="1700"/>
      <c r="Q38" s="1700"/>
      <c r="R38" s="1701">
        <f t="shared" si="1"/>
        <v>0</v>
      </c>
      <c r="S38" s="1732"/>
    </row>
    <row r="39" spans="1:19" s="45" customFormat="1" ht="13.5" customHeight="1" x14ac:dyDescent="0.2">
      <c r="A39" s="1731"/>
      <c r="B39" s="2421" t="s">
        <v>706</v>
      </c>
      <c r="C39" s="2421"/>
      <c r="D39" s="1699" t="s">
        <v>672</v>
      </c>
      <c r="E39" s="1699"/>
      <c r="F39" s="1700"/>
      <c r="G39" s="1700"/>
      <c r="H39" s="1700"/>
      <c r="I39" s="1700"/>
      <c r="J39" s="1700"/>
      <c r="K39" s="1700"/>
      <c r="L39" s="1700"/>
      <c r="M39" s="1700"/>
      <c r="N39" s="1700"/>
      <c r="O39" s="1700"/>
      <c r="P39" s="1700"/>
      <c r="Q39" s="1700"/>
      <c r="R39" s="1701">
        <f t="shared" si="1"/>
        <v>0</v>
      </c>
      <c r="S39" s="1732"/>
    </row>
    <row r="40" spans="1:19" s="45" customFormat="1" ht="13.5" customHeight="1" x14ac:dyDescent="0.2">
      <c r="A40" s="1731"/>
      <c r="B40" s="2421" t="s">
        <v>707</v>
      </c>
      <c r="C40" s="2421"/>
      <c r="D40" s="1699" t="s">
        <v>673</v>
      </c>
      <c r="E40" s="1699"/>
      <c r="F40" s="1700"/>
      <c r="G40" s="1700"/>
      <c r="H40" s="1700"/>
      <c r="I40" s="1700"/>
      <c r="J40" s="1700"/>
      <c r="K40" s="1700"/>
      <c r="L40" s="1700"/>
      <c r="M40" s="1700"/>
      <c r="N40" s="1700"/>
      <c r="O40" s="1700"/>
      <c r="P40" s="1700"/>
      <c r="Q40" s="1700"/>
      <c r="R40" s="1701">
        <f t="shared" si="1"/>
        <v>0</v>
      </c>
      <c r="S40" s="1732"/>
    </row>
    <row r="41" spans="1:19" s="45" customFormat="1" ht="13.5" customHeight="1" x14ac:dyDescent="0.2">
      <c r="A41" s="1731"/>
      <c r="B41" s="2421" t="s">
        <v>674</v>
      </c>
      <c r="C41" s="2421"/>
      <c r="D41" s="1699" t="s">
        <v>675</v>
      </c>
      <c r="E41" s="1699"/>
      <c r="F41" s="1700"/>
      <c r="G41" s="1700"/>
      <c r="H41" s="1700"/>
      <c r="I41" s="1700"/>
      <c r="J41" s="1700"/>
      <c r="K41" s="1700"/>
      <c r="L41" s="1700"/>
      <c r="M41" s="1700"/>
      <c r="N41" s="1700"/>
      <c r="O41" s="1700"/>
      <c r="P41" s="1700"/>
      <c r="Q41" s="1700"/>
      <c r="R41" s="1701">
        <f t="shared" si="1"/>
        <v>0</v>
      </c>
      <c r="S41" s="1732"/>
    </row>
    <row r="42" spans="1:19" s="45" customFormat="1" ht="13.5" customHeight="1" x14ac:dyDescent="0.2">
      <c r="A42" s="1731"/>
      <c r="B42" s="2421"/>
      <c r="C42" s="2421"/>
      <c r="D42" s="1699"/>
      <c r="E42" s="1699"/>
      <c r="F42" s="1700"/>
      <c r="G42" s="1700"/>
      <c r="H42" s="1700"/>
      <c r="I42" s="1700"/>
      <c r="J42" s="1700"/>
      <c r="K42" s="1700"/>
      <c r="L42" s="1700"/>
      <c r="M42" s="1700"/>
      <c r="N42" s="1700"/>
      <c r="O42" s="1700"/>
      <c r="P42" s="1700"/>
      <c r="Q42" s="1700"/>
      <c r="R42" s="1701">
        <f t="shared" si="1"/>
        <v>0</v>
      </c>
      <c r="S42" s="1732"/>
    </row>
    <row r="43" spans="1:19" s="45" customFormat="1" ht="13.5" customHeight="1" x14ac:dyDescent="0.2">
      <c r="A43" s="1731"/>
      <c r="B43" s="2421" t="s">
        <v>659</v>
      </c>
      <c r="C43" s="2421"/>
      <c r="D43" s="1699" t="s">
        <v>95</v>
      </c>
      <c r="E43" s="1699"/>
      <c r="F43" s="1700"/>
      <c r="G43" s="1700"/>
      <c r="H43" s="1700"/>
      <c r="I43" s="1700"/>
      <c r="J43" s="1700"/>
      <c r="K43" s="1700"/>
      <c r="L43" s="1700"/>
      <c r="M43" s="1700"/>
      <c r="N43" s="1700"/>
      <c r="O43" s="1700"/>
      <c r="P43" s="1700"/>
      <c r="Q43" s="1700"/>
      <c r="R43" s="1701">
        <f t="shared" si="1"/>
        <v>0</v>
      </c>
      <c r="S43" s="1732"/>
    </row>
    <row r="44" spans="1:19" s="45" customFormat="1" ht="13.5" customHeight="1" x14ac:dyDescent="0.2">
      <c r="A44" s="1731"/>
      <c r="B44" s="2421" t="s">
        <v>660</v>
      </c>
      <c r="C44" s="2421"/>
      <c r="D44" s="1699" t="s">
        <v>253</v>
      </c>
      <c r="E44" s="1699"/>
      <c r="F44" s="1700"/>
      <c r="G44" s="1700"/>
      <c r="H44" s="1700"/>
      <c r="I44" s="1700"/>
      <c r="J44" s="1700"/>
      <c r="K44" s="1700"/>
      <c r="L44" s="1700"/>
      <c r="M44" s="1700"/>
      <c r="N44" s="1700"/>
      <c r="O44" s="1700"/>
      <c r="P44" s="1700"/>
      <c r="Q44" s="1700"/>
      <c r="R44" s="1701">
        <f t="shared" si="1"/>
        <v>0</v>
      </c>
      <c r="S44" s="1732"/>
    </row>
    <row r="45" spans="1:19" s="45" customFormat="1" ht="13.5" customHeight="1" x14ac:dyDescent="0.2">
      <c r="A45" s="1731"/>
      <c r="B45" s="2421" t="s">
        <v>661</v>
      </c>
      <c r="C45" s="2421"/>
      <c r="D45" s="1699" t="s">
        <v>96</v>
      </c>
      <c r="E45" s="1699"/>
      <c r="F45" s="1700"/>
      <c r="G45" s="1700"/>
      <c r="H45" s="1700"/>
      <c r="I45" s="1700"/>
      <c r="J45" s="1700"/>
      <c r="K45" s="1700"/>
      <c r="L45" s="1700"/>
      <c r="M45" s="1700"/>
      <c r="N45" s="1700"/>
      <c r="O45" s="1700"/>
      <c r="P45" s="1700"/>
      <c r="Q45" s="1700"/>
      <c r="R45" s="1701">
        <f t="shared" si="1"/>
        <v>0</v>
      </c>
      <c r="S45" s="1732"/>
    </row>
    <row r="46" spans="1:19" s="45" customFormat="1" ht="13.5" customHeight="1" x14ac:dyDescent="0.2">
      <c r="A46" s="1731"/>
      <c r="B46" s="2421" t="s">
        <v>663</v>
      </c>
      <c r="C46" s="2421"/>
      <c r="D46" s="1699" t="s">
        <v>97</v>
      </c>
      <c r="E46" s="1699"/>
      <c r="F46" s="1700"/>
      <c r="G46" s="1700"/>
      <c r="H46" s="1700"/>
      <c r="I46" s="1700"/>
      <c r="J46" s="1700"/>
      <c r="K46" s="1700"/>
      <c r="L46" s="1700"/>
      <c r="M46" s="1700"/>
      <c r="N46" s="1700"/>
      <c r="O46" s="1700"/>
      <c r="P46" s="1700"/>
      <c r="Q46" s="1700"/>
      <c r="R46" s="1701">
        <f t="shared" si="1"/>
        <v>0</v>
      </c>
      <c r="S46" s="1732"/>
    </row>
    <row r="47" spans="1:19" s="45" customFormat="1" ht="13.5" customHeight="1" x14ac:dyDescent="0.2">
      <c r="A47" s="1731"/>
      <c r="B47" s="2421" t="s">
        <v>664</v>
      </c>
      <c r="C47" s="2421"/>
      <c r="D47" s="1699" t="s">
        <v>98</v>
      </c>
      <c r="E47" s="1699"/>
      <c r="F47" s="1700"/>
      <c r="G47" s="1700"/>
      <c r="H47" s="1700"/>
      <c r="I47" s="1700"/>
      <c r="J47" s="1700"/>
      <c r="K47" s="1700"/>
      <c r="L47" s="1700"/>
      <c r="M47" s="1700"/>
      <c r="N47" s="1700"/>
      <c r="O47" s="1700"/>
      <c r="P47" s="1700"/>
      <c r="Q47" s="1700"/>
      <c r="R47" s="1701">
        <f t="shared" si="1"/>
        <v>0</v>
      </c>
      <c r="S47" s="1732"/>
    </row>
    <row r="48" spans="1:19" s="45" customFormat="1" ht="13.5" customHeight="1" x14ac:dyDescent="0.2">
      <c r="A48" s="1731"/>
      <c r="B48" s="2420" t="s">
        <v>676</v>
      </c>
      <c r="C48" s="2420"/>
      <c r="D48" s="1699" t="s">
        <v>677</v>
      </c>
      <c r="E48" s="1699"/>
      <c r="F48" s="1703">
        <f t="shared" ref="F48:Q48" si="2">F35+SUM(F37:F41)</f>
        <v>0</v>
      </c>
      <c r="G48" s="1703">
        <f t="shared" si="2"/>
        <v>0</v>
      </c>
      <c r="H48" s="1703">
        <f>H35+SUM(H37:H41)</f>
        <v>0</v>
      </c>
      <c r="I48" s="1703">
        <f t="shared" si="2"/>
        <v>0</v>
      </c>
      <c r="J48" s="1703">
        <f t="shared" si="2"/>
        <v>0</v>
      </c>
      <c r="K48" s="1703">
        <f t="shared" si="2"/>
        <v>0</v>
      </c>
      <c r="L48" s="1703">
        <f t="shared" si="2"/>
        <v>0</v>
      </c>
      <c r="M48" s="1703">
        <f t="shared" si="2"/>
        <v>0</v>
      </c>
      <c r="N48" s="1703">
        <f t="shared" si="2"/>
        <v>0</v>
      </c>
      <c r="O48" s="1703">
        <f t="shared" si="2"/>
        <v>0</v>
      </c>
      <c r="P48" s="1703">
        <f t="shared" si="2"/>
        <v>0</v>
      </c>
      <c r="Q48" s="1703">
        <f t="shared" si="2"/>
        <v>0</v>
      </c>
      <c r="R48" s="1703">
        <f>R35+SUM(R37:R47)</f>
        <v>0</v>
      </c>
      <c r="S48" s="1732"/>
    </row>
    <row r="49" spans="1:19" s="45" customFormat="1" ht="13.5" customHeight="1" x14ac:dyDescent="0.2">
      <c r="A49" s="1731"/>
      <c r="B49"/>
      <c r="C49"/>
      <c r="D49"/>
      <c r="E49"/>
      <c r="F49"/>
      <c r="G49"/>
      <c r="H49"/>
      <c r="I49"/>
      <c r="J49"/>
      <c r="K49"/>
      <c r="L49"/>
      <c r="M49"/>
      <c r="N49"/>
      <c r="O49"/>
      <c r="P49"/>
      <c r="Q49"/>
      <c r="R49"/>
      <c r="S49" s="1732"/>
    </row>
    <row r="50" spans="1:19" s="45" customFormat="1" ht="13.5" customHeight="1" x14ac:dyDescent="0.2">
      <c r="A50" s="1731"/>
      <c r="B50" s="2421" t="s">
        <v>678</v>
      </c>
      <c r="C50" s="2421"/>
      <c r="D50"/>
      <c r="E50"/>
      <c r="F50" s="1703">
        <f>F19-F23-F35</f>
        <v>0</v>
      </c>
      <c r="G50" s="1703">
        <f t="shared" ref="G50:R50" si="3">G19-G23-G35</f>
        <v>0</v>
      </c>
      <c r="H50" s="1703">
        <f>H19-H23-H35</f>
        <v>0</v>
      </c>
      <c r="I50" s="1703">
        <f t="shared" si="3"/>
        <v>0</v>
      </c>
      <c r="J50" s="1703">
        <f t="shared" si="3"/>
        <v>0</v>
      </c>
      <c r="K50" s="1703">
        <f t="shared" si="3"/>
        <v>0</v>
      </c>
      <c r="L50" s="1703">
        <f t="shared" si="3"/>
        <v>0</v>
      </c>
      <c r="M50" s="1703">
        <f t="shared" si="3"/>
        <v>0</v>
      </c>
      <c r="N50" s="1703">
        <f t="shared" si="3"/>
        <v>0</v>
      </c>
      <c r="O50" s="1703">
        <f t="shared" si="3"/>
        <v>0</v>
      </c>
      <c r="P50" s="1703">
        <f t="shared" si="3"/>
        <v>0</v>
      </c>
      <c r="Q50" s="1703">
        <f t="shared" si="3"/>
        <v>0</v>
      </c>
      <c r="R50" s="1703">
        <f t="shared" si="3"/>
        <v>0</v>
      </c>
      <c r="S50" s="1732"/>
    </row>
    <row r="51" spans="1:19" s="45" customFormat="1" ht="13.5" customHeight="1" x14ac:dyDescent="0.2">
      <c r="A51" s="1731"/>
      <c r="B51" s="2421" t="s">
        <v>679</v>
      </c>
      <c r="C51" s="2421"/>
      <c r="D51"/>
      <c r="E51"/>
      <c r="F51" s="1703">
        <f t="shared" ref="F51:R51" si="4">F26-F37</f>
        <v>0</v>
      </c>
      <c r="G51" s="1703">
        <f t="shared" si="4"/>
        <v>0</v>
      </c>
      <c r="H51" s="1703">
        <f t="shared" si="4"/>
        <v>0</v>
      </c>
      <c r="I51" s="1703">
        <f t="shared" si="4"/>
        <v>0</v>
      </c>
      <c r="J51" s="1703">
        <f t="shared" si="4"/>
        <v>0</v>
      </c>
      <c r="K51" s="1703">
        <f t="shared" si="4"/>
        <v>0</v>
      </c>
      <c r="L51" s="1703">
        <f t="shared" si="4"/>
        <v>0</v>
      </c>
      <c r="M51" s="1703">
        <f t="shared" si="4"/>
        <v>0</v>
      </c>
      <c r="N51" s="1703">
        <f t="shared" si="4"/>
        <v>0</v>
      </c>
      <c r="O51" s="1703">
        <f t="shared" si="4"/>
        <v>0</v>
      </c>
      <c r="P51" s="1703">
        <f t="shared" si="4"/>
        <v>0</v>
      </c>
      <c r="Q51" s="1703">
        <f t="shared" si="4"/>
        <v>0</v>
      </c>
      <c r="R51" s="1703">
        <f t="shared" si="4"/>
        <v>0</v>
      </c>
      <c r="S51" s="1732"/>
    </row>
    <row r="52" spans="1:19" s="45" customFormat="1" ht="13.5" customHeight="1" x14ac:dyDescent="0.2">
      <c r="A52" s="1733"/>
      <c r="B52" s="1734"/>
      <c r="C52" s="1734"/>
      <c r="D52" s="1734"/>
      <c r="E52" s="1734"/>
      <c r="F52" s="1734"/>
      <c r="G52" s="1734"/>
      <c r="H52" s="1734"/>
      <c r="I52" s="1734"/>
      <c r="J52" s="1734"/>
      <c r="K52" s="1734"/>
      <c r="L52" s="1734"/>
      <c r="M52" s="1734"/>
      <c r="N52" s="1734"/>
      <c r="O52" s="1734"/>
      <c r="P52" s="1734"/>
      <c r="Q52" s="1734"/>
      <c r="R52" s="1734"/>
      <c r="S52" s="1735"/>
    </row>
    <row r="53" spans="1:19" s="45" customFormat="1" ht="13.5" customHeight="1" x14ac:dyDescent="0.2">
      <c r="A53"/>
      <c r="B53"/>
      <c r="C53"/>
      <c r="D53"/>
      <c r="E53"/>
      <c r="F53"/>
      <c r="G53" s="1880"/>
      <c r="H53" s="1881"/>
      <c r="I53" s="1881"/>
      <c r="J53" s="1881"/>
      <c r="K53" s="1882"/>
      <c r="L53"/>
      <c r="M53"/>
      <c r="N53"/>
      <c r="O53"/>
      <c r="P53"/>
      <c r="Q53"/>
      <c r="R53"/>
      <c r="S53"/>
    </row>
    <row r="54" spans="1:19" s="45" customFormat="1" ht="13.5" customHeight="1" x14ac:dyDescent="0.2">
      <c r="A54"/>
      <c r="B54"/>
      <c r="C54"/>
      <c r="D54"/>
      <c r="E54"/>
      <c r="F54"/>
      <c r="G54" s="1711" t="s">
        <v>797</v>
      </c>
      <c r="H54"/>
      <c r="I54"/>
      <c r="J54"/>
      <c r="K54" s="1883"/>
      <c r="L54"/>
      <c r="M54" s="2425" t="s">
        <v>680</v>
      </c>
      <c r="N54" s="2425"/>
      <c r="O54" s="2425"/>
      <c r="P54"/>
      <c r="Q54"/>
      <c r="R54"/>
      <c r="S54"/>
    </row>
    <row r="55" spans="1:19" s="45" customFormat="1" ht="13.5" customHeight="1" x14ac:dyDescent="0.2">
      <c r="A55"/>
      <c r="B55"/>
      <c r="C55"/>
      <c r="D55"/>
      <c r="E55"/>
      <c r="F55"/>
      <c r="G55" s="1884"/>
      <c r="H55"/>
      <c r="I55"/>
      <c r="J55"/>
      <c r="K55" s="1883"/>
      <c r="L55" s="1728"/>
      <c r="M55" s="1729"/>
      <c r="N55" s="1729"/>
      <c r="O55" s="1729"/>
      <c r="P55" s="1729"/>
      <c r="Q55" s="1729"/>
      <c r="R55" s="1729"/>
      <c r="S55" s="1730"/>
    </row>
    <row r="56" spans="1:19" s="45" customFormat="1" ht="13.5" customHeight="1" x14ac:dyDescent="0.2">
      <c r="A56"/>
      <c r="B56" s="1704"/>
      <c r="C56" s="1736"/>
      <c r="D56" s="1736"/>
      <c r="E56" s="1736"/>
      <c r="F56"/>
      <c r="G56" s="1885" t="s">
        <v>798</v>
      </c>
      <c r="I56" s="1886">
        <f>R43-R33</f>
        <v>0</v>
      </c>
      <c r="J56" s="1705"/>
      <c r="K56" s="1887"/>
      <c r="L56" s="1737"/>
      <c r="M56" s="1706" t="s">
        <v>681</v>
      </c>
      <c r="N56" s="1707"/>
      <c r="O56" s="1707"/>
      <c r="P56" s="1707" t="s">
        <v>682</v>
      </c>
      <c r="Q56" s="1708" t="s">
        <v>711</v>
      </c>
      <c r="R56" s="1709">
        <f>Q33</f>
        <v>0</v>
      </c>
      <c r="S56" s="1732"/>
    </row>
    <row r="57" spans="1:19" s="45" customFormat="1" ht="13.5" customHeight="1" x14ac:dyDescent="0.2">
      <c r="A57" s="1738"/>
      <c r="B57" s="1704"/>
      <c r="C57" s="1736"/>
      <c r="D57" s="1736"/>
      <c r="E57" s="1736"/>
      <c r="F57" s="1739"/>
      <c r="G57" s="1888" t="s">
        <v>799</v>
      </c>
      <c r="H57"/>
      <c r="I57" s="1700">
        <v>56611</v>
      </c>
      <c r="J57" s="1739"/>
      <c r="K57" s="1889"/>
      <c r="L57" s="1737"/>
      <c r="M57" s="1706" t="s">
        <v>683</v>
      </c>
      <c r="N57" s="1739"/>
      <c r="O57" s="1739"/>
      <c r="P57" s="1707" t="s">
        <v>682</v>
      </c>
      <c r="Q57" s="1708" t="s">
        <v>712</v>
      </c>
      <c r="R57" s="1709">
        <f>Q34</f>
        <v>0</v>
      </c>
      <c r="S57" s="1732"/>
    </row>
    <row r="58" spans="1:19" s="45" customFormat="1" ht="13.5" customHeight="1" x14ac:dyDescent="0.2">
      <c r="A58" s="1738"/>
      <c r="B58" s="1704"/>
      <c r="C58" s="1736"/>
      <c r="D58" s="1736"/>
      <c r="E58" s="1736"/>
      <c r="F58" s="1739"/>
      <c r="G58" s="1888"/>
      <c r="H58" t="s">
        <v>122</v>
      </c>
      <c r="I58" s="1890">
        <f>I56-I57</f>
        <v>-56611</v>
      </c>
      <c r="J58" s="1739"/>
      <c r="K58" s="1889"/>
      <c r="L58" s="1737"/>
      <c r="M58" s="1706"/>
      <c r="N58" s="1739"/>
      <c r="O58" s="1739"/>
      <c r="P58" s="1707"/>
      <c r="Q58" s="1895"/>
      <c r="R58" s="1896"/>
      <c r="S58" s="1732"/>
    </row>
    <row r="59" spans="1:19" s="45" customFormat="1" ht="13.5" customHeight="1" x14ac:dyDescent="0.2">
      <c r="A59" s="1738"/>
      <c r="B59" s="1704"/>
      <c r="C59" s="1736"/>
      <c r="D59" s="1736"/>
      <c r="E59" s="1736"/>
      <c r="F59" s="1739"/>
      <c r="G59" s="1888" t="s">
        <v>800</v>
      </c>
      <c r="H59"/>
      <c r="I59" s="1891"/>
      <c r="J59" s="1739"/>
      <c r="K59" s="1889"/>
      <c r="L59" s="1737"/>
      <c r="M59" s="1706"/>
      <c r="N59" s="1739"/>
      <c r="O59" s="1739"/>
      <c r="P59" s="1707"/>
      <c r="Q59" s="1895"/>
      <c r="R59" s="1896"/>
      <c r="S59" s="1732"/>
    </row>
    <row r="60" spans="1:19" s="45" customFormat="1" ht="23.25" customHeight="1" x14ac:dyDescent="0.2">
      <c r="A60" s="1738"/>
      <c r="B60" s="1704"/>
      <c r="C60" s="1736"/>
      <c r="D60" s="1736"/>
      <c r="E60" s="1736"/>
      <c r="F60"/>
      <c r="G60" s="1884"/>
      <c r="J60"/>
      <c r="K60" s="1883"/>
      <c r="L60" s="1737"/>
      <c r="M60"/>
      <c r="N60"/>
      <c r="O60"/>
      <c r="P60"/>
      <c r="Q60"/>
      <c r="R60"/>
      <c r="S60" s="1732"/>
    </row>
    <row r="61" spans="1:19" s="45" customFormat="1" ht="36" customHeight="1" x14ac:dyDescent="0.2">
      <c r="A61" s="1738"/>
      <c r="B61" s="1704"/>
      <c r="C61" s="1736"/>
      <c r="D61" s="1736"/>
      <c r="E61" s="1736"/>
      <c r="F61" s="1710"/>
      <c r="G61" s="1892"/>
      <c r="H61" s="1893"/>
      <c r="I61" s="1893"/>
      <c r="J61" s="1893"/>
      <c r="K61" s="1894"/>
      <c r="L61" s="1737"/>
      <c r="M61" s="2424" t="s">
        <v>684</v>
      </c>
      <c r="N61" s="2424"/>
      <c r="O61" s="2424"/>
      <c r="P61" s="2424"/>
      <c r="Q61"/>
      <c r="R61" t="s">
        <v>708</v>
      </c>
      <c r="S61" s="1732"/>
    </row>
    <row r="62" spans="1:19" s="45" customFormat="1" ht="38.25" customHeight="1" x14ac:dyDescent="0.2">
      <c r="A62" s="1738"/>
      <c r="B62" s="1704"/>
      <c r="C62" s="1736"/>
      <c r="D62" s="1736"/>
      <c r="E62" s="1736"/>
      <c r="F62" s="1710"/>
      <c r="G62" s="1728"/>
      <c r="H62" s="1729"/>
      <c r="I62" s="1729"/>
      <c r="J62" s="1729"/>
      <c r="K62" s="1729"/>
      <c r="L62" s="1737"/>
      <c r="M62" s="2434" t="s">
        <v>685</v>
      </c>
      <c r="N62" s="2434"/>
      <c r="O62" s="2434"/>
      <c r="P62" s="2434"/>
      <c r="Q62"/>
      <c r="R62" s="1709">
        <f>IF($R$50&gt;0,$R$50,0)</f>
        <v>0</v>
      </c>
      <c r="S62" s="1732"/>
    </row>
    <row r="63" spans="1:19" s="45" customFormat="1" ht="23.25" customHeight="1" x14ac:dyDescent="0.25">
      <c r="A63" s="1738"/>
      <c r="B63" s="1704"/>
      <c r="C63" s="1736"/>
      <c r="D63" s="1736"/>
      <c r="E63" s="1736"/>
      <c r="F63" s="1702"/>
      <c r="G63" s="1737"/>
      <c r="H63" s="1711" t="s">
        <v>686</v>
      </c>
      <c r="I63"/>
      <c r="J63" s="1741">
        <f>(R62+R64+R65+R66+R67+R68)-(R71+R73+R74+R75)</f>
        <v>0</v>
      </c>
      <c r="K63"/>
      <c r="L63" s="1737"/>
      <c r="M63" s="2429" t="s">
        <v>687</v>
      </c>
      <c r="N63" s="2430"/>
      <c r="O63" s="2430"/>
      <c r="P63" s="2431"/>
      <c r="Q63" s="1740"/>
      <c r="R63" s="1700"/>
      <c r="S63" s="1732"/>
    </row>
    <row r="64" spans="1:19" s="45" customFormat="1" ht="23.25" customHeight="1" x14ac:dyDescent="0.25">
      <c r="A64" s="1738"/>
      <c r="B64" s="1704"/>
      <c r="C64" s="1736"/>
      <c r="D64" s="1736"/>
      <c r="E64" s="1736"/>
      <c r="F64" s="1710"/>
      <c r="G64" s="1737"/>
      <c r="H64" s="1742" t="s">
        <v>688</v>
      </c>
      <c r="I64" s="1743" t="s">
        <v>710</v>
      </c>
      <c r="J64" s="1744">
        <f>ABS((R62+R64+R65+R66+R67+R68)-(R71+R73+R74+R75))</f>
        <v>0</v>
      </c>
      <c r="K64"/>
      <c r="L64" s="1737"/>
      <c r="M64" s="2429" t="s">
        <v>689</v>
      </c>
      <c r="N64" s="2430"/>
      <c r="O64" s="2430"/>
      <c r="P64" s="2431"/>
      <c r="Q64" s="1740"/>
      <c r="R64" s="1700"/>
      <c r="S64" s="1732"/>
    </row>
    <row r="65" spans="1:19" s="45" customFormat="1" ht="23.25" customHeight="1" x14ac:dyDescent="0.25">
      <c r="A65" s="1738"/>
      <c r="B65" s="1704"/>
      <c r="C65" s="1736"/>
      <c r="D65" s="1736"/>
      <c r="E65" s="1736"/>
      <c r="F65" s="1712"/>
      <c r="G65" s="1737"/>
      <c r="H65" s="1742" t="s">
        <v>688</v>
      </c>
      <c r="I65" s="1743" t="s">
        <v>709</v>
      </c>
      <c r="J65" s="1744">
        <f>J64*11</f>
        <v>0</v>
      </c>
      <c r="K65"/>
      <c r="L65" s="1737"/>
      <c r="M65" s="2435" t="s">
        <v>690</v>
      </c>
      <c r="N65" s="2435"/>
      <c r="O65" s="2435"/>
      <c r="P65" s="2435"/>
      <c r="Q65" s="1740"/>
      <c r="R65" s="1700"/>
      <c r="S65" s="1732"/>
    </row>
    <row r="66" spans="1:19" s="45" customFormat="1" ht="23.25" customHeight="1" x14ac:dyDescent="0.2">
      <c r="A66" s="1738"/>
      <c r="B66" s="1704"/>
      <c r="C66" s="1736"/>
      <c r="D66" s="1736"/>
      <c r="E66" s="1736"/>
      <c r="F66" s="1712"/>
      <c r="G66" s="1733"/>
      <c r="H66" s="1734"/>
      <c r="I66" s="1734"/>
      <c r="J66" s="1734"/>
      <c r="K66" s="1734"/>
      <c r="L66" s="1737"/>
      <c r="M66" s="2435" t="s">
        <v>691</v>
      </c>
      <c r="N66" s="2435"/>
      <c r="O66" s="2435"/>
      <c r="P66" s="2435"/>
      <c r="Q66" s="1740"/>
      <c r="R66" s="1700"/>
      <c r="S66" s="1732"/>
    </row>
    <row r="67" spans="1:19" ht="23.25" customHeight="1" x14ac:dyDescent="0.25">
      <c r="A67" s="1738"/>
      <c r="B67" s="1704"/>
      <c r="C67" s="1736"/>
      <c r="D67" s="1736"/>
      <c r="E67" s="1736"/>
      <c r="F67" s="1745"/>
      <c r="G67" s="1745"/>
      <c r="H67" s="1745"/>
      <c r="I67" s="1745"/>
      <c r="J67" s="1745"/>
      <c r="K67" s="1745"/>
      <c r="L67" s="1737"/>
      <c r="M67" s="2429" t="s">
        <v>692</v>
      </c>
      <c r="N67" s="2430"/>
      <c r="O67" s="2430"/>
      <c r="P67" s="2431"/>
      <c r="Q67" s="1745"/>
      <c r="R67" s="1700"/>
      <c r="S67" s="1732"/>
    </row>
    <row r="68" spans="1:19" ht="23.25" customHeight="1" x14ac:dyDescent="0.25">
      <c r="A68" s="1738"/>
      <c r="B68" s="1704"/>
      <c r="C68" s="1736"/>
      <c r="D68" s="1736"/>
      <c r="E68" s="1736"/>
      <c r="F68" s="1745"/>
      <c r="G68" s="1745"/>
      <c r="H68" s="1745"/>
      <c r="I68" s="1745"/>
      <c r="J68" s="1745"/>
      <c r="K68" s="1745"/>
      <c r="L68" s="1737"/>
      <c r="M68" s="2429" t="s">
        <v>693</v>
      </c>
      <c r="N68" s="2430"/>
      <c r="O68" s="2430"/>
      <c r="P68" s="2431"/>
      <c r="Q68" s="1745"/>
      <c r="R68" s="1700"/>
      <c r="S68" s="1732"/>
    </row>
    <row r="69" spans="1:19" ht="23.25" customHeight="1" x14ac:dyDescent="0.25">
      <c r="A69" s="1738"/>
      <c r="B69" s="1704"/>
      <c r="C69" s="1736"/>
      <c r="D69" s="1736"/>
      <c r="E69" s="1736"/>
      <c r="F69"/>
      <c r="G69"/>
      <c r="H69"/>
      <c r="I69"/>
      <c r="J69"/>
      <c r="K69"/>
      <c r="L69" s="1737"/>
      <c r="M69"/>
      <c r="N69"/>
      <c r="O69"/>
      <c r="P69"/>
      <c r="Q69"/>
      <c r="R69"/>
      <c r="S69" s="1732"/>
    </row>
    <row r="70" spans="1:19" ht="23.25" customHeight="1" x14ac:dyDescent="0.25">
      <c r="A70" s="1738"/>
      <c r="B70" s="1704"/>
      <c r="C70" s="1736"/>
      <c r="D70" s="1736"/>
      <c r="E70" s="1736"/>
      <c r="F70" s="1739"/>
      <c r="G70" s="1739"/>
      <c r="H70" s="1739"/>
      <c r="I70" s="1739"/>
      <c r="J70" s="1739"/>
      <c r="K70" s="1739"/>
      <c r="L70" s="1737"/>
      <c r="M70" s="2432" t="s">
        <v>694</v>
      </c>
      <c r="N70" s="2432"/>
      <c r="O70" s="2432"/>
      <c r="P70" s="2433"/>
      <c r="Q70"/>
      <c r="R70" t="s">
        <v>708</v>
      </c>
      <c r="S70" s="1732"/>
    </row>
    <row r="71" spans="1:19" ht="30" customHeight="1" x14ac:dyDescent="0.25">
      <c r="A71" s="1738"/>
      <c r="B71" s="1704"/>
      <c r="C71" s="1736"/>
      <c r="D71" s="1736"/>
      <c r="E71" s="1736"/>
      <c r="F71" s="1710"/>
      <c r="G71" s="1710"/>
      <c r="H71" s="1746"/>
      <c r="I71" s="1745"/>
      <c r="J71" s="1745"/>
      <c r="K71" s="1745"/>
      <c r="L71" s="1737"/>
      <c r="M71" s="2434" t="s">
        <v>685</v>
      </c>
      <c r="N71" s="2434"/>
      <c r="O71" s="2434"/>
      <c r="P71" s="2434"/>
      <c r="Q71" s="1745"/>
      <c r="R71" s="1709">
        <f>IF($R$50&lt;0,$R$50,0)</f>
        <v>0</v>
      </c>
      <c r="S71" s="1732"/>
    </row>
    <row r="72" spans="1:19" ht="23.25" customHeight="1" x14ac:dyDescent="0.25">
      <c r="A72" s="1738"/>
      <c r="B72" s="1704"/>
      <c r="C72" s="1736"/>
      <c r="D72" s="1736"/>
      <c r="E72" s="1736"/>
      <c r="F72" s="1710"/>
      <c r="G72" s="1736"/>
      <c r="H72" s="1746"/>
      <c r="I72" s="1745"/>
      <c r="J72" s="1745"/>
      <c r="K72" s="1745"/>
      <c r="L72" s="1737"/>
      <c r="M72" s="2429" t="s">
        <v>695</v>
      </c>
      <c r="N72" s="2430"/>
      <c r="O72" s="2430"/>
      <c r="P72" s="2431"/>
      <c r="Q72" s="1740"/>
      <c r="R72" s="1713"/>
      <c r="S72" s="1732"/>
    </row>
    <row r="73" spans="1:19" ht="23.25" customHeight="1" x14ac:dyDescent="0.25">
      <c r="A73" s="1738"/>
      <c r="B73" s="1704"/>
      <c r="C73" s="1736"/>
      <c r="D73" s="1736"/>
      <c r="E73" s="1736"/>
      <c r="F73" s="1746"/>
      <c r="G73" s="1746"/>
      <c r="H73" s="1746"/>
      <c r="I73" s="1745"/>
      <c r="J73" s="1745"/>
      <c r="K73" s="1745"/>
      <c r="L73" s="1737"/>
      <c r="M73" s="2429" t="s">
        <v>696</v>
      </c>
      <c r="N73" s="2430"/>
      <c r="O73" s="2430"/>
      <c r="P73" s="2431"/>
      <c r="Q73" s="1740"/>
      <c r="R73" s="1700"/>
      <c r="S73" s="1732"/>
    </row>
    <row r="74" spans="1:19" ht="23.25" customHeight="1" x14ac:dyDescent="0.25">
      <c r="A74" s="1738"/>
      <c r="B74" s="1704"/>
      <c r="C74" s="1736"/>
      <c r="D74" s="1736"/>
      <c r="E74" s="1736"/>
      <c r="F74" s="1745"/>
      <c r="G74" s="1745"/>
      <c r="H74" s="1745"/>
      <c r="I74" s="1745"/>
      <c r="J74" s="1745"/>
      <c r="K74" s="1745"/>
      <c r="L74" s="1737"/>
      <c r="M74" s="2429" t="s">
        <v>697</v>
      </c>
      <c r="N74" s="2430"/>
      <c r="O74" s="2430"/>
      <c r="P74" s="2431"/>
      <c r="Q74" s="1745"/>
      <c r="R74" s="1700"/>
      <c r="S74" s="1732"/>
    </row>
    <row r="75" spans="1:19" ht="23.25" customHeight="1" x14ac:dyDescent="0.25">
      <c r="A75" s="1738"/>
      <c r="B75" s="1704"/>
      <c r="C75" s="1736"/>
      <c r="D75" s="1736"/>
      <c r="E75" s="1736"/>
      <c r="F75" s="1712"/>
      <c r="G75" s="1712"/>
      <c r="H75" s="1712"/>
      <c r="I75" s="1745"/>
      <c r="J75" s="1745"/>
      <c r="K75" s="1745"/>
      <c r="L75" s="1737"/>
      <c r="M75" s="2426" t="s">
        <v>698</v>
      </c>
      <c r="N75" s="2426"/>
      <c r="O75" s="2426"/>
      <c r="P75" s="2426"/>
      <c r="Q75" s="1740"/>
      <c r="R75" s="1700"/>
      <c r="S75" s="1732"/>
    </row>
    <row r="76" spans="1:19" x14ac:dyDescent="0.25">
      <c r="A76" s="1738"/>
      <c r="B76" s="1704"/>
      <c r="C76" s="1736"/>
      <c r="D76" s="1736"/>
      <c r="E76" s="1736"/>
      <c r="F76" s="1745"/>
      <c r="G76" s="1745"/>
      <c r="H76" s="1745"/>
      <c r="I76" s="1745"/>
      <c r="J76" s="1745"/>
      <c r="K76" s="1745"/>
      <c r="L76" s="1737"/>
      <c r="M76" s="1745"/>
      <c r="N76" s="1745"/>
      <c r="O76" s="1745"/>
      <c r="P76" s="1745"/>
      <c r="Q76" s="1745"/>
      <c r="R76" s="1747"/>
      <c r="S76" s="1732"/>
    </row>
    <row r="77" spans="1:19" x14ac:dyDescent="0.25">
      <c r="A77" s="1738"/>
      <c r="B77" s="1704"/>
      <c r="C77" s="1736"/>
      <c r="D77" s="1736"/>
      <c r="E77" s="1736"/>
      <c r="F77" s="1736"/>
      <c r="G77" s="1736"/>
      <c r="H77" s="1736"/>
      <c r="I77" s="1748"/>
      <c r="J77" s="1748"/>
      <c r="K77" s="1748"/>
      <c r="L77" s="1737"/>
      <c r="M77" s="1748"/>
      <c r="N77" s="1748"/>
      <c r="O77" s="1748"/>
      <c r="P77" s="1714"/>
      <c r="Q77" s="1714" t="s">
        <v>699</v>
      </c>
      <c r="R77" s="1703">
        <f>SUM(R63:R68)-SUM(R72:R75)</f>
        <v>0</v>
      </c>
      <c r="S77" s="1732"/>
    </row>
    <row r="78" spans="1:19" x14ac:dyDescent="0.25">
      <c r="A78" s="1738"/>
      <c r="B78" s="1704"/>
      <c r="C78" s="1736"/>
      <c r="D78" s="1736"/>
      <c r="E78" s="1736"/>
      <c r="F78"/>
      <c r="G78"/>
      <c r="H78"/>
      <c r="I78"/>
      <c r="J78"/>
      <c r="K78"/>
      <c r="L78" s="1737"/>
      <c r="M78"/>
      <c r="N78"/>
      <c r="O78"/>
      <c r="P78"/>
      <c r="Q78"/>
      <c r="R78"/>
      <c r="S78" s="1732"/>
    </row>
    <row r="79" spans="1:19" x14ac:dyDescent="0.25">
      <c r="A79" s="1738"/>
      <c r="B79" s="1704"/>
      <c r="C79" s="1736"/>
      <c r="D79" s="1736"/>
      <c r="E79" s="1736"/>
      <c r="F79" s="1736"/>
      <c r="G79" s="1736"/>
      <c r="H79" s="1736"/>
      <c r="I79" s="1748"/>
      <c r="J79" s="1748"/>
      <c r="K79" s="1748"/>
      <c r="L79" s="1737"/>
      <c r="M79" s="1748"/>
      <c r="N79" s="1748"/>
      <c r="O79" s="1748"/>
      <c r="P79" s="1748"/>
      <c r="Q79" s="1714" t="s">
        <v>700</v>
      </c>
      <c r="R79" s="1703">
        <f>R56-R57+R77</f>
        <v>0</v>
      </c>
      <c r="S79" s="1732"/>
    </row>
    <row r="80" spans="1:19" ht="25.5" x14ac:dyDescent="0.25">
      <c r="A80" s="1738"/>
      <c r="B80" s="1704"/>
      <c r="C80" s="1736"/>
      <c r="D80" s="1736"/>
      <c r="E80" s="1736"/>
      <c r="F80" s="1736"/>
      <c r="G80" s="1736"/>
      <c r="H80" s="1736"/>
      <c r="I80" s="1748"/>
      <c r="J80" s="1748"/>
      <c r="K80" s="1748"/>
      <c r="L80" s="1737"/>
      <c r="M80" s="1748"/>
      <c r="N80" s="1748"/>
      <c r="O80" s="1748"/>
      <c r="P80" s="1748"/>
      <c r="Q80" s="1715" t="s">
        <v>701</v>
      </c>
      <c r="R80" s="1713"/>
      <c r="S80" s="1732"/>
    </row>
    <row r="81" spans="1:19" x14ac:dyDescent="0.25">
      <c r="A81" s="1738"/>
      <c r="B81" s="1716"/>
      <c r="C81" s="1736"/>
      <c r="D81" s="1736"/>
      <c r="E81" s="1736"/>
      <c r="F81" s="1736"/>
      <c r="G81" s="1736"/>
      <c r="H81" s="1736"/>
      <c r="I81" s="1748"/>
      <c r="J81" s="1748"/>
      <c r="K81" s="1748"/>
      <c r="L81" s="1737"/>
      <c r="M81" s="1748"/>
      <c r="N81" s="1748"/>
      <c r="O81" s="1748"/>
      <c r="P81" s="1748"/>
      <c r="Q81" s="1714" t="s">
        <v>702</v>
      </c>
      <c r="R81" s="1717">
        <f>ROUND(R79-R80,0)</f>
        <v>0</v>
      </c>
      <c r="S81" s="1732"/>
    </row>
    <row r="82" spans="1:19" x14ac:dyDescent="0.25">
      <c r="A82"/>
      <c r="B82"/>
      <c r="C82"/>
      <c r="D82"/>
      <c r="E82"/>
      <c r="F82"/>
      <c r="G82"/>
      <c r="H82"/>
      <c r="I82"/>
      <c r="J82"/>
      <c r="K82"/>
      <c r="L82" s="1733"/>
      <c r="M82" s="1734"/>
      <c r="N82" s="1734"/>
      <c r="O82" s="1734"/>
      <c r="P82" s="1734"/>
      <c r="Q82" s="1734"/>
      <c r="R82" s="1734"/>
      <c r="S82" s="1735"/>
    </row>
  </sheetData>
  <customSheetViews>
    <customSheetView guid="{F72FE543-F911-423C-A34B-9CA018DFE603}" showPageBreaks="1" showGridLines="0" fitToPage="1" printArea="1" view="pageBreakPreview">
      <selection activeCell="G49" sqref="G49"/>
      <pageMargins left="0.74803149606299213" right="0.39370078740157483" top="0.55118110236220474" bottom="0.62992125984251968" header="0.51181102362204722" footer="0.47244094488188981"/>
      <pageSetup paperSize="9" scale="94" orientation="portrait" r:id="rId1"/>
      <headerFooter alignWithMargins="0">
        <oddFooter>&amp;LPrinted:&amp;T on &amp;D</oddFooter>
      </headerFooter>
    </customSheetView>
  </customSheetViews>
  <mergeCells count="48">
    <mergeCell ref="M75:P75"/>
    <mergeCell ref="A10:S10"/>
    <mergeCell ref="A12:S12"/>
    <mergeCell ref="A29:S29"/>
    <mergeCell ref="M68:P68"/>
    <mergeCell ref="M70:P70"/>
    <mergeCell ref="M71:P71"/>
    <mergeCell ref="M72:P72"/>
    <mergeCell ref="M73:P73"/>
    <mergeCell ref="M74:P74"/>
    <mergeCell ref="M62:P62"/>
    <mergeCell ref="M63:P63"/>
    <mergeCell ref="M64:P64"/>
    <mergeCell ref="M65:P65"/>
    <mergeCell ref="M66:P66"/>
    <mergeCell ref="M67:P67"/>
    <mergeCell ref="M61:P61"/>
    <mergeCell ref="B41:C41"/>
    <mergeCell ref="B42:C42"/>
    <mergeCell ref="B43:C43"/>
    <mergeCell ref="B44:C44"/>
    <mergeCell ref="B45:C45"/>
    <mergeCell ref="B46:C46"/>
    <mergeCell ref="B47:C47"/>
    <mergeCell ref="B48:C48"/>
    <mergeCell ref="B50:C50"/>
    <mergeCell ref="B51:C51"/>
    <mergeCell ref="M54:O54"/>
    <mergeCell ref="B40:C40"/>
    <mergeCell ref="B25:C25"/>
    <mergeCell ref="B26:C26"/>
    <mergeCell ref="B31:C31"/>
    <mergeCell ref="B33:C33"/>
    <mergeCell ref="B34:C34"/>
    <mergeCell ref="B35:C35"/>
    <mergeCell ref="B36:C36"/>
    <mergeCell ref="B37:C37"/>
    <mergeCell ref="B38:C38"/>
    <mergeCell ref="B39:C39"/>
    <mergeCell ref="B19:C19"/>
    <mergeCell ref="B21:C21"/>
    <mergeCell ref="B22:C22"/>
    <mergeCell ref="B23:C23"/>
    <mergeCell ref="A2:C2"/>
    <mergeCell ref="B14:C14"/>
    <mergeCell ref="B16:C16"/>
    <mergeCell ref="B17:C17"/>
    <mergeCell ref="B18:C18"/>
  </mergeCells>
  <hyperlinks>
    <hyperlink ref="A2" location="'Index and Structure'!A1" display="The Macro Group" xr:uid="{00000000-0004-0000-0F00-000000000000}"/>
  </hyperlinks>
  <pageMargins left="0.74803149606299213" right="0.39370078740157483" top="0.55118110236220474" bottom="0.62992125984251968" header="0.51181102362204722" footer="0.47244094488188981"/>
  <pageSetup paperSize="9" scale="76" orientation="portrait" r:id="rId2"/>
  <headerFooter alignWithMargins="0">
    <oddFooter>&amp;LPrinted:&amp;T on &amp;D</oddFooter>
  </headerFooter>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
    <pageSetUpPr fitToPage="1"/>
  </sheetPr>
  <dimension ref="A1:R73"/>
  <sheetViews>
    <sheetView topLeftCell="A43" zoomScale="90" zoomScaleNormal="90" zoomScalePageLayoutView="90" workbookViewId="0">
      <selection activeCell="A4" sqref="A4"/>
    </sheetView>
  </sheetViews>
  <sheetFormatPr defaultColWidth="11.42578125" defaultRowHeight="15" x14ac:dyDescent="0.25"/>
  <cols>
    <col min="1" max="1" width="11.85546875" style="568" customWidth="1"/>
    <col min="2" max="2" width="8.28515625" style="524" customWidth="1"/>
    <col min="3" max="3" width="13.85546875" style="524" customWidth="1"/>
    <col min="4" max="15" width="11.85546875" style="524" customWidth="1"/>
    <col min="16" max="16" width="14.7109375" style="524" customWidth="1"/>
    <col min="17" max="17" width="11.42578125" style="524" customWidth="1"/>
    <col min="18" max="18" width="13.140625" style="524" bestFit="1" customWidth="1"/>
    <col min="19" max="16384" width="11.42578125" style="524"/>
  </cols>
  <sheetData>
    <row r="1" spans="1:18" ht="19.5" thickBot="1" x14ac:dyDescent="0.35">
      <c r="A1" s="2269" t="s">
        <v>44</v>
      </c>
      <c r="B1" s="2301"/>
      <c r="C1" s="2270"/>
      <c r="D1" s="523"/>
      <c r="E1" s="522"/>
      <c r="F1" s="522"/>
      <c r="G1" s="523"/>
      <c r="H1" s="523"/>
      <c r="N1" s="525"/>
      <c r="O1" s="525"/>
      <c r="P1" s="525"/>
    </row>
    <row r="2" spans="1:18" x14ac:dyDescent="0.25">
      <c r="A2" s="526"/>
      <c r="B2" s="523"/>
      <c r="C2" s="523"/>
      <c r="D2" s="523"/>
      <c r="E2" s="523"/>
      <c r="F2" s="523"/>
      <c r="G2" s="523"/>
      <c r="H2" s="523"/>
      <c r="N2" s="523"/>
      <c r="O2" s="525"/>
      <c r="P2" s="525"/>
    </row>
    <row r="3" spans="1:18" ht="5.25" customHeight="1" x14ac:dyDescent="0.25">
      <c r="A3" s="527"/>
      <c r="B3" s="528"/>
      <c r="C3" s="528"/>
      <c r="D3" s="528"/>
      <c r="E3" s="529"/>
      <c r="F3" s="523"/>
      <c r="G3" s="530"/>
      <c r="H3" s="528"/>
      <c r="I3" s="531"/>
      <c r="J3" s="531"/>
      <c r="K3" s="532"/>
      <c r="N3" s="523"/>
      <c r="O3" s="525"/>
      <c r="P3" s="525"/>
    </row>
    <row r="4" spans="1:18" ht="14.25" customHeight="1" x14ac:dyDescent="0.25">
      <c r="A4" s="77" t="s">
        <v>40</v>
      </c>
      <c r="B4" s="533" t="str">
        <f>'Index and Structure'!B2</f>
        <v>Nicolo Superannuation fund</v>
      </c>
      <c r="C4" s="534"/>
      <c r="D4" s="534"/>
      <c r="E4" s="535"/>
      <c r="G4" s="77" t="s">
        <v>38</v>
      </c>
      <c r="H4" s="19"/>
      <c r="I4" s="1693" t="str">
        <f>'Index and Structure'!B5</f>
        <v>NICO0024</v>
      </c>
      <c r="J4" s="537"/>
      <c r="K4" s="536"/>
      <c r="M4" s="525"/>
    </row>
    <row r="5" spans="1:18" ht="14.25" customHeight="1" x14ac:dyDescent="0.25">
      <c r="A5" s="77" t="s">
        <v>45</v>
      </c>
      <c r="B5" s="523" t="s">
        <v>298</v>
      </c>
      <c r="C5" s="537"/>
      <c r="D5" s="537"/>
      <c r="E5" s="536"/>
      <c r="G5" s="77" t="s">
        <v>41</v>
      </c>
      <c r="H5" s="19"/>
      <c r="I5" s="523" t="str">
        <f>'Index and Structure'!B6</f>
        <v>Liam Aubin</v>
      </c>
      <c r="J5" s="19" t="s">
        <v>42</v>
      </c>
      <c r="K5" s="538"/>
      <c r="M5" s="525"/>
    </row>
    <row r="6" spans="1:18" ht="14.25" customHeight="1" x14ac:dyDescent="0.25">
      <c r="A6" s="79" t="s">
        <v>46</v>
      </c>
      <c r="B6" s="539">
        <f>'Index and Structure'!D4</f>
        <v>2022</v>
      </c>
      <c r="C6" s="540"/>
      <c r="D6" s="540"/>
      <c r="E6" s="541"/>
      <c r="G6" s="79" t="s">
        <v>43</v>
      </c>
      <c r="H6" s="81"/>
      <c r="I6" s="542" t="str">
        <f>'Index and Structure'!B7</f>
        <v>Nicole Bryant</v>
      </c>
      <c r="J6" s="81" t="s">
        <v>42</v>
      </c>
      <c r="K6" s="543"/>
      <c r="M6" s="544"/>
    </row>
    <row r="7" spans="1:18" ht="20.100000000000001" customHeight="1" x14ac:dyDescent="0.25">
      <c r="A7" s="524"/>
      <c r="E7" s="526"/>
      <c r="F7" s="526"/>
      <c r="G7" s="526"/>
      <c r="H7" s="526"/>
      <c r="L7" s="544"/>
      <c r="M7" s="544"/>
    </row>
    <row r="8" spans="1:18" ht="20.100000000000001" customHeight="1" x14ac:dyDescent="0.25">
      <c r="A8" s="526"/>
      <c r="B8" s="545"/>
      <c r="C8" s="546"/>
      <c r="D8" s="546"/>
      <c r="E8" s="526"/>
      <c r="F8" s="526"/>
      <c r="G8" s="526"/>
      <c r="H8" s="526"/>
      <c r="I8" s="526"/>
      <c r="J8" s="526"/>
      <c r="K8" s="544"/>
      <c r="L8" s="544"/>
      <c r="M8" s="544"/>
      <c r="N8" s="544"/>
      <c r="O8" s="544"/>
      <c r="P8" s="544"/>
    </row>
    <row r="9" spans="1:18" ht="32.1" customHeight="1" x14ac:dyDescent="0.25">
      <c r="A9" s="2437" t="s">
        <v>94</v>
      </c>
      <c r="B9" s="2437"/>
      <c r="C9" s="547" t="s">
        <v>95</v>
      </c>
      <c r="D9" s="547" t="s">
        <v>253</v>
      </c>
      <c r="E9" s="547" t="s">
        <v>96</v>
      </c>
      <c r="F9" s="547" t="s">
        <v>97</v>
      </c>
      <c r="G9" s="547" t="s">
        <v>98</v>
      </c>
      <c r="H9" s="547" t="s">
        <v>254</v>
      </c>
      <c r="I9" s="547" t="s">
        <v>99</v>
      </c>
      <c r="J9" s="547" t="s">
        <v>100</v>
      </c>
      <c r="K9" s="548" t="s">
        <v>101</v>
      </c>
      <c r="L9" s="548" t="s">
        <v>102</v>
      </c>
      <c r="M9" s="548" t="s">
        <v>103</v>
      </c>
      <c r="N9" s="548" t="s">
        <v>104</v>
      </c>
      <c r="O9" s="548" t="s">
        <v>105</v>
      </c>
      <c r="P9" s="548" t="s">
        <v>106</v>
      </c>
    </row>
    <row r="10" spans="1:18" ht="19.5" customHeight="1" x14ac:dyDescent="0.25">
      <c r="A10" s="2436" t="s">
        <v>107</v>
      </c>
      <c r="B10" s="2436"/>
      <c r="C10" s="549"/>
      <c r="D10" s="549"/>
      <c r="E10" s="549"/>
      <c r="F10" s="549"/>
      <c r="G10" s="549"/>
      <c r="H10" s="549"/>
      <c r="I10" s="549"/>
      <c r="J10" s="549"/>
      <c r="K10" s="549"/>
      <c r="L10" s="549"/>
      <c r="M10" s="549"/>
      <c r="N10" s="549"/>
      <c r="O10" s="549"/>
      <c r="P10" s="550">
        <f t="shared" ref="P10:P21" si="0">K10+L10+M10+N10+J10-O10</f>
        <v>0</v>
      </c>
    </row>
    <row r="11" spans="1:18" ht="19.5" customHeight="1" x14ac:dyDescent="0.25">
      <c r="A11" s="2436" t="s">
        <v>108</v>
      </c>
      <c r="B11" s="2436"/>
      <c r="C11" s="549"/>
      <c r="D11" s="549"/>
      <c r="E11" s="549"/>
      <c r="F11" s="549"/>
      <c r="G11" s="549"/>
      <c r="H11" s="549"/>
      <c r="I11" s="549"/>
      <c r="J11" s="549"/>
      <c r="K11" s="549"/>
      <c r="L11" s="549"/>
      <c r="M11" s="549"/>
      <c r="N11" s="549"/>
      <c r="O11" s="549"/>
      <c r="P11" s="550">
        <f t="shared" si="0"/>
        <v>0</v>
      </c>
    </row>
    <row r="12" spans="1:18" ht="19.5" customHeight="1" x14ac:dyDescent="0.25">
      <c r="A12" s="2436" t="s">
        <v>109</v>
      </c>
      <c r="B12" s="2436"/>
      <c r="C12" s="549"/>
      <c r="D12" s="549"/>
      <c r="E12" s="549"/>
      <c r="F12" s="549"/>
      <c r="G12" s="549"/>
      <c r="H12" s="549"/>
      <c r="I12" s="549"/>
      <c r="J12" s="549"/>
      <c r="K12" s="549"/>
      <c r="L12" s="549"/>
      <c r="M12" s="549"/>
      <c r="N12" s="549"/>
      <c r="O12" s="549"/>
      <c r="P12" s="550">
        <f>K12+L12+M12+N12+J12-O12</f>
        <v>0</v>
      </c>
      <c r="R12" s="551"/>
    </row>
    <row r="13" spans="1:18" ht="19.5" customHeight="1" x14ac:dyDescent="0.25">
      <c r="A13" s="2436" t="s">
        <v>110</v>
      </c>
      <c r="B13" s="2436"/>
      <c r="C13" s="549"/>
      <c r="D13" s="549"/>
      <c r="E13" s="549"/>
      <c r="F13" s="549"/>
      <c r="G13" s="549"/>
      <c r="H13" s="549"/>
      <c r="I13" s="549"/>
      <c r="J13" s="549"/>
      <c r="K13" s="549"/>
      <c r="L13" s="549"/>
      <c r="M13" s="549"/>
      <c r="N13" s="549"/>
      <c r="O13" s="549"/>
      <c r="P13" s="550">
        <f t="shared" si="0"/>
        <v>0</v>
      </c>
    </row>
    <row r="14" spans="1:18" ht="19.5" customHeight="1" x14ac:dyDescent="0.25">
      <c r="A14" s="2436" t="s">
        <v>111</v>
      </c>
      <c r="B14" s="2436"/>
      <c r="C14" s="549"/>
      <c r="D14" s="549"/>
      <c r="E14" s="549"/>
      <c r="F14" s="549"/>
      <c r="G14" s="549"/>
      <c r="H14" s="549"/>
      <c r="I14" s="549"/>
      <c r="J14" s="549"/>
      <c r="K14" s="549"/>
      <c r="L14" s="549"/>
      <c r="M14" s="549"/>
      <c r="N14" s="549"/>
      <c r="O14" s="549"/>
      <c r="P14" s="550">
        <f t="shared" si="0"/>
        <v>0</v>
      </c>
    </row>
    <row r="15" spans="1:18" ht="19.5" customHeight="1" x14ac:dyDescent="0.25">
      <c r="A15" s="2436" t="s">
        <v>112</v>
      </c>
      <c r="B15" s="2436"/>
      <c r="C15" s="549"/>
      <c r="D15" s="549"/>
      <c r="E15" s="549"/>
      <c r="F15" s="549"/>
      <c r="G15" s="549"/>
      <c r="H15" s="549"/>
      <c r="I15" s="549"/>
      <c r="J15" s="549"/>
      <c r="K15" s="549"/>
      <c r="L15" s="549"/>
      <c r="M15" s="549"/>
      <c r="N15" s="549"/>
      <c r="O15" s="549"/>
      <c r="P15" s="550">
        <f>K15+L15+M15+N15+J15-O15</f>
        <v>0</v>
      </c>
      <c r="R15" s="552"/>
    </row>
    <row r="16" spans="1:18" ht="19.5" customHeight="1" x14ac:dyDescent="0.25">
      <c r="A16" s="2436" t="s">
        <v>113</v>
      </c>
      <c r="B16" s="2436"/>
      <c r="C16" s="549"/>
      <c r="D16" s="549"/>
      <c r="E16" s="549"/>
      <c r="F16" s="549"/>
      <c r="G16" s="549"/>
      <c r="H16" s="549"/>
      <c r="I16" s="549"/>
      <c r="J16" s="549"/>
      <c r="K16" s="549"/>
      <c r="L16" s="549"/>
      <c r="M16" s="549"/>
      <c r="N16" s="549"/>
      <c r="O16" s="549"/>
      <c r="P16" s="550">
        <f t="shared" si="0"/>
        <v>0</v>
      </c>
    </row>
    <row r="17" spans="1:18" ht="19.5" customHeight="1" x14ac:dyDescent="0.25">
      <c r="A17" s="2436" t="s">
        <v>114</v>
      </c>
      <c r="B17" s="2436"/>
      <c r="C17" s="549"/>
      <c r="D17" s="549"/>
      <c r="E17" s="549"/>
      <c r="F17" s="549"/>
      <c r="G17" s="549"/>
      <c r="H17" s="549"/>
      <c r="I17" s="549"/>
      <c r="J17" s="549"/>
      <c r="K17" s="549"/>
      <c r="L17" s="549"/>
      <c r="M17" s="549"/>
      <c r="N17" s="549"/>
      <c r="O17" s="549"/>
      <c r="P17" s="550">
        <f t="shared" si="0"/>
        <v>0</v>
      </c>
      <c r="R17" s="551"/>
    </row>
    <row r="18" spans="1:18" ht="19.5" customHeight="1" x14ac:dyDescent="0.25">
      <c r="A18" s="2436" t="s">
        <v>115</v>
      </c>
      <c r="B18" s="2436"/>
      <c r="C18" s="549"/>
      <c r="D18" s="549"/>
      <c r="E18" s="549"/>
      <c r="F18" s="549"/>
      <c r="G18" s="549"/>
      <c r="H18" s="549"/>
      <c r="I18" s="549"/>
      <c r="J18" s="549"/>
      <c r="K18" s="549"/>
      <c r="L18" s="549"/>
      <c r="M18" s="549"/>
      <c r="N18" s="549"/>
      <c r="O18" s="549"/>
      <c r="P18" s="550">
        <f t="shared" si="0"/>
        <v>0</v>
      </c>
    </row>
    <row r="19" spans="1:18" ht="19.5" customHeight="1" x14ac:dyDescent="0.25">
      <c r="A19" s="2436" t="s">
        <v>116</v>
      </c>
      <c r="B19" s="2436"/>
      <c r="C19" s="549"/>
      <c r="D19" s="549"/>
      <c r="E19" s="549"/>
      <c r="F19" s="549"/>
      <c r="G19" s="549"/>
      <c r="H19" s="549"/>
      <c r="I19" s="549"/>
      <c r="J19" s="549"/>
      <c r="K19" s="549"/>
      <c r="L19" s="549"/>
      <c r="M19" s="549"/>
      <c r="N19" s="549"/>
      <c r="O19" s="549"/>
      <c r="P19" s="550">
        <f t="shared" si="0"/>
        <v>0</v>
      </c>
      <c r="R19" s="551"/>
    </row>
    <row r="20" spans="1:18" ht="19.5" customHeight="1" x14ac:dyDescent="0.25">
      <c r="A20" s="2436" t="s">
        <v>117</v>
      </c>
      <c r="B20" s="2436"/>
      <c r="C20" s="549"/>
      <c r="D20" s="549"/>
      <c r="E20" s="549"/>
      <c r="F20" s="549"/>
      <c r="G20" s="549"/>
      <c r="H20" s="549"/>
      <c r="I20" s="549"/>
      <c r="J20" s="549"/>
      <c r="K20" s="549"/>
      <c r="L20" s="549"/>
      <c r="M20" s="549"/>
      <c r="N20" s="549"/>
      <c r="O20" s="549"/>
      <c r="P20" s="550">
        <f t="shared" si="0"/>
        <v>0</v>
      </c>
    </row>
    <row r="21" spans="1:18" ht="19.5" customHeight="1" x14ac:dyDescent="0.25">
      <c r="A21" s="2436" t="s">
        <v>118</v>
      </c>
      <c r="B21" s="2436"/>
      <c r="C21" s="549"/>
      <c r="D21" s="549"/>
      <c r="E21" s="549"/>
      <c r="F21" s="549"/>
      <c r="G21" s="549"/>
      <c r="H21" s="549"/>
      <c r="I21" s="549"/>
      <c r="J21" s="549"/>
      <c r="K21" s="549"/>
      <c r="L21" s="549"/>
      <c r="M21" s="549"/>
      <c r="N21" s="549"/>
      <c r="O21" s="549"/>
      <c r="P21" s="550">
        <f t="shared" si="0"/>
        <v>0</v>
      </c>
    </row>
    <row r="22" spans="1:18" ht="19.5" customHeight="1" x14ac:dyDescent="0.25">
      <c r="A22" s="2439" t="s">
        <v>119</v>
      </c>
      <c r="B22" s="2439"/>
      <c r="C22" s="550">
        <f t="shared" ref="C22:O22" si="1">SUM(C10:C21)</f>
        <v>0</v>
      </c>
      <c r="D22" s="550">
        <f t="shared" si="1"/>
        <v>0</v>
      </c>
      <c r="E22" s="550">
        <f t="shared" si="1"/>
        <v>0</v>
      </c>
      <c r="F22" s="550">
        <f t="shared" si="1"/>
        <v>0</v>
      </c>
      <c r="G22" s="550">
        <f t="shared" si="1"/>
        <v>0</v>
      </c>
      <c r="H22" s="550">
        <f t="shared" si="1"/>
        <v>0</v>
      </c>
      <c r="I22" s="550">
        <f t="shared" si="1"/>
        <v>0</v>
      </c>
      <c r="J22" s="550">
        <f t="shared" si="1"/>
        <v>0</v>
      </c>
      <c r="K22" s="550">
        <f t="shared" si="1"/>
        <v>0</v>
      </c>
      <c r="L22" s="550">
        <f t="shared" si="1"/>
        <v>0</v>
      </c>
      <c r="M22" s="550">
        <f t="shared" si="1"/>
        <v>0</v>
      </c>
      <c r="N22" s="550">
        <f t="shared" si="1"/>
        <v>0</v>
      </c>
      <c r="O22" s="550">
        <f t="shared" si="1"/>
        <v>0</v>
      </c>
      <c r="P22" s="550">
        <f>K22+L22+M22+N22+J22-O22</f>
        <v>0</v>
      </c>
    </row>
    <row r="23" spans="1:18" ht="20.25" customHeight="1" x14ac:dyDescent="0.25">
      <c r="A23" s="553"/>
      <c r="B23" s="553"/>
      <c r="C23" s="554"/>
      <c r="D23" s="554"/>
      <c r="G23" s="554"/>
      <c r="H23" s="554"/>
      <c r="I23" s="555" t="s">
        <v>284</v>
      </c>
      <c r="K23" s="556"/>
      <c r="M23" s="554"/>
      <c r="N23" s="554"/>
      <c r="O23" s="556"/>
      <c r="P23" s="554"/>
    </row>
    <row r="24" spans="1:18" ht="20.25" customHeight="1" x14ac:dyDescent="0.25">
      <c r="A24" s="553"/>
      <c r="B24" s="553"/>
      <c r="C24" s="554"/>
      <c r="D24" s="554"/>
      <c r="G24" s="554"/>
      <c r="H24" s="554"/>
      <c r="I24" s="555" t="s">
        <v>285</v>
      </c>
      <c r="J24" s="554"/>
      <c r="K24" s="557">
        <f>K23-K22</f>
        <v>0</v>
      </c>
      <c r="M24" s="554"/>
      <c r="N24" s="554"/>
      <c r="O24" s="557">
        <f>O22-O23</f>
        <v>0</v>
      </c>
      <c r="P24" s="554"/>
    </row>
    <row r="25" spans="1:18" x14ac:dyDescent="0.25">
      <c r="A25" s="553"/>
      <c r="B25" s="553"/>
      <c r="C25" s="554"/>
      <c r="D25" s="554"/>
      <c r="E25" s="554"/>
      <c r="F25" s="554"/>
      <c r="G25" s="554"/>
      <c r="H25" s="554"/>
      <c r="I25" s="554"/>
      <c r="J25" s="554"/>
      <c r="K25" s="558" t="s">
        <v>286</v>
      </c>
      <c r="L25" s="554"/>
      <c r="M25" s="554"/>
      <c r="N25" s="554"/>
      <c r="O25" s="558" t="s">
        <v>287</v>
      </c>
      <c r="P25" s="554"/>
    </row>
    <row r="26" spans="1:18" x14ac:dyDescent="0.25">
      <c r="A26" s="553"/>
      <c r="B26" s="553"/>
      <c r="C26" s="554"/>
      <c r="D26" s="554"/>
      <c r="E26" s="554"/>
      <c r="F26" s="554"/>
      <c r="G26" s="554"/>
      <c r="H26" s="554"/>
      <c r="I26" s="554"/>
      <c r="J26" s="554"/>
      <c r="K26" s="554"/>
      <c r="L26" s="554"/>
      <c r="M26" s="554"/>
      <c r="N26" s="554"/>
      <c r="O26" s="554"/>
      <c r="P26" s="554"/>
    </row>
    <row r="27" spans="1:18" x14ac:dyDescent="0.25">
      <c r="A27" s="553"/>
      <c r="B27" s="553"/>
      <c r="C27" s="554"/>
      <c r="D27" s="554"/>
      <c r="E27" s="554"/>
      <c r="F27" s="554"/>
      <c r="G27" s="554"/>
      <c r="H27" s="554"/>
      <c r="I27" s="554"/>
      <c r="J27" s="554"/>
      <c r="K27" s="554"/>
      <c r="L27" s="554"/>
      <c r="M27" s="554"/>
      <c r="N27" s="554"/>
      <c r="O27" s="554"/>
      <c r="P27" s="554"/>
    </row>
    <row r="28" spans="1:18" ht="21" customHeight="1" x14ac:dyDescent="0.25">
      <c r="A28" s="559" t="s">
        <v>120</v>
      </c>
      <c r="B28" s="553"/>
      <c r="C28" s="560"/>
      <c r="D28" s="554"/>
      <c r="E28" s="554" t="s">
        <v>305</v>
      </c>
      <c r="F28" s="557">
        <f>K22-O22</f>
        <v>0</v>
      </c>
      <c r="G28" s="554"/>
      <c r="H28" s="554"/>
      <c r="I28" s="554"/>
      <c r="K28" s="561" t="s">
        <v>121</v>
      </c>
      <c r="L28" s="561"/>
      <c r="P28" s="562"/>
    </row>
    <row r="29" spans="1:18" x14ac:dyDescent="0.25">
      <c r="A29" s="559"/>
      <c r="B29" s="553"/>
      <c r="C29" s="554"/>
      <c r="D29" s="554"/>
      <c r="G29" s="554"/>
      <c r="H29" s="554"/>
      <c r="I29" s="554"/>
      <c r="J29" s="554"/>
      <c r="K29" s="554"/>
      <c r="L29" s="554"/>
      <c r="M29" s="554"/>
      <c r="N29" s="554"/>
      <c r="O29" s="554"/>
      <c r="P29" s="563"/>
    </row>
    <row r="30" spans="1:18" ht="20.25" customHeight="1" thickBot="1" x14ac:dyDescent="0.3">
      <c r="A30" s="559" t="s">
        <v>122</v>
      </c>
      <c r="B30" s="553"/>
      <c r="C30" s="564">
        <f>C28-C22</f>
        <v>0</v>
      </c>
      <c r="D30" s="565"/>
      <c r="E30" s="554" t="s">
        <v>391</v>
      </c>
      <c r="F30" s="557">
        <f>L22</f>
        <v>0</v>
      </c>
      <c r="G30" s="554"/>
      <c r="H30" s="554"/>
      <c r="I30" s="554"/>
      <c r="K30" s="561" t="s">
        <v>237</v>
      </c>
      <c r="L30" s="561"/>
      <c r="N30" s="566"/>
      <c r="O30" s="566" t="s">
        <v>92</v>
      </c>
      <c r="P30" s="566"/>
    </row>
    <row r="31" spans="1:18" ht="20.25" customHeight="1" x14ac:dyDescent="0.25">
      <c r="A31" s="553"/>
      <c r="B31" s="553"/>
      <c r="C31" s="554"/>
      <c r="D31" s="554"/>
      <c r="E31" s="554"/>
      <c r="F31" s="554"/>
      <c r="G31" s="554"/>
      <c r="H31" s="554"/>
      <c r="I31" s="554"/>
      <c r="J31" s="554"/>
      <c r="K31" s="553"/>
      <c r="L31" s="553"/>
      <c r="M31" s="553"/>
      <c r="N31" s="567" t="s">
        <v>118</v>
      </c>
      <c r="O31" s="567"/>
      <c r="P31" s="562"/>
    </row>
    <row r="32" spans="1:18" ht="20.25" customHeight="1" x14ac:dyDescent="0.25">
      <c r="A32" s="553"/>
      <c r="B32" s="553"/>
      <c r="C32" s="554"/>
      <c r="D32" s="554"/>
      <c r="E32" s="554" t="s">
        <v>392</v>
      </c>
      <c r="F32" s="557">
        <f>J22</f>
        <v>0</v>
      </c>
      <c r="G32" s="554"/>
      <c r="H32" s="554"/>
      <c r="I32" s="554"/>
      <c r="J32" s="561" t="s">
        <v>92</v>
      </c>
      <c r="K32" s="568"/>
      <c r="L32" s="569"/>
      <c r="M32" s="568"/>
      <c r="N32" s="570" t="s">
        <v>115</v>
      </c>
      <c r="O32" s="570"/>
      <c r="P32" s="562"/>
    </row>
    <row r="33" spans="1:17" ht="20.25" customHeight="1" x14ac:dyDescent="0.25">
      <c r="A33" s="553"/>
      <c r="B33" s="553"/>
      <c r="C33" s="554"/>
      <c r="D33" s="554"/>
      <c r="E33" s="554"/>
      <c r="F33" s="554"/>
      <c r="G33" s="554"/>
      <c r="H33" s="554"/>
      <c r="I33" s="554"/>
      <c r="J33" s="554"/>
      <c r="K33" s="554"/>
      <c r="L33" s="554"/>
      <c r="M33" s="554"/>
      <c r="N33" s="571"/>
      <c r="O33" s="571"/>
      <c r="P33" s="571"/>
      <c r="Q33" s="571"/>
    </row>
    <row r="34" spans="1:17" ht="20.25" customHeight="1" x14ac:dyDescent="0.25">
      <c r="A34" s="553"/>
      <c r="B34" s="553"/>
      <c r="C34" s="554"/>
      <c r="D34" s="554"/>
      <c r="E34" s="554"/>
      <c r="F34" s="554"/>
      <c r="G34" s="554"/>
      <c r="H34" s="554"/>
      <c r="I34" s="554"/>
      <c r="J34" s="561" t="s">
        <v>123</v>
      </c>
      <c r="N34" s="566"/>
      <c r="O34" s="566"/>
      <c r="P34" s="562"/>
    </row>
    <row r="35" spans="1:17" ht="20.25" customHeight="1" x14ac:dyDescent="0.25">
      <c r="A35" s="553"/>
      <c r="B35" s="553"/>
      <c r="C35" s="554"/>
      <c r="D35" s="554"/>
      <c r="E35" s="554"/>
      <c r="F35" s="554"/>
      <c r="G35" s="554"/>
      <c r="H35" s="554"/>
      <c r="I35" s="554"/>
      <c r="J35" s="554" t="s">
        <v>653</v>
      </c>
      <c r="N35" s="566"/>
      <c r="O35" s="566"/>
      <c r="P35" s="562"/>
    </row>
    <row r="36" spans="1:17" ht="20.25" customHeight="1" x14ac:dyDescent="0.25">
      <c r="A36" s="553"/>
      <c r="B36" s="553"/>
      <c r="C36" s="554"/>
      <c r="D36" s="554"/>
      <c r="E36" s="554"/>
      <c r="F36" s="554"/>
      <c r="G36" s="554"/>
      <c r="H36" s="554"/>
      <c r="I36" s="554"/>
      <c r="J36" s="554" t="s">
        <v>654</v>
      </c>
      <c r="N36" s="566"/>
      <c r="O36" s="566"/>
      <c r="P36" s="562"/>
    </row>
    <row r="37" spans="1:17" ht="20.25" customHeight="1" x14ac:dyDescent="0.25">
      <c r="A37" s="553"/>
      <c r="B37" s="553"/>
      <c r="C37" s="554"/>
      <c r="D37" s="554"/>
      <c r="E37" s="554"/>
      <c r="F37" s="554"/>
      <c r="G37" s="554"/>
      <c r="H37" s="554"/>
      <c r="I37" s="554"/>
      <c r="J37" s="561"/>
      <c r="N37" s="566"/>
      <c r="O37" s="572">
        <f>SUM(P34:P37)</f>
        <v>0</v>
      </c>
      <c r="P37" s="562"/>
    </row>
    <row r="38" spans="1:17" ht="20.25" customHeight="1" x14ac:dyDescent="0.25">
      <c r="A38" s="553"/>
      <c r="B38" s="553"/>
      <c r="C38" s="554"/>
      <c r="D38" s="554"/>
      <c r="E38" s="554"/>
      <c r="F38" s="554"/>
      <c r="G38" s="554"/>
      <c r="H38" s="554"/>
      <c r="I38" s="554"/>
      <c r="J38" s="554"/>
      <c r="K38" s="554"/>
      <c r="L38" s="554"/>
      <c r="M38" s="554"/>
      <c r="N38" s="554"/>
      <c r="O38" s="554"/>
      <c r="P38" s="563"/>
    </row>
    <row r="39" spans="1:17" ht="20.25" customHeight="1" x14ac:dyDescent="0.25">
      <c r="A39" s="553"/>
      <c r="B39" s="553"/>
      <c r="C39" s="554"/>
      <c r="D39" s="554"/>
      <c r="E39" s="554"/>
      <c r="F39" s="554"/>
      <c r="G39" s="554"/>
      <c r="H39" s="554"/>
      <c r="I39" s="554"/>
      <c r="J39" s="561" t="s">
        <v>18</v>
      </c>
      <c r="P39" s="562"/>
    </row>
    <row r="40" spans="1:17" ht="20.25" customHeight="1" x14ac:dyDescent="0.25">
      <c r="A40" s="553"/>
      <c r="B40" s="553"/>
      <c r="C40" s="554"/>
      <c r="D40" s="554"/>
      <c r="E40" s="554"/>
      <c r="F40" s="554"/>
      <c r="G40" s="554"/>
      <c r="H40" s="554"/>
      <c r="I40" s="554"/>
      <c r="J40" s="554" t="s">
        <v>653</v>
      </c>
      <c r="K40" s="554"/>
      <c r="L40" s="554"/>
      <c r="M40" s="554"/>
      <c r="N40" s="554"/>
      <c r="O40" s="554"/>
      <c r="P40" s="562"/>
    </row>
    <row r="41" spans="1:17" ht="20.25" customHeight="1" x14ac:dyDescent="0.25">
      <c r="A41" s="553"/>
      <c r="B41" s="553"/>
      <c r="C41" s="554"/>
      <c r="D41" s="554"/>
      <c r="E41" s="554"/>
      <c r="F41" s="554"/>
      <c r="G41" s="554"/>
      <c r="H41" s="554"/>
      <c r="I41" s="554"/>
      <c r="J41" s="554" t="s">
        <v>654</v>
      </c>
      <c r="K41" s="554"/>
      <c r="L41" s="554"/>
      <c r="M41" s="554"/>
      <c r="N41" s="554"/>
      <c r="O41" s="572">
        <f>SUM(P39:P41)</f>
        <v>0</v>
      </c>
      <c r="P41" s="562"/>
    </row>
    <row r="42" spans="1:17" ht="20.25" customHeight="1" x14ac:dyDescent="0.25">
      <c r="A42" s="553"/>
      <c r="B42" s="553"/>
      <c r="C42" s="554"/>
      <c r="D42" s="554"/>
      <c r="E42" s="554"/>
      <c r="F42" s="554"/>
      <c r="G42" s="554"/>
      <c r="H42" s="554"/>
      <c r="I42" s="554"/>
      <c r="J42" s="554"/>
      <c r="K42" s="554"/>
      <c r="L42" s="554"/>
      <c r="M42" s="554"/>
      <c r="N42" s="554"/>
      <c r="O42" s="554"/>
      <c r="P42" s="573"/>
    </row>
    <row r="43" spans="1:17" ht="20.25" customHeight="1" x14ac:dyDescent="0.25">
      <c r="A43" s="553"/>
      <c r="B43" s="553"/>
      <c r="C43" s="554"/>
      <c r="D43" s="554"/>
      <c r="E43" s="554"/>
      <c r="F43" s="554"/>
      <c r="G43" s="554"/>
      <c r="H43" s="554"/>
      <c r="I43" s="554"/>
      <c r="J43" s="561" t="s">
        <v>88</v>
      </c>
      <c r="P43" s="562"/>
    </row>
    <row r="44" spans="1:17" ht="20.25" customHeight="1" x14ac:dyDescent="0.25">
      <c r="A44" s="553"/>
      <c r="B44" s="553"/>
      <c r="C44" s="554"/>
      <c r="D44" s="554"/>
      <c r="E44" s="554"/>
      <c r="F44" s="554"/>
      <c r="G44" s="554"/>
      <c r="H44" s="554"/>
      <c r="I44" s="554"/>
      <c r="J44" s="561"/>
      <c r="P44" s="562"/>
    </row>
    <row r="45" spans="1:17" ht="20.25" customHeight="1" x14ac:dyDescent="0.25">
      <c r="A45" s="553"/>
      <c r="B45" s="553"/>
      <c r="C45" s="554"/>
      <c r="D45" s="554"/>
      <c r="E45" s="554"/>
      <c r="F45" s="554"/>
      <c r="G45" s="554"/>
      <c r="H45" s="554"/>
      <c r="I45" s="554"/>
      <c r="J45" s="554"/>
      <c r="K45" s="554"/>
      <c r="L45" s="554"/>
      <c r="M45" s="554"/>
      <c r="N45" s="554"/>
      <c r="O45" s="554"/>
      <c r="P45" s="562"/>
    </row>
    <row r="46" spans="1:17" ht="20.25" customHeight="1" x14ac:dyDescent="0.25">
      <c r="A46" s="553"/>
      <c r="B46" s="553"/>
      <c r="C46" s="554"/>
      <c r="D46" s="554"/>
      <c r="E46" s="554"/>
      <c r="F46" s="554"/>
      <c r="G46" s="554"/>
      <c r="H46" s="554"/>
      <c r="I46" s="554"/>
      <c r="J46" s="561"/>
      <c r="O46" s="572">
        <f>SUM(P43:P46)</f>
        <v>0</v>
      </c>
      <c r="P46" s="562"/>
    </row>
    <row r="47" spans="1:17" ht="20.25" customHeight="1" x14ac:dyDescent="0.25">
      <c r="A47" s="553"/>
      <c r="B47" s="553"/>
      <c r="C47" s="554"/>
      <c r="D47" s="554"/>
      <c r="E47" s="554"/>
      <c r="F47" s="554"/>
      <c r="G47" s="554"/>
      <c r="H47" s="554"/>
      <c r="I47" s="554"/>
      <c r="J47" s="554"/>
      <c r="K47" s="554"/>
      <c r="L47" s="554"/>
      <c r="M47" s="554"/>
      <c r="N47" s="554"/>
      <c r="O47" s="554"/>
      <c r="P47" s="563"/>
    </row>
    <row r="48" spans="1:17" ht="20.25" customHeight="1" x14ac:dyDescent="0.25">
      <c r="A48" s="574"/>
      <c r="B48" s="575"/>
      <c r="C48" s="565"/>
      <c r="D48" s="565"/>
      <c r="E48" s="554"/>
      <c r="F48" s="554"/>
      <c r="G48" s="576"/>
      <c r="H48" s="576"/>
      <c r="I48" s="554"/>
      <c r="J48" s="555" t="s">
        <v>124</v>
      </c>
      <c r="K48" s="554"/>
      <c r="L48" s="554"/>
      <c r="M48" s="554"/>
      <c r="N48" s="554"/>
      <c r="O48" s="554"/>
      <c r="P48" s="577"/>
    </row>
    <row r="49" spans="1:16" ht="20.25" customHeight="1" x14ac:dyDescent="0.25">
      <c r="A49" s="574"/>
      <c r="B49" s="575"/>
      <c r="C49" s="565"/>
      <c r="D49" s="565"/>
      <c r="E49" s="554"/>
      <c r="F49" s="554"/>
      <c r="G49" s="576"/>
      <c r="H49" s="576"/>
      <c r="I49" s="554"/>
      <c r="J49" s="554" t="s">
        <v>652</v>
      </c>
      <c r="K49" s="554"/>
      <c r="L49" s="554"/>
      <c r="M49" s="554"/>
      <c r="N49" s="554"/>
      <c r="O49" s="554"/>
      <c r="P49" s="577"/>
    </row>
    <row r="50" spans="1:16" ht="20.25" customHeight="1" x14ac:dyDescent="0.25">
      <c r="A50" s="575"/>
      <c r="B50" s="575"/>
      <c r="C50" s="565"/>
      <c r="D50" s="565"/>
      <c r="E50" s="554"/>
      <c r="F50" s="554"/>
      <c r="G50" s="576"/>
      <c r="H50" s="576"/>
      <c r="I50" s="554"/>
      <c r="J50" s="554" t="s">
        <v>651</v>
      </c>
      <c r="K50" s="554"/>
      <c r="L50" s="554"/>
      <c r="M50" s="554"/>
      <c r="N50" s="554"/>
      <c r="O50" s="554"/>
      <c r="P50" s="577"/>
    </row>
    <row r="51" spans="1:16" ht="20.25" customHeight="1" x14ac:dyDescent="0.25">
      <c r="P51" s="577"/>
    </row>
    <row r="52" spans="1:16" ht="20.25" customHeight="1" x14ac:dyDescent="0.25">
      <c r="A52" s="524"/>
      <c r="O52" s="578">
        <f>SUM(P48:P52)</f>
        <v>0</v>
      </c>
      <c r="P52" s="577"/>
    </row>
    <row r="53" spans="1:16" ht="20.25" customHeight="1" x14ac:dyDescent="0.25">
      <c r="A53" s="524"/>
      <c r="P53" s="579"/>
    </row>
    <row r="54" spans="1:16" ht="20.25" customHeight="1" x14ac:dyDescent="0.25">
      <c r="A54" s="524"/>
      <c r="J54" s="561"/>
      <c r="L54" s="580" t="s">
        <v>255</v>
      </c>
      <c r="N54" s="561"/>
      <c r="P54" s="578">
        <f>P22+SUM(P28:P46)-O52</f>
        <v>0</v>
      </c>
    </row>
    <row r="55" spans="1:16" ht="20.25" customHeight="1" x14ac:dyDescent="0.25">
      <c r="A55" s="524"/>
      <c r="J55" s="561"/>
      <c r="N55" s="561"/>
    </row>
    <row r="56" spans="1:16" ht="20.25" customHeight="1" x14ac:dyDescent="0.25">
      <c r="A56" s="524"/>
      <c r="J56" s="581" t="s">
        <v>230</v>
      </c>
      <c r="N56" s="561"/>
    </row>
    <row r="57" spans="1:16" ht="20.25" customHeight="1" x14ac:dyDescent="0.25">
      <c r="A57" s="524"/>
      <c r="J57" s="561" t="s">
        <v>150</v>
      </c>
      <c r="L57" s="2438">
        <f>K21</f>
        <v>0</v>
      </c>
      <c r="M57" s="2438"/>
    </row>
    <row r="58" spans="1:16" ht="20.25" customHeight="1" x14ac:dyDescent="0.25">
      <c r="A58" s="524"/>
      <c r="J58" s="561" t="s">
        <v>234</v>
      </c>
      <c r="L58" s="2438">
        <f>-O21</f>
        <v>0</v>
      </c>
      <c r="M58" s="2438"/>
      <c r="P58" s="579"/>
    </row>
    <row r="59" spans="1:16" ht="20.25" customHeight="1" x14ac:dyDescent="0.25">
      <c r="A59" s="524"/>
      <c r="J59" s="561" t="s">
        <v>235</v>
      </c>
      <c r="L59" s="2438">
        <f>J21</f>
        <v>0</v>
      </c>
      <c r="M59" s="2438"/>
    </row>
    <row r="60" spans="1:16" ht="20.25" customHeight="1" x14ac:dyDescent="0.25">
      <c r="A60" s="524"/>
      <c r="J60" s="561" t="s">
        <v>386</v>
      </c>
      <c r="L60" s="2438">
        <f>L21</f>
        <v>0</v>
      </c>
      <c r="M60" s="2438"/>
    </row>
    <row r="61" spans="1:16" ht="20.25" customHeight="1" x14ac:dyDescent="0.25">
      <c r="A61" s="524"/>
      <c r="J61" s="582" t="s">
        <v>236</v>
      </c>
      <c r="L61" s="2438">
        <f>SUM(P63:P63)+P65</f>
        <v>0</v>
      </c>
      <c r="M61" s="2438"/>
    </row>
    <row r="62" spans="1:16" ht="20.25" customHeight="1" x14ac:dyDescent="0.25">
      <c r="A62" s="524"/>
      <c r="L62" s="2438">
        <f>SUM(L57:M61)</f>
        <v>0</v>
      </c>
      <c r="M62" s="2438"/>
    </row>
    <row r="63" spans="1:16" ht="20.25" customHeight="1" x14ac:dyDescent="0.25">
      <c r="A63" s="524"/>
      <c r="P63" s="577"/>
    </row>
    <row r="64" spans="1:16" ht="20.25" customHeight="1" x14ac:dyDescent="0.25">
      <c r="A64" s="524"/>
      <c r="N64" s="583" t="s">
        <v>118</v>
      </c>
      <c r="P64" s="578">
        <f>P21</f>
        <v>0</v>
      </c>
    </row>
    <row r="65" spans="10:16" ht="20.25" customHeight="1" x14ac:dyDescent="0.25">
      <c r="J65" s="561" t="s">
        <v>229</v>
      </c>
      <c r="N65" s="583" t="s">
        <v>50</v>
      </c>
      <c r="P65" s="562">
        <v>0</v>
      </c>
    </row>
    <row r="66" spans="10:16" ht="20.25" customHeight="1" x14ac:dyDescent="0.25">
      <c r="P66" s="584"/>
    </row>
    <row r="67" spans="10:16" ht="20.25" customHeight="1" x14ac:dyDescent="0.25">
      <c r="J67" s="561" t="s">
        <v>122</v>
      </c>
      <c r="P67" s="585">
        <f>SUM(P54)-SUM(P63:P65)</f>
        <v>0</v>
      </c>
    </row>
    <row r="68" spans="10:16" x14ac:dyDescent="0.25">
      <c r="P68" s="586" t="s">
        <v>303</v>
      </c>
    </row>
    <row r="69" spans="10:16" x14ac:dyDescent="0.25">
      <c r="P69" s="584"/>
    </row>
    <row r="70" spans="10:16" x14ac:dyDescent="0.25">
      <c r="P70" s="584"/>
    </row>
    <row r="71" spans="10:16" x14ac:dyDescent="0.25">
      <c r="P71" s="584"/>
    </row>
    <row r="72" spans="10:16" x14ac:dyDescent="0.25">
      <c r="P72" s="584"/>
    </row>
    <row r="73" spans="10:16" x14ac:dyDescent="0.25">
      <c r="P73" s="584"/>
    </row>
  </sheetData>
  <mergeCells count="21">
    <mergeCell ref="L59:M59"/>
    <mergeCell ref="L57:M57"/>
    <mergeCell ref="A10:B10"/>
    <mergeCell ref="L61:M61"/>
    <mergeCell ref="L62:M62"/>
    <mergeCell ref="A20:B20"/>
    <mergeCell ref="A21:B21"/>
    <mergeCell ref="A22:B22"/>
    <mergeCell ref="A17:B17"/>
    <mergeCell ref="L60:M60"/>
    <mergeCell ref="A14:B14"/>
    <mergeCell ref="L58:M58"/>
    <mergeCell ref="A15:B15"/>
    <mergeCell ref="A16:B16"/>
    <mergeCell ref="A1:C1"/>
    <mergeCell ref="A13:B13"/>
    <mergeCell ref="A11:B11"/>
    <mergeCell ref="A12:B12"/>
    <mergeCell ref="A19:B19"/>
    <mergeCell ref="A18:B18"/>
    <mergeCell ref="A9:B9"/>
  </mergeCells>
  <hyperlinks>
    <hyperlink ref="A1" location="'Index and Structure'!A1" display="The Macro Group" xr:uid="{00000000-0004-0000-1100-000000000000}"/>
  </hyperlinks>
  <printOptions horizontalCentered="1"/>
  <pageMargins left="0.15748031496062992" right="0.15748031496062992" top="0.39370078740157483" bottom="0.39370078740157483" header="0.51181102362204722" footer="0.51181102362204722"/>
  <pageSetup paperSize="9" scale="53" orientation="portrait" horizontalDpi="360" verticalDpi="1200" r:id="rId1"/>
  <headerFooter alignWithMargins="0"/>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36135"/>
  <dimension ref="A1:Q66"/>
  <sheetViews>
    <sheetView showGridLines="0" topLeftCell="A13" zoomScaleNormal="100" zoomScaleSheetLayoutView="100" workbookViewId="0">
      <selection activeCell="F48" sqref="F48"/>
    </sheetView>
  </sheetViews>
  <sheetFormatPr defaultColWidth="9.140625" defaultRowHeight="15" x14ac:dyDescent="0.25"/>
  <cols>
    <col min="1" max="1" width="13.140625" style="19" customWidth="1"/>
    <col min="2" max="2" width="11.42578125" style="19" customWidth="1"/>
    <col min="3" max="3" width="14.5703125" style="19" customWidth="1"/>
    <col min="4" max="4" width="7.28515625" style="19" customWidth="1"/>
    <col min="5" max="5" width="16.28515625" style="19" customWidth="1"/>
    <col min="6" max="6" width="19.140625" style="19" customWidth="1"/>
    <col min="7" max="7" width="15" style="28" customWidth="1"/>
    <col min="8" max="8" width="13.140625" style="19" customWidth="1"/>
    <col min="9" max="9" width="10.42578125" style="19" customWidth="1"/>
    <col min="10" max="10" width="10.85546875" style="19" bestFit="1" customWidth="1"/>
    <col min="11" max="16" width="9.140625" style="19"/>
    <col min="17" max="17" width="10.42578125" style="19" customWidth="1"/>
    <col min="18" max="16384" width="9.140625" style="19"/>
  </cols>
  <sheetData>
    <row r="1" spans="1:8" ht="5.25" customHeight="1" thickBot="1" x14ac:dyDescent="0.3"/>
    <row r="2" spans="1:8" ht="19.899999999999999" customHeight="1" thickBot="1" x14ac:dyDescent="0.3">
      <c r="A2" s="2339" t="s">
        <v>44</v>
      </c>
      <c r="B2" s="2340"/>
      <c r="C2" s="2341"/>
      <c r="D2" s="21"/>
      <c r="E2" s="21"/>
      <c r="F2" s="21"/>
      <c r="G2" s="520"/>
      <c r="H2" s="20"/>
    </row>
    <row r="3" spans="1:8" ht="27" customHeight="1" x14ac:dyDescent="0.25">
      <c r="A3" s="22"/>
    </row>
    <row r="4" spans="1:8" ht="19.5" customHeight="1" x14ac:dyDescent="0.25">
      <c r="A4" s="21"/>
    </row>
    <row r="5" spans="1:8" ht="5.25" customHeight="1" x14ac:dyDescent="0.25">
      <c r="A5" s="23"/>
      <c r="B5" s="24"/>
      <c r="C5" s="25"/>
      <c r="E5" s="23"/>
      <c r="F5" s="24"/>
      <c r="G5" s="74"/>
      <c r="H5" s="25"/>
    </row>
    <row r="6" spans="1:8" ht="14.25" customHeight="1" x14ac:dyDescent="0.25">
      <c r="A6" s="77" t="s">
        <v>40</v>
      </c>
      <c r="B6" s="28" t="str">
        <f>'Index and Structure'!B2</f>
        <v>Nicolo Superannuation fund</v>
      </c>
      <c r="C6" s="29"/>
      <c r="D6" s="30"/>
      <c r="E6" s="232" t="s">
        <v>38</v>
      </c>
      <c r="F6" s="32" t="str">
        <f>'Index and Structure'!B5</f>
        <v>NICO0024</v>
      </c>
      <c r="H6" s="33"/>
    </row>
    <row r="7" spans="1:8" ht="14.25" customHeight="1" x14ac:dyDescent="0.25">
      <c r="A7" s="77" t="s">
        <v>45</v>
      </c>
      <c r="B7" s="28" t="str">
        <f>'Index and Structure'!F21</f>
        <v>Superannuation Payable</v>
      </c>
      <c r="C7" s="29"/>
      <c r="D7" s="30"/>
      <c r="E7" s="78" t="s">
        <v>41</v>
      </c>
      <c r="F7" s="28" t="str">
        <f>'Index and Structure'!B6</f>
        <v>Liam Aubin</v>
      </c>
      <c r="G7" s="28" t="s">
        <v>42</v>
      </c>
      <c r="H7" s="35"/>
    </row>
    <row r="8" spans="1:8" ht="14.25" customHeight="1" x14ac:dyDescent="0.25">
      <c r="A8" s="79" t="s">
        <v>46</v>
      </c>
      <c r="B8" s="37" t="str">
        <f>'Index and Structure'!B4</f>
        <v>30 June 2022</v>
      </c>
      <c r="C8" s="38"/>
      <c r="D8" s="30"/>
      <c r="E8" s="80" t="s">
        <v>43</v>
      </c>
      <c r="F8" s="40" t="str">
        <f>'Index and Structure'!B7</f>
        <v>Nicole Bryant</v>
      </c>
      <c r="G8" s="40" t="s">
        <v>42</v>
      </c>
      <c r="H8" s="41"/>
    </row>
    <row r="9" spans="1:8" ht="9.75" customHeight="1" x14ac:dyDescent="0.25"/>
    <row r="10" spans="1:8" ht="30" customHeight="1" x14ac:dyDescent="0.25">
      <c r="A10" s="42"/>
      <c r="B10" s="43"/>
      <c r="C10" s="43"/>
      <c r="D10" s="43"/>
      <c r="E10" s="43"/>
      <c r="F10" s="342">
        <f>'Index and Structure'!D4</f>
        <v>2022</v>
      </c>
      <c r="G10" s="492"/>
      <c r="H10" s="44"/>
    </row>
    <row r="11" spans="1:8" s="45" customFormat="1" ht="13.5" customHeight="1" x14ac:dyDescent="0.2">
      <c r="A11" s="235"/>
      <c r="B11" s="46"/>
      <c r="C11" s="46"/>
      <c r="D11" s="46"/>
      <c r="E11" s="70"/>
      <c r="F11" s="46"/>
      <c r="G11" s="493"/>
      <c r="H11" s="71"/>
    </row>
    <row r="12" spans="1:8" s="45" customFormat="1" ht="13.5" customHeight="1" thickBot="1" x14ac:dyDescent="0.25">
      <c r="A12" s="1266" t="str">
        <f>B7</f>
        <v>Superannuation Payable</v>
      </c>
      <c r="B12" s="1263"/>
      <c r="C12" s="165"/>
      <c r="D12" s="165"/>
      <c r="E12" s="165"/>
      <c r="F12" s="198">
        <f>F35</f>
        <v>0</v>
      </c>
      <c r="G12" s="240"/>
      <c r="H12" s="196"/>
    </row>
    <row r="13" spans="1:8" s="45" customFormat="1" ht="13.5" customHeight="1" thickTop="1" x14ac:dyDescent="0.2">
      <c r="A13" s="197"/>
      <c r="B13" s="165"/>
      <c r="C13" s="165"/>
      <c r="D13" s="165"/>
      <c r="E13" s="165"/>
      <c r="F13" s="200"/>
      <c r="G13" s="240"/>
      <c r="H13" s="196"/>
    </row>
    <row r="14" spans="1:8" s="45" customFormat="1" ht="13.5" customHeight="1" x14ac:dyDescent="0.2">
      <c r="A14" s="197"/>
      <c r="B14" s="165"/>
      <c r="C14" s="201"/>
      <c r="D14" s="202"/>
      <c r="E14" s="165"/>
      <c r="F14" s="199"/>
      <c r="G14" s="240"/>
      <c r="H14" s="86"/>
    </row>
    <row r="15" spans="1:8" s="45" customFormat="1" ht="13.5" customHeight="1" x14ac:dyDescent="0.2">
      <c r="A15" s="197"/>
      <c r="C15" s="165"/>
      <c r="D15" s="202"/>
      <c r="E15" s="202"/>
      <c r="F15" s="199"/>
      <c r="G15" s="240"/>
      <c r="H15" s="86"/>
    </row>
    <row r="16" spans="1:8" s="45" customFormat="1" ht="13.5" customHeight="1" x14ac:dyDescent="0.2">
      <c r="A16" s="197"/>
      <c r="B16" s="201"/>
      <c r="C16" s="165"/>
      <c r="D16" s="202"/>
      <c r="E16" s="186"/>
      <c r="F16" s="199"/>
      <c r="G16" s="498" t="s">
        <v>50</v>
      </c>
      <c r="H16" s="86"/>
    </row>
    <row r="17" spans="1:17" s="45" customFormat="1" ht="13.5" customHeight="1" x14ac:dyDescent="0.2">
      <c r="A17" s="197"/>
      <c r="B17" s="165" t="s">
        <v>20</v>
      </c>
      <c r="C17" s="165"/>
      <c r="D17" s="204"/>
      <c r="E17" s="186"/>
      <c r="F17" s="205"/>
      <c r="G17" s="498"/>
      <c r="H17" s="86"/>
    </row>
    <row r="18" spans="1:17" s="45" customFormat="1" ht="13.5" customHeight="1" x14ac:dyDescent="0.2">
      <c r="A18" s="197"/>
      <c r="B18" s="201"/>
      <c r="C18" s="201"/>
      <c r="D18" s="204"/>
      <c r="E18" s="186"/>
      <c r="F18" s="199"/>
      <c r="G18" s="498"/>
      <c r="H18" s="86"/>
    </row>
    <row r="19" spans="1:17" s="45" customFormat="1" ht="13.5" customHeight="1" x14ac:dyDescent="0.2">
      <c r="A19" s="197"/>
      <c r="B19" s="165"/>
      <c r="C19" s="201"/>
      <c r="D19" s="204"/>
      <c r="E19" s="186"/>
      <c r="F19" s="199"/>
      <c r="G19" s="498"/>
      <c r="H19" s="86"/>
    </row>
    <row r="20" spans="1:17" s="45" customFormat="1" ht="13.5" customHeight="1" x14ac:dyDescent="0.2">
      <c r="A20" s="208" t="s">
        <v>65</v>
      </c>
      <c r="B20" s="165" t="s">
        <v>257</v>
      </c>
      <c r="C20" s="165"/>
      <c r="D20" s="165"/>
      <c r="E20" s="165"/>
      <c r="F20" s="205"/>
      <c r="G20" s="498"/>
      <c r="H20" s="86"/>
    </row>
    <row r="21" spans="1:17" s="45" customFormat="1" ht="13.5" customHeight="1" x14ac:dyDescent="0.2">
      <c r="A21" s="344"/>
      <c r="B21" s="165"/>
      <c r="C21" s="165"/>
      <c r="D21" s="165"/>
      <c r="E21" s="165"/>
      <c r="F21" s="205"/>
      <c r="G21" s="498"/>
      <c r="H21" s="86"/>
    </row>
    <row r="22" spans="1:17" s="45" customFormat="1" ht="13.5" customHeight="1" x14ac:dyDescent="0.2">
      <c r="A22" s="344"/>
      <c r="B22" s="165"/>
      <c r="C22" s="165"/>
      <c r="D22" s="165"/>
      <c r="E22" s="165"/>
      <c r="F22" s="205"/>
      <c r="G22" s="498"/>
      <c r="H22" s="86"/>
    </row>
    <row r="23" spans="1:17" s="45" customFormat="1" ht="13.5" customHeight="1" x14ac:dyDescent="0.2">
      <c r="A23" s="344"/>
      <c r="B23" s="165"/>
      <c r="C23" s="165"/>
      <c r="D23" s="165"/>
      <c r="E23" s="165"/>
      <c r="F23" s="205"/>
      <c r="G23" s="498"/>
      <c r="H23" s="86"/>
    </row>
    <row r="24" spans="1:17" s="45" customFormat="1" ht="13.5" customHeight="1" x14ac:dyDescent="0.2">
      <c r="A24" s="344"/>
      <c r="B24" s="165"/>
      <c r="C24" s="165"/>
      <c r="D24" s="165"/>
      <c r="E24" s="165"/>
      <c r="F24" s="205"/>
      <c r="G24" s="498"/>
      <c r="H24" s="86"/>
    </row>
    <row r="25" spans="1:17" s="45" customFormat="1" ht="13.5" customHeight="1" x14ac:dyDescent="0.2">
      <c r="A25" s="344"/>
      <c r="B25" s="165"/>
      <c r="C25" s="165"/>
      <c r="D25" s="165"/>
      <c r="E25" s="165"/>
      <c r="F25" s="205"/>
      <c r="G25" s="498"/>
      <c r="H25" s="86"/>
    </row>
    <row r="26" spans="1:17" s="45" customFormat="1" ht="13.5" customHeight="1" x14ac:dyDescent="0.2">
      <c r="A26" s="344"/>
      <c r="B26" s="165"/>
      <c r="C26" s="165"/>
      <c r="D26" s="165"/>
      <c r="E26" s="165"/>
      <c r="F26" s="205"/>
      <c r="G26" s="498"/>
      <c r="H26" s="86"/>
    </row>
    <row r="27" spans="1:17" s="45" customFormat="1" ht="13.5" customHeight="1" x14ac:dyDescent="0.2">
      <c r="A27" s="344"/>
      <c r="B27" s="201"/>
      <c r="C27" s="165"/>
      <c r="D27" s="204"/>
      <c r="E27" s="53"/>
      <c r="F27" s="212"/>
      <c r="G27" s="498"/>
      <c r="H27" s="86"/>
    </row>
    <row r="28" spans="1:17" s="45" customFormat="1" ht="13.5" customHeight="1" x14ac:dyDescent="0.2">
      <c r="A28" s="208" t="s">
        <v>51</v>
      </c>
      <c r="B28" s="165" t="s">
        <v>258</v>
      </c>
      <c r="C28" s="345"/>
      <c r="D28" s="345"/>
      <c r="E28" s="345"/>
      <c r="F28" s="213"/>
      <c r="G28" s="1841"/>
      <c r="H28" s="346"/>
      <c r="Q28" s="1842"/>
    </row>
    <row r="29" spans="1:17" s="45" customFormat="1" ht="13.5" customHeight="1" x14ac:dyDescent="0.2">
      <c r="A29" s="197"/>
      <c r="B29" s="345"/>
      <c r="C29" s="345"/>
      <c r="D29" s="345"/>
      <c r="E29" s="345"/>
      <c r="F29" s="213"/>
      <c r="G29" s="498"/>
      <c r="H29" s="346">
        <f>F28-Q28</f>
        <v>0</v>
      </c>
    </row>
    <row r="30" spans="1:17" s="45" customFormat="1" ht="13.5" customHeight="1" x14ac:dyDescent="0.2">
      <c r="A30" s="197"/>
      <c r="B30" s="345"/>
      <c r="C30" s="345"/>
      <c r="D30" s="345"/>
      <c r="E30" s="345"/>
      <c r="F30" s="213"/>
      <c r="G30" s="498"/>
      <c r="H30" s="346"/>
    </row>
    <row r="31" spans="1:17" s="45" customFormat="1" ht="13.5" customHeight="1" x14ac:dyDescent="0.2">
      <c r="A31" s="197"/>
      <c r="B31" s="345"/>
      <c r="C31" s="345"/>
      <c r="D31" s="345"/>
      <c r="E31" s="345"/>
      <c r="F31" s="213"/>
      <c r="G31" s="498"/>
      <c r="H31" s="346"/>
    </row>
    <row r="32" spans="1:17" s="45" customFormat="1" ht="13.5" customHeight="1" x14ac:dyDescent="0.2">
      <c r="A32" s="197"/>
      <c r="B32" s="345"/>
      <c r="C32" s="345"/>
      <c r="D32" s="345"/>
      <c r="E32" s="345"/>
      <c r="F32" s="213"/>
      <c r="G32" s="498"/>
      <c r="H32" s="346"/>
    </row>
    <row r="33" spans="1:8" s="45" customFormat="1" ht="12.75" customHeight="1" x14ac:dyDescent="0.2">
      <c r="A33" s="197"/>
      <c r="B33" s="345"/>
      <c r="C33" s="345"/>
      <c r="D33" s="345"/>
      <c r="E33" s="345"/>
      <c r="F33" s="213"/>
      <c r="G33" s="498"/>
      <c r="H33" s="346"/>
    </row>
    <row r="34" spans="1:8" s="45" customFormat="1" ht="12.75" customHeight="1" x14ac:dyDescent="0.2">
      <c r="A34" s="197"/>
      <c r="B34" s="201"/>
      <c r="C34" s="165"/>
      <c r="D34" s="165"/>
      <c r="E34" s="186"/>
      <c r="F34" s="215"/>
      <c r="G34" s="498"/>
      <c r="H34" s="346"/>
    </row>
    <row r="35" spans="1:8" s="45" customFormat="1" ht="13.5" customHeight="1" thickBot="1" x14ac:dyDescent="0.25">
      <c r="A35" s="197"/>
      <c r="B35" s="343" t="s">
        <v>4</v>
      </c>
      <c r="C35" s="165"/>
      <c r="D35" s="165"/>
      <c r="E35" s="186"/>
      <c r="F35" s="216">
        <f>F17+SUM(F20:F26)-SUM(F28:F33)</f>
        <v>0</v>
      </c>
      <c r="G35" s="498"/>
      <c r="H35" s="86"/>
    </row>
    <row r="36" spans="1:8" s="45" customFormat="1" ht="13.5" customHeight="1" thickTop="1" x14ac:dyDescent="0.2">
      <c r="A36" s="356"/>
      <c r="B36" s="2164"/>
      <c r="C36" s="168"/>
      <c r="D36" s="168"/>
      <c r="E36" s="168"/>
      <c r="F36" s="168"/>
      <c r="G36" s="168"/>
      <c r="H36" s="86"/>
    </row>
    <row r="37" spans="1:8" s="45" customFormat="1" ht="13.5" customHeight="1" x14ac:dyDescent="0.2">
      <c r="A37" s="356" t="s">
        <v>1005</v>
      </c>
      <c r="B37" s="2164"/>
      <c r="C37" s="168"/>
      <c r="D37" s="168"/>
      <c r="E37" s="168"/>
      <c r="F37" s="168"/>
      <c r="G37" s="168"/>
      <c r="H37" s="86"/>
    </row>
    <row r="38" spans="1:8" s="45" customFormat="1" ht="13.5" customHeight="1" x14ac:dyDescent="0.2">
      <c r="A38" s="356" t="s">
        <v>1006</v>
      </c>
      <c r="B38" s="356" t="s">
        <v>1007</v>
      </c>
      <c r="D38" s="168"/>
      <c r="E38" s="168" t="s">
        <v>73</v>
      </c>
      <c r="F38" s="168" t="s">
        <v>34</v>
      </c>
      <c r="G38" s="168"/>
      <c r="H38" s="86"/>
    </row>
    <row r="39" spans="1:8" s="45" customFormat="1" ht="13.5" customHeight="1" x14ac:dyDescent="0.2">
      <c r="A39" s="356"/>
      <c r="B39" s="2164"/>
      <c r="C39" s="168"/>
      <c r="D39" s="168"/>
      <c r="E39" s="168"/>
      <c r="F39" s="168"/>
      <c r="G39" s="168"/>
      <c r="H39" s="86"/>
    </row>
    <row r="40" spans="1:8" s="45" customFormat="1" ht="13.5" customHeight="1" x14ac:dyDescent="0.2">
      <c r="A40" s="356"/>
      <c r="B40" s="2164"/>
      <c r="C40" s="168"/>
      <c r="D40" s="168"/>
      <c r="E40" s="168"/>
      <c r="F40" s="168"/>
      <c r="G40" s="168"/>
      <c r="H40" s="86"/>
    </row>
    <row r="41" spans="1:8" s="45" customFormat="1" ht="13.5" customHeight="1" x14ac:dyDescent="0.2">
      <c r="A41" s="356"/>
      <c r="B41" s="2164"/>
      <c r="C41" s="168"/>
      <c r="D41" s="168"/>
      <c r="E41" s="168"/>
      <c r="F41" s="168"/>
      <c r="G41" s="168"/>
      <c r="H41" s="86"/>
    </row>
    <row r="42" spans="1:8" s="45" customFormat="1" ht="13.5" customHeight="1" x14ac:dyDescent="0.2">
      <c r="A42" s="356"/>
      <c r="B42" s="2164"/>
      <c r="C42" s="168"/>
      <c r="D42" s="168"/>
      <c r="E42" s="168"/>
      <c r="F42" s="168"/>
      <c r="G42" s="168"/>
      <c r="H42" s="86"/>
    </row>
    <row r="43" spans="1:8" s="45" customFormat="1" ht="13.5" customHeight="1" x14ac:dyDescent="0.2">
      <c r="A43" s="356"/>
      <c r="B43" s="2164"/>
      <c r="C43" s="168"/>
      <c r="D43" s="168"/>
      <c r="E43" s="168"/>
      <c r="F43" s="168"/>
      <c r="G43" s="168"/>
      <c r="H43" s="86"/>
    </row>
    <row r="44" spans="1:8" s="45" customFormat="1" ht="13.5" customHeight="1" x14ac:dyDescent="0.2">
      <c r="A44" s="356"/>
      <c r="B44" s="2164"/>
      <c r="C44" s="168"/>
      <c r="D44" s="168"/>
      <c r="E44" s="168"/>
      <c r="F44" s="168"/>
      <c r="G44" s="168"/>
      <c r="H44" s="86"/>
    </row>
    <row r="45" spans="1:8" s="45" customFormat="1" ht="13.5" customHeight="1" x14ac:dyDescent="0.2">
      <c r="A45" s="356"/>
      <c r="B45" s="2164"/>
      <c r="C45" s="168"/>
      <c r="D45" s="168"/>
      <c r="E45" s="168"/>
      <c r="F45" s="168"/>
      <c r="G45" s="168"/>
      <c r="H45" s="86"/>
    </row>
    <row r="46" spans="1:8" s="45" customFormat="1" ht="13.5" customHeight="1" x14ac:dyDescent="0.2">
      <c r="A46" s="356"/>
      <c r="B46" s="2164"/>
      <c r="C46" s="168"/>
      <c r="D46" s="168"/>
      <c r="E46" s="168"/>
      <c r="F46" s="168"/>
      <c r="G46" s="168"/>
      <c r="H46" s="86"/>
    </row>
    <row r="47" spans="1:8" s="45" customFormat="1" ht="13.5" customHeight="1" x14ac:dyDescent="0.2">
      <c r="A47" s="356"/>
      <c r="B47" s="2164"/>
      <c r="C47" s="168"/>
      <c r="D47" s="168"/>
      <c r="E47" s="168"/>
      <c r="F47" s="168"/>
      <c r="G47" s="168"/>
      <c r="H47" s="86"/>
    </row>
    <row r="48" spans="1:8" s="45" customFormat="1" ht="13.5" customHeight="1" x14ac:dyDescent="0.2">
      <c r="A48" s="356"/>
      <c r="B48" s="2164"/>
      <c r="C48" s="168"/>
      <c r="D48" s="168"/>
      <c r="E48" s="168"/>
      <c r="F48" s="168">
        <f>SUM(F39:F47)</f>
        <v>0</v>
      </c>
      <c r="G48" s="168"/>
      <c r="H48" s="86"/>
    </row>
    <row r="49" spans="1:10" s="45" customFormat="1" ht="13.5" customHeight="1" x14ac:dyDescent="0.2">
      <c r="A49" s="356"/>
      <c r="B49" s="2164"/>
      <c r="C49" s="168"/>
      <c r="D49" s="168"/>
      <c r="E49" s="168"/>
      <c r="F49" s="168"/>
      <c r="G49" s="168"/>
      <c r="H49" s="86"/>
    </row>
    <row r="50" spans="1:10" s="45" customFormat="1" ht="13.5" customHeight="1" x14ac:dyDescent="0.2">
      <c r="A50" s="356"/>
      <c r="B50" s="2164"/>
      <c r="C50" s="168"/>
      <c r="D50" s="168"/>
      <c r="E50" s="168"/>
      <c r="F50" s="168"/>
      <c r="G50" s="168"/>
      <c r="H50" s="86"/>
    </row>
    <row r="51" spans="1:10" s="45" customFormat="1" ht="13.5" customHeight="1" x14ac:dyDescent="0.2">
      <c r="A51" s="356"/>
      <c r="B51" s="2164"/>
      <c r="C51" s="168"/>
      <c r="D51" s="168"/>
      <c r="E51" s="168"/>
      <c r="F51" s="168"/>
      <c r="G51" s="168"/>
      <c r="H51" s="86"/>
    </row>
    <row r="52" spans="1:10" s="45" customFormat="1" ht="13.5" customHeight="1" x14ac:dyDescent="0.2">
      <c r="A52" s="356"/>
      <c r="B52" s="168"/>
      <c r="C52" s="168"/>
      <c r="D52" s="168"/>
      <c r="E52" s="168"/>
      <c r="F52" s="204"/>
      <c r="G52" s="240"/>
      <c r="H52" s="86"/>
    </row>
    <row r="53" spans="1:10" s="45" customFormat="1" ht="13.5" customHeight="1" x14ac:dyDescent="0.2">
      <c r="A53" s="2453" t="s">
        <v>260</v>
      </c>
      <c r="B53" s="2453"/>
      <c r="C53" s="2453"/>
      <c r="D53" s="2453"/>
      <c r="E53" s="2453"/>
      <c r="F53" s="458"/>
      <c r="G53" s="240"/>
      <c r="H53" s="86"/>
    </row>
    <row r="54" spans="1:10" s="45" customFormat="1" ht="13.5" customHeight="1" x14ac:dyDescent="0.2">
      <c r="A54" s="2454" t="s">
        <v>259</v>
      </c>
      <c r="B54" s="2454"/>
      <c r="C54" s="587" t="s">
        <v>73</v>
      </c>
      <c r="D54" s="2454" t="s">
        <v>34</v>
      </c>
      <c r="E54" s="2454"/>
      <c r="F54" s="458"/>
      <c r="G54" s="240"/>
      <c r="H54" s="217"/>
    </row>
    <row r="55" spans="1:10" s="45" customFormat="1" ht="13.5" customHeight="1" x14ac:dyDescent="0.2">
      <c r="A55" s="2455"/>
      <c r="B55" s="2456"/>
      <c r="C55" s="1846"/>
      <c r="D55" s="1844"/>
      <c r="E55" s="1801"/>
      <c r="G55" s="240"/>
      <c r="H55" s="217"/>
      <c r="I55" s="45" t="s">
        <v>787</v>
      </c>
      <c r="J55" s="1842">
        <f>Q28-E55-E56-D57</f>
        <v>0</v>
      </c>
    </row>
    <row r="56" spans="1:10" s="45" customFormat="1" ht="13.5" customHeight="1" x14ac:dyDescent="0.2">
      <c r="A56" s="2442"/>
      <c r="B56" s="2443"/>
      <c r="C56" s="1847"/>
      <c r="D56" s="1845"/>
      <c r="E56" s="1800"/>
      <c r="F56" s="588"/>
      <c r="G56" s="240"/>
      <c r="H56" s="217"/>
    </row>
    <row r="57" spans="1:10" s="45" customFormat="1" ht="13.5" customHeight="1" x14ac:dyDescent="0.2">
      <c r="A57" s="2442"/>
      <c r="B57" s="2443"/>
      <c r="C57" s="1847"/>
      <c r="D57" s="2457"/>
      <c r="E57" s="2450"/>
      <c r="F57" s="588"/>
      <c r="G57" s="240"/>
      <c r="H57" s="217"/>
    </row>
    <row r="58" spans="1:10" s="45" customFormat="1" ht="13.5" customHeight="1" x14ac:dyDescent="0.2">
      <c r="A58" s="2442"/>
      <c r="B58" s="2443"/>
      <c r="C58" s="1843"/>
      <c r="D58" s="2457"/>
      <c r="E58" s="2450"/>
      <c r="F58" s="588"/>
      <c r="G58" s="240"/>
      <c r="H58" s="217"/>
    </row>
    <row r="59" spans="1:10" s="45" customFormat="1" ht="13.5" customHeight="1" x14ac:dyDescent="0.2">
      <c r="A59" s="2442"/>
      <c r="B59" s="2443"/>
      <c r="C59" s="589"/>
      <c r="D59" s="2449"/>
      <c r="E59" s="2450"/>
      <c r="F59" s="588"/>
      <c r="G59" s="240"/>
      <c r="H59" s="217"/>
    </row>
    <row r="60" spans="1:10" s="45" customFormat="1" ht="13.5" customHeight="1" x14ac:dyDescent="0.2">
      <c r="A60" s="2442"/>
      <c r="B60" s="2443"/>
      <c r="C60" s="589"/>
      <c r="D60" s="2449"/>
      <c r="E60" s="2450"/>
      <c r="F60" s="588"/>
      <c r="G60" s="240"/>
      <c r="H60" s="217"/>
    </row>
    <row r="61" spans="1:10" s="45" customFormat="1" ht="13.5" customHeight="1" x14ac:dyDescent="0.2">
      <c r="A61" s="2442"/>
      <c r="B61" s="2443"/>
      <c r="C61" s="589"/>
      <c r="D61" s="2449"/>
      <c r="E61" s="2450"/>
      <c r="F61" s="588"/>
      <c r="G61" s="240"/>
      <c r="H61" s="217"/>
    </row>
    <row r="62" spans="1:10" s="45" customFormat="1" ht="13.5" customHeight="1" x14ac:dyDescent="0.2">
      <c r="A62" s="2442"/>
      <c r="B62" s="2443"/>
      <c r="C62" s="589"/>
      <c r="D62" s="2449"/>
      <c r="E62" s="2450"/>
      <c r="F62" s="588"/>
      <c r="G62" s="591"/>
      <c r="H62" s="590"/>
    </row>
    <row r="63" spans="1:10" s="45" customFormat="1" ht="13.5" customHeight="1" x14ac:dyDescent="0.2">
      <c r="A63" s="2442"/>
      <c r="B63" s="2443"/>
      <c r="C63" s="589"/>
      <c r="D63" s="2449"/>
      <c r="E63" s="2450"/>
      <c r="F63" s="588"/>
      <c r="G63" s="240"/>
      <c r="H63" s="217"/>
    </row>
    <row r="64" spans="1:10" s="45" customFormat="1" ht="13.5" customHeight="1" x14ac:dyDescent="0.2">
      <c r="A64" s="2451"/>
      <c r="B64" s="2452"/>
      <c r="C64" s="589"/>
      <c r="D64" s="2449"/>
      <c r="E64" s="2450"/>
      <c r="F64" s="588"/>
      <c r="G64" s="240"/>
      <c r="H64" s="217"/>
    </row>
    <row r="65" spans="1:8" s="45" customFormat="1" ht="13.5" customHeight="1" x14ac:dyDescent="0.2">
      <c r="A65" s="2446" t="s">
        <v>261</v>
      </c>
      <c r="B65" s="2447"/>
      <c r="C65" s="2448"/>
      <c r="D65" s="2440">
        <f>SUM(D55:E64)</f>
        <v>0</v>
      </c>
      <c r="E65" s="2441"/>
      <c r="F65" s="588"/>
      <c r="G65" s="244"/>
      <c r="H65" s="196"/>
    </row>
    <row r="66" spans="1:8" s="45" customFormat="1" ht="13.5" customHeight="1" x14ac:dyDescent="0.2">
      <c r="A66" s="192"/>
      <c r="B66" s="195"/>
      <c r="C66" s="195"/>
      <c r="D66" s="2444"/>
      <c r="E66" s="2445"/>
      <c r="F66" s="218"/>
      <c r="G66" s="167"/>
      <c r="H66" s="217"/>
    </row>
  </sheetData>
  <mergeCells count="25">
    <mergeCell ref="A58:B58"/>
    <mergeCell ref="A53:E53"/>
    <mergeCell ref="A2:C2"/>
    <mergeCell ref="A54:B54"/>
    <mergeCell ref="A55:B55"/>
    <mergeCell ref="A56:B56"/>
    <mergeCell ref="A57:B57"/>
    <mergeCell ref="D54:E54"/>
    <mergeCell ref="D57:E57"/>
    <mergeCell ref="D58:E58"/>
    <mergeCell ref="D65:E65"/>
    <mergeCell ref="A62:B62"/>
    <mergeCell ref="A59:B59"/>
    <mergeCell ref="A60:B60"/>
    <mergeCell ref="D66:E66"/>
    <mergeCell ref="A65:C65"/>
    <mergeCell ref="D60:E60"/>
    <mergeCell ref="D61:E61"/>
    <mergeCell ref="D62:E62"/>
    <mergeCell ref="D63:E63"/>
    <mergeCell ref="D64:E64"/>
    <mergeCell ref="D59:E59"/>
    <mergeCell ref="A63:B63"/>
    <mergeCell ref="A64:B64"/>
    <mergeCell ref="A61:B61"/>
  </mergeCells>
  <dataValidations disablePrompts="1" count="2">
    <dataValidation type="list" allowBlank="1" showInputMessage="1" showErrorMessage="1" sqref="A64:B64" xr:uid="{00000000-0002-0000-1200-000000000000}">
      <formula1>"Sept Qtr, Dec Qtr, Mar Qtr, June Qtr"</formula1>
    </dataValidation>
    <dataValidation type="list" allowBlank="1" showInputMessage="1" showErrorMessage="1" sqref="A55:B63" xr:uid="{00000000-0002-0000-1200-000001000000}">
      <formula1>"Sept Quarter, Dec Quarter, Mar Quarter, June Quarter"</formula1>
    </dataValidation>
  </dataValidations>
  <hyperlinks>
    <hyperlink ref="A2" location="'Index and Structure'!A1" display="The Macro Group" xr:uid="{00000000-0004-0000-1200-000000000000}"/>
  </hyperlinks>
  <pageMargins left="0.74803149606299213" right="0.39370078740157483" top="0.55118110236220474" bottom="0.62992125984251968" header="0.51181102362204722" footer="0.47244094488188981"/>
  <pageSetup paperSize="9" scale="79" orientation="portrait" r:id="rId1"/>
  <headerFooter alignWithMargins="0">
    <oddFooter>&amp;LPrinted:&amp;T on &amp;D</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36160">
    <pageSetUpPr fitToPage="1"/>
  </sheetPr>
  <dimension ref="A1:H65"/>
  <sheetViews>
    <sheetView showGridLines="0" view="pageBreakPreview" topLeftCell="A22" zoomScaleNormal="50" workbookViewId="0">
      <selection activeCell="F56" sqref="F56"/>
    </sheetView>
  </sheetViews>
  <sheetFormatPr defaultColWidth="9.140625" defaultRowHeight="15" x14ac:dyDescent="0.25"/>
  <cols>
    <col min="1" max="1" width="13.140625" style="19" customWidth="1"/>
    <col min="2" max="2" width="13.28515625" style="19" customWidth="1"/>
    <col min="3" max="3" width="18.28515625" style="19" customWidth="1"/>
    <col min="4" max="4" width="16.42578125" style="19" customWidth="1"/>
    <col min="5" max="5" width="12.42578125" style="19" customWidth="1"/>
    <col min="6" max="6" width="17.5703125" style="19" customWidth="1"/>
    <col min="7" max="7" width="15.7109375" style="28" customWidth="1"/>
    <col min="8" max="8" width="13.14062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E2" s="21"/>
      <c r="F2" s="21"/>
      <c r="G2" s="520"/>
      <c r="H2" s="20"/>
    </row>
    <row r="3" spans="1:8" ht="27" customHeight="1" x14ac:dyDescent="0.25">
      <c r="A3" s="22"/>
    </row>
    <row r="4" spans="1:8" ht="19.5" customHeight="1" x14ac:dyDescent="0.25">
      <c r="A4" s="21"/>
    </row>
    <row r="5" spans="1:8" ht="5.25" customHeight="1" x14ac:dyDescent="0.25">
      <c r="A5" s="23"/>
      <c r="B5" s="24"/>
      <c r="C5" s="25"/>
      <c r="E5" s="23"/>
      <c r="F5" s="24"/>
      <c r="G5" s="74"/>
      <c r="H5" s="25"/>
    </row>
    <row r="6" spans="1:8" ht="14.25" customHeight="1" x14ac:dyDescent="0.25">
      <c r="A6" s="77" t="s">
        <v>40</v>
      </c>
      <c r="B6" s="28" t="str">
        <f>'Index and Structure'!B2</f>
        <v>Nicolo Superannuation fund</v>
      </c>
      <c r="C6" s="29"/>
      <c r="D6" s="30"/>
      <c r="E6" s="232" t="s">
        <v>38</v>
      </c>
      <c r="F6" s="32" t="str">
        <f>'Index and Structure'!B5</f>
        <v>NICO0024</v>
      </c>
      <c r="H6" s="33"/>
    </row>
    <row r="7" spans="1:8" ht="14.25" customHeight="1" x14ac:dyDescent="0.25">
      <c r="A7" s="77" t="s">
        <v>45</v>
      </c>
      <c r="B7" s="28" t="str">
        <f>'Index and Structure'!F22</f>
        <v>Loans - Bank</v>
      </c>
      <c r="C7" s="29"/>
      <c r="D7" s="30"/>
      <c r="E7" s="78" t="s">
        <v>41</v>
      </c>
      <c r="F7" s="28" t="str">
        <f>'Index and Structure'!B6</f>
        <v>Liam Aubin</v>
      </c>
      <c r="G7" s="28" t="s">
        <v>42</v>
      </c>
      <c r="H7" s="35"/>
    </row>
    <row r="8" spans="1:8" ht="14.25" customHeight="1" x14ac:dyDescent="0.25">
      <c r="A8" s="79" t="s">
        <v>46</v>
      </c>
      <c r="B8" s="37" t="str">
        <f>'Index and Structure'!B4</f>
        <v>30 June 2022</v>
      </c>
      <c r="C8" s="38"/>
      <c r="D8" s="30"/>
      <c r="E8" s="80" t="s">
        <v>43</v>
      </c>
      <c r="F8" s="40" t="str">
        <f>'Index and Structure'!B7</f>
        <v>Nicole Bryant</v>
      </c>
      <c r="G8" s="40" t="s">
        <v>42</v>
      </c>
      <c r="H8" s="41"/>
    </row>
    <row r="9" spans="1:8" ht="9.75" customHeight="1" x14ac:dyDescent="0.25"/>
    <row r="10" spans="1:8" ht="30" customHeight="1" x14ac:dyDescent="0.25">
      <c r="A10" s="42"/>
      <c r="B10" s="43"/>
      <c r="C10" s="43"/>
      <c r="D10" s="43"/>
      <c r="E10" s="43"/>
      <c r="F10" s="342">
        <f>'Index and Structure'!D4</f>
        <v>2022</v>
      </c>
      <c r="G10" s="492"/>
      <c r="H10" s="44"/>
    </row>
    <row r="11" spans="1:8" s="45" customFormat="1" ht="13.5" customHeight="1" x14ac:dyDescent="0.2">
      <c r="A11" s="348"/>
      <c r="B11" s="349"/>
      <c r="C11" s="349"/>
      <c r="D11" s="349"/>
      <c r="E11" s="164"/>
      <c r="F11" s="349"/>
      <c r="G11" s="610"/>
      <c r="H11" s="351"/>
    </row>
    <row r="12" spans="1:8" s="45" customFormat="1" ht="13.5" customHeight="1" thickBot="1" x14ac:dyDescent="0.25">
      <c r="A12" s="1266" t="str">
        <f>B7</f>
        <v>Loans - Bank</v>
      </c>
      <c r="B12" s="1263"/>
      <c r="C12" s="165"/>
      <c r="D12" s="165"/>
      <c r="E12" s="165"/>
      <c r="F12" s="592">
        <f>F26</f>
        <v>0</v>
      </c>
      <c r="G12" s="240"/>
      <c r="H12" s="196"/>
    </row>
    <row r="13" spans="1:8" s="45" customFormat="1" ht="13.5" customHeight="1" thickTop="1" x14ac:dyDescent="0.2">
      <c r="A13" s="197"/>
      <c r="B13" s="165"/>
      <c r="C13" s="165"/>
      <c r="D13" s="165"/>
      <c r="E13" s="165"/>
      <c r="F13" s="200"/>
      <c r="G13" s="240"/>
      <c r="H13" s="196"/>
    </row>
    <row r="14" spans="1:8" s="45" customFormat="1" ht="13.5" customHeight="1" x14ac:dyDescent="0.2">
      <c r="A14" s="197"/>
      <c r="B14" s="165"/>
      <c r="C14" s="201"/>
      <c r="D14" s="202"/>
      <c r="E14" s="165"/>
      <c r="F14" s="199"/>
      <c r="G14" s="240"/>
      <c r="H14" s="86"/>
    </row>
    <row r="15" spans="1:8" s="45" customFormat="1" ht="13.5" customHeight="1" x14ac:dyDescent="0.2">
      <c r="A15" s="197"/>
      <c r="C15" s="165"/>
      <c r="D15" s="202"/>
      <c r="E15" s="186"/>
      <c r="F15" s="199"/>
      <c r="G15" s="498" t="s">
        <v>50</v>
      </c>
      <c r="H15" s="86"/>
    </row>
    <row r="16" spans="1:8" s="45" customFormat="1" ht="13.5" customHeight="1" x14ac:dyDescent="0.2">
      <c r="A16" s="197"/>
      <c r="B16" s="201"/>
      <c r="C16" s="165"/>
      <c r="D16" s="202"/>
      <c r="E16" s="193"/>
      <c r="F16" s="199"/>
      <c r="G16" s="497"/>
      <c r="H16" s="86"/>
    </row>
    <row r="17" spans="1:8" s="45" customFormat="1" ht="13.5" customHeight="1" x14ac:dyDescent="0.2">
      <c r="A17" s="197"/>
      <c r="B17" s="343" t="s">
        <v>86</v>
      </c>
      <c r="C17" s="165"/>
      <c r="D17" s="204"/>
      <c r="E17" s="165"/>
      <c r="F17" s="205"/>
      <c r="G17" s="497"/>
      <c r="H17" s="86"/>
    </row>
    <row r="18" spans="1:8" s="45" customFormat="1" ht="13.5" customHeight="1" x14ac:dyDescent="0.2">
      <c r="A18" s="197"/>
      <c r="B18" s="201"/>
      <c r="C18" s="201"/>
      <c r="D18" s="204"/>
      <c r="E18" s="165"/>
      <c r="F18" s="199"/>
      <c r="G18" s="497"/>
      <c r="H18" s="86"/>
    </row>
    <row r="19" spans="1:8" s="45" customFormat="1" ht="13.5" customHeight="1" x14ac:dyDescent="0.2">
      <c r="A19" s="519" t="s">
        <v>65</v>
      </c>
      <c r="B19" s="165" t="s">
        <v>655</v>
      </c>
      <c r="C19" s="201"/>
      <c r="D19" s="204"/>
      <c r="E19" s="165"/>
      <c r="F19" s="205"/>
      <c r="G19" s="497"/>
      <c r="H19" s="86"/>
    </row>
    <row r="20" spans="1:8" s="45" customFormat="1" ht="13.5" customHeight="1" x14ac:dyDescent="0.2">
      <c r="A20" s="519"/>
      <c r="B20" s="165" t="s">
        <v>656</v>
      </c>
      <c r="C20" s="201"/>
      <c r="D20" s="204"/>
      <c r="E20" s="165"/>
      <c r="F20" s="205"/>
      <c r="G20" s="497"/>
      <c r="H20" s="86"/>
    </row>
    <row r="21" spans="1:8" s="45" customFormat="1" ht="13.5" customHeight="1" x14ac:dyDescent="0.2">
      <c r="A21" s="519"/>
      <c r="B21" s="51" t="s">
        <v>5</v>
      </c>
      <c r="C21" s="47"/>
      <c r="D21" s="209"/>
      <c r="E21" s="51"/>
      <c r="F21" s="377">
        <f>C59</f>
        <v>0</v>
      </c>
      <c r="G21" s="497"/>
      <c r="H21" s="86"/>
    </row>
    <row r="22" spans="1:8" s="45" customFormat="1" ht="13.5" customHeight="1" x14ac:dyDescent="0.2">
      <c r="A22" s="519"/>
      <c r="B22" s="51" t="s">
        <v>129</v>
      </c>
      <c r="C22" s="47"/>
      <c r="D22" s="209"/>
      <c r="E22" s="211"/>
      <c r="F22" s="377">
        <f>B59</f>
        <v>0</v>
      </c>
      <c r="G22" s="497"/>
      <c r="H22" s="86"/>
    </row>
    <row r="23" spans="1:8" s="45" customFormat="1" ht="13.5" customHeight="1" x14ac:dyDescent="0.2">
      <c r="A23" s="519"/>
      <c r="B23" s="47"/>
      <c r="C23" s="51"/>
      <c r="D23" s="209"/>
      <c r="E23" s="211"/>
      <c r="F23" s="212"/>
      <c r="G23" s="497"/>
      <c r="H23" s="86"/>
    </row>
    <row r="24" spans="1:8" s="45" customFormat="1" x14ac:dyDescent="0.2">
      <c r="A24" s="519" t="s">
        <v>51</v>
      </c>
      <c r="B24" s="51" t="s">
        <v>130</v>
      </c>
      <c r="C24" s="51"/>
      <c r="D24" s="209"/>
      <c r="E24" s="209"/>
      <c r="F24" s="593"/>
      <c r="G24" s="497"/>
      <c r="H24" s="86"/>
    </row>
    <row r="25" spans="1:8" s="45" customFormat="1" ht="12.75" customHeight="1" x14ac:dyDescent="0.2">
      <c r="A25" s="197"/>
      <c r="B25" s="201"/>
      <c r="C25" s="165"/>
      <c r="D25" s="165"/>
      <c r="E25" s="165"/>
      <c r="F25" s="215"/>
      <c r="G25" s="497"/>
      <c r="H25" s="86"/>
    </row>
    <row r="26" spans="1:8" s="45" customFormat="1" ht="13.5" customHeight="1" thickBot="1" x14ac:dyDescent="0.25">
      <c r="A26" s="197"/>
      <c r="B26" s="343" t="s">
        <v>87</v>
      </c>
      <c r="C26" s="165"/>
      <c r="D26" s="165"/>
      <c r="E26" s="165"/>
      <c r="F26" s="594">
        <f>SUM(F17:F22)-SUM(F24:F24)</f>
        <v>0</v>
      </c>
      <c r="G26" s="497"/>
      <c r="H26" s="86"/>
    </row>
    <row r="27" spans="1:8" s="45" customFormat="1" ht="13.5" customHeight="1" thickTop="1" x14ac:dyDescent="0.2">
      <c r="A27" s="197"/>
      <c r="B27" s="165"/>
      <c r="C27" s="165"/>
      <c r="D27" s="165"/>
      <c r="E27" s="165"/>
      <c r="F27" s="165"/>
      <c r="G27" s="240"/>
      <c r="H27" s="86"/>
    </row>
    <row r="28" spans="1:8" s="45" customFormat="1" ht="13.5" customHeight="1" x14ac:dyDescent="0.2">
      <c r="A28" s="197"/>
      <c r="B28" s="165"/>
      <c r="C28" s="165"/>
      <c r="D28" s="165"/>
      <c r="E28" s="165"/>
      <c r="F28" s="165"/>
      <c r="G28" s="240"/>
      <c r="H28" s="86"/>
    </row>
    <row r="29" spans="1:8" s="45" customFormat="1" ht="13.5" customHeight="1" x14ac:dyDescent="0.2">
      <c r="A29" s="197"/>
      <c r="B29" s="165"/>
      <c r="C29" s="165"/>
      <c r="D29" s="165"/>
      <c r="E29" s="165"/>
      <c r="F29" s="165"/>
      <c r="G29" s="240"/>
      <c r="H29" s="86"/>
    </row>
    <row r="30" spans="1:8" s="45" customFormat="1" ht="13.5" customHeight="1" x14ac:dyDescent="0.2">
      <c r="A30" s="197"/>
      <c r="B30" s="165"/>
      <c r="C30" s="165"/>
      <c r="D30" s="165"/>
      <c r="E30" s="165"/>
      <c r="F30" s="165"/>
      <c r="G30" s="240"/>
      <c r="H30" s="86"/>
    </row>
    <row r="31" spans="1:8" s="45" customFormat="1" ht="13.5" customHeight="1" x14ac:dyDescent="0.2">
      <c r="A31" s="197"/>
      <c r="B31" s="165"/>
      <c r="C31" s="165"/>
      <c r="D31" s="165"/>
      <c r="E31" s="165"/>
      <c r="F31" s="165"/>
      <c r="G31" s="240"/>
      <c r="H31" s="86"/>
    </row>
    <row r="32" spans="1:8" s="45" customFormat="1" ht="13.5" customHeight="1" x14ac:dyDescent="0.2">
      <c r="A32" s="197"/>
      <c r="B32" s="165"/>
      <c r="C32" s="165"/>
      <c r="D32" s="165"/>
      <c r="E32" s="165"/>
      <c r="F32" s="165"/>
      <c r="G32" s="240"/>
      <c r="H32" s="86"/>
    </row>
    <row r="33" spans="1:8" s="45" customFormat="1" ht="13.5" customHeight="1" x14ac:dyDescent="0.2">
      <c r="A33" s="356"/>
      <c r="B33" s="168"/>
      <c r="C33" s="168"/>
      <c r="D33" s="168"/>
      <c r="E33" s="165"/>
      <c r="F33" s="165"/>
      <c r="G33" s="240"/>
      <c r="H33" s="86"/>
    </row>
    <row r="34" spans="1:8" s="45" customFormat="1" ht="13.5" customHeight="1" x14ac:dyDescent="0.2">
      <c r="A34" s="595" t="s">
        <v>131</v>
      </c>
      <c r="B34" s="596"/>
      <c r="C34" s="596"/>
      <c r="D34" s="597"/>
      <c r="E34" s="475"/>
      <c r="F34" s="165"/>
      <c r="G34" s="240"/>
      <c r="H34" s="86"/>
    </row>
    <row r="35" spans="1:8" s="45" customFormat="1" ht="13.5" customHeight="1" x14ac:dyDescent="0.2">
      <c r="A35" s="192"/>
      <c r="C35" s="195"/>
      <c r="D35" s="518"/>
      <c r="E35" s="475"/>
      <c r="F35" s="165"/>
      <c r="G35" s="240"/>
      <c r="H35" s="217"/>
    </row>
    <row r="36" spans="1:8" s="45" customFormat="1" ht="13.5" customHeight="1" x14ac:dyDescent="0.2">
      <c r="A36" s="197" t="s">
        <v>132</v>
      </c>
      <c r="B36" s="202"/>
      <c r="C36" s="2464">
        <v>1</v>
      </c>
      <c r="D36" s="2464"/>
      <c r="E36" s="475"/>
      <c r="F36" s="165"/>
      <c r="G36" s="240"/>
      <c r="H36" s="217"/>
    </row>
    <row r="37" spans="1:8" s="45" customFormat="1" ht="13.5" customHeight="1" x14ac:dyDescent="0.2">
      <c r="A37" s="197" t="s">
        <v>133</v>
      </c>
      <c r="B37" s="202"/>
      <c r="C37" s="2464">
        <v>0</v>
      </c>
      <c r="D37" s="2464"/>
      <c r="E37" s="475"/>
      <c r="F37" s="165"/>
      <c r="G37" s="240"/>
      <c r="H37" s="217"/>
    </row>
    <row r="38" spans="1:8" s="45" customFormat="1" ht="13.5" customHeight="1" x14ac:dyDescent="0.2">
      <c r="A38" s="197"/>
      <c r="B38" s="165"/>
      <c r="C38" s="193"/>
      <c r="D38" s="196"/>
      <c r="E38" s="475"/>
      <c r="F38" s="165"/>
      <c r="G38" s="240"/>
      <c r="H38" s="217"/>
    </row>
    <row r="39" spans="1:8" s="45" customFormat="1" ht="13.5" customHeight="1" x14ac:dyDescent="0.2">
      <c r="A39" s="197" t="s">
        <v>21</v>
      </c>
      <c r="B39" s="165"/>
      <c r="C39" s="165"/>
      <c r="D39" s="598">
        <f>C37/C36</f>
        <v>0</v>
      </c>
      <c r="E39" s="475"/>
      <c r="F39" s="165"/>
      <c r="G39" s="240"/>
      <c r="H39" s="217"/>
    </row>
    <row r="40" spans="1:8" s="45" customFormat="1" ht="13.5" customHeight="1" x14ac:dyDescent="0.2">
      <c r="A40" s="197"/>
      <c r="B40" s="165"/>
      <c r="C40" s="165"/>
      <c r="D40" s="217"/>
      <c r="E40" s="475"/>
      <c r="F40" s="165"/>
      <c r="G40" s="240"/>
      <c r="H40" s="217"/>
    </row>
    <row r="41" spans="1:8" s="45" customFormat="1" ht="13.5" customHeight="1" x14ac:dyDescent="0.2">
      <c r="A41" s="197" t="s">
        <v>22</v>
      </c>
      <c r="B41" s="165"/>
      <c r="C41" s="165"/>
      <c r="D41" s="599">
        <f>C59-D42</f>
        <v>0</v>
      </c>
      <c r="E41" s="475"/>
      <c r="F41" s="165"/>
      <c r="G41" s="240"/>
      <c r="H41" s="217"/>
    </row>
    <row r="42" spans="1:8" s="45" customFormat="1" ht="13.5" customHeight="1" x14ac:dyDescent="0.2">
      <c r="A42" s="197" t="s">
        <v>134</v>
      </c>
      <c r="B42" s="165"/>
      <c r="C42" s="165"/>
      <c r="D42" s="599">
        <f>D39*C59</f>
        <v>0</v>
      </c>
      <c r="E42" s="475"/>
      <c r="F42" s="165"/>
      <c r="G42" s="240"/>
      <c r="H42" s="217"/>
    </row>
    <row r="43" spans="1:8" s="45" customFormat="1" ht="13.5" customHeight="1" x14ac:dyDescent="0.2">
      <c r="A43" s="356" t="s">
        <v>225</v>
      </c>
      <c r="B43" s="168"/>
      <c r="C43" s="168"/>
      <c r="D43" s="599">
        <f>B59-D44</f>
        <v>0</v>
      </c>
      <c r="E43" s="475"/>
      <c r="F43" s="165"/>
      <c r="G43" s="240"/>
      <c r="H43" s="217"/>
    </row>
    <row r="44" spans="1:8" s="45" customFormat="1" ht="13.5" customHeight="1" x14ac:dyDescent="0.2">
      <c r="A44" s="356" t="s">
        <v>226</v>
      </c>
      <c r="B44" s="168"/>
      <c r="C44" s="168"/>
      <c r="D44" s="599">
        <f>D39*B59</f>
        <v>0</v>
      </c>
      <c r="E44" s="475"/>
      <c r="F44" s="165"/>
      <c r="G44" s="240"/>
      <c r="H44" s="217"/>
    </row>
    <row r="45" spans="1:8" s="45" customFormat="1" ht="13.5" customHeight="1" x14ac:dyDescent="0.2">
      <c r="A45" s="219"/>
      <c r="B45" s="249"/>
      <c r="C45" s="249"/>
      <c r="D45" s="220"/>
      <c r="E45" s="475"/>
      <c r="F45" s="165"/>
      <c r="G45" s="240"/>
      <c r="H45" s="217"/>
    </row>
    <row r="46" spans="1:8" s="45" customFormat="1" ht="13.5" customHeight="1" x14ac:dyDescent="0.2">
      <c r="A46" s="600"/>
      <c r="B46" s="601" t="s">
        <v>129</v>
      </c>
      <c r="C46" s="601" t="s">
        <v>5</v>
      </c>
      <c r="D46" s="601" t="s">
        <v>130</v>
      </c>
      <c r="E46" s="165"/>
      <c r="F46" s="165"/>
      <c r="G46" s="240"/>
      <c r="H46" s="217"/>
    </row>
    <row r="47" spans="1:8" s="45" customFormat="1" ht="13.5" customHeight="1" x14ac:dyDescent="0.2">
      <c r="A47" s="192" t="s">
        <v>6</v>
      </c>
      <c r="B47" s="602"/>
      <c r="C47" s="602"/>
      <c r="D47" s="603"/>
      <c r="E47" s="165"/>
      <c r="F47" s="165"/>
      <c r="G47" s="240"/>
      <c r="H47" s="217"/>
    </row>
    <row r="48" spans="1:8" s="45" customFormat="1" ht="13.5" customHeight="1" x14ac:dyDescent="0.2">
      <c r="A48" s="197" t="s">
        <v>7</v>
      </c>
      <c r="B48" s="604"/>
      <c r="C48" s="604"/>
      <c r="D48" s="605"/>
      <c r="E48" s="165"/>
      <c r="F48" s="165"/>
      <c r="G48" s="240"/>
      <c r="H48" s="217"/>
    </row>
    <row r="49" spans="1:8" s="45" customFormat="1" ht="13.5" customHeight="1" x14ac:dyDescent="0.2">
      <c r="A49" s="197" t="s">
        <v>8</v>
      </c>
      <c r="B49" s="604"/>
      <c r="C49" s="604"/>
      <c r="D49" s="605"/>
      <c r="E49" s="165"/>
      <c r="F49" s="165"/>
      <c r="G49" s="240"/>
      <c r="H49" s="217"/>
    </row>
    <row r="50" spans="1:8" s="45" customFormat="1" ht="13.5" customHeight="1" x14ac:dyDescent="0.2">
      <c r="A50" s="197" t="s">
        <v>9</v>
      </c>
      <c r="B50" s="604"/>
      <c r="C50" s="604"/>
      <c r="D50" s="605"/>
      <c r="E50" s="165"/>
      <c r="F50" s="165"/>
      <c r="G50" s="240"/>
      <c r="H50" s="217"/>
    </row>
    <row r="51" spans="1:8" s="45" customFormat="1" ht="13.5" customHeight="1" x14ac:dyDescent="0.2">
      <c r="A51" s="197" t="s">
        <v>10</v>
      </c>
      <c r="B51" s="604"/>
      <c r="C51" s="604"/>
      <c r="D51" s="605"/>
      <c r="E51" s="165"/>
      <c r="F51" s="165"/>
      <c r="G51" s="240"/>
      <c r="H51" s="217"/>
    </row>
    <row r="52" spans="1:8" s="45" customFormat="1" ht="13.5" customHeight="1" x14ac:dyDescent="0.2">
      <c r="A52" s="197" t="s">
        <v>11</v>
      </c>
      <c r="B52" s="604"/>
      <c r="C52" s="604"/>
      <c r="D52" s="605"/>
      <c r="E52" s="165"/>
      <c r="F52" s="165"/>
      <c r="G52" s="167"/>
      <c r="H52" s="217"/>
    </row>
    <row r="53" spans="1:8" s="45" customFormat="1" ht="13.5" customHeight="1" x14ac:dyDescent="0.2">
      <c r="A53" s="197" t="s">
        <v>12</v>
      </c>
      <c r="B53" s="604"/>
      <c r="C53" s="604"/>
      <c r="D53" s="605"/>
      <c r="E53" s="475"/>
      <c r="F53" s="165"/>
      <c r="G53" s="167"/>
      <c r="H53" s="217"/>
    </row>
    <row r="54" spans="1:8" s="45" customFormat="1" ht="13.5" customHeight="1" x14ac:dyDescent="0.2">
      <c r="A54" s="356" t="s">
        <v>13</v>
      </c>
      <c r="B54" s="604"/>
      <c r="C54" s="606"/>
      <c r="D54" s="607"/>
      <c r="E54" s="454"/>
      <c r="F54" s="218"/>
      <c r="G54" s="167"/>
      <c r="H54" s="217"/>
    </row>
    <row r="55" spans="1:8" s="45" customFormat="1" ht="13.5" customHeight="1" x14ac:dyDescent="0.2">
      <c r="A55" s="356" t="s">
        <v>14</v>
      </c>
      <c r="B55" s="604"/>
      <c r="C55" s="606"/>
      <c r="D55" s="607"/>
      <c r="E55" s="454"/>
      <c r="F55" s="218"/>
      <c r="G55" s="167"/>
      <c r="H55" s="217"/>
    </row>
    <row r="56" spans="1:8" s="45" customFormat="1" ht="13.5" customHeight="1" x14ac:dyDescent="0.2">
      <c r="A56" s="356" t="s">
        <v>15</v>
      </c>
      <c r="B56" s="604"/>
      <c r="C56" s="606"/>
      <c r="D56" s="607"/>
      <c r="E56" s="454"/>
      <c r="F56" s="218"/>
      <c r="G56" s="167"/>
      <c r="H56" s="217"/>
    </row>
    <row r="57" spans="1:8" s="45" customFormat="1" ht="13.5" customHeight="1" x14ac:dyDescent="0.2">
      <c r="A57" s="356" t="s">
        <v>16</v>
      </c>
      <c r="B57" s="604"/>
      <c r="C57" s="606"/>
      <c r="D57" s="607"/>
      <c r="E57" s="454"/>
      <c r="F57" s="218"/>
      <c r="G57" s="167"/>
      <c r="H57" s="217"/>
    </row>
    <row r="58" spans="1:8" s="45" customFormat="1" ht="13.5" customHeight="1" x14ac:dyDescent="0.2">
      <c r="A58" s="356" t="s">
        <v>17</v>
      </c>
      <c r="B58" s="606"/>
      <c r="C58" s="606"/>
      <c r="D58" s="607"/>
      <c r="E58" s="454"/>
      <c r="F58" s="218"/>
      <c r="G58" s="167"/>
      <c r="H58" s="217"/>
    </row>
    <row r="59" spans="1:8" s="45" customFormat="1" ht="13.5" customHeight="1" x14ac:dyDescent="0.2">
      <c r="A59" s="219"/>
      <c r="B59" s="608">
        <f>SUM(B47:B58)</f>
        <v>0</v>
      </c>
      <c r="C59" s="608">
        <f>SUM(C47:C58)</f>
        <v>0</v>
      </c>
      <c r="D59" s="609">
        <f>SUM(D47:D58)</f>
        <v>0</v>
      </c>
      <c r="E59" s="454"/>
      <c r="F59" s="218"/>
      <c r="G59" s="167"/>
      <c r="H59" s="217"/>
    </row>
    <row r="60" spans="1:8" s="45" customFormat="1" ht="13.5" customHeight="1" x14ac:dyDescent="0.2">
      <c r="A60" s="192"/>
      <c r="B60" s="195"/>
      <c r="C60" s="195"/>
      <c r="D60" s="195"/>
      <c r="E60" s="168"/>
      <c r="F60" s="218"/>
      <c r="G60" s="167"/>
      <c r="H60" s="217"/>
    </row>
    <row r="61" spans="1:8" s="45" customFormat="1" ht="13.5" customHeight="1" x14ac:dyDescent="0.2">
      <c r="A61" s="197"/>
      <c r="B61" s="168"/>
      <c r="C61" s="168"/>
      <c r="D61" s="168"/>
      <c r="E61" s="168"/>
      <c r="F61" s="218"/>
      <c r="G61" s="167"/>
      <c r="H61" s="217"/>
    </row>
    <row r="62" spans="1:8" s="45" customFormat="1" ht="13.5" customHeight="1" x14ac:dyDescent="0.2">
      <c r="A62" s="197"/>
      <c r="B62" s="168"/>
      <c r="C62" s="168"/>
      <c r="D62" s="168"/>
      <c r="E62" s="168"/>
      <c r="F62" s="218"/>
      <c r="G62" s="167"/>
      <c r="H62" s="217"/>
    </row>
    <row r="63" spans="1:8" s="45" customFormat="1" ht="13.5" customHeight="1" x14ac:dyDescent="0.2">
      <c r="A63" s="197"/>
      <c r="B63" s="2458" t="s">
        <v>227</v>
      </c>
      <c r="C63" s="2459"/>
      <c r="D63" s="2459"/>
      <c r="E63" s="2459"/>
      <c r="F63" s="2459"/>
      <c r="G63" s="2460"/>
      <c r="H63" s="217"/>
    </row>
    <row r="64" spans="1:8" s="45" customFormat="1" ht="13.5" customHeight="1" x14ac:dyDescent="0.2">
      <c r="A64" s="197"/>
      <c r="B64" s="2461"/>
      <c r="C64" s="2462"/>
      <c r="D64" s="2462"/>
      <c r="E64" s="2462"/>
      <c r="F64" s="2462"/>
      <c r="G64" s="2463"/>
      <c r="H64" s="217"/>
    </row>
    <row r="65" spans="1:8" s="45" customFormat="1" ht="13.5" customHeight="1" x14ac:dyDescent="0.2">
      <c r="A65" s="219"/>
      <c r="B65" s="249"/>
      <c r="C65" s="249"/>
      <c r="D65" s="249"/>
      <c r="E65" s="249"/>
      <c r="F65" s="397"/>
      <c r="G65" s="495"/>
      <c r="H65" s="220"/>
    </row>
  </sheetData>
  <customSheetViews>
    <customSheetView guid="{F72FE543-F911-423C-A34B-9CA018DFE603}" showPageBreaks="1" showGridLines="0" fitToPage="1" printArea="1" view="pageBreakPreview" topLeftCell="A19">
      <selection activeCell="G54" sqref="G54"/>
      <pageMargins left="0.74803149606299213" right="0.39370078740157483" top="0.55118110236220474" bottom="0.62992125984251968" header="0.51181102362204722" footer="0.47244094488188981"/>
      <pageSetup paperSize="9" scale="87" orientation="portrait" r:id="rId1"/>
      <headerFooter alignWithMargins="0">
        <oddFooter>&amp;LPrinted:&amp;T on &amp;D</oddFooter>
      </headerFooter>
    </customSheetView>
  </customSheetViews>
  <mergeCells count="4">
    <mergeCell ref="A2:C2"/>
    <mergeCell ref="B63:G64"/>
    <mergeCell ref="C36:D36"/>
    <mergeCell ref="C37:D37"/>
  </mergeCells>
  <hyperlinks>
    <hyperlink ref="A2" location="'Index and Structure'!A1" display="The Macro Group" xr:uid="{00000000-0004-0000-1300-000000000000}"/>
  </hyperlinks>
  <pageMargins left="0.74803149606299213" right="0.39370078740157483" top="0.55118110236220474" bottom="0.62992125984251968" header="0.51181102362204722" footer="0.47244094488188981"/>
  <pageSetup paperSize="9" scale="77" orientation="portrait" r:id="rId2"/>
  <headerFooter alignWithMargins="0">
    <oddFooter>&amp;LPrinted:&amp;T on &amp;D</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36205">
    <pageSetUpPr fitToPage="1"/>
  </sheetPr>
  <dimension ref="A1:H56"/>
  <sheetViews>
    <sheetView showGridLines="0" view="pageBreakPreview" topLeftCell="A25" zoomScaleNormal="50" workbookViewId="0">
      <selection activeCell="H4" sqref="H4"/>
    </sheetView>
  </sheetViews>
  <sheetFormatPr defaultColWidth="9.140625" defaultRowHeight="15" x14ac:dyDescent="0.25"/>
  <cols>
    <col min="1" max="1" width="16.7109375" style="537" customWidth="1"/>
    <col min="2" max="2" width="18.140625" style="537" customWidth="1"/>
    <col min="3" max="3" width="19" style="537" customWidth="1"/>
    <col min="4" max="4" width="17.7109375" style="537" customWidth="1"/>
    <col min="5" max="5" width="13.7109375" style="537" customWidth="1"/>
    <col min="6" max="6" width="17.28515625" style="537" customWidth="1"/>
    <col min="7" max="7" width="15.140625" style="523" customWidth="1"/>
    <col min="8" max="8" width="15.42578125" style="537" customWidth="1"/>
    <col min="9" max="10" width="10.42578125" style="537" customWidth="1"/>
    <col min="11" max="16384" width="9.140625" style="537"/>
  </cols>
  <sheetData>
    <row r="1" spans="1:8" ht="5.25" customHeight="1" thickBot="1" x14ac:dyDescent="0.3"/>
    <row r="2" spans="1:8" ht="19.899999999999999" customHeight="1" thickBot="1" x14ac:dyDescent="0.3">
      <c r="A2" s="2339" t="s">
        <v>44</v>
      </c>
      <c r="B2" s="2340"/>
      <c r="C2" s="2341"/>
      <c r="D2" s="611"/>
      <c r="E2" s="611"/>
      <c r="F2" s="611"/>
      <c r="G2" s="526"/>
      <c r="H2" s="612"/>
    </row>
    <row r="3" spans="1:8" ht="27" customHeight="1" x14ac:dyDescent="0.25">
      <c r="A3" s="22"/>
    </row>
    <row r="4" spans="1:8" ht="19.5" customHeight="1" x14ac:dyDescent="0.25">
      <c r="A4" s="611"/>
    </row>
    <row r="5" spans="1:8" ht="5.25" customHeight="1" x14ac:dyDescent="0.25">
      <c r="A5" s="613"/>
      <c r="B5" s="614"/>
      <c r="C5" s="615"/>
      <c r="E5" s="613"/>
      <c r="F5" s="614"/>
      <c r="G5" s="528"/>
      <c r="H5" s="615"/>
    </row>
    <row r="6" spans="1:8" ht="14.25" customHeight="1" x14ac:dyDescent="0.25">
      <c r="A6" s="616" t="s">
        <v>40</v>
      </c>
      <c r="B6" s="537" t="str">
        <f>'Index and Structure'!B2</f>
        <v>Nicolo Superannuation fund</v>
      </c>
      <c r="C6" s="617"/>
      <c r="D6" s="618"/>
      <c r="E6" s="619" t="s">
        <v>38</v>
      </c>
      <c r="F6" s="533" t="str">
        <f>'Index and Structure'!B5</f>
        <v>NICO0024</v>
      </c>
      <c r="H6" s="620"/>
    </row>
    <row r="7" spans="1:8" ht="14.25" customHeight="1" x14ac:dyDescent="0.25">
      <c r="A7" s="616" t="s">
        <v>45</v>
      </c>
      <c r="B7" s="523" t="str">
        <f>'Index and Structure'!F23</f>
        <v>Bill Facilities</v>
      </c>
      <c r="C7" s="617"/>
      <c r="D7" s="618"/>
      <c r="E7" s="621" t="s">
        <v>41</v>
      </c>
      <c r="F7" s="523" t="str">
        <f>'Index and Structure'!B6</f>
        <v>Liam Aubin</v>
      </c>
      <c r="G7" s="686" t="s">
        <v>42</v>
      </c>
      <c r="H7" s="622"/>
    </row>
    <row r="8" spans="1:8" ht="14.25" customHeight="1" x14ac:dyDescent="0.25">
      <c r="A8" s="623" t="s">
        <v>46</v>
      </c>
      <c r="B8" s="624" t="str">
        <f>'Index and Structure'!B4</f>
        <v>30 June 2022</v>
      </c>
      <c r="C8" s="625"/>
      <c r="D8" s="618"/>
      <c r="E8" s="626" t="s">
        <v>43</v>
      </c>
      <c r="F8" s="542" t="str">
        <f>'Index and Structure'!B7</f>
        <v>Nicole Bryant</v>
      </c>
      <c r="G8" s="687" t="s">
        <v>42</v>
      </c>
      <c r="H8" s="627"/>
    </row>
    <row r="9" spans="1:8" ht="9.75" customHeight="1" x14ac:dyDescent="0.25"/>
    <row r="10" spans="1:8" ht="30" customHeight="1" x14ac:dyDescent="0.25">
      <c r="A10" s="628"/>
      <c r="B10" s="629"/>
      <c r="C10" s="629"/>
      <c r="D10" s="629"/>
      <c r="E10" s="629"/>
      <c r="F10" s="630">
        <f>'Index and Structure'!D4</f>
        <v>2022</v>
      </c>
      <c r="G10" s="688"/>
      <c r="H10" s="631"/>
    </row>
    <row r="11" spans="1:8" s="636" customFormat="1" ht="13.5" customHeight="1" x14ac:dyDescent="0.2">
      <c r="A11" s="632"/>
      <c r="B11" s="633"/>
      <c r="C11" s="633"/>
      <c r="D11" s="633"/>
      <c r="E11" s="634"/>
      <c r="F11" s="633"/>
      <c r="G11" s="689"/>
      <c r="H11" s="635"/>
    </row>
    <row r="12" spans="1:8" s="636" customFormat="1" ht="13.5" customHeight="1" thickBot="1" x14ac:dyDescent="0.25">
      <c r="A12" s="1266" t="str">
        <f>B7</f>
        <v>Bill Facilities</v>
      </c>
      <c r="B12" s="1263"/>
      <c r="C12" s="637"/>
      <c r="D12" s="637"/>
      <c r="E12" s="637"/>
      <c r="F12" s="638">
        <f>F25</f>
        <v>0</v>
      </c>
      <c r="G12" s="690"/>
      <c r="H12" s="640"/>
    </row>
    <row r="13" spans="1:8" s="636" customFormat="1" ht="13.5" customHeight="1" thickTop="1" x14ac:dyDescent="0.2">
      <c r="A13" s="641"/>
      <c r="B13" s="637"/>
      <c r="C13" s="637"/>
      <c r="D13" s="637"/>
      <c r="E13" s="637"/>
      <c r="F13" s="642"/>
      <c r="G13" s="690"/>
      <c r="H13" s="640"/>
    </row>
    <row r="14" spans="1:8" s="636" customFormat="1" ht="13.5" customHeight="1" x14ac:dyDescent="0.2">
      <c r="A14" s="641"/>
      <c r="B14" s="637"/>
      <c r="C14" s="643"/>
      <c r="D14" s="644"/>
      <c r="E14" s="637"/>
      <c r="F14" s="639"/>
      <c r="G14" s="690"/>
      <c r="H14" s="645"/>
    </row>
    <row r="15" spans="1:8" s="636" customFormat="1" ht="13.5" customHeight="1" x14ac:dyDescent="0.2">
      <c r="A15" s="641"/>
      <c r="C15" s="637"/>
      <c r="D15" s="644"/>
      <c r="E15" s="646"/>
      <c r="F15" s="639"/>
      <c r="G15" s="691" t="s">
        <v>50</v>
      </c>
      <c r="H15" s="645"/>
    </row>
    <row r="16" spans="1:8" s="636" customFormat="1" ht="13.5" customHeight="1" x14ac:dyDescent="0.2">
      <c r="A16" s="641"/>
      <c r="B16" s="643"/>
      <c r="C16" s="637"/>
      <c r="D16" s="644"/>
      <c r="E16" s="647"/>
      <c r="F16" s="639"/>
      <c r="G16" s="692"/>
      <c r="H16" s="645"/>
    </row>
    <row r="17" spans="1:8" s="636" customFormat="1" ht="13.5" customHeight="1" x14ac:dyDescent="0.2">
      <c r="A17" s="641"/>
      <c r="B17" s="637" t="s">
        <v>265</v>
      </c>
      <c r="C17" s="637"/>
      <c r="D17" s="648"/>
      <c r="E17" s="637"/>
      <c r="F17" s="649"/>
      <c r="G17" s="692"/>
      <c r="H17" s="645"/>
    </row>
    <row r="18" spans="1:8" s="636" customFormat="1" ht="13.5" customHeight="1" x14ac:dyDescent="0.2">
      <c r="A18" s="641"/>
      <c r="B18" s="643"/>
      <c r="C18" s="643"/>
      <c r="D18" s="648"/>
      <c r="E18" s="637"/>
      <c r="F18" s="639"/>
      <c r="G18" s="692"/>
      <c r="H18" s="645"/>
    </row>
    <row r="19" spans="1:8" s="636" customFormat="1" ht="13.5" customHeight="1" x14ac:dyDescent="0.2">
      <c r="A19" s="641"/>
      <c r="B19" s="637"/>
      <c r="C19" s="643"/>
      <c r="D19" s="648"/>
      <c r="E19" s="637"/>
      <c r="F19" s="639"/>
      <c r="G19" s="692"/>
      <c r="H19" s="645"/>
    </row>
    <row r="20" spans="1:8" s="636" customFormat="1" ht="13.5" customHeight="1" x14ac:dyDescent="0.2">
      <c r="A20" s="650" t="s">
        <v>65</v>
      </c>
      <c r="B20" s="651" t="s">
        <v>264</v>
      </c>
      <c r="C20" s="652"/>
      <c r="D20" s="653"/>
      <c r="E20" s="651"/>
      <c r="F20" s="649"/>
      <c r="G20" s="692"/>
      <c r="H20" s="645"/>
    </row>
    <row r="21" spans="1:8" s="636" customFormat="1" ht="13.5" customHeight="1" x14ac:dyDescent="0.2">
      <c r="A21" s="650"/>
      <c r="B21" s="651"/>
      <c r="C21" s="652"/>
      <c r="D21" s="653"/>
      <c r="E21" s="654"/>
      <c r="F21" s="649"/>
      <c r="G21" s="692"/>
      <c r="H21" s="645"/>
    </row>
    <row r="22" spans="1:8" s="636" customFormat="1" ht="13.5" customHeight="1" x14ac:dyDescent="0.2">
      <c r="A22" s="650"/>
      <c r="B22" s="652"/>
      <c r="C22" s="651"/>
      <c r="D22" s="653"/>
      <c r="E22" s="654"/>
      <c r="F22" s="655"/>
      <c r="G22" s="692"/>
      <c r="H22" s="645"/>
    </row>
    <row r="23" spans="1:8" s="636" customFormat="1" x14ac:dyDescent="0.2">
      <c r="A23" s="650" t="s">
        <v>51</v>
      </c>
      <c r="B23" s="651" t="s">
        <v>130</v>
      </c>
      <c r="C23" s="651"/>
      <c r="D23" s="653"/>
      <c r="E23" s="653"/>
      <c r="F23" s="656"/>
      <c r="G23" s="692"/>
      <c r="H23" s="645"/>
    </row>
    <row r="24" spans="1:8" s="636" customFormat="1" ht="12.75" customHeight="1" x14ac:dyDescent="0.2">
      <c r="A24" s="641"/>
      <c r="B24" s="643"/>
      <c r="C24" s="637"/>
      <c r="D24" s="637"/>
      <c r="E24" s="637"/>
      <c r="F24" s="657"/>
      <c r="G24" s="692"/>
      <c r="H24" s="645"/>
    </row>
    <row r="25" spans="1:8" s="636" customFormat="1" ht="13.5" customHeight="1" thickBot="1" x14ac:dyDescent="0.25">
      <c r="A25" s="641"/>
      <c r="B25" s="637" t="s">
        <v>266</v>
      </c>
      <c r="C25" s="637"/>
      <c r="D25" s="637"/>
      <c r="E25" s="637"/>
      <c r="F25" s="658">
        <f>SUM(F17:F21)-SUM(F23:F23)</f>
        <v>0</v>
      </c>
      <c r="G25" s="692"/>
      <c r="H25" s="645"/>
    </row>
    <row r="26" spans="1:8" s="636" customFormat="1" ht="13.5" customHeight="1" thickTop="1" x14ac:dyDescent="0.2">
      <c r="A26" s="641"/>
      <c r="B26" s="637"/>
      <c r="C26" s="637"/>
      <c r="D26" s="637"/>
      <c r="E26" s="637"/>
      <c r="F26" s="637"/>
      <c r="G26" s="690"/>
      <c r="H26" s="645"/>
    </row>
    <row r="27" spans="1:8" s="636" customFormat="1" ht="13.5" customHeight="1" x14ac:dyDescent="0.2">
      <c r="A27" s="641"/>
      <c r="B27" s="637"/>
      <c r="C27" s="637"/>
      <c r="D27" s="637"/>
      <c r="E27" s="637"/>
      <c r="F27" s="637"/>
      <c r="G27" s="690"/>
      <c r="H27" s="645"/>
    </row>
    <row r="28" spans="1:8" s="636" customFormat="1" ht="13.5" customHeight="1" x14ac:dyDescent="0.2">
      <c r="A28" s="641"/>
      <c r="B28" s="637"/>
      <c r="C28" s="637"/>
      <c r="D28" s="637"/>
      <c r="E28" s="637"/>
      <c r="F28" s="637"/>
      <c r="G28" s="690"/>
      <c r="H28" s="645"/>
    </row>
    <row r="29" spans="1:8" s="636" customFormat="1" ht="13.5" customHeight="1" x14ac:dyDescent="0.2">
      <c r="A29" s="659" t="s">
        <v>302</v>
      </c>
      <c r="B29" s="660"/>
      <c r="D29" s="637"/>
      <c r="E29" s="637"/>
      <c r="F29" s="637"/>
      <c r="G29" s="690"/>
      <c r="H29" s="645"/>
    </row>
    <row r="30" spans="1:8" s="636" customFormat="1" ht="21" customHeight="1" x14ac:dyDescent="0.2">
      <c r="A30" s="661" t="s">
        <v>48</v>
      </c>
      <c r="B30" s="662" t="s">
        <v>34</v>
      </c>
      <c r="C30" s="663" t="s">
        <v>269</v>
      </c>
      <c r="D30" s="663" t="s">
        <v>381</v>
      </c>
      <c r="E30" s="663" t="s">
        <v>270</v>
      </c>
      <c r="F30" s="663" t="s">
        <v>75</v>
      </c>
      <c r="G30" s="693" t="s">
        <v>238</v>
      </c>
      <c r="H30" s="645"/>
    </row>
    <row r="31" spans="1:8" s="636" customFormat="1" ht="13.5" customHeight="1" x14ac:dyDescent="0.2">
      <c r="A31" s="664" t="s">
        <v>5</v>
      </c>
      <c r="B31" s="665"/>
      <c r="C31" s="666"/>
      <c r="D31" s="666"/>
      <c r="E31" s="667"/>
      <c r="F31" s="668" t="e">
        <f>IF(C31&lt;$B$8,(($B$8-C31)/E31)*B31,0)</f>
        <v>#DIV/0!</v>
      </c>
      <c r="G31" s="694" t="e">
        <f>B31-F31</f>
        <v>#DIV/0!</v>
      </c>
      <c r="H31" s="645"/>
    </row>
    <row r="32" spans="1:8" s="636" customFormat="1" ht="13.5" customHeight="1" x14ac:dyDescent="0.2">
      <c r="A32" s="664" t="s">
        <v>383</v>
      </c>
      <c r="B32" s="665"/>
      <c r="C32" s="666"/>
      <c r="D32" s="666"/>
      <c r="E32" s="667"/>
      <c r="F32" s="668" t="e">
        <f>IF(C32&lt;$B$8,(($B$8-C32)/E32)*B32,0)</f>
        <v>#DIV/0!</v>
      </c>
      <c r="G32" s="694" t="e">
        <f>B32-F32</f>
        <v>#DIV/0!</v>
      </c>
      <c r="H32" s="645"/>
    </row>
    <row r="33" spans="1:8" s="636" customFormat="1" ht="13.5" customHeight="1" x14ac:dyDescent="0.2">
      <c r="A33" s="664" t="s">
        <v>384</v>
      </c>
      <c r="B33" s="665"/>
      <c r="C33" s="666"/>
      <c r="D33" s="666"/>
      <c r="E33" s="667"/>
      <c r="F33" s="668" t="e">
        <f>IF(C33&lt;$B$8,(($B$8-C33)/E33)*B33,0)</f>
        <v>#DIV/0!</v>
      </c>
      <c r="G33" s="694" t="e">
        <f>B33-F33</f>
        <v>#DIV/0!</v>
      </c>
      <c r="H33" s="645"/>
    </row>
    <row r="34" spans="1:8" s="636" customFormat="1" ht="13.5" customHeight="1" x14ac:dyDescent="0.2">
      <c r="A34" s="669" t="s">
        <v>382</v>
      </c>
      <c r="B34" s="669" t="s">
        <v>382</v>
      </c>
      <c r="C34" s="669" t="s">
        <v>382</v>
      </c>
      <c r="D34" s="669" t="s">
        <v>382</v>
      </c>
      <c r="E34" s="669" t="s">
        <v>382</v>
      </c>
      <c r="F34" s="637"/>
      <c r="G34" s="690"/>
      <c r="H34" s="645"/>
    </row>
    <row r="35" spans="1:8" s="636" customFormat="1" ht="13.5" customHeight="1" x14ac:dyDescent="0.2">
      <c r="F35" s="637"/>
      <c r="G35" s="690"/>
      <c r="H35" s="645"/>
    </row>
    <row r="36" spans="1:8" s="636" customFormat="1" ht="13.5" customHeight="1" x14ac:dyDescent="0.2">
      <c r="A36" s="641"/>
      <c r="B36" s="637"/>
      <c r="C36" s="637"/>
      <c r="D36" s="637"/>
      <c r="E36" s="637"/>
      <c r="F36" s="637"/>
      <c r="G36" s="690"/>
      <c r="H36" s="645"/>
    </row>
    <row r="37" spans="1:8" s="636" customFormat="1" ht="13.5" customHeight="1" x14ac:dyDescent="0.2">
      <c r="A37" s="659" t="s">
        <v>578</v>
      </c>
      <c r="B37" s="660"/>
      <c r="C37" s="660"/>
      <c r="D37" s="660"/>
      <c r="E37" s="637"/>
      <c r="F37" s="637"/>
      <c r="G37" s="690"/>
      <c r="H37" s="645"/>
    </row>
    <row r="38" spans="1:8" s="636" customFormat="1" ht="13.5" customHeight="1" x14ac:dyDescent="0.2">
      <c r="A38" s="670"/>
      <c r="B38" s="671"/>
      <c r="C38" s="671"/>
      <c r="D38" s="671"/>
      <c r="E38" s="671"/>
      <c r="F38" s="671"/>
      <c r="G38" s="695"/>
      <c r="H38" s="672"/>
    </row>
    <row r="39" spans="1:8" s="636" customFormat="1" ht="26.25" customHeight="1" x14ac:dyDescent="0.2">
      <c r="A39" s="673"/>
      <c r="B39" s="674" t="s">
        <v>379</v>
      </c>
      <c r="C39" s="674" t="s">
        <v>380</v>
      </c>
      <c r="D39" s="674" t="s">
        <v>267</v>
      </c>
      <c r="E39" s="675" t="s">
        <v>264</v>
      </c>
      <c r="F39" s="675" t="s">
        <v>268</v>
      </c>
      <c r="G39" s="696" t="s">
        <v>385</v>
      </c>
      <c r="H39" s="675" t="s">
        <v>130</v>
      </c>
    </row>
    <row r="40" spans="1:8" s="636" customFormat="1" ht="13.5" customHeight="1" x14ac:dyDescent="0.2">
      <c r="A40" s="703" t="s">
        <v>6</v>
      </c>
      <c r="B40" s="706"/>
      <c r="C40" s="697"/>
      <c r="D40" s="700">
        <f t="shared" ref="D40:D51" si="0">B40-C40-H40</f>
        <v>0</v>
      </c>
      <c r="E40" s="699"/>
      <c r="F40" s="697"/>
      <c r="G40" s="697"/>
      <c r="H40" s="677"/>
    </row>
    <row r="41" spans="1:8" s="636" customFormat="1" ht="13.5" customHeight="1" x14ac:dyDescent="0.2">
      <c r="A41" s="704" t="s">
        <v>7</v>
      </c>
      <c r="B41" s="707"/>
      <c r="C41" s="697"/>
      <c r="D41" s="701">
        <f t="shared" si="0"/>
        <v>0</v>
      </c>
      <c r="E41" s="699"/>
      <c r="F41" s="697"/>
      <c r="G41" s="697"/>
      <c r="H41" s="678"/>
    </row>
    <row r="42" spans="1:8" s="636" customFormat="1" ht="13.5" customHeight="1" x14ac:dyDescent="0.2">
      <c r="A42" s="704" t="s">
        <v>8</v>
      </c>
      <c r="B42" s="707"/>
      <c r="C42" s="697"/>
      <c r="D42" s="701">
        <f t="shared" si="0"/>
        <v>0</v>
      </c>
      <c r="E42" s="699"/>
      <c r="F42" s="697"/>
      <c r="G42" s="697"/>
      <c r="H42" s="678"/>
    </row>
    <row r="43" spans="1:8" s="636" customFormat="1" ht="13.5" customHeight="1" x14ac:dyDescent="0.2">
      <c r="A43" s="704" t="s">
        <v>9</v>
      </c>
      <c r="B43" s="707"/>
      <c r="C43" s="697"/>
      <c r="D43" s="701">
        <f t="shared" si="0"/>
        <v>0</v>
      </c>
      <c r="E43" s="699"/>
      <c r="F43" s="697"/>
      <c r="G43" s="697"/>
      <c r="H43" s="678"/>
    </row>
    <row r="44" spans="1:8" s="636" customFormat="1" ht="13.5" customHeight="1" x14ac:dyDescent="0.2">
      <c r="A44" s="704" t="s">
        <v>10</v>
      </c>
      <c r="B44" s="707"/>
      <c r="C44" s="697"/>
      <c r="D44" s="701">
        <f t="shared" si="0"/>
        <v>0</v>
      </c>
      <c r="E44" s="699"/>
      <c r="F44" s="697"/>
      <c r="G44" s="697"/>
      <c r="H44" s="678"/>
    </row>
    <row r="45" spans="1:8" s="636" customFormat="1" ht="13.5" customHeight="1" x14ac:dyDescent="0.2">
      <c r="A45" s="704" t="s">
        <v>11</v>
      </c>
      <c r="B45" s="707"/>
      <c r="C45" s="697"/>
      <c r="D45" s="701">
        <f t="shared" si="0"/>
        <v>0</v>
      </c>
      <c r="E45" s="699"/>
      <c r="F45" s="697"/>
      <c r="G45" s="697"/>
      <c r="H45" s="678"/>
    </row>
    <row r="46" spans="1:8" s="636" customFormat="1" ht="13.5" customHeight="1" x14ac:dyDescent="0.2">
      <c r="A46" s="704" t="s">
        <v>12</v>
      </c>
      <c r="B46" s="707"/>
      <c r="C46" s="697"/>
      <c r="D46" s="701">
        <f t="shared" si="0"/>
        <v>0</v>
      </c>
      <c r="E46" s="699"/>
      <c r="F46" s="697"/>
      <c r="G46" s="697"/>
      <c r="H46" s="678"/>
    </row>
    <row r="47" spans="1:8" s="636" customFormat="1" ht="13.5" customHeight="1" x14ac:dyDescent="0.2">
      <c r="A47" s="705" t="s">
        <v>13</v>
      </c>
      <c r="B47" s="707"/>
      <c r="C47" s="697"/>
      <c r="D47" s="701">
        <f t="shared" si="0"/>
        <v>0</v>
      </c>
      <c r="E47" s="699"/>
      <c r="F47" s="697"/>
      <c r="G47" s="697"/>
      <c r="H47" s="679"/>
    </row>
    <row r="48" spans="1:8" s="636" customFormat="1" ht="13.5" customHeight="1" x14ac:dyDescent="0.2">
      <c r="A48" s="705" t="s">
        <v>14</v>
      </c>
      <c r="B48" s="707"/>
      <c r="C48" s="697"/>
      <c r="D48" s="701">
        <f t="shared" si="0"/>
        <v>0</v>
      </c>
      <c r="E48" s="699"/>
      <c r="F48" s="697"/>
      <c r="G48" s="697"/>
      <c r="H48" s="679"/>
    </row>
    <row r="49" spans="1:8" s="636" customFormat="1" ht="13.5" customHeight="1" x14ac:dyDescent="0.2">
      <c r="A49" s="705" t="s">
        <v>15</v>
      </c>
      <c r="B49" s="707"/>
      <c r="C49" s="697"/>
      <c r="D49" s="701">
        <f t="shared" si="0"/>
        <v>0</v>
      </c>
      <c r="E49" s="699"/>
      <c r="F49" s="697"/>
      <c r="G49" s="697"/>
      <c r="H49" s="679"/>
    </row>
    <row r="50" spans="1:8" s="636" customFormat="1" ht="13.5" customHeight="1" x14ac:dyDescent="0.2">
      <c r="A50" s="705" t="s">
        <v>16</v>
      </c>
      <c r="B50" s="707"/>
      <c r="C50" s="697"/>
      <c r="D50" s="701">
        <f t="shared" si="0"/>
        <v>0</v>
      </c>
      <c r="E50" s="699"/>
      <c r="F50" s="697"/>
      <c r="G50" s="697"/>
      <c r="H50" s="679"/>
    </row>
    <row r="51" spans="1:8" s="636" customFormat="1" ht="13.5" customHeight="1" x14ac:dyDescent="0.2">
      <c r="A51" s="705" t="s">
        <v>17</v>
      </c>
      <c r="B51" s="708"/>
      <c r="C51" s="697"/>
      <c r="D51" s="702">
        <f t="shared" si="0"/>
        <v>0</v>
      </c>
      <c r="E51" s="699"/>
      <c r="F51" s="697"/>
      <c r="G51" s="697"/>
      <c r="H51" s="679"/>
    </row>
    <row r="52" spans="1:8" s="636" customFormat="1" ht="13.5" customHeight="1" x14ac:dyDescent="0.2">
      <c r="A52" s="709"/>
      <c r="B52" s="680">
        <f t="shared" ref="B52:H52" si="1">SUM(B40:B51)</f>
        <v>0</v>
      </c>
      <c r="C52" s="680">
        <f t="shared" si="1"/>
        <v>0</v>
      </c>
      <c r="D52" s="680">
        <f t="shared" si="1"/>
        <v>0</v>
      </c>
      <c r="E52" s="680">
        <f t="shared" si="1"/>
        <v>0</v>
      </c>
      <c r="F52" s="681">
        <f t="shared" si="1"/>
        <v>0</v>
      </c>
      <c r="G52" s="681">
        <f t="shared" si="1"/>
        <v>0</v>
      </c>
      <c r="H52" s="681">
        <f t="shared" si="1"/>
        <v>0</v>
      </c>
    </row>
    <row r="53" spans="1:8" s="636" customFormat="1" ht="13.5" customHeight="1" x14ac:dyDescent="0.2">
      <c r="A53" s="676"/>
      <c r="B53" s="682"/>
      <c r="C53" s="682"/>
      <c r="D53" s="682"/>
      <c r="E53" s="660"/>
      <c r="F53" s="683"/>
      <c r="G53" s="698"/>
      <c r="H53" s="672"/>
    </row>
    <row r="54" spans="1:8" s="636" customFormat="1" ht="13.5" customHeight="1" x14ac:dyDescent="0.2">
      <c r="A54" s="641"/>
      <c r="B54" s="660"/>
      <c r="C54" s="660"/>
      <c r="D54" s="660"/>
      <c r="E54" s="660"/>
      <c r="F54" s="683"/>
      <c r="G54" s="698"/>
      <c r="H54" s="672"/>
    </row>
    <row r="55" spans="1:8" s="636" customFormat="1" ht="13.5" customHeight="1" x14ac:dyDescent="0.2">
      <c r="A55" s="641"/>
      <c r="B55" s="660"/>
      <c r="C55" s="660"/>
      <c r="D55" s="660"/>
      <c r="E55" s="660"/>
      <c r="F55" s="683"/>
      <c r="G55" s="698"/>
      <c r="H55" s="672"/>
    </row>
    <row r="56" spans="1:8" s="636" customFormat="1" ht="13.5" customHeight="1" x14ac:dyDescent="0.2">
      <c r="A56" s="670"/>
      <c r="B56" s="671"/>
      <c r="C56" s="671"/>
      <c r="D56" s="671"/>
      <c r="E56" s="671"/>
      <c r="F56" s="684"/>
      <c r="G56" s="695"/>
      <c r="H56" s="685"/>
    </row>
  </sheetData>
  <mergeCells count="1">
    <mergeCell ref="A2:C2"/>
  </mergeCells>
  <hyperlinks>
    <hyperlink ref="A2" location="'Index and Structure'!A1" display="The Macro Group" xr:uid="{00000000-0004-0000-1400-000000000000}"/>
  </hyperlinks>
  <pageMargins left="0.74803149606299213" right="0.39370078740157483" top="0.55118110236220474" bottom="0.62992125984251968" header="0.51181102362204722" footer="0.47244094488188981"/>
  <pageSetup paperSize="9" scale="69" orientation="portrait" r:id="rId1"/>
  <headerFooter alignWithMargins="0">
    <oddFooter>&amp;LPrinted:&amp;T on &amp;D</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36164">
    <pageSetUpPr fitToPage="1"/>
  </sheetPr>
  <dimension ref="A1:J85"/>
  <sheetViews>
    <sheetView showGridLines="0" view="pageBreakPreview" zoomScaleNormal="50" zoomScaleSheetLayoutView="100" workbookViewId="0">
      <selection activeCell="F31" sqref="F31"/>
    </sheetView>
  </sheetViews>
  <sheetFormatPr defaultColWidth="9.140625" defaultRowHeight="15" x14ac:dyDescent="0.25"/>
  <cols>
    <col min="1" max="1" width="12.28515625" style="19" customWidth="1"/>
    <col min="2" max="2" width="23.28515625" style="19" customWidth="1"/>
    <col min="3" max="3" width="15.7109375" style="19" customWidth="1"/>
    <col min="4" max="4" width="12.28515625" style="19" customWidth="1"/>
    <col min="5" max="5" width="12.42578125" style="19" customWidth="1"/>
    <col min="6" max="6" width="16.7109375" style="19" customWidth="1"/>
    <col min="7" max="7" width="12.140625" style="28" customWidth="1"/>
    <col min="8" max="8" width="10.14062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E2" s="21"/>
      <c r="F2" s="21"/>
      <c r="G2" s="520"/>
      <c r="H2" s="20"/>
    </row>
    <row r="3" spans="1:8" ht="19.899999999999999" customHeight="1" x14ac:dyDescent="0.25">
      <c r="A3" s="713"/>
      <c r="B3" s="713"/>
      <c r="C3" s="713"/>
      <c r="D3" s="21"/>
      <c r="E3" s="21"/>
      <c r="F3" s="21"/>
      <c r="G3" s="520"/>
      <c r="H3" s="20"/>
    </row>
    <row r="4" spans="1:8" ht="27" customHeight="1" x14ac:dyDescent="0.25">
      <c r="A4" s="22"/>
    </row>
    <row r="5" spans="1:8" ht="5.25" customHeight="1" x14ac:dyDescent="0.25">
      <c r="A5" s="23"/>
      <c r="B5" s="24"/>
      <c r="C5" s="25"/>
      <c r="E5" s="23"/>
      <c r="F5" s="24"/>
      <c r="G5" s="74"/>
      <c r="H5" s="25"/>
    </row>
    <row r="6" spans="1:8" ht="14.25" customHeight="1" x14ac:dyDescent="0.25">
      <c r="A6" s="26" t="s">
        <v>40</v>
      </c>
      <c r="B6" s="28" t="str">
        <f>'Index and Structure'!B2</f>
        <v>Nicolo Superannuation fund</v>
      </c>
      <c r="C6" s="29"/>
      <c r="E6" s="31" t="s">
        <v>38</v>
      </c>
      <c r="F6" s="32" t="str">
        <f>'Index and Structure'!B5</f>
        <v>NICO0024</v>
      </c>
      <c r="H6" s="33"/>
    </row>
    <row r="7" spans="1:8" ht="14.25" customHeight="1" x14ac:dyDescent="0.25">
      <c r="A7" s="26" t="s">
        <v>45</v>
      </c>
      <c r="B7" s="28" t="str">
        <f>'Index and Structure'!F24</f>
        <v>Tax payable</v>
      </c>
      <c r="C7" s="29"/>
      <c r="E7" s="34" t="s">
        <v>41</v>
      </c>
      <c r="F7" s="28" t="str">
        <f>'Index and Structure'!B6</f>
        <v>Liam Aubin</v>
      </c>
      <c r="G7" s="1802" t="s">
        <v>42</v>
      </c>
      <c r="H7" s="35"/>
    </row>
    <row r="8" spans="1:8" ht="14.25" customHeight="1" x14ac:dyDescent="0.25">
      <c r="A8" s="36" t="s">
        <v>46</v>
      </c>
      <c r="B8" s="37" t="str">
        <f>'Index and Structure'!B4</f>
        <v>30 June 2022</v>
      </c>
      <c r="C8" s="38"/>
      <c r="E8" s="39" t="s">
        <v>43</v>
      </c>
      <c r="F8" s="40" t="str">
        <f>'Index and Structure'!B7</f>
        <v>Nicole Bryant</v>
      </c>
      <c r="G8" s="1804" t="s">
        <v>42</v>
      </c>
      <c r="H8" s="41"/>
    </row>
    <row r="9" spans="1:8" ht="9.75" customHeight="1" x14ac:dyDescent="0.25"/>
    <row r="10" spans="1:8" ht="30" customHeight="1" x14ac:dyDescent="0.25">
      <c r="A10" s="42"/>
      <c r="B10" s="43"/>
      <c r="C10" s="43"/>
      <c r="D10" s="43"/>
      <c r="E10" s="43"/>
      <c r="F10" s="342">
        <f>'Index and Structure'!D4</f>
        <v>2022</v>
      </c>
      <c r="G10" s="492"/>
      <c r="H10" s="44"/>
    </row>
    <row r="11" spans="1:8" s="45" customFormat="1" ht="13.5" customHeight="1" x14ac:dyDescent="0.2">
      <c r="A11" s="192"/>
      <c r="B11" s="193"/>
      <c r="C11" s="193"/>
      <c r="D11" s="193"/>
      <c r="E11" s="194"/>
      <c r="F11" s="193"/>
      <c r="G11" s="716"/>
      <c r="H11" s="196"/>
    </row>
    <row r="12" spans="1:8" s="45" customFormat="1" ht="13.5" customHeight="1" thickBot="1" x14ac:dyDescent="0.25">
      <c r="A12" s="1266" t="str">
        <f>B7</f>
        <v>Tax payable</v>
      </c>
      <c r="B12" s="1263"/>
      <c r="C12" s="165"/>
      <c r="D12" s="165"/>
      <c r="E12" s="165"/>
      <c r="F12" s="198">
        <f>F28</f>
        <v>0</v>
      </c>
      <c r="G12" s="240"/>
      <c r="H12" s="196"/>
    </row>
    <row r="13" spans="1:8" s="45" customFormat="1" ht="13.5" customHeight="1" thickTop="1" x14ac:dyDescent="0.2">
      <c r="A13" s="197"/>
      <c r="B13" s="165"/>
      <c r="C13" s="165"/>
      <c r="D13" s="202"/>
      <c r="E13" s="165"/>
      <c r="F13" s="199"/>
      <c r="G13" s="494" t="s">
        <v>50</v>
      </c>
      <c r="H13" s="86"/>
    </row>
    <row r="14" spans="1:8" s="45" customFormat="1" ht="13.5" customHeight="1" x14ac:dyDescent="0.2">
      <c r="A14" s="237"/>
      <c r="B14" s="165" t="s">
        <v>542</v>
      </c>
      <c r="C14" s="165"/>
      <c r="D14" s="202"/>
      <c r="E14" s="207"/>
      <c r="F14" s="1544"/>
      <c r="G14" s="498"/>
      <c r="H14" s="86"/>
    </row>
    <row r="15" spans="1:8" s="45" customFormat="1" ht="13.5" customHeight="1" x14ac:dyDescent="0.2">
      <c r="A15" s="197"/>
      <c r="B15" s="165"/>
      <c r="C15" s="165"/>
      <c r="D15" s="204"/>
      <c r="E15" s="207"/>
      <c r="F15" s="199"/>
      <c r="G15" s="498"/>
      <c r="H15" s="86"/>
    </row>
    <row r="16" spans="1:8" s="45" customFormat="1" ht="13.5" customHeight="1" x14ac:dyDescent="0.2">
      <c r="A16" s="519" t="s">
        <v>65</v>
      </c>
      <c r="B16" s="165" t="s">
        <v>543</v>
      </c>
      <c r="C16" s="201"/>
      <c r="D16" s="204"/>
      <c r="E16" s="207"/>
      <c r="F16" s="1544"/>
      <c r="G16" s="498"/>
      <c r="H16" s="86"/>
    </row>
    <row r="17" spans="1:8" s="45" customFormat="1" ht="13.5" customHeight="1" x14ac:dyDescent="0.2">
      <c r="A17" s="519"/>
      <c r="B17" s="165" t="s">
        <v>544</v>
      </c>
      <c r="C17" s="201"/>
      <c r="D17" s="204"/>
      <c r="E17" s="207"/>
      <c r="F17" s="1544"/>
      <c r="G17" s="498"/>
      <c r="H17" s="86"/>
    </row>
    <row r="18" spans="1:8" s="45" customFormat="1" ht="13.5" customHeight="1" x14ac:dyDescent="0.2">
      <c r="A18" s="519"/>
      <c r="B18" s="165" t="s">
        <v>545</v>
      </c>
      <c r="C18" s="201"/>
      <c r="D18" s="204"/>
      <c r="E18" s="247"/>
      <c r="F18" s="1544"/>
      <c r="G18" s="498"/>
      <c r="H18" s="86"/>
    </row>
    <row r="19" spans="1:8" s="45" customFormat="1" ht="13.5" customHeight="1" x14ac:dyDescent="0.2">
      <c r="A19" s="519"/>
      <c r="B19" s="165" t="s">
        <v>552</v>
      </c>
      <c r="C19" s="201"/>
      <c r="D19" s="204"/>
      <c r="E19" s="247"/>
      <c r="F19" s="1544"/>
      <c r="G19" s="498"/>
      <c r="H19" s="86"/>
    </row>
    <row r="20" spans="1:8" s="45" customFormat="1" ht="13.5" customHeight="1" x14ac:dyDescent="0.2">
      <c r="A20" s="519"/>
      <c r="B20" s="165"/>
      <c r="C20" s="201"/>
      <c r="D20" s="204"/>
      <c r="E20" s="247"/>
      <c r="F20" s="199"/>
      <c r="G20" s="498"/>
      <c r="H20" s="86"/>
    </row>
    <row r="21" spans="1:8" s="45" customFormat="1" ht="13.5" customHeight="1" x14ac:dyDescent="0.2">
      <c r="A21" s="519" t="s">
        <v>51</v>
      </c>
      <c r="B21" s="201" t="s">
        <v>546</v>
      </c>
      <c r="C21" s="165"/>
      <c r="D21" s="204"/>
      <c r="E21" s="247"/>
      <c r="F21" s="1545"/>
      <c r="G21" s="498"/>
      <c r="H21" s="217"/>
    </row>
    <row r="22" spans="1:8" s="45" customFormat="1" ht="12.75" customHeight="1" x14ac:dyDescent="0.2">
      <c r="A22" s="519"/>
      <c r="B22" s="165" t="s">
        <v>547</v>
      </c>
      <c r="C22" s="165" t="s">
        <v>548</v>
      </c>
      <c r="D22" s="165"/>
      <c r="E22" s="714"/>
      <c r="F22" s="1545"/>
      <c r="G22" s="498"/>
      <c r="H22" s="217"/>
    </row>
    <row r="23" spans="1:8" s="45" customFormat="1" ht="13.5" customHeight="1" x14ac:dyDescent="0.2">
      <c r="A23" s="197"/>
      <c r="B23" s="165"/>
      <c r="C23" s="165" t="s">
        <v>125</v>
      </c>
      <c r="D23" s="165"/>
      <c r="E23" s="714"/>
      <c r="F23" s="1545"/>
      <c r="G23" s="498"/>
      <c r="H23" s="217"/>
    </row>
    <row r="24" spans="1:8" s="45" customFormat="1" ht="13.5" customHeight="1" x14ac:dyDescent="0.2">
      <c r="A24" s="197"/>
      <c r="B24" s="165"/>
      <c r="C24" s="165" t="s">
        <v>14</v>
      </c>
      <c r="D24" s="165"/>
      <c r="E24" s="714"/>
      <c r="F24" s="1545"/>
      <c r="G24" s="498"/>
      <c r="H24" s="217"/>
    </row>
    <row r="25" spans="1:8" s="45" customFormat="1" ht="13.5" customHeight="1" x14ac:dyDescent="0.2">
      <c r="A25" s="197"/>
      <c r="B25" s="165"/>
      <c r="C25" s="165" t="s">
        <v>574</v>
      </c>
      <c r="D25" s="165"/>
      <c r="E25" s="714"/>
      <c r="F25" s="1545"/>
      <c r="G25" s="498"/>
      <c r="H25" s="217"/>
    </row>
    <row r="26" spans="1:8" s="45" customFormat="1" ht="13.5" customHeight="1" x14ac:dyDescent="0.2">
      <c r="A26" s="197"/>
      <c r="B26" s="165" t="s">
        <v>552</v>
      </c>
      <c r="C26" s="204"/>
      <c r="D26" s="204"/>
      <c r="E26" s="204"/>
      <c r="F26" s="1545"/>
      <c r="G26" s="240"/>
      <c r="H26" s="86"/>
    </row>
    <row r="27" spans="1:8" s="45" customFormat="1" ht="12.75" customHeight="1" x14ac:dyDescent="0.2">
      <c r="A27" s="197"/>
      <c r="B27" s="475"/>
      <c r="C27" s="165"/>
      <c r="D27" s="165"/>
      <c r="E27" s="165"/>
      <c r="F27" s="165"/>
      <c r="G27" s="240"/>
      <c r="H27" s="86"/>
    </row>
    <row r="28" spans="1:8" s="45" customFormat="1" ht="12.75" customHeight="1" thickBot="1" x14ac:dyDescent="0.25">
      <c r="A28" s="197"/>
      <c r="B28" s="475" t="s">
        <v>4</v>
      </c>
      <c r="C28" s="165"/>
      <c r="D28" s="165"/>
      <c r="E28" s="165"/>
      <c r="F28" s="715">
        <f>F14+SUM(F16:F20)-SUM(F21:F27)</f>
        <v>0</v>
      </c>
      <c r="G28" s="240"/>
      <c r="H28" s="86"/>
    </row>
    <row r="29" spans="1:8" s="45" customFormat="1" ht="12.75" customHeight="1" thickTop="1" x14ac:dyDescent="0.2">
      <c r="A29" s="197"/>
      <c r="B29" s="475"/>
      <c r="C29" s="165"/>
      <c r="D29" s="165"/>
      <c r="E29" s="165"/>
      <c r="F29" s="165"/>
      <c r="G29" s="240"/>
      <c r="H29" s="86"/>
    </row>
    <row r="30" spans="1:8" s="45" customFormat="1" ht="12.75" customHeight="1" x14ac:dyDescent="0.2">
      <c r="A30" s="197"/>
      <c r="B30" s="475" t="s">
        <v>549</v>
      </c>
      <c r="C30" s="165"/>
      <c r="D30" s="165"/>
      <c r="E30" s="165"/>
      <c r="F30" s="165"/>
      <c r="G30" s="240"/>
      <c r="H30" s="86"/>
    </row>
    <row r="31" spans="1:8" s="45" customFormat="1" ht="12.75" customHeight="1" x14ac:dyDescent="0.2">
      <c r="A31" s="197"/>
      <c r="B31" s="475"/>
      <c r="C31" s="165" t="s">
        <v>550</v>
      </c>
      <c r="D31" s="165"/>
      <c r="E31" s="165"/>
      <c r="F31" s="1545"/>
      <c r="G31" s="240"/>
      <c r="H31" s="86"/>
    </row>
    <row r="32" spans="1:8" s="45" customFormat="1" ht="12.75" customHeight="1" x14ac:dyDescent="0.2">
      <c r="A32" s="197"/>
      <c r="B32" s="475"/>
      <c r="C32" s="165" t="s">
        <v>551</v>
      </c>
      <c r="D32" s="165"/>
      <c r="E32" s="165"/>
      <c r="F32" s="1545"/>
      <c r="G32" s="240"/>
      <c r="H32" s="86"/>
    </row>
    <row r="33" spans="1:8" s="45" customFormat="1" ht="12.75" customHeight="1" x14ac:dyDescent="0.2">
      <c r="A33" s="197"/>
      <c r="B33" s="475"/>
      <c r="C33" s="165" t="s">
        <v>552</v>
      </c>
      <c r="D33" s="165"/>
      <c r="E33" s="165"/>
      <c r="F33" s="1545"/>
      <c r="G33" s="240"/>
      <c r="H33" s="86"/>
    </row>
    <row r="34" spans="1:8" s="45" customFormat="1" ht="12.75" customHeight="1" thickBot="1" x14ac:dyDescent="0.25">
      <c r="A34" s="197"/>
      <c r="B34" s="475"/>
      <c r="C34" s="165" t="s">
        <v>33</v>
      </c>
      <c r="D34" s="165"/>
      <c r="E34" s="165"/>
      <c r="F34" s="715">
        <f>SUM(F31:F33)</f>
        <v>0</v>
      </c>
      <c r="G34" s="240"/>
      <c r="H34" s="86"/>
    </row>
    <row r="35" spans="1:8" s="45" customFormat="1" ht="12.75" customHeight="1" thickTop="1" x14ac:dyDescent="0.2">
      <c r="A35" s="197"/>
      <c r="B35" s="475"/>
      <c r="C35" s="165" t="s">
        <v>29</v>
      </c>
      <c r="D35" s="165"/>
      <c r="E35" s="165"/>
      <c r="F35" s="165">
        <f>F28-F34</f>
        <v>0</v>
      </c>
      <c r="G35" s="240"/>
      <c r="H35" s="86"/>
    </row>
    <row r="36" spans="1:8" s="45" customFormat="1" ht="12.75" customHeight="1" x14ac:dyDescent="0.2">
      <c r="A36" s="197"/>
      <c r="B36" s="475"/>
      <c r="C36" s="165"/>
      <c r="D36" s="165"/>
      <c r="E36" s="165"/>
      <c r="F36" s="165"/>
      <c r="G36" s="240"/>
      <c r="H36" s="86"/>
    </row>
    <row r="37" spans="1:8" s="45" customFormat="1" ht="12.75" customHeight="1" x14ac:dyDescent="0.2">
      <c r="A37" s="214" t="s">
        <v>553</v>
      </c>
      <c r="B37" s="475"/>
      <c r="C37" s="165"/>
      <c r="D37" s="165"/>
      <c r="E37" s="165"/>
      <c r="F37" s="165"/>
      <c r="G37" s="240"/>
      <c r="H37" s="86"/>
    </row>
    <row r="38" spans="1:8" s="45" customFormat="1" ht="12.75" customHeight="1" x14ac:dyDescent="0.2">
      <c r="A38" s="2465" t="s">
        <v>575</v>
      </c>
      <c r="B38" s="2466"/>
      <c r="C38" s="2466"/>
      <c r="D38" s="2466"/>
      <c r="E38" s="2466"/>
      <c r="F38" s="2466"/>
      <c r="G38" s="2466"/>
      <c r="H38" s="2467"/>
    </row>
    <row r="39" spans="1:8" s="45" customFormat="1" ht="16.5" customHeight="1" x14ac:dyDescent="0.2">
      <c r="A39" s="2468"/>
      <c r="B39" s="2469"/>
      <c r="C39" s="2469"/>
      <c r="D39" s="2469"/>
      <c r="E39" s="2469"/>
      <c r="F39" s="2469"/>
      <c r="G39" s="2469"/>
      <c r="H39" s="2470"/>
    </row>
    <row r="40" spans="1:8" s="45" customFormat="1" ht="12.75" customHeight="1" x14ac:dyDescent="0.2">
      <c r="A40" s="197"/>
      <c r="B40" s="475"/>
      <c r="C40" s="165"/>
      <c r="D40" s="165"/>
      <c r="E40" s="165"/>
      <c r="F40" s="165"/>
      <c r="G40" s="240"/>
      <c r="H40" s="86"/>
    </row>
    <row r="41" spans="1:8" s="45" customFormat="1" ht="12.75" customHeight="1" x14ac:dyDescent="0.2">
      <c r="A41" s="197"/>
      <c r="B41" s="475" t="s">
        <v>554</v>
      </c>
      <c r="C41" s="165"/>
      <c r="D41" s="165"/>
      <c r="E41" s="165"/>
      <c r="F41" s="1544">
        <v>4074845</v>
      </c>
      <c r="G41" s="240"/>
      <c r="H41" s="86"/>
    </row>
    <row r="42" spans="1:8" s="45" customFormat="1" ht="12.75" customHeight="1" x14ac:dyDescent="0.2">
      <c r="A42" s="197"/>
      <c r="B42" s="475"/>
      <c r="C42" s="165"/>
      <c r="D42" s="207" t="s">
        <v>556</v>
      </c>
      <c r="E42" s="165"/>
      <c r="F42" s="165"/>
      <c r="G42" s="591"/>
      <c r="H42" s="86"/>
    </row>
    <row r="43" spans="1:8" s="45" customFormat="1" ht="12.75" customHeight="1" x14ac:dyDescent="0.2">
      <c r="A43" s="519" t="s">
        <v>65</v>
      </c>
      <c r="B43" s="165" t="s">
        <v>547</v>
      </c>
      <c r="C43" s="165" t="s">
        <v>555</v>
      </c>
      <c r="D43" s="1561"/>
      <c r="E43" s="165"/>
      <c r="F43" s="246"/>
      <c r="G43" s="2471" t="str">
        <f>"only include if actually paid to ATO  before 30 June "&amp;F10</f>
        <v>only include if actually paid to ATO  before 30 June 2022</v>
      </c>
      <c r="H43" s="86"/>
    </row>
    <row r="44" spans="1:8" s="45" customFormat="1" ht="12.75" customHeight="1" x14ac:dyDescent="0.2">
      <c r="A44" s="519" t="s">
        <v>559</v>
      </c>
      <c r="B44" s="475"/>
      <c r="C44" s="165" t="s">
        <v>548</v>
      </c>
      <c r="D44" s="1561"/>
      <c r="E44" s="165"/>
      <c r="F44" s="246">
        <f>F22</f>
        <v>0</v>
      </c>
      <c r="G44" s="2472"/>
      <c r="H44" s="86"/>
    </row>
    <row r="45" spans="1:8" s="45" customFormat="1" ht="12.75" customHeight="1" x14ac:dyDescent="0.2">
      <c r="A45" s="519"/>
      <c r="B45" s="475"/>
      <c r="C45" s="165" t="s">
        <v>125</v>
      </c>
      <c r="D45" s="1561"/>
      <c r="E45" s="165"/>
      <c r="F45" s="246">
        <f>F23</f>
        <v>0</v>
      </c>
      <c r="G45" s="2472"/>
      <c r="H45" s="86"/>
    </row>
    <row r="46" spans="1:8" s="45" customFormat="1" ht="12.75" customHeight="1" x14ac:dyDescent="0.2">
      <c r="A46" s="519"/>
      <c r="B46" s="475"/>
      <c r="C46" s="165" t="s">
        <v>14</v>
      </c>
      <c r="D46" s="1561"/>
      <c r="E46" s="165"/>
      <c r="F46" s="246">
        <v>1561379</v>
      </c>
      <c r="G46" s="2472"/>
      <c r="H46" s="86"/>
    </row>
    <row r="47" spans="1:8" s="45" customFormat="1" ht="12.75" customHeight="1" x14ac:dyDescent="0.2">
      <c r="A47" s="519"/>
      <c r="B47" s="475"/>
      <c r="C47" s="165"/>
      <c r="D47" s="1561"/>
      <c r="E47" s="165"/>
      <c r="F47" s="246"/>
      <c r="G47" s="2472"/>
      <c r="H47" s="86"/>
    </row>
    <row r="48" spans="1:8" s="45" customFormat="1" ht="12.75" customHeight="1" x14ac:dyDescent="0.2">
      <c r="A48" s="519"/>
      <c r="B48" s="475" t="s">
        <v>557</v>
      </c>
      <c r="C48" s="165" t="s">
        <v>558</v>
      </c>
      <c r="D48" s="1561"/>
      <c r="E48" s="165"/>
      <c r="F48" s="2169"/>
      <c r="G48" s="2472"/>
      <c r="H48" s="86"/>
    </row>
    <row r="49" spans="1:10" s="45" customFormat="1" ht="12.75" customHeight="1" x14ac:dyDescent="0.2">
      <c r="A49" s="519"/>
      <c r="B49" s="475"/>
      <c r="C49" s="165"/>
      <c r="D49" s="1561"/>
      <c r="E49" s="165"/>
      <c r="F49" s="246"/>
      <c r="G49" s="2472"/>
      <c r="H49" s="86"/>
    </row>
    <row r="50" spans="1:10" s="45" customFormat="1" ht="12.75" customHeight="1" x14ac:dyDescent="0.2">
      <c r="A50" s="519"/>
      <c r="B50" s="475" t="s">
        <v>560</v>
      </c>
      <c r="C50" s="165"/>
      <c r="D50" s="1561"/>
      <c r="E50" s="165"/>
      <c r="F50" s="246"/>
      <c r="G50" s="2472"/>
      <c r="H50" s="86"/>
    </row>
    <row r="51" spans="1:10" s="45" customFormat="1" ht="12.75" customHeight="1" x14ac:dyDescent="0.2">
      <c r="A51" s="519"/>
      <c r="B51" s="475"/>
      <c r="C51" s="165"/>
      <c r="D51" s="1561"/>
      <c r="E51" s="165"/>
      <c r="F51" s="246"/>
      <c r="G51" s="2473"/>
      <c r="H51" s="86"/>
    </row>
    <row r="52" spans="1:10" s="45" customFormat="1" ht="12.75" customHeight="1" x14ac:dyDescent="0.2">
      <c r="A52" s="519"/>
      <c r="B52" s="475"/>
      <c r="C52" s="165"/>
      <c r="D52" s="165"/>
      <c r="E52" s="165"/>
      <c r="F52" s="165"/>
      <c r="G52" s="240"/>
      <c r="H52" s="86"/>
    </row>
    <row r="53" spans="1:10" s="45" customFormat="1" ht="12.75" customHeight="1" x14ac:dyDescent="0.2">
      <c r="A53" s="519" t="s">
        <v>51</v>
      </c>
      <c r="B53" s="475" t="s">
        <v>562</v>
      </c>
      <c r="C53" s="165" t="s">
        <v>558</v>
      </c>
      <c r="D53" s="1561"/>
      <c r="E53" s="165"/>
      <c r="F53" s="246"/>
      <c r="G53" s="240"/>
      <c r="H53" s="86"/>
    </row>
    <row r="54" spans="1:10" s="45" customFormat="1" ht="12.75" customHeight="1" x14ac:dyDescent="0.2">
      <c r="A54" s="519" t="s">
        <v>561</v>
      </c>
      <c r="B54" s="475"/>
      <c r="C54" s="165"/>
      <c r="D54" s="1561"/>
      <c r="E54" s="165"/>
      <c r="F54" s="246"/>
      <c r="G54" s="240"/>
      <c r="H54" s="86"/>
    </row>
    <row r="55" spans="1:10" s="45" customFormat="1" ht="12.75" customHeight="1" x14ac:dyDescent="0.2">
      <c r="A55" s="197"/>
      <c r="B55" s="475" t="s">
        <v>565</v>
      </c>
      <c r="C55" s="165"/>
      <c r="D55" s="1561"/>
      <c r="E55" s="165"/>
      <c r="F55" s="246"/>
      <c r="G55" s="167"/>
      <c r="H55" s="86"/>
    </row>
    <row r="56" spans="1:10" s="45" customFormat="1" ht="12.75" customHeight="1" x14ac:dyDescent="0.2">
      <c r="A56" s="197"/>
      <c r="B56" s="475"/>
      <c r="C56" s="165"/>
      <c r="D56" s="1561"/>
      <c r="E56" s="165"/>
      <c r="F56" s="246"/>
      <c r="G56" s="167"/>
      <c r="H56" s="86"/>
    </row>
    <row r="57" spans="1:10" s="45" customFormat="1" ht="12.75" customHeight="1" x14ac:dyDescent="0.2">
      <c r="A57" s="197"/>
      <c r="B57" s="475" t="s">
        <v>566</v>
      </c>
      <c r="C57" s="165"/>
      <c r="D57" s="1561"/>
      <c r="E57" s="165"/>
      <c r="F57" s="246">
        <f>10000/75*25</f>
        <v>3333.3333333333335</v>
      </c>
      <c r="G57" s="167"/>
      <c r="H57" s="86"/>
    </row>
    <row r="58" spans="1:10" s="45" customFormat="1" ht="12.75" customHeight="1" x14ac:dyDescent="0.2">
      <c r="A58" s="197"/>
      <c r="B58" s="475"/>
      <c r="C58" s="165"/>
      <c r="D58" s="1561"/>
      <c r="E58" s="165"/>
      <c r="F58" s="246"/>
      <c r="G58" s="167"/>
      <c r="H58" s="86"/>
    </row>
    <row r="59" spans="1:10" s="45" customFormat="1" ht="12.75" customHeight="1" x14ac:dyDescent="0.2">
      <c r="A59" s="197"/>
      <c r="B59" s="475"/>
      <c r="C59" s="165"/>
      <c r="D59" s="165"/>
      <c r="E59" s="165"/>
      <c r="F59" s="165"/>
      <c r="G59" s="167"/>
      <c r="H59" s="86"/>
    </row>
    <row r="60" spans="1:10" s="45" customFormat="1" ht="12.75" customHeight="1" thickBot="1" x14ac:dyDescent="0.25">
      <c r="A60" s="197"/>
      <c r="B60" s="475" t="s">
        <v>563</v>
      </c>
      <c r="C60" s="165"/>
      <c r="D60" s="165"/>
      <c r="E60" s="165"/>
      <c r="F60" s="715">
        <f>F41+SUM(F43:F51)-SUM(F53:F58)</f>
        <v>5632890.666666667</v>
      </c>
      <c r="G60" s="167" t="s">
        <v>564</v>
      </c>
      <c r="H60" s="86"/>
      <c r="J60" s="2170" t="s">
        <v>1036</v>
      </c>
    </row>
    <row r="61" spans="1:10" s="45" customFormat="1" ht="12.75" customHeight="1" thickTop="1" x14ac:dyDescent="0.2">
      <c r="A61" s="197"/>
      <c r="B61" s="475"/>
      <c r="C61" s="165"/>
      <c r="D61" s="165"/>
      <c r="E61" s="165"/>
      <c r="F61" s="165"/>
      <c r="G61" s="167"/>
      <c r="H61" s="86"/>
    </row>
    <row r="62" spans="1:10" s="45" customFormat="1" ht="12.75" customHeight="1" x14ac:dyDescent="0.2">
      <c r="A62" s="197"/>
      <c r="B62" s="1562" t="s">
        <v>567</v>
      </c>
      <c r="C62" s="165"/>
      <c r="D62" s="165"/>
      <c r="E62" s="165"/>
      <c r="F62" s="165"/>
      <c r="G62" s="167"/>
      <c r="H62" s="86"/>
    </row>
    <row r="63" spans="1:10" s="45" customFormat="1" ht="12.75" customHeight="1" x14ac:dyDescent="0.2">
      <c r="A63" s="197"/>
      <c r="B63" s="475"/>
      <c r="C63" s="165"/>
      <c r="D63" s="165"/>
      <c r="E63" s="48" t="s">
        <v>251</v>
      </c>
      <c r="F63" s="48" t="s">
        <v>568</v>
      </c>
      <c r="G63" s="167"/>
      <c r="H63" s="86"/>
    </row>
    <row r="64" spans="1:10" s="45" customFormat="1" ht="12.75" customHeight="1" x14ac:dyDescent="0.2">
      <c r="A64" s="197"/>
      <c r="B64" s="475" t="s">
        <v>569</v>
      </c>
      <c r="C64" s="165"/>
      <c r="D64" s="165"/>
      <c r="E64" s="1561"/>
      <c r="F64" s="1561">
        <f>C83</f>
        <v>14107898</v>
      </c>
      <c r="G64" s="167"/>
      <c r="H64" s="86"/>
    </row>
    <row r="65" spans="1:9" s="45" customFormat="1" ht="12.75" customHeight="1" x14ac:dyDescent="0.2">
      <c r="A65" s="197"/>
      <c r="B65" s="475" t="s">
        <v>576</v>
      </c>
      <c r="C65" s="165"/>
      <c r="D65" s="165"/>
      <c r="E65" s="1567"/>
      <c r="F65" s="1561"/>
      <c r="G65" s="167"/>
      <c r="H65" s="86"/>
    </row>
    <row r="66" spans="1:9" s="45" customFormat="1" ht="12.75" customHeight="1" x14ac:dyDescent="0.2">
      <c r="A66" s="197"/>
      <c r="B66" s="475" t="s">
        <v>577</v>
      </c>
      <c r="C66" s="165"/>
      <c r="D66" s="165"/>
      <c r="E66" s="1568">
        <f>SUM(E64:E65)</f>
        <v>0</v>
      </c>
      <c r="F66" s="1568">
        <f>SUM(F64:F65)</f>
        <v>14107898</v>
      </c>
      <c r="G66" s="167"/>
      <c r="H66" s="86"/>
    </row>
    <row r="67" spans="1:9" s="45" customFormat="1" ht="12.75" customHeight="1" x14ac:dyDescent="0.2">
      <c r="A67" s="197"/>
      <c r="B67" s="475"/>
      <c r="C67" s="165"/>
      <c r="D67" s="165"/>
      <c r="E67" s="165"/>
      <c r="F67" s="165"/>
      <c r="G67" s="167"/>
      <c r="H67" s="86"/>
    </row>
    <row r="68" spans="1:9" s="45" customFormat="1" ht="12.75" customHeight="1" x14ac:dyDescent="0.2">
      <c r="A68" s="197"/>
      <c r="B68" s="475" t="s">
        <v>570</v>
      </c>
      <c r="C68" s="165"/>
      <c r="D68" s="165"/>
      <c r="E68" s="1932">
        <v>0.25</v>
      </c>
      <c r="F68" s="1932">
        <v>0.25</v>
      </c>
      <c r="G68" s="167"/>
      <c r="H68" s="86"/>
      <c r="I68" s="45" t="s">
        <v>1042</v>
      </c>
    </row>
    <row r="69" spans="1:9" s="45" customFormat="1" ht="12.75" customHeight="1" x14ac:dyDescent="0.2">
      <c r="A69" s="197"/>
      <c r="B69" s="475"/>
      <c r="C69" s="165"/>
      <c r="D69" s="165"/>
      <c r="E69" s="165"/>
      <c r="F69" s="165"/>
      <c r="G69" s="167"/>
      <c r="H69" s="86"/>
    </row>
    <row r="70" spans="1:9" s="45" customFormat="1" ht="12.75" customHeight="1" x14ac:dyDescent="0.2">
      <c r="A70" s="197"/>
      <c r="B70" s="475" t="s">
        <v>571</v>
      </c>
      <c r="C70" s="165"/>
      <c r="D70" s="165"/>
      <c r="E70" s="1563">
        <f>F41</f>
        <v>4074845</v>
      </c>
      <c r="F70" s="1563">
        <f>F60</f>
        <v>5632890.666666667</v>
      </c>
      <c r="G70" s="167"/>
      <c r="H70" s="86"/>
    </row>
    <row r="71" spans="1:9" s="45" customFormat="1" ht="12.75" customHeight="1" x14ac:dyDescent="0.2">
      <c r="A71" s="197"/>
      <c r="B71" s="475"/>
      <c r="C71" s="165"/>
      <c r="D71" s="165"/>
      <c r="E71" s="168"/>
      <c r="F71" s="168"/>
      <c r="G71" s="167"/>
      <c r="H71" s="86"/>
    </row>
    <row r="72" spans="1:9" s="45" customFormat="1" ht="12.75" customHeight="1" thickBot="1" x14ac:dyDescent="0.25">
      <c r="A72" s="197"/>
      <c r="B72" s="475" t="s">
        <v>29</v>
      </c>
      <c r="C72" s="165"/>
      <c r="D72" s="165"/>
      <c r="E72" s="1564">
        <f>E66*E68-E70</f>
        <v>-4074845</v>
      </c>
      <c r="F72" s="1564">
        <f>F66*F68-F70</f>
        <v>-2105916.166666667</v>
      </c>
      <c r="G72" s="167"/>
      <c r="H72" s="86"/>
    </row>
    <row r="73" spans="1:9" s="45" customFormat="1" ht="12.75" customHeight="1" thickTop="1" x14ac:dyDescent="0.2">
      <c r="A73" s="197"/>
      <c r="B73" s="475"/>
      <c r="C73" s="165"/>
      <c r="D73" s="165"/>
      <c r="E73" s="165"/>
      <c r="F73" s="165"/>
      <c r="G73" s="167"/>
      <c r="H73" s="86"/>
    </row>
    <row r="74" spans="1:9" s="45" customFormat="1" ht="12.75" customHeight="1" x14ac:dyDescent="0.2">
      <c r="A74" s="197"/>
      <c r="B74" s="475"/>
      <c r="C74" s="165"/>
      <c r="D74" s="165"/>
      <c r="E74" s="165"/>
      <c r="F74" s="165"/>
      <c r="G74" s="167"/>
      <c r="H74" s="86"/>
    </row>
    <row r="75" spans="1:9" s="45" customFormat="1" ht="12.75" customHeight="1" x14ac:dyDescent="0.2">
      <c r="A75" s="197"/>
      <c r="B75" s="475"/>
      <c r="C75" s="165"/>
      <c r="D75" s="165"/>
      <c r="E75" s="165"/>
      <c r="F75" s="165"/>
      <c r="G75" s="167"/>
      <c r="H75" s="86"/>
    </row>
    <row r="76" spans="1:9" s="45" customFormat="1" ht="12.75" customHeight="1" x14ac:dyDescent="0.2">
      <c r="A76" s="197"/>
      <c r="B76" s="2318" t="s">
        <v>209</v>
      </c>
      <c r="C76" s="2319"/>
      <c r="D76" s="2319"/>
      <c r="E76" s="2319"/>
      <c r="F76" s="2319"/>
      <c r="G76" s="2320"/>
      <c r="H76" s="86"/>
    </row>
    <row r="77" spans="1:9" s="45" customFormat="1" ht="12.75" customHeight="1" x14ac:dyDescent="0.2">
      <c r="A77" s="197"/>
      <c r="B77" s="2321"/>
      <c r="C77" s="2322"/>
      <c r="D77" s="2322"/>
      <c r="E77" s="2322"/>
      <c r="F77" s="2322"/>
      <c r="G77" s="2323"/>
      <c r="H77" s="86"/>
    </row>
    <row r="78" spans="1:9" s="45" customFormat="1" ht="13.5" customHeight="1" x14ac:dyDescent="0.2">
      <c r="A78" s="219"/>
      <c r="B78" s="183"/>
      <c r="C78" s="183"/>
      <c r="D78" s="183"/>
      <c r="E78" s="183"/>
      <c r="F78" s="183"/>
      <c r="G78" s="521"/>
      <c r="H78" s="220"/>
    </row>
    <row r="80" spans="1:9" x14ac:dyDescent="0.25">
      <c r="B80" s="19" t="s">
        <v>1037</v>
      </c>
    </row>
    <row r="81" spans="2:3" x14ac:dyDescent="0.25">
      <c r="B81" s="19" t="s">
        <v>1038</v>
      </c>
      <c r="C81" s="19">
        <v>15865387</v>
      </c>
    </row>
    <row r="82" spans="2:3" x14ac:dyDescent="0.25">
      <c r="B82" s="19" t="s">
        <v>1039</v>
      </c>
      <c r="C82" s="19">
        <v>1757489</v>
      </c>
    </row>
    <row r="83" spans="2:3" x14ac:dyDescent="0.25">
      <c r="B83" s="19" t="s">
        <v>1040</v>
      </c>
      <c r="C83" s="19">
        <f>C81-C82</f>
        <v>14107898</v>
      </c>
    </row>
    <row r="85" spans="2:3" x14ac:dyDescent="0.25">
      <c r="B85" s="19" t="s">
        <v>1041</v>
      </c>
    </row>
  </sheetData>
  <customSheetViews>
    <customSheetView guid="{F72FE543-F911-423C-A34B-9CA018DFE603}" showPageBreaks="1" showGridLines="0" fitToPage="1" printArea="1" view="pageBreakPreview" topLeftCell="A13">
      <selection activeCell="F35" sqref="F35"/>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customSheetView>
  </customSheetViews>
  <mergeCells count="4">
    <mergeCell ref="A2:C2"/>
    <mergeCell ref="B76:G77"/>
    <mergeCell ref="A38:H39"/>
    <mergeCell ref="G43:G51"/>
  </mergeCells>
  <dataValidations count="1">
    <dataValidation type="list" allowBlank="1" showInputMessage="1" showErrorMessage="1" sqref="E68:F68" xr:uid="{00000000-0002-0000-1500-000000000000}">
      <formula1>"25%,30%"</formula1>
    </dataValidation>
  </dataValidations>
  <hyperlinks>
    <hyperlink ref="A2" location="'Index and Structure'!A1" display="The Macro Group" xr:uid="{00000000-0004-0000-1500-000000000000}"/>
  </hyperlinks>
  <pageMargins left="0.74803149606299213" right="0.39370078740157483" top="0.55118110236220474" bottom="0.62992125984251968" header="0.51181102362204722" footer="0.47244094488188981"/>
  <pageSetup paperSize="9" scale="65" orientation="portrait" r:id="rId2"/>
  <headerFooter alignWithMargins="0">
    <oddFooter>&amp;LPrinted:&amp;T on &amp;D</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36138"/>
  <dimension ref="A1:H61"/>
  <sheetViews>
    <sheetView showGridLines="0" view="pageBreakPreview" topLeftCell="A7" zoomScaleNormal="115" zoomScaleSheetLayoutView="100" workbookViewId="0">
      <selection activeCell="F26" sqref="F26"/>
    </sheetView>
  </sheetViews>
  <sheetFormatPr defaultColWidth="9.140625" defaultRowHeight="15" x14ac:dyDescent="0.25"/>
  <cols>
    <col min="1" max="1" width="13.140625" style="537" customWidth="1"/>
    <col min="2" max="3" width="11.42578125" style="537" customWidth="1"/>
    <col min="4" max="4" width="8.5703125" style="537" customWidth="1"/>
    <col min="5" max="5" width="12.42578125" style="537" customWidth="1"/>
    <col min="6" max="6" width="17" style="724" customWidth="1"/>
    <col min="7" max="7" width="16.140625" style="523" customWidth="1"/>
    <col min="8" max="8" width="13.140625" style="1852" customWidth="1"/>
    <col min="9" max="10" width="10.42578125" style="537" customWidth="1"/>
    <col min="11" max="16384" width="9.140625" style="537"/>
  </cols>
  <sheetData>
    <row r="1" spans="1:8" s="19" customFormat="1" ht="5.25" customHeight="1" thickBot="1" x14ac:dyDescent="0.3">
      <c r="G1" s="28"/>
      <c r="H1" s="1849"/>
    </row>
    <row r="2" spans="1:8" ht="19.899999999999999" customHeight="1" thickBot="1" x14ac:dyDescent="0.35">
      <c r="A2" s="2269" t="s">
        <v>44</v>
      </c>
      <c r="B2" s="2301"/>
      <c r="C2" s="2270"/>
      <c r="D2" s="611"/>
      <c r="E2" s="611"/>
      <c r="F2" s="612"/>
      <c r="G2" s="526"/>
      <c r="H2" s="1850"/>
    </row>
    <row r="3" spans="1:8" ht="19.899999999999999" customHeight="1" x14ac:dyDescent="0.25">
      <c r="A3" s="713"/>
      <c r="B3" s="713"/>
      <c r="C3" s="713"/>
      <c r="D3" s="611"/>
      <c r="E3" s="611"/>
      <c r="F3" s="612"/>
      <c r="G3" s="526"/>
      <c r="H3" s="1851"/>
    </row>
    <row r="4" spans="1:8" ht="27" customHeight="1" x14ac:dyDescent="0.25">
      <c r="A4" s="723"/>
    </row>
    <row r="5" spans="1:8" s="19" customFormat="1" ht="5.25" customHeight="1" x14ac:dyDescent="0.25">
      <c r="A5" s="23"/>
      <c r="B5" s="24"/>
      <c r="C5" s="25"/>
      <c r="E5" s="23"/>
      <c r="F5" s="24"/>
      <c r="G5" s="74"/>
      <c r="H5" s="1853"/>
    </row>
    <row r="6" spans="1:8" ht="14.25" customHeight="1" x14ac:dyDescent="0.25">
      <c r="A6" s="26" t="s">
        <v>40</v>
      </c>
      <c r="B6" s="523" t="str">
        <f>'Index and Structure'!B2</f>
        <v>Nicolo Superannuation fund</v>
      </c>
      <c r="C6" s="617"/>
      <c r="D6" s="618"/>
      <c r="E6" s="26" t="s">
        <v>38</v>
      </c>
      <c r="F6" s="533" t="str">
        <f>'Index and Structure'!B5</f>
        <v>NICO0024</v>
      </c>
      <c r="H6" s="1854"/>
    </row>
    <row r="7" spans="1:8" ht="14.25" customHeight="1" x14ac:dyDescent="0.25">
      <c r="A7" s="26" t="s">
        <v>45</v>
      </c>
      <c r="B7" s="523" t="str">
        <f>'Index and Structure'!A30</f>
        <v>Capital Gains - General</v>
      </c>
      <c r="C7" s="617"/>
      <c r="D7" s="618"/>
      <c r="E7" s="26" t="s">
        <v>41</v>
      </c>
      <c r="F7" s="523" t="str">
        <f>'Index and Structure'!B6</f>
        <v>Liam Aubin</v>
      </c>
      <c r="G7" s="490" t="s">
        <v>42</v>
      </c>
      <c r="H7" s="1855"/>
    </row>
    <row r="8" spans="1:8" ht="14.25" customHeight="1" x14ac:dyDescent="0.25">
      <c r="A8" s="36" t="s">
        <v>46</v>
      </c>
      <c r="B8" s="624" t="str">
        <f>'Index and Structure'!B4</f>
        <v>30 June 2022</v>
      </c>
      <c r="C8" s="625"/>
      <c r="D8" s="618"/>
      <c r="E8" s="36" t="s">
        <v>43</v>
      </c>
      <c r="F8" s="542" t="str">
        <f>'Index and Structure'!B7</f>
        <v>Nicole Bryant</v>
      </c>
      <c r="G8" s="491" t="s">
        <v>42</v>
      </c>
      <c r="H8" s="1856"/>
    </row>
    <row r="9" spans="1:8" ht="15" customHeight="1" x14ac:dyDescent="0.25">
      <c r="A9" s="725"/>
      <c r="H9" s="1854"/>
    </row>
    <row r="10" spans="1:8" ht="30" customHeight="1" x14ac:dyDescent="0.25">
      <c r="A10" s="628"/>
      <c r="B10" s="629"/>
      <c r="C10" s="629"/>
      <c r="D10" s="629"/>
      <c r="E10" s="631"/>
      <c r="F10" s="726">
        <f>'Index and Structure'!D4</f>
        <v>2022</v>
      </c>
      <c r="G10" s="764"/>
      <c r="H10" s="1857"/>
    </row>
    <row r="11" spans="1:8" s="636" customFormat="1" ht="13.5" customHeight="1" x14ac:dyDescent="0.2">
      <c r="A11" s="727"/>
      <c r="B11" s="773"/>
      <c r="C11" s="773"/>
      <c r="D11" s="773"/>
      <c r="E11" s="774"/>
      <c r="F11" s="775"/>
      <c r="G11" s="776"/>
      <c r="H11" s="1858"/>
    </row>
    <row r="12" spans="1:8" s="636" customFormat="1" ht="13.5" customHeight="1" thickBot="1" x14ac:dyDescent="0.25">
      <c r="A12" s="739" t="s">
        <v>273</v>
      </c>
      <c r="C12" s="729"/>
      <c r="D12" s="729"/>
      <c r="E12" s="729"/>
      <c r="F12" s="730">
        <f>F46</f>
        <v>0</v>
      </c>
      <c r="G12" s="765"/>
      <c r="H12" s="1859"/>
    </row>
    <row r="13" spans="1:8" s="636" customFormat="1" ht="13.5" customHeight="1" thickTop="1" x14ac:dyDescent="0.2">
      <c r="A13" s="731"/>
      <c r="B13" s="651"/>
      <c r="C13" s="729"/>
      <c r="D13" s="729"/>
      <c r="E13" s="729"/>
      <c r="F13" s="732"/>
      <c r="G13" s="765"/>
      <c r="H13" s="1859"/>
    </row>
    <row r="14" spans="1:8" s="636" customFormat="1" ht="13.5" customHeight="1" x14ac:dyDescent="0.2">
      <c r="A14" s="731"/>
      <c r="B14" s="651"/>
      <c r="C14" s="729"/>
      <c r="E14" s="729"/>
      <c r="F14" s="732"/>
      <c r="G14" s="766" t="s">
        <v>50</v>
      </c>
      <c r="H14" s="1859"/>
    </row>
    <row r="15" spans="1:8" s="636" customFormat="1" ht="13.5" customHeight="1" x14ac:dyDescent="0.2">
      <c r="A15" s="739" t="s">
        <v>274</v>
      </c>
      <c r="B15" s="2173"/>
      <c r="C15" s="2173" t="s">
        <v>1048</v>
      </c>
      <c r="D15" s="733"/>
      <c r="E15" s="729"/>
      <c r="F15" s="2174"/>
      <c r="G15" s="1799"/>
      <c r="H15" s="1859"/>
    </row>
    <row r="16" spans="1:8" s="636" customFormat="1" ht="13.5" customHeight="1" x14ac:dyDescent="0.2">
      <c r="A16" s="728"/>
      <c r="B16" s="651"/>
      <c r="C16" s="651"/>
      <c r="D16" s="733"/>
      <c r="E16" s="729"/>
      <c r="F16" s="729"/>
      <c r="G16" s="767"/>
      <c r="H16" s="1859"/>
    </row>
    <row r="17" spans="1:8" s="636" customFormat="1" ht="13.5" customHeight="1" x14ac:dyDescent="0.2">
      <c r="A17" s="755" t="s">
        <v>1043</v>
      </c>
      <c r="B17" s="651"/>
      <c r="C17" s="651"/>
      <c r="D17" s="734"/>
      <c r="E17" s="729"/>
      <c r="F17" s="729"/>
      <c r="G17" s="767"/>
      <c r="H17" s="1859"/>
    </row>
    <row r="18" spans="1:8" s="636" customFormat="1" ht="13.5" customHeight="1" x14ac:dyDescent="0.2">
      <c r="A18" s="2171" t="s">
        <v>275</v>
      </c>
      <c r="B18" s="736"/>
      <c r="C18" s="736"/>
      <c r="D18" s="737"/>
      <c r="E18" s="736"/>
      <c r="F18" s="1559"/>
      <c r="G18" s="766"/>
      <c r="H18" s="1859"/>
    </row>
    <row r="19" spans="1:8" s="636" customFormat="1" ht="13.5" customHeight="1" x14ac:dyDescent="0.2">
      <c r="A19" s="2171" t="s">
        <v>275</v>
      </c>
      <c r="B19" s="736"/>
      <c r="C19" s="736"/>
      <c r="D19" s="737"/>
      <c r="E19" s="736"/>
      <c r="F19" s="1559"/>
      <c r="G19" s="1848"/>
      <c r="H19" s="1859"/>
    </row>
    <row r="20" spans="1:8" s="636" customFormat="1" ht="13.5" customHeight="1" x14ac:dyDescent="0.2">
      <c r="A20" s="2171" t="s">
        <v>275</v>
      </c>
      <c r="B20" s="736"/>
      <c r="C20" s="736"/>
      <c r="D20" s="737"/>
      <c r="E20" s="736"/>
      <c r="F20" s="1559"/>
      <c r="G20" s="766"/>
      <c r="H20" s="1859"/>
    </row>
    <row r="21" spans="1:8" s="636" customFormat="1" ht="13.5" customHeight="1" x14ac:dyDescent="0.2">
      <c r="A21" s="735"/>
      <c r="B21" s="736"/>
      <c r="C21" s="736"/>
      <c r="D21" s="737"/>
      <c r="E21" s="736"/>
      <c r="F21" s="738"/>
      <c r="G21" s="768"/>
      <c r="H21" s="1859"/>
    </row>
    <row r="22" spans="1:8" s="636" customFormat="1" ht="13.5" customHeight="1" x14ac:dyDescent="0.2">
      <c r="A22" s="739" t="s">
        <v>276</v>
      </c>
      <c r="B22" s="651"/>
      <c r="C22" s="729"/>
      <c r="D22" s="733"/>
      <c r="E22" s="729"/>
      <c r="F22" s="740">
        <f>F15-SUM(F18:F20)</f>
        <v>0</v>
      </c>
      <c r="G22" s="766"/>
      <c r="H22" s="1859"/>
    </row>
    <row r="23" spans="1:8" s="636" customFormat="1" ht="13.5" customHeight="1" x14ac:dyDescent="0.2">
      <c r="A23" s="731"/>
      <c r="B23" s="651"/>
      <c r="C23" s="729"/>
      <c r="D23" s="733"/>
      <c r="E23" s="729"/>
      <c r="F23" s="732"/>
      <c r="G23" s="766"/>
      <c r="H23" s="1860"/>
    </row>
    <row r="24" spans="1:8" s="636" customFormat="1" ht="13.5" customHeight="1" x14ac:dyDescent="0.2">
      <c r="A24" s="741"/>
      <c r="B24" s="742"/>
      <c r="C24" s="743"/>
      <c r="D24" s="744"/>
      <c r="E24" s="743"/>
      <c r="F24" s="732"/>
      <c r="G24" s="766"/>
      <c r="H24" s="1860"/>
    </row>
    <row r="25" spans="1:8" s="636" customFormat="1" ht="13.5" customHeight="1" x14ac:dyDescent="0.2">
      <c r="A25" s="745" t="s">
        <v>243</v>
      </c>
      <c r="B25" s="746"/>
      <c r="C25" s="747"/>
      <c r="D25" s="748"/>
      <c r="E25" s="749"/>
      <c r="F25" s="750"/>
      <c r="G25" s="766"/>
      <c r="H25" s="1860"/>
    </row>
    <row r="26" spans="1:8" s="636" customFormat="1" ht="13.5" customHeight="1" x14ac:dyDescent="0.2">
      <c r="A26" s="751" t="s">
        <v>1044</v>
      </c>
      <c r="B26" s="752"/>
      <c r="C26" s="752"/>
      <c r="D26" s="753"/>
      <c r="E26" s="752"/>
      <c r="F26" s="651"/>
      <c r="G26" s="766"/>
      <c r="H26" s="1860"/>
    </row>
    <row r="27" spans="1:8" s="636" customFormat="1" ht="13.5" customHeight="1" x14ac:dyDescent="0.2">
      <c r="A27" s="754" t="s">
        <v>277</v>
      </c>
      <c r="B27" s="651"/>
      <c r="C27" s="651"/>
      <c r="D27" s="654"/>
      <c r="E27" s="651"/>
      <c r="F27" s="1560"/>
      <c r="G27" s="1799"/>
      <c r="H27" s="1860"/>
    </row>
    <row r="28" spans="1:8" s="636" customFormat="1" ht="13.5" customHeight="1" x14ac:dyDescent="0.2">
      <c r="A28" s="2172" t="s">
        <v>1045</v>
      </c>
      <c r="B28" s="651"/>
      <c r="C28" s="651"/>
      <c r="D28" s="654"/>
      <c r="E28" s="651"/>
      <c r="F28" s="1560"/>
      <c r="G28" s="1799"/>
      <c r="H28" s="1860"/>
    </row>
    <row r="29" spans="1:8" s="636" customFormat="1" ht="13.5" customHeight="1" x14ac:dyDescent="0.2">
      <c r="A29" s="754" t="s">
        <v>228</v>
      </c>
      <c r="B29" s="651"/>
      <c r="C29" s="651"/>
      <c r="D29" s="654"/>
      <c r="E29" s="651"/>
      <c r="F29" s="1560"/>
      <c r="G29" s="1799"/>
      <c r="H29" s="1860"/>
    </row>
    <row r="30" spans="1:8" s="636" customFormat="1" ht="13.5" customHeight="1" x14ac:dyDescent="0.2">
      <c r="A30" s="754" t="s">
        <v>90</v>
      </c>
      <c r="B30" s="651"/>
      <c r="C30" s="651"/>
      <c r="D30" s="654"/>
      <c r="E30" s="651"/>
      <c r="F30" s="1560"/>
      <c r="G30" s="766"/>
      <c r="H30" s="1860"/>
    </row>
    <row r="31" spans="1:8" s="636" customFormat="1" ht="13.5" customHeight="1" x14ac:dyDescent="0.2">
      <c r="A31" s="754" t="s">
        <v>3</v>
      </c>
      <c r="B31" s="651"/>
      <c r="C31" s="651"/>
      <c r="D31" s="651"/>
      <c r="E31" s="651"/>
      <c r="F31" s="1560"/>
      <c r="G31" s="769"/>
      <c r="H31" s="1860"/>
    </row>
    <row r="32" spans="1:8" s="636" customFormat="1" ht="13.5" customHeight="1" x14ac:dyDescent="0.2">
      <c r="A32" s="754"/>
      <c r="B32" s="651"/>
      <c r="C32" s="651"/>
      <c r="D32" s="654"/>
      <c r="E32" s="651"/>
      <c r="F32" s="1560"/>
      <c r="G32" s="770"/>
      <c r="H32" s="1860"/>
    </row>
    <row r="33" spans="1:8" s="636" customFormat="1" ht="13.5" customHeight="1" x14ac:dyDescent="0.2">
      <c r="A33" s="754"/>
      <c r="B33" s="651"/>
      <c r="C33" s="651"/>
      <c r="D33" s="654"/>
      <c r="E33" s="651"/>
      <c r="F33" s="752"/>
      <c r="G33" s="770"/>
      <c r="H33" s="1860"/>
    </row>
    <row r="34" spans="1:8" s="636" customFormat="1" ht="13.5" customHeight="1" x14ac:dyDescent="0.2">
      <c r="A34" s="754"/>
      <c r="B34" s="651"/>
      <c r="C34" s="651"/>
      <c r="D34" s="654"/>
      <c r="E34" s="651"/>
      <c r="F34" s="752"/>
      <c r="G34" s="770"/>
      <c r="H34" s="1860"/>
    </row>
    <row r="35" spans="1:8" s="636" customFormat="1" ht="13.5" customHeight="1" x14ac:dyDescent="0.2">
      <c r="A35" s="755" t="s">
        <v>278</v>
      </c>
      <c r="B35" s="651"/>
      <c r="C35" s="651"/>
      <c r="D35" s="654"/>
      <c r="E35" s="651"/>
      <c r="F35" s="1560"/>
      <c r="G35" s="766"/>
      <c r="H35" s="1860"/>
    </row>
    <row r="36" spans="1:8" s="636" customFormat="1" ht="13.5" customHeight="1" x14ac:dyDescent="0.2">
      <c r="A36" s="754" t="s">
        <v>279</v>
      </c>
      <c r="B36" s="651"/>
      <c r="C36" s="651"/>
      <c r="D36" s="654"/>
      <c r="E36" s="651"/>
      <c r="F36" s="1560"/>
      <c r="G36" s="766"/>
      <c r="H36" s="1860"/>
    </row>
    <row r="37" spans="1:8" s="636" customFormat="1" ht="13.5" customHeight="1" x14ac:dyDescent="0.2">
      <c r="A37" s="754" t="s">
        <v>1046</v>
      </c>
      <c r="B37" s="651"/>
      <c r="C37" s="651"/>
      <c r="D37" s="654"/>
      <c r="E37" s="651"/>
      <c r="F37" s="1560"/>
      <c r="G37" s="766"/>
      <c r="H37" s="1860"/>
    </row>
    <row r="38" spans="1:8" s="636" customFormat="1" ht="13.5" customHeight="1" x14ac:dyDescent="0.2">
      <c r="A38" s="754" t="s">
        <v>90</v>
      </c>
      <c r="B38" s="651"/>
      <c r="C38" s="651"/>
      <c r="D38" s="654"/>
      <c r="E38" s="651"/>
      <c r="F38" s="1560"/>
      <c r="G38" s="1799"/>
      <c r="H38" s="1860"/>
    </row>
    <row r="39" spans="1:8" s="636" customFormat="1" ht="13.5" customHeight="1" x14ac:dyDescent="0.2">
      <c r="A39" s="754" t="s">
        <v>1047</v>
      </c>
      <c r="B39" s="651"/>
      <c r="C39" s="652"/>
      <c r="D39" s="654"/>
      <c r="E39" s="651"/>
      <c r="F39" s="1558"/>
      <c r="G39" s="771"/>
      <c r="H39" s="1860"/>
    </row>
    <row r="40" spans="1:8" s="636" customFormat="1" ht="13.5" customHeight="1" x14ac:dyDescent="0.2">
      <c r="A40" s="754" t="s">
        <v>3</v>
      </c>
      <c r="B40" s="651"/>
      <c r="C40" s="651"/>
      <c r="D40" s="654"/>
      <c r="E40" s="654"/>
      <c r="F40" s="1558"/>
      <c r="G40" s="771"/>
      <c r="H40" s="1860"/>
    </row>
    <row r="41" spans="1:8" s="636" customFormat="1" ht="13.5" customHeight="1" x14ac:dyDescent="0.2">
      <c r="A41" s="754"/>
      <c r="B41" s="652"/>
      <c r="C41" s="651"/>
      <c r="D41" s="654"/>
      <c r="E41" s="752"/>
      <c r="F41" s="1558"/>
      <c r="G41" s="771"/>
      <c r="H41" s="1860"/>
    </row>
    <row r="42" spans="1:8" s="636" customFormat="1" ht="13.5" customHeight="1" x14ac:dyDescent="0.2">
      <c r="A42" s="728"/>
      <c r="B42" s="651"/>
      <c r="C42" s="651"/>
      <c r="D42" s="653"/>
      <c r="E42" s="651"/>
      <c r="F42" s="1558"/>
      <c r="G42" s="771"/>
      <c r="H42" s="1860"/>
    </row>
    <row r="43" spans="1:8" s="636" customFormat="1" ht="13.5" customHeight="1" x14ac:dyDescent="0.2">
      <c r="A43" s="728"/>
      <c r="B43" s="652"/>
      <c r="C43" s="652"/>
      <c r="D43" s="653"/>
      <c r="E43" s="651"/>
      <c r="F43" s="756"/>
      <c r="G43" s="771"/>
      <c r="H43" s="1860"/>
    </row>
    <row r="44" spans="1:8" s="636" customFormat="1" ht="13.5" customHeight="1" x14ac:dyDescent="0.2">
      <c r="A44" s="728"/>
      <c r="B44" s="651"/>
      <c r="C44" s="652"/>
      <c r="D44" s="653"/>
      <c r="E44" s="651"/>
      <c r="F44" s="756"/>
      <c r="G44" s="771"/>
      <c r="H44" s="1860"/>
    </row>
    <row r="45" spans="1:8" s="636" customFormat="1" ht="13.5" customHeight="1" x14ac:dyDescent="0.2">
      <c r="A45" s="728"/>
      <c r="B45" s="652"/>
      <c r="C45" s="652"/>
      <c r="D45" s="653"/>
      <c r="E45" s="651"/>
      <c r="F45" s="756"/>
      <c r="G45" s="771"/>
      <c r="H45" s="1860"/>
    </row>
    <row r="46" spans="1:8" s="636" customFormat="1" ht="13.5" customHeight="1" thickBot="1" x14ac:dyDescent="0.25">
      <c r="A46" s="728"/>
      <c r="B46" s="651"/>
      <c r="C46" s="651"/>
      <c r="D46" s="653"/>
      <c r="E46" s="653"/>
      <c r="F46" s="757">
        <f>F22-SUM(F26:F42)</f>
        <v>0</v>
      </c>
      <c r="G46" s="771"/>
      <c r="H46" s="1860"/>
    </row>
    <row r="47" spans="1:8" s="636" customFormat="1" ht="13.5" customHeight="1" thickTop="1" x14ac:dyDescent="0.2">
      <c r="A47" s="731"/>
      <c r="B47" s="652"/>
      <c r="C47" s="651"/>
      <c r="D47" s="758"/>
      <c r="E47" s="758"/>
      <c r="F47" s="759"/>
      <c r="G47" s="772"/>
      <c r="H47" s="1860"/>
    </row>
    <row r="48" spans="1:8" s="636" customFormat="1" ht="13.5" customHeight="1" x14ac:dyDescent="0.2">
      <c r="A48" s="731"/>
      <c r="B48" s="651"/>
      <c r="C48" s="651"/>
      <c r="D48" s="758"/>
      <c r="E48" s="758"/>
      <c r="F48" s="759"/>
      <c r="G48" s="772"/>
      <c r="H48" s="1860"/>
    </row>
    <row r="49" spans="1:8" s="636" customFormat="1" ht="13.5" customHeight="1" x14ac:dyDescent="0.2">
      <c r="A49" s="731"/>
      <c r="B49" s="652"/>
      <c r="C49" s="651"/>
      <c r="D49" s="758"/>
      <c r="E49" s="733"/>
      <c r="F49" s="759"/>
      <c r="G49" s="772"/>
      <c r="H49" s="1860"/>
    </row>
    <row r="50" spans="1:8" s="636" customFormat="1" ht="13.5" customHeight="1" x14ac:dyDescent="0.2">
      <c r="A50" s="731"/>
      <c r="B50" s="651"/>
      <c r="C50" s="651"/>
      <c r="D50" s="758"/>
      <c r="E50" s="758"/>
      <c r="F50" s="759"/>
      <c r="G50" s="767"/>
      <c r="H50" s="1860"/>
    </row>
    <row r="51" spans="1:8" s="636" customFormat="1" ht="13.5" customHeight="1" x14ac:dyDescent="0.2">
      <c r="A51" s="760"/>
      <c r="B51" s="651"/>
      <c r="C51" s="651"/>
      <c r="D51" s="758"/>
      <c r="E51" s="758"/>
      <c r="F51" s="759"/>
      <c r="G51" s="772"/>
      <c r="H51" s="1860"/>
    </row>
    <row r="52" spans="1:8" s="636" customFormat="1" ht="13.5" customHeight="1" x14ac:dyDescent="0.2">
      <c r="A52" s="731"/>
      <c r="B52" s="651"/>
      <c r="C52" s="651"/>
      <c r="D52" s="729"/>
      <c r="E52" s="758"/>
      <c r="F52" s="759"/>
      <c r="G52" s="767"/>
      <c r="H52" s="1859"/>
    </row>
    <row r="53" spans="1:8" s="636" customFormat="1" ht="13.5" customHeight="1" x14ac:dyDescent="0.2">
      <c r="A53" s="731"/>
      <c r="B53" s="652"/>
      <c r="C53" s="651"/>
      <c r="D53" s="729"/>
      <c r="E53" s="729"/>
      <c r="F53" s="756"/>
      <c r="G53" s="767"/>
      <c r="H53" s="1859"/>
    </row>
    <row r="54" spans="1:8" s="636" customFormat="1" ht="13.5" customHeight="1" x14ac:dyDescent="0.2">
      <c r="A54" s="731"/>
      <c r="B54" s="652"/>
      <c r="C54" s="651"/>
      <c r="D54" s="729"/>
      <c r="E54" s="729"/>
      <c r="F54" s="756"/>
      <c r="G54" s="767"/>
      <c r="H54" s="1859"/>
    </row>
    <row r="55" spans="1:8" s="636" customFormat="1" ht="13.5" customHeight="1" x14ac:dyDescent="0.2">
      <c r="A55" s="731"/>
      <c r="B55" s="761"/>
      <c r="C55" s="651"/>
      <c r="D55" s="729"/>
      <c r="E55" s="729"/>
      <c r="F55" s="756"/>
      <c r="G55" s="767"/>
      <c r="H55" s="1859"/>
    </row>
    <row r="56" spans="1:8" s="636" customFormat="1" ht="13.5" customHeight="1" x14ac:dyDescent="0.2">
      <c r="A56" s="731"/>
      <c r="B56" s="729"/>
      <c r="C56" s="651"/>
      <c r="D56" s="729"/>
      <c r="E56" s="729"/>
      <c r="F56" s="762"/>
      <c r="G56" s="767"/>
      <c r="H56" s="1859"/>
    </row>
    <row r="57" spans="1:8" s="636" customFormat="1" ht="13.5" customHeight="1" x14ac:dyDescent="0.2">
      <c r="A57" s="731"/>
      <c r="B57" s="729"/>
      <c r="C57" s="651"/>
      <c r="D57" s="729"/>
      <c r="E57" s="729"/>
      <c r="F57" s="759"/>
      <c r="G57" s="767"/>
      <c r="H57" s="1859"/>
    </row>
    <row r="58" spans="1:8" s="636" customFormat="1" ht="13.5" customHeight="1" x14ac:dyDescent="0.2">
      <c r="A58" s="731"/>
      <c r="B58" s="729"/>
      <c r="C58" s="651"/>
      <c r="D58" s="729"/>
      <c r="E58" s="729"/>
      <c r="F58" s="759"/>
      <c r="G58" s="767"/>
      <c r="H58" s="1859"/>
    </row>
    <row r="59" spans="1:8" s="636" customFormat="1" ht="13.5" customHeight="1" x14ac:dyDescent="0.2">
      <c r="A59" s="731"/>
      <c r="B59" s="729"/>
      <c r="C59" s="651"/>
      <c r="D59" s="729"/>
      <c r="E59" s="729"/>
      <c r="F59" s="759"/>
      <c r="G59" s="767"/>
      <c r="H59" s="1859"/>
    </row>
    <row r="60" spans="1:8" s="636" customFormat="1" ht="13.5" customHeight="1" x14ac:dyDescent="0.2">
      <c r="A60" s="731"/>
      <c r="B60" s="729"/>
      <c r="C60" s="651"/>
      <c r="D60" s="729"/>
      <c r="E60" s="729"/>
      <c r="F60" s="759"/>
      <c r="G60" s="767"/>
      <c r="H60" s="1859"/>
    </row>
    <row r="61" spans="1:8" s="636" customFormat="1" ht="13.5" customHeight="1" x14ac:dyDescent="0.2">
      <c r="A61" s="763"/>
      <c r="B61" s="777"/>
      <c r="C61" s="778"/>
      <c r="D61" s="777"/>
      <c r="E61" s="777"/>
      <c r="F61" s="779"/>
      <c r="G61" s="780"/>
      <c r="H61" s="1861"/>
    </row>
  </sheetData>
  <mergeCells count="1">
    <mergeCell ref="A2:C2"/>
  </mergeCells>
  <hyperlinks>
    <hyperlink ref="A2" location="'Index and Structure'!A1" display="The Macro Group" xr:uid="{00000000-0004-0000-1700-000000000000}"/>
  </hyperlinks>
  <pageMargins left="0.74803149606299213" right="0.39370078740157483" top="0.55118110236220474" bottom="0.62992125984251968" header="0.51181102362204722" footer="0.47244094488188981"/>
  <pageSetup paperSize="9" scale="81" orientation="portrait" r:id="rId1"/>
  <headerFooter alignWithMargins="0">
    <oddFooter>&amp;LPrinted:&amp;T on &amp;D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1">
    <tabColor rgb="FF92D050"/>
  </sheetPr>
  <dimension ref="A1:H50"/>
  <sheetViews>
    <sheetView workbookViewId="0">
      <selection activeCell="C25" sqref="C25"/>
    </sheetView>
  </sheetViews>
  <sheetFormatPr defaultColWidth="9.140625" defaultRowHeight="12.75" x14ac:dyDescent="0.2"/>
  <cols>
    <col min="1" max="1" width="11" style="1772" bestFit="1" customWidth="1"/>
    <col min="2" max="2" width="75.85546875" style="2148" customWidth="1"/>
    <col min="3" max="3" width="21" style="1772" customWidth="1"/>
    <col min="4" max="4" width="20.5703125" style="1772" customWidth="1"/>
    <col min="5" max="5" width="9.85546875" style="1772" bestFit="1" customWidth="1"/>
    <col min="6" max="6" width="15.140625" style="1772" bestFit="1" customWidth="1"/>
    <col min="7" max="7" width="6.5703125" style="1772" bestFit="1" customWidth="1"/>
    <col min="8" max="8" width="9.85546875" style="1772" bestFit="1" customWidth="1"/>
    <col min="9" max="16384" width="9.140625" style="1772"/>
  </cols>
  <sheetData>
    <row r="1" spans="1:8" ht="13.5" thickBot="1" x14ac:dyDescent="0.25"/>
    <row r="2" spans="1:8" ht="19.5" thickBot="1" x14ac:dyDescent="0.35">
      <c r="A2" s="2269" t="s">
        <v>44</v>
      </c>
      <c r="B2" s="2301"/>
      <c r="C2" s="2270"/>
      <c r="D2" s="1773"/>
      <c r="E2" s="1773"/>
      <c r="F2" s="1773"/>
      <c r="G2" s="1773"/>
      <c r="H2" s="1774"/>
    </row>
    <row r="3" spans="1:8" x14ac:dyDescent="0.2">
      <c r="A3" s="1775"/>
      <c r="D3" s="1776"/>
    </row>
    <row r="4" spans="1:8" x14ac:dyDescent="0.2">
      <c r="A4" s="1777" t="s">
        <v>713</v>
      </c>
      <c r="B4" s="2149" t="str">
        <f>'Index and Structure'!B5</f>
        <v>NICO0024</v>
      </c>
      <c r="C4" s="1779"/>
      <c r="D4" s="1780"/>
      <c r="E4" s="1781" t="s">
        <v>37</v>
      </c>
      <c r="F4" s="1778" t="str">
        <f>'Index and Structure'!B2</f>
        <v>Nicolo Superannuation fund</v>
      </c>
      <c r="G4" s="1782"/>
      <c r="H4" s="1783"/>
    </row>
    <row r="5" spans="1:8" x14ac:dyDescent="0.2">
      <c r="A5" s="1784" t="s">
        <v>45</v>
      </c>
      <c r="B5" s="2150" t="s">
        <v>714</v>
      </c>
      <c r="C5" s="1785"/>
      <c r="D5" s="1776"/>
      <c r="E5" s="1786" t="s">
        <v>41</v>
      </c>
      <c r="F5" s="1797" t="str">
        <f>'Index and Structure'!B6</f>
        <v>Liam Aubin</v>
      </c>
      <c r="G5" s="1776" t="s">
        <v>42</v>
      </c>
      <c r="H5" s="1787"/>
    </row>
    <row r="6" spans="1:8" x14ac:dyDescent="0.2">
      <c r="A6" s="1788" t="s">
        <v>46</v>
      </c>
      <c r="B6" s="2151" t="str">
        <f>'Index and Structure'!B4</f>
        <v>30 June 2022</v>
      </c>
      <c r="C6" s="1789"/>
      <c r="D6" s="1776"/>
      <c r="E6" s="1790" t="s">
        <v>43</v>
      </c>
      <c r="F6" s="1798" t="str">
        <f>'Index and Structure'!B7</f>
        <v>Nicole Bryant</v>
      </c>
      <c r="G6" s="1791" t="s">
        <v>42</v>
      </c>
      <c r="H6" s="1792"/>
    </row>
    <row r="8" spans="1:8" ht="15.75" customHeight="1" x14ac:dyDescent="0.2">
      <c r="A8" s="2302" t="s">
        <v>50</v>
      </c>
      <c r="B8" s="2304" t="s">
        <v>714</v>
      </c>
      <c r="C8" s="2306" t="s">
        <v>715</v>
      </c>
      <c r="D8" s="2308" t="s">
        <v>716</v>
      </c>
      <c r="E8" s="2308"/>
      <c r="F8" s="2308"/>
      <c r="G8" s="2308"/>
      <c r="H8" s="2309"/>
    </row>
    <row r="9" spans="1:8" ht="15.75" customHeight="1" x14ac:dyDescent="0.2">
      <c r="A9" s="2303"/>
      <c r="B9" s="2305"/>
      <c r="C9" s="2307"/>
      <c r="D9" s="2310"/>
      <c r="E9" s="2310"/>
      <c r="F9" s="2310"/>
      <c r="G9" s="2310"/>
      <c r="H9" s="2311"/>
    </row>
    <row r="10" spans="1:8" x14ac:dyDescent="0.2">
      <c r="A10" s="1793"/>
      <c r="C10" s="1794"/>
      <c r="D10" s="2312"/>
      <c r="E10" s="2313"/>
      <c r="F10" s="2313"/>
      <c r="G10" s="2313"/>
      <c r="H10" s="2314"/>
    </row>
    <row r="11" spans="1:8" ht="25.5" x14ac:dyDescent="0.2">
      <c r="A11" s="1793"/>
      <c r="B11" s="2152" t="s">
        <v>1069</v>
      </c>
      <c r="C11" s="1794"/>
      <c r="D11" s="2298"/>
      <c r="E11" s="2299"/>
      <c r="F11" s="2299"/>
      <c r="G11" s="2299"/>
      <c r="H11" s="2300"/>
    </row>
    <row r="12" spans="1:8" x14ac:dyDescent="0.2">
      <c r="A12" s="1793"/>
      <c r="B12" s="2152"/>
      <c r="C12" s="1794"/>
      <c r="D12" s="2298"/>
      <c r="E12" s="2299"/>
      <c r="F12" s="2299"/>
      <c r="G12" s="2299"/>
      <c r="H12" s="2300"/>
    </row>
    <row r="13" spans="1:8" x14ac:dyDescent="0.2">
      <c r="A13" s="1793"/>
      <c r="B13" s="2152" t="s">
        <v>1070</v>
      </c>
      <c r="C13" s="1794"/>
      <c r="D13" s="2298"/>
      <c r="E13" s="2299"/>
      <c r="F13" s="2299"/>
      <c r="G13" s="2299"/>
      <c r="H13" s="2300"/>
    </row>
    <row r="14" spans="1:8" x14ac:dyDescent="0.2">
      <c r="A14" s="1793"/>
      <c r="B14" s="2152"/>
      <c r="C14" s="1794"/>
      <c r="D14" s="2298"/>
      <c r="E14" s="2299"/>
      <c r="F14" s="2299"/>
      <c r="G14" s="2299"/>
      <c r="H14" s="2300"/>
    </row>
    <row r="15" spans="1:8" x14ac:dyDescent="0.2">
      <c r="A15" s="1793"/>
      <c r="B15" s="2152"/>
      <c r="C15" s="1794"/>
      <c r="D15" s="2298"/>
      <c r="E15" s="2299"/>
      <c r="F15" s="2299"/>
      <c r="G15" s="2299"/>
      <c r="H15" s="2300"/>
    </row>
    <row r="16" spans="1:8" x14ac:dyDescent="0.2">
      <c r="A16" s="1793"/>
      <c r="B16" s="2152"/>
      <c r="C16" s="1794"/>
      <c r="D16" s="2298"/>
      <c r="E16" s="2299"/>
      <c r="F16" s="2299"/>
      <c r="G16" s="2299"/>
      <c r="H16" s="2300"/>
    </row>
    <row r="17" spans="1:8" x14ac:dyDescent="0.2">
      <c r="A17" s="1793"/>
      <c r="B17" s="2249" t="s">
        <v>1084</v>
      </c>
      <c r="C17" s="1794"/>
      <c r="D17" s="2298"/>
      <c r="E17" s="2299"/>
      <c r="F17" s="2299"/>
      <c r="G17" s="2299"/>
      <c r="H17" s="2300"/>
    </row>
    <row r="18" spans="1:8" x14ac:dyDescent="0.2">
      <c r="A18" s="1793"/>
      <c r="B18" s="2152"/>
      <c r="C18" s="1794"/>
      <c r="D18" s="2298"/>
      <c r="E18" s="2299"/>
      <c r="F18" s="2299"/>
      <c r="G18" s="2299"/>
      <c r="H18" s="2300"/>
    </row>
    <row r="19" spans="1:8" ht="63.75" x14ac:dyDescent="0.2">
      <c r="A19" s="1793"/>
      <c r="B19" s="2152" t="s">
        <v>1085</v>
      </c>
      <c r="C19" s="2250" t="s">
        <v>1086</v>
      </c>
      <c r="D19" s="2298"/>
      <c r="E19" s="2299"/>
      <c r="F19" s="2299"/>
      <c r="G19" s="2299"/>
      <c r="H19" s="2300"/>
    </row>
    <row r="20" spans="1:8" x14ac:dyDescent="0.2">
      <c r="A20" s="1793"/>
      <c r="B20" s="2152"/>
      <c r="C20" s="1794"/>
      <c r="D20" s="2298"/>
      <c r="E20" s="2299"/>
      <c r="F20" s="2299"/>
      <c r="G20" s="2299"/>
      <c r="H20" s="2300"/>
    </row>
    <row r="21" spans="1:8" x14ac:dyDescent="0.2">
      <c r="A21" s="1793"/>
      <c r="B21" s="2152"/>
      <c r="C21" s="1794"/>
      <c r="D21" s="2298"/>
      <c r="E21" s="2299"/>
      <c r="F21" s="2299"/>
      <c r="G21" s="2299"/>
      <c r="H21" s="2300"/>
    </row>
    <row r="22" spans="1:8" x14ac:dyDescent="0.2">
      <c r="A22" s="1793"/>
      <c r="B22" s="2152"/>
      <c r="C22" s="1794"/>
      <c r="D22" s="2298"/>
      <c r="E22" s="2299"/>
      <c r="F22" s="2299"/>
      <c r="G22" s="2299"/>
      <c r="H22" s="2300"/>
    </row>
    <row r="23" spans="1:8" x14ac:dyDescent="0.2">
      <c r="A23" s="1793"/>
      <c r="B23" s="2152"/>
      <c r="C23" s="1794"/>
      <c r="D23" s="2298"/>
      <c r="E23" s="2299"/>
      <c r="F23" s="2299"/>
      <c r="G23" s="2299"/>
      <c r="H23" s="2300"/>
    </row>
    <row r="24" spans="1:8" x14ac:dyDescent="0.2">
      <c r="A24" s="1793"/>
      <c r="B24" s="2152"/>
      <c r="C24" s="1794"/>
      <c r="D24" s="2298"/>
      <c r="E24" s="2299"/>
      <c r="F24" s="2299"/>
      <c r="G24" s="2299"/>
      <c r="H24" s="2300"/>
    </row>
    <row r="25" spans="1:8" x14ac:dyDescent="0.2">
      <c r="A25" s="1793"/>
      <c r="B25" s="2152"/>
      <c r="C25" s="1794"/>
      <c r="D25" s="2298"/>
      <c r="E25" s="2299"/>
      <c r="F25" s="2299"/>
      <c r="G25" s="2299"/>
      <c r="H25" s="2300"/>
    </row>
    <row r="26" spans="1:8" x14ac:dyDescent="0.2">
      <c r="A26" s="1793"/>
      <c r="B26" s="2152"/>
      <c r="C26" s="1794"/>
      <c r="D26" s="2298"/>
      <c r="E26" s="2299"/>
      <c r="F26" s="2299"/>
      <c r="G26" s="2299"/>
      <c r="H26" s="2300"/>
    </row>
    <row r="27" spans="1:8" x14ac:dyDescent="0.2">
      <c r="A27" s="1793"/>
      <c r="B27" s="2152"/>
      <c r="C27" s="1794"/>
      <c r="D27" s="2298"/>
      <c r="E27" s="2299"/>
      <c r="F27" s="2299"/>
      <c r="G27" s="2299"/>
      <c r="H27" s="2300"/>
    </row>
    <row r="28" spans="1:8" x14ac:dyDescent="0.2">
      <c r="A28" s="1793"/>
      <c r="C28" s="1794"/>
      <c r="D28" s="2298"/>
      <c r="E28" s="2299"/>
      <c r="F28" s="2299"/>
      <c r="G28" s="2299"/>
      <c r="H28" s="2300"/>
    </row>
    <row r="29" spans="1:8" x14ac:dyDescent="0.2">
      <c r="A29" s="1793"/>
      <c r="B29" s="2152"/>
      <c r="C29" s="1794"/>
      <c r="D29" s="2298"/>
      <c r="E29" s="2299"/>
      <c r="F29" s="2299"/>
      <c r="G29" s="2299"/>
      <c r="H29" s="2300"/>
    </row>
    <row r="30" spans="1:8" x14ac:dyDescent="0.2">
      <c r="A30" s="1793"/>
      <c r="C30" s="1794"/>
      <c r="D30" s="2298"/>
      <c r="E30" s="2299"/>
      <c r="F30" s="2299"/>
      <c r="G30" s="2299"/>
      <c r="H30" s="2300"/>
    </row>
    <row r="31" spans="1:8" x14ac:dyDescent="0.2">
      <c r="A31" s="1793"/>
      <c r="B31" s="2152"/>
      <c r="C31" s="1794"/>
      <c r="D31" s="2298"/>
      <c r="E31" s="2299"/>
      <c r="F31" s="2299"/>
      <c r="G31" s="2299"/>
      <c r="H31" s="2300"/>
    </row>
    <row r="32" spans="1:8" x14ac:dyDescent="0.2">
      <c r="A32" s="1793"/>
      <c r="C32" s="1794"/>
      <c r="D32" s="2298"/>
      <c r="E32" s="2299"/>
      <c r="F32" s="2299"/>
      <c r="G32" s="2299"/>
      <c r="H32" s="2300"/>
    </row>
    <row r="33" spans="1:8" x14ac:dyDescent="0.2">
      <c r="A33" s="1793"/>
      <c r="B33" s="2152"/>
      <c r="C33" s="1794"/>
      <c r="D33" s="2298"/>
      <c r="E33" s="2299"/>
      <c r="F33" s="2299"/>
      <c r="G33" s="2299"/>
      <c r="H33" s="2300"/>
    </row>
    <row r="34" spans="1:8" x14ac:dyDescent="0.2">
      <c r="A34" s="1793"/>
      <c r="C34" s="1794"/>
      <c r="D34" s="2298"/>
      <c r="E34" s="2299"/>
      <c r="F34" s="2299"/>
      <c r="G34" s="2299"/>
      <c r="H34" s="2300"/>
    </row>
    <row r="35" spans="1:8" x14ac:dyDescent="0.2">
      <c r="A35" s="1793"/>
      <c r="B35" s="2152"/>
      <c r="C35" s="1794"/>
      <c r="D35" s="2298"/>
      <c r="E35" s="2299"/>
      <c r="F35" s="2299"/>
      <c r="G35" s="2299"/>
      <c r="H35" s="2300"/>
    </row>
    <row r="36" spans="1:8" x14ac:dyDescent="0.2">
      <c r="A36" s="1793"/>
      <c r="C36" s="1794"/>
      <c r="D36" s="2298"/>
      <c r="E36" s="2299"/>
      <c r="F36" s="2299"/>
      <c r="G36" s="2299"/>
      <c r="H36" s="2300"/>
    </row>
    <row r="37" spans="1:8" x14ac:dyDescent="0.2">
      <c r="A37" s="1793"/>
      <c r="B37" s="2152"/>
      <c r="C37" s="1794"/>
      <c r="D37" s="2298"/>
      <c r="E37" s="2299"/>
      <c r="F37" s="2299"/>
      <c r="G37" s="2299"/>
      <c r="H37" s="2300"/>
    </row>
    <row r="38" spans="1:8" x14ac:dyDescent="0.2">
      <c r="A38" s="1793"/>
      <c r="C38" s="1794"/>
      <c r="D38" s="2298"/>
      <c r="E38" s="2299"/>
      <c r="F38" s="2299"/>
      <c r="G38" s="2299"/>
      <c r="H38" s="2300"/>
    </row>
    <row r="39" spans="1:8" x14ac:dyDescent="0.2">
      <c r="A39" s="1793"/>
      <c r="C39" s="1794"/>
      <c r="D39" s="2298"/>
      <c r="E39" s="2299"/>
      <c r="F39" s="2299"/>
      <c r="G39" s="2299"/>
      <c r="H39" s="2300"/>
    </row>
    <row r="40" spans="1:8" x14ac:dyDescent="0.2">
      <c r="A40" s="1793"/>
      <c r="C40" s="1794"/>
      <c r="D40" s="2298"/>
      <c r="E40" s="2299"/>
      <c r="F40" s="2299"/>
      <c r="G40" s="2299"/>
      <c r="H40" s="2300"/>
    </row>
    <row r="41" spans="1:8" x14ac:dyDescent="0.2">
      <c r="A41" s="1793"/>
      <c r="C41" s="1794"/>
      <c r="D41" s="2298"/>
      <c r="E41" s="2299"/>
      <c r="F41" s="2299"/>
      <c r="G41" s="2299"/>
      <c r="H41" s="2300"/>
    </row>
    <row r="42" spans="1:8" x14ac:dyDescent="0.2">
      <c r="A42" s="1793"/>
      <c r="C42" s="1794"/>
      <c r="D42" s="2298"/>
      <c r="E42" s="2299"/>
      <c r="F42" s="2299"/>
      <c r="G42" s="2299"/>
      <c r="H42" s="2300"/>
    </row>
    <row r="43" spans="1:8" x14ac:dyDescent="0.2">
      <c r="A43" s="1793"/>
      <c r="C43" s="1794"/>
      <c r="D43" s="2298"/>
      <c r="E43" s="2299"/>
      <c r="F43" s="2299"/>
      <c r="G43" s="2299"/>
      <c r="H43" s="2300"/>
    </row>
    <row r="44" spans="1:8" x14ac:dyDescent="0.2">
      <c r="A44" s="1793"/>
      <c r="C44" s="1794"/>
      <c r="D44" s="2298"/>
      <c r="E44" s="2299"/>
      <c r="F44" s="2299"/>
      <c r="G44" s="2299"/>
      <c r="H44" s="2300"/>
    </row>
    <row r="45" spans="1:8" x14ac:dyDescent="0.2">
      <c r="A45" s="1793"/>
      <c r="C45" s="1794"/>
      <c r="D45" s="2298"/>
      <c r="E45" s="2299"/>
      <c r="F45" s="2299"/>
      <c r="G45" s="2299"/>
      <c r="H45" s="2300"/>
    </row>
    <row r="46" spans="1:8" x14ac:dyDescent="0.2">
      <c r="A46" s="1793"/>
      <c r="C46" s="1794"/>
      <c r="D46" s="2298"/>
      <c r="E46" s="2299"/>
      <c r="F46" s="2299"/>
      <c r="G46" s="2299"/>
      <c r="H46" s="2300"/>
    </row>
    <row r="47" spans="1:8" x14ac:dyDescent="0.2">
      <c r="A47" s="1793"/>
      <c r="C47" s="1794"/>
      <c r="D47" s="2298"/>
      <c r="E47" s="2299"/>
      <c r="F47" s="2299"/>
      <c r="G47" s="2299"/>
      <c r="H47" s="2300"/>
    </row>
    <row r="48" spans="1:8" x14ac:dyDescent="0.2">
      <c r="A48" s="1793"/>
      <c r="C48" s="1794"/>
      <c r="D48" s="2298"/>
      <c r="E48" s="2299"/>
      <c r="F48" s="2299"/>
      <c r="G48" s="2299"/>
      <c r="H48" s="2300"/>
    </row>
    <row r="49" spans="1:8" x14ac:dyDescent="0.2">
      <c r="A49" s="1793"/>
      <c r="C49" s="1794"/>
      <c r="D49" s="2298"/>
      <c r="E49" s="2299"/>
      <c r="F49" s="2299"/>
      <c r="G49" s="2299"/>
      <c r="H49" s="2300"/>
    </row>
    <row r="50" spans="1:8" x14ac:dyDescent="0.2">
      <c r="A50" s="1795"/>
      <c r="B50" s="2153"/>
      <c r="C50" s="1796"/>
      <c r="D50" s="2315"/>
      <c r="E50" s="2316"/>
      <c r="F50" s="2316"/>
      <c r="G50" s="2316"/>
      <c r="H50" s="2317"/>
    </row>
  </sheetData>
  <mergeCells count="46">
    <mergeCell ref="D46:H46"/>
    <mergeCell ref="D47:H47"/>
    <mergeCell ref="D48:H48"/>
    <mergeCell ref="D49:H49"/>
    <mergeCell ref="D50:H50"/>
    <mergeCell ref="D45:H45"/>
    <mergeCell ref="D34:H34"/>
    <mergeCell ref="D35:H35"/>
    <mergeCell ref="D36:H36"/>
    <mergeCell ref="D37:H37"/>
    <mergeCell ref="D38:H38"/>
    <mergeCell ref="D39:H39"/>
    <mergeCell ref="D40:H40"/>
    <mergeCell ref="D41:H41"/>
    <mergeCell ref="D42:H42"/>
    <mergeCell ref="D43:H43"/>
    <mergeCell ref="D44:H44"/>
    <mergeCell ref="D20:H20"/>
    <mergeCell ref="D33:H33"/>
    <mergeCell ref="D22:H22"/>
    <mergeCell ref="D23:H23"/>
    <mergeCell ref="D24:H24"/>
    <mergeCell ref="D25:H25"/>
    <mergeCell ref="D26:H26"/>
    <mergeCell ref="D27:H27"/>
    <mergeCell ref="D28:H28"/>
    <mergeCell ref="D29:H29"/>
    <mergeCell ref="D30:H30"/>
    <mergeCell ref="D31:H31"/>
    <mergeCell ref="D32:H32"/>
    <mergeCell ref="D19:H19"/>
    <mergeCell ref="D21:H21"/>
    <mergeCell ref="A2:C2"/>
    <mergeCell ref="A8:A9"/>
    <mergeCell ref="B8:B9"/>
    <mergeCell ref="C8:C9"/>
    <mergeCell ref="D8:H9"/>
    <mergeCell ref="D10:H10"/>
    <mergeCell ref="D11:H11"/>
    <mergeCell ref="D12:H12"/>
    <mergeCell ref="D15:H15"/>
    <mergeCell ref="D16:H16"/>
    <mergeCell ref="D13:H13"/>
    <mergeCell ref="D14:H14"/>
    <mergeCell ref="D18:H18"/>
    <mergeCell ref="D17:H17"/>
  </mergeCells>
  <hyperlinks>
    <hyperlink ref="A2" location="'Index and Structure'!A1" display="The Macro Group" xr:uid="{00000000-0004-0000-1B00-000000000000}"/>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
    <pageSetUpPr fitToPage="1"/>
  </sheetPr>
  <dimension ref="A1:L52"/>
  <sheetViews>
    <sheetView view="pageBreakPreview" topLeftCell="A38" zoomScaleNormal="100" zoomScaleSheetLayoutView="100" workbookViewId="0">
      <selection activeCell="I14" sqref="I14"/>
    </sheetView>
  </sheetViews>
  <sheetFormatPr defaultColWidth="9.140625" defaultRowHeight="15" x14ac:dyDescent="0.25"/>
  <cols>
    <col min="1" max="1" width="21.85546875" style="802" customWidth="1"/>
    <col min="2" max="4" width="14.7109375" style="802" customWidth="1"/>
    <col min="5" max="5" width="14.28515625" style="802" customWidth="1"/>
    <col min="6" max="6" width="16.42578125" style="802" customWidth="1"/>
    <col min="7" max="7" width="15.85546875" style="802" customWidth="1"/>
    <col min="8" max="8" width="18" style="808" customWidth="1"/>
    <col min="9" max="9" width="13.7109375" style="802" customWidth="1"/>
    <col min="10" max="10" width="17.85546875" style="802" customWidth="1"/>
    <col min="11" max="11" width="16.42578125" style="802" customWidth="1"/>
    <col min="12" max="16384" width="9.140625" style="802"/>
  </cols>
  <sheetData>
    <row r="1" spans="1:12" ht="19.5" thickBot="1" x14ac:dyDescent="0.35">
      <c r="A1" s="2336" t="s">
        <v>44</v>
      </c>
      <c r="B1" s="2337"/>
      <c r="K1" s="809" t="s">
        <v>272</v>
      </c>
    </row>
    <row r="4" spans="1:12" x14ac:dyDescent="0.25">
      <c r="A4" s="810" t="s">
        <v>40</v>
      </c>
      <c r="B4" s="811" t="str">
        <f>'Index and Structure'!B2</f>
        <v>Nicolo Superannuation fund</v>
      </c>
      <c r="C4" s="812"/>
      <c r="D4" s="813"/>
      <c r="F4" s="810" t="s">
        <v>38</v>
      </c>
      <c r="G4" s="814" t="str">
        <f>'Index and Structure'!B5</f>
        <v>NICO0024</v>
      </c>
      <c r="H4" s="815"/>
      <c r="I4" s="816"/>
    </row>
    <row r="5" spans="1:12" x14ac:dyDescent="0.25">
      <c r="A5" s="257" t="s">
        <v>45</v>
      </c>
      <c r="B5" s="802" t="str">
        <f>'Index and Structure'!A31</f>
        <v>Capital Gains - Shares</v>
      </c>
      <c r="C5" s="817"/>
      <c r="D5" s="818"/>
      <c r="F5" s="257" t="s">
        <v>41</v>
      </c>
      <c r="G5" s="802" t="str">
        <f>'Index and Structure'!B6</f>
        <v>Liam Aubin</v>
      </c>
      <c r="H5" s="263" t="s">
        <v>42</v>
      </c>
      <c r="I5" s="819">
        <f ca="1">TODAY()</f>
        <v>45044</v>
      </c>
    </row>
    <row r="6" spans="1:12" x14ac:dyDescent="0.25">
      <c r="A6" s="265" t="s">
        <v>46</v>
      </c>
      <c r="B6" s="820" t="str">
        <f>'Index and Structure'!B4</f>
        <v>30 June 2022</v>
      </c>
      <c r="C6" s="820"/>
      <c r="D6" s="821"/>
      <c r="F6" s="265" t="s">
        <v>43</v>
      </c>
      <c r="G6" s="822" t="str">
        <f>'Index and Structure'!B7</f>
        <v>Nicole Bryant</v>
      </c>
      <c r="H6" s="269" t="s">
        <v>42</v>
      </c>
      <c r="I6" s="823"/>
    </row>
    <row r="9" spans="1:12" ht="30" x14ac:dyDescent="0.25">
      <c r="A9" s="782" t="s">
        <v>52</v>
      </c>
      <c r="B9" s="783" t="s">
        <v>280</v>
      </c>
      <c r="C9" s="783" t="s">
        <v>281</v>
      </c>
      <c r="D9" s="784" t="s">
        <v>53</v>
      </c>
      <c r="E9" s="785" t="s">
        <v>54</v>
      </c>
      <c r="F9" s="786" t="s">
        <v>55</v>
      </c>
      <c r="G9" s="786" t="s">
        <v>56</v>
      </c>
      <c r="H9" s="787" t="s">
        <v>57</v>
      </c>
      <c r="I9" s="782" t="s">
        <v>58</v>
      </c>
      <c r="J9" s="782" t="s">
        <v>59</v>
      </c>
      <c r="K9" s="782" t="s">
        <v>61</v>
      </c>
      <c r="L9" s="824"/>
    </row>
    <row r="10" spans="1:12" x14ac:dyDescent="0.25">
      <c r="A10" s="788"/>
      <c r="B10" s="789"/>
      <c r="C10" s="789"/>
      <c r="D10" s="790"/>
      <c r="E10" s="790"/>
      <c r="F10" s="790"/>
      <c r="G10" s="790"/>
      <c r="H10" s="791">
        <f>G10-F10</f>
        <v>0</v>
      </c>
      <c r="I10" s="790">
        <f>IF((AND(C10-B10&gt;365,H10&gt;0)),H10,0)</f>
        <v>0</v>
      </c>
      <c r="J10" s="790">
        <f>IF((AND(C10-B10&lt;365,H10&gt;0)),H10,0)</f>
        <v>0</v>
      </c>
      <c r="K10" s="790">
        <f>IF(H10&lt;0,-H10,0)</f>
        <v>0</v>
      </c>
      <c r="L10" s="806"/>
    </row>
    <row r="11" spans="1:12" x14ac:dyDescent="0.25">
      <c r="A11" s="792"/>
      <c r="B11" s="793"/>
      <c r="C11" s="793"/>
      <c r="D11" s="794"/>
      <c r="E11" s="794"/>
      <c r="F11" s="794"/>
      <c r="G11" s="794"/>
      <c r="H11" s="791">
        <f t="shared" ref="H11:H50" si="0">G11-F11</f>
        <v>0</v>
      </c>
      <c r="I11" s="795">
        <f>IF((AND(C11-B11&gt;365,H11&gt;0)),H11,0)</f>
        <v>0</v>
      </c>
      <c r="J11" s="794">
        <f>IF((AND(C11-B11&lt;365,H11&gt;0)),H11,0)</f>
        <v>0</v>
      </c>
      <c r="K11" s="794">
        <f>IF(H11&lt;0,-H11,0)</f>
        <v>0</v>
      </c>
    </row>
    <row r="12" spans="1:12" x14ac:dyDescent="0.25">
      <c r="A12" s="792"/>
      <c r="B12" s="793"/>
      <c r="C12" s="793"/>
      <c r="D12" s="12"/>
      <c r="E12" s="796"/>
      <c r="F12" s="796"/>
      <c r="G12" s="796"/>
      <c r="H12" s="791">
        <f t="shared" si="0"/>
        <v>0</v>
      </c>
      <c r="I12" s="795">
        <f t="shared" ref="I12:I50" si="1">IF((AND(C12-B12&gt;365,H12&gt;0)),H12,0)</f>
        <v>0</v>
      </c>
      <c r="J12" s="794">
        <f t="shared" ref="J12:J50" si="2">IF((AND(C12-B12&lt;365,H12&gt;0)),H12,0)</f>
        <v>0</v>
      </c>
      <c r="K12" s="794">
        <f t="shared" ref="K12:K50" si="3">IF(H12&lt;0,-H12,0)</f>
        <v>0</v>
      </c>
    </row>
    <row r="13" spans="1:12" x14ac:dyDescent="0.25">
      <c r="A13" s="792"/>
      <c r="B13" s="793"/>
      <c r="C13" s="793"/>
      <c r="D13" s="796"/>
      <c r="E13" s="796"/>
      <c r="F13" s="796"/>
      <c r="G13" s="796"/>
      <c r="H13" s="791">
        <f t="shared" si="0"/>
        <v>0</v>
      </c>
      <c r="I13" s="795">
        <f t="shared" si="1"/>
        <v>0</v>
      </c>
      <c r="J13" s="794">
        <f t="shared" si="2"/>
        <v>0</v>
      </c>
      <c r="K13" s="794">
        <f t="shared" si="3"/>
        <v>0</v>
      </c>
    </row>
    <row r="14" spans="1:12" x14ac:dyDescent="0.25">
      <c r="A14" s="792"/>
      <c r="B14" s="793"/>
      <c r="C14" s="793"/>
      <c r="D14" s="796"/>
      <c r="E14" s="796"/>
      <c r="F14" s="796"/>
      <c r="G14" s="796"/>
      <c r="H14" s="791">
        <f t="shared" si="0"/>
        <v>0</v>
      </c>
      <c r="I14" s="795">
        <f t="shared" si="1"/>
        <v>0</v>
      </c>
      <c r="J14" s="794">
        <f t="shared" si="2"/>
        <v>0</v>
      </c>
      <c r="K14" s="794">
        <f t="shared" si="3"/>
        <v>0</v>
      </c>
      <c r="L14" s="807"/>
    </row>
    <row r="15" spans="1:12" x14ac:dyDescent="0.25">
      <c r="A15" s="792"/>
      <c r="B15" s="793"/>
      <c r="C15" s="793"/>
      <c r="D15" s="13"/>
      <c r="E15" s="796"/>
      <c r="F15" s="796"/>
      <c r="G15" s="796"/>
      <c r="H15" s="791">
        <f t="shared" si="0"/>
        <v>0</v>
      </c>
      <c r="I15" s="795">
        <f t="shared" si="1"/>
        <v>0</v>
      </c>
      <c r="J15" s="794">
        <f t="shared" si="2"/>
        <v>0</v>
      </c>
      <c r="K15" s="794">
        <f t="shared" si="3"/>
        <v>0</v>
      </c>
    </row>
    <row r="16" spans="1:12" x14ac:dyDescent="0.25">
      <c r="A16" s="792"/>
      <c r="B16" s="793"/>
      <c r="C16" s="793"/>
      <c r="D16" s="796"/>
      <c r="E16" s="796"/>
      <c r="F16" s="796"/>
      <c r="G16" s="796"/>
      <c r="H16" s="791">
        <f t="shared" si="0"/>
        <v>0</v>
      </c>
      <c r="I16" s="795">
        <f t="shared" si="1"/>
        <v>0</v>
      </c>
      <c r="J16" s="794">
        <f t="shared" si="2"/>
        <v>0</v>
      </c>
      <c r="K16" s="794">
        <f t="shared" si="3"/>
        <v>0</v>
      </c>
    </row>
    <row r="17" spans="1:11" x14ac:dyDescent="0.25">
      <c r="A17" s="792"/>
      <c r="B17" s="793"/>
      <c r="C17" s="793"/>
      <c r="D17" s="796"/>
      <c r="E17" s="796"/>
      <c r="F17" s="796"/>
      <c r="G17" s="796"/>
      <c r="H17" s="791">
        <f t="shared" si="0"/>
        <v>0</v>
      </c>
      <c r="I17" s="795">
        <f t="shared" si="1"/>
        <v>0</v>
      </c>
      <c r="J17" s="794">
        <f t="shared" si="2"/>
        <v>0</v>
      </c>
      <c r="K17" s="794">
        <f t="shared" si="3"/>
        <v>0</v>
      </c>
    </row>
    <row r="18" spans="1:11" x14ac:dyDescent="0.25">
      <c r="A18" s="792"/>
      <c r="B18" s="793"/>
      <c r="C18" s="793"/>
      <c r="D18" s="796"/>
      <c r="E18" s="796"/>
      <c r="F18" s="796"/>
      <c r="G18" s="796"/>
      <c r="H18" s="791">
        <f t="shared" si="0"/>
        <v>0</v>
      </c>
      <c r="I18" s="795">
        <f t="shared" si="1"/>
        <v>0</v>
      </c>
      <c r="J18" s="794">
        <f t="shared" si="2"/>
        <v>0</v>
      </c>
      <c r="K18" s="794">
        <f t="shared" si="3"/>
        <v>0</v>
      </c>
    </row>
    <row r="19" spans="1:11" x14ac:dyDescent="0.25">
      <c r="A19" s="792"/>
      <c r="B19" s="793"/>
      <c r="C19" s="793"/>
      <c r="D19" s="796"/>
      <c r="E19" s="796"/>
      <c r="F19" s="796"/>
      <c r="G19" s="796"/>
      <c r="H19" s="791">
        <f t="shared" si="0"/>
        <v>0</v>
      </c>
      <c r="I19" s="795">
        <f t="shared" si="1"/>
        <v>0</v>
      </c>
      <c r="J19" s="794">
        <f t="shared" si="2"/>
        <v>0</v>
      </c>
      <c r="K19" s="794">
        <f t="shared" si="3"/>
        <v>0</v>
      </c>
    </row>
    <row r="20" spans="1:11" x14ac:dyDescent="0.25">
      <c r="A20" s="792"/>
      <c r="B20" s="793"/>
      <c r="C20" s="793"/>
      <c r="D20" s="794"/>
      <c r="E20" s="794"/>
      <c r="F20" s="794"/>
      <c r="G20" s="794"/>
      <c r="H20" s="791">
        <f t="shared" si="0"/>
        <v>0</v>
      </c>
      <c r="I20" s="795">
        <f t="shared" si="1"/>
        <v>0</v>
      </c>
      <c r="J20" s="794">
        <f t="shared" si="2"/>
        <v>0</v>
      </c>
      <c r="K20" s="794">
        <f t="shared" si="3"/>
        <v>0</v>
      </c>
    </row>
    <row r="21" spans="1:11" x14ac:dyDescent="0.25">
      <c r="A21" s="792"/>
      <c r="B21" s="793"/>
      <c r="C21" s="793"/>
      <c r="D21" s="794"/>
      <c r="E21" s="794"/>
      <c r="F21" s="794"/>
      <c r="G21" s="794"/>
      <c r="H21" s="791">
        <f t="shared" si="0"/>
        <v>0</v>
      </c>
      <c r="I21" s="795">
        <f t="shared" si="1"/>
        <v>0</v>
      </c>
      <c r="J21" s="794">
        <f t="shared" si="2"/>
        <v>0</v>
      </c>
      <c r="K21" s="794">
        <f t="shared" si="3"/>
        <v>0</v>
      </c>
    </row>
    <row r="22" spans="1:11" x14ac:dyDescent="0.25">
      <c r="A22" s="792"/>
      <c r="B22" s="793"/>
      <c r="C22" s="793"/>
      <c r="D22" s="794"/>
      <c r="E22" s="794"/>
      <c r="F22" s="794"/>
      <c r="G22" s="794"/>
      <c r="H22" s="791">
        <f t="shared" si="0"/>
        <v>0</v>
      </c>
      <c r="I22" s="795">
        <f t="shared" si="1"/>
        <v>0</v>
      </c>
      <c r="J22" s="794">
        <f t="shared" si="2"/>
        <v>0</v>
      </c>
      <c r="K22" s="794">
        <f t="shared" si="3"/>
        <v>0</v>
      </c>
    </row>
    <row r="23" spans="1:11" x14ac:dyDescent="0.25">
      <c r="A23" s="792"/>
      <c r="B23" s="793"/>
      <c r="C23" s="793"/>
      <c r="D23" s="794"/>
      <c r="E23" s="794"/>
      <c r="F23" s="794"/>
      <c r="G23" s="794"/>
      <c r="H23" s="791">
        <f t="shared" si="0"/>
        <v>0</v>
      </c>
      <c r="I23" s="795">
        <f t="shared" si="1"/>
        <v>0</v>
      </c>
      <c r="J23" s="794">
        <f t="shared" si="2"/>
        <v>0</v>
      </c>
      <c r="K23" s="794">
        <f t="shared" si="3"/>
        <v>0</v>
      </c>
    </row>
    <row r="24" spans="1:11" x14ac:dyDescent="0.25">
      <c r="A24" s="792"/>
      <c r="B24" s="793"/>
      <c r="C24" s="793"/>
      <c r="D24" s="794"/>
      <c r="E24" s="794"/>
      <c r="F24" s="794"/>
      <c r="G24" s="794"/>
      <c r="H24" s="791">
        <f t="shared" si="0"/>
        <v>0</v>
      </c>
      <c r="I24" s="795">
        <f t="shared" si="1"/>
        <v>0</v>
      </c>
      <c r="J24" s="794">
        <f t="shared" si="2"/>
        <v>0</v>
      </c>
      <c r="K24" s="794">
        <f t="shared" si="3"/>
        <v>0</v>
      </c>
    </row>
    <row r="25" spans="1:11" x14ac:dyDescent="0.25">
      <c r="A25" s="792"/>
      <c r="B25" s="793"/>
      <c r="C25" s="793"/>
      <c r="D25" s="794"/>
      <c r="E25" s="794"/>
      <c r="F25" s="794"/>
      <c r="G25" s="794"/>
      <c r="H25" s="791">
        <f t="shared" si="0"/>
        <v>0</v>
      </c>
      <c r="I25" s="795">
        <f t="shared" si="1"/>
        <v>0</v>
      </c>
      <c r="J25" s="794">
        <f t="shared" si="2"/>
        <v>0</v>
      </c>
      <c r="K25" s="794">
        <f t="shared" si="3"/>
        <v>0</v>
      </c>
    </row>
    <row r="26" spans="1:11" x14ac:dyDescent="0.25">
      <c r="A26" s="792"/>
      <c r="B26" s="793"/>
      <c r="C26" s="793"/>
      <c r="D26" s="794"/>
      <c r="E26" s="794"/>
      <c r="F26" s="794"/>
      <c r="G26" s="794"/>
      <c r="H26" s="791">
        <f t="shared" si="0"/>
        <v>0</v>
      </c>
      <c r="I26" s="795">
        <f t="shared" si="1"/>
        <v>0</v>
      </c>
      <c r="J26" s="794">
        <f t="shared" si="2"/>
        <v>0</v>
      </c>
      <c r="K26" s="794">
        <f t="shared" si="3"/>
        <v>0</v>
      </c>
    </row>
    <row r="27" spans="1:11" x14ac:dyDescent="0.25">
      <c r="A27" s="792"/>
      <c r="B27" s="793"/>
      <c r="C27" s="793"/>
      <c r="D27" s="794"/>
      <c r="E27" s="794"/>
      <c r="F27" s="794"/>
      <c r="G27" s="794"/>
      <c r="H27" s="791">
        <f t="shared" si="0"/>
        <v>0</v>
      </c>
      <c r="I27" s="795">
        <f t="shared" si="1"/>
        <v>0</v>
      </c>
      <c r="J27" s="794">
        <f t="shared" si="2"/>
        <v>0</v>
      </c>
      <c r="K27" s="794">
        <f t="shared" si="3"/>
        <v>0</v>
      </c>
    </row>
    <row r="28" spans="1:11" x14ac:dyDescent="0.25">
      <c r="A28" s="792"/>
      <c r="B28" s="793"/>
      <c r="C28" s="793"/>
      <c r="D28" s="794"/>
      <c r="E28" s="794"/>
      <c r="F28" s="794"/>
      <c r="G28" s="794"/>
      <c r="H28" s="791">
        <f t="shared" si="0"/>
        <v>0</v>
      </c>
      <c r="I28" s="795">
        <f t="shared" si="1"/>
        <v>0</v>
      </c>
      <c r="J28" s="794">
        <f t="shared" si="2"/>
        <v>0</v>
      </c>
      <c r="K28" s="794">
        <f t="shared" si="3"/>
        <v>0</v>
      </c>
    </row>
    <row r="29" spans="1:11" x14ac:dyDescent="0.25">
      <c r="A29" s="792"/>
      <c r="B29" s="793"/>
      <c r="C29" s="793"/>
      <c r="D29" s="794"/>
      <c r="E29" s="794"/>
      <c r="F29" s="794"/>
      <c r="G29" s="794"/>
      <c r="H29" s="791">
        <f t="shared" si="0"/>
        <v>0</v>
      </c>
      <c r="I29" s="795">
        <f t="shared" si="1"/>
        <v>0</v>
      </c>
      <c r="J29" s="794">
        <f t="shared" si="2"/>
        <v>0</v>
      </c>
      <c r="K29" s="794">
        <f t="shared" si="3"/>
        <v>0</v>
      </c>
    </row>
    <row r="30" spans="1:11" x14ac:dyDescent="0.25">
      <c r="A30" s="792"/>
      <c r="B30" s="793"/>
      <c r="C30" s="793"/>
      <c r="D30" s="794"/>
      <c r="E30" s="794"/>
      <c r="F30" s="794"/>
      <c r="G30" s="794"/>
      <c r="H30" s="791">
        <f t="shared" si="0"/>
        <v>0</v>
      </c>
      <c r="I30" s="795">
        <f t="shared" si="1"/>
        <v>0</v>
      </c>
      <c r="J30" s="794">
        <f t="shared" si="2"/>
        <v>0</v>
      </c>
      <c r="K30" s="794">
        <f t="shared" si="3"/>
        <v>0</v>
      </c>
    </row>
    <row r="31" spans="1:11" x14ac:dyDescent="0.25">
      <c r="A31" s="792"/>
      <c r="B31" s="793"/>
      <c r="C31" s="793"/>
      <c r="D31" s="794"/>
      <c r="E31" s="794"/>
      <c r="F31" s="794"/>
      <c r="G31" s="794"/>
      <c r="H31" s="791">
        <f t="shared" si="0"/>
        <v>0</v>
      </c>
      <c r="I31" s="795">
        <f t="shared" si="1"/>
        <v>0</v>
      </c>
      <c r="J31" s="794">
        <f t="shared" si="2"/>
        <v>0</v>
      </c>
      <c r="K31" s="794">
        <f t="shared" si="3"/>
        <v>0</v>
      </c>
    </row>
    <row r="32" spans="1:11" x14ac:dyDescent="0.25">
      <c r="A32" s="792"/>
      <c r="B32" s="793"/>
      <c r="C32" s="793"/>
      <c r="D32" s="794"/>
      <c r="E32" s="794"/>
      <c r="F32" s="794"/>
      <c r="G32" s="794"/>
      <c r="H32" s="791">
        <f t="shared" si="0"/>
        <v>0</v>
      </c>
      <c r="I32" s="795">
        <f t="shared" si="1"/>
        <v>0</v>
      </c>
      <c r="J32" s="794">
        <f t="shared" si="2"/>
        <v>0</v>
      </c>
      <c r="K32" s="794">
        <f t="shared" si="3"/>
        <v>0</v>
      </c>
    </row>
    <row r="33" spans="1:11" x14ac:dyDescent="0.25">
      <c r="A33" s="792"/>
      <c r="B33" s="793"/>
      <c r="C33" s="793"/>
      <c r="D33" s="794"/>
      <c r="E33" s="794"/>
      <c r="F33" s="794"/>
      <c r="G33" s="794"/>
      <c r="H33" s="791">
        <f t="shared" si="0"/>
        <v>0</v>
      </c>
      <c r="I33" s="795">
        <f t="shared" si="1"/>
        <v>0</v>
      </c>
      <c r="J33" s="794">
        <f t="shared" si="2"/>
        <v>0</v>
      </c>
      <c r="K33" s="794">
        <f t="shared" si="3"/>
        <v>0</v>
      </c>
    </row>
    <row r="34" spans="1:11" x14ac:dyDescent="0.25">
      <c r="A34" s="792"/>
      <c r="B34" s="793"/>
      <c r="C34" s="793"/>
      <c r="D34" s="794"/>
      <c r="E34" s="794"/>
      <c r="F34" s="794"/>
      <c r="G34" s="794"/>
      <c r="H34" s="791">
        <f t="shared" si="0"/>
        <v>0</v>
      </c>
      <c r="I34" s="795">
        <f t="shared" si="1"/>
        <v>0</v>
      </c>
      <c r="J34" s="794">
        <f t="shared" si="2"/>
        <v>0</v>
      </c>
      <c r="K34" s="794">
        <f t="shared" si="3"/>
        <v>0</v>
      </c>
    </row>
    <row r="35" spans="1:11" x14ac:dyDescent="0.25">
      <c r="A35" s="792"/>
      <c r="B35" s="793"/>
      <c r="C35" s="793"/>
      <c r="D35" s="794"/>
      <c r="E35" s="794"/>
      <c r="F35" s="794"/>
      <c r="G35" s="794"/>
      <c r="H35" s="791">
        <f t="shared" si="0"/>
        <v>0</v>
      </c>
      <c r="I35" s="795">
        <f t="shared" si="1"/>
        <v>0</v>
      </c>
      <c r="J35" s="794">
        <f t="shared" si="2"/>
        <v>0</v>
      </c>
      <c r="K35" s="794">
        <f t="shared" si="3"/>
        <v>0</v>
      </c>
    </row>
    <row r="36" spans="1:11" x14ac:dyDescent="0.25">
      <c r="A36" s="792"/>
      <c r="B36" s="793"/>
      <c r="C36" s="793"/>
      <c r="D36" s="794"/>
      <c r="E36" s="794"/>
      <c r="F36" s="794"/>
      <c r="G36" s="794"/>
      <c r="H36" s="791">
        <f t="shared" si="0"/>
        <v>0</v>
      </c>
      <c r="I36" s="795">
        <f t="shared" si="1"/>
        <v>0</v>
      </c>
      <c r="J36" s="794">
        <f t="shared" si="2"/>
        <v>0</v>
      </c>
      <c r="K36" s="794">
        <f t="shared" si="3"/>
        <v>0</v>
      </c>
    </row>
    <row r="37" spans="1:11" x14ac:dyDescent="0.25">
      <c r="A37" s="792"/>
      <c r="B37" s="793"/>
      <c r="C37" s="793"/>
      <c r="D37" s="794"/>
      <c r="E37" s="794"/>
      <c r="F37" s="794"/>
      <c r="G37" s="794"/>
      <c r="H37" s="791">
        <f t="shared" si="0"/>
        <v>0</v>
      </c>
      <c r="I37" s="795">
        <f t="shared" si="1"/>
        <v>0</v>
      </c>
      <c r="J37" s="794">
        <f t="shared" si="2"/>
        <v>0</v>
      </c>
      <c r="K37" s="794">
        <f t="shared" si="3"/>
        <v>0</v>
      </c>
    </row>
    <row r="38" spans="1:11" x14ac:dyDescent="0.25">
      <c r="A38" s="792"/>
      <c r="B38" s="793"/>
      <c r="C38" s="793"/>
      <c r="D38" s="794"/>
      <c r="E38" s="794"/>
      <c r="F38" s="794"/>
      <c r="G38" s="794"/>
      <c r="H38" s="791">
        <f t="shared" si="0"/>
        <v>0</v>
      </c>
      <c r="I38" s="795">
        <f t="shared" si="1"/>
        <v>0</v>
      </c>
      <c r="J38" s="794">
        <f t="shared" si="2"/>
        <v>0</v>
      </c>
      <c r="K38" s="794">
        <f t="shared" si="3"/>
        <v>0</v>
      </c>
    </row>
    <row r="39" spans="1:11" x14ac:dyDescent="0.25">
      <c r="A39" s="792"/>
      <c r="B39" s="793"/>
      <c r="C39" s="793"/>
      <c r="D39" s="794"/>
      <c r="E39" s="794"/>
      <c r="F39" s="794"/>
      <c r="G39" s="794"/>
      <c r="H39" s="791">
        <f t="shared" si="0"/>
        <v>0</v>
      </c>
      <c r="I39" s="795">
        <f t="shared" si="1"/>
        <v>0</v>
      </c>
      <c r="J39" s="794">
        <f t="shared" si="2"/>
        <v>0</v>
      </c>
      <c r="K39" s="794">
        <f t="shared" si="3"/>
        <v>0</v>
      </c>
    </row>
    <row r="40" spans="1:11" x14ac:dyDescent="0.25">
      <c r="A40" s="792"/>
      <c r="B40" s="793"/>
      <c r="C40" s="793"/>
      <c r="D40" s="794"/>
      <c r="E40" s="794"/>
      <c r="F40" s="794"/>
      <c r="G40" s="794"/>
      <c r="H40" s="791">
        <f t="shared" si="0"/>
        <v>0</v>
      </c>
      <c r="I40" s="795">
        <f t="shared" si="1"/>
        <v>0</v>
      </c>
      <c r="J40" s="794">
        <f t="shared" si="2"/>
        <v>0</v>
      </c>
      <c r="K40" s="794">
        <f t="shared" si="3"/>
        <v>0</v>
      </c>
    </row>
    <row r="41" spans="1:11" x14ac:dyDescent="0.25">
      <c r="A41" s="792"/>
      <c r="B41" s="793"/>
      <c r="C41" s="793"/>
      <c r="D41" s="794"/>
      <c r="E41" s="794"/>
      <c r="F41" s="794"/>
      <c r="G41" s="794"/>
      <c r="H41" s="791">
        <f t="shared" si="0"/>
        <v>0</v>
      </c>
      <c r="I41" s="795">
        <f t="shared" si="1"/>
        <v>0</v>
      </c>
      <c r="J41" s="794">
        <f t="shared" si="2"/>
        <v>0</v>
      </c>
      <c r="K41" s="794">
        <f t="shared" si="3"/>
        <v>0</v>
      </c>
    </row>
    <row r="42" spans="1:11" x14ac:dyDescent="0.25">
      <c r="A42" s="792"/>
      <c r="B42" s="793"/>
      <c r="C42" s="793"/>
      <c r="D42" s="794"/>
      <c r="E42" s="794"/>
      <c r="F42" s="794"/>
      <c r="G42" s="794"/>
      <c r="H42" s="791">
        <f t="shared" si="0"/>
        <v>0</v>
      </c>
      <c r="I42" s="795">
        <f t="shared" si="1"/>
        <v>0</v>
      </c>
      <c r="J42" s="794">
        <f t="shared" si="2"/>
        <v>0</v>
      </c>
      <c r="K42" s="794">
        <f t="shared" si="3"/>
        <v>0</v>
      </c>
    </row>
    <row r="43" spans="1:11" x14ac:dyDescent="0.25">
      <c r="A43" s="792"/>
      <c r="B43" s="793"/>
      <c r="C43" s="793"/>
      <c r="D43" s="794"/>
      <c r="E43" s="794"/>
      <c r="F43" s="794"/>
      <c r="G43" s="794"/>
      <c r="H43" s="791">
        <f t="shared" si="0"/>
        <v>0</v>
      </c>
      <c r="I43" s="795">
        <f t="shared" si="1"/>
        <v>0</v>
      </c>
      <c r="J43" s="794">
        <f t="shared" si="2"/>
        <v>0</v>
      </c>
      <c r="K43" s="794">
        <f t="shared" si="3"/>
        <v>0</v>
      </c>
    </row>
    <row r="44" spans="1:11" x14ac:dyDescent="0.25">
      <c r="A44" s="792"/>
      <c r="B44" s="793"/>
      <c r="C44" s="793"/>
      <c r="D44" s="794"/>
      <c r="E44" s="794"/>
      <c r="F44" s="794"/>
      <c r="G44" s="794"/>
      <c r="H44" s="791">
        <f t="shared" si="0"/>
        <v>0</v>
      </c>
      <c r="I44" s="795">
        <f t="shared" si="1"/>
        <v>0</v>
      </c>
      <c r="J44" s="794">
        <f t="shared" si="2"/>
        <v>0</v>
      </c>
      <c r="K44" s="794">
        <f t="shared" si="3"/>
        <v>0</v>
      </c>
    </row>
    <row r="45" spans="1:11" x14ac:dyDescent="0.25">
      <c r="A45" s="792"/>
      <c r="B45" s="793"/>
      <c r="C45" s="793"/>
      <c r="D45" s="794"/>
      <c r="E45" s="794"/>
      <c r="F45" s="794"/>
      <c r="G45" s="794"/>
      <c r="H45" s="791">
        <f t="shared" si="0"/>
        <v>0</v>
      </c>
      <c r="I45" s="795">
        <f t="shared" si="1"/>
        <v>0</v>
      </c>
      <c r="J45" s="794">
        <f t="shared" si="2"/>
        <v>0</v>
      </c>
      <c r="K45" s="794">
        <f t="shared" si="3"/>
        <v>0</v>
      </c>
    </row>
    <row r="46" spans="1:11" x14ac:dyDescent="0.25">
      <c r="A46" s="792"/>
      <c r="B46" s="793"/>
      <c r="C46" s="793"/>
      <c r="D46" s="794"/>
      <c r="E46" s="794"/>
      <c r="F46" s="794"/>
      <c r="G46" s="794"/>
      <c r="H46" s="791">
        <f t="shared" si="0"/>
        <v>0</v>
      </c>
      <c r="I46" s="795">
        <f t="shared" si="1"/>
        <v>0</v>
      </c>
      <c r="J46" s="794">
        <f t="shared" si="2"/>
        <v>0</v>
      </c>
      <c r="K46" s="794">
        <f t="shared" si="3"/>
        <v>0</v>
      </c>
    </row>
    <row r="47" spans="1:11" x14ac:dyDescent="0.25">
      <c r="A47" s="792"/>
      <c r="B47" s="793"/>
      <c r="C47" s="793"/>
      <c r="D47" s="794"/>
      <c r="E47" s="794"/>
      <c r="F47" s="794"/>
      <c r="G47" s="794"/>
      <c r="H47" s="791">
        <f t="shared" si="0"/>
        <v>0</v>
      </c>
      <c r="I47" s="795">
        <f t="shared" si="1"/>
        <v>0</v>
      </c>
      <c r="J47" s="794">
        <f t="shared" si="2"/>
        <v>0</v>
      </c>
      <c r="K47" s="794">
        <f t="shared" si="3"/>
        <v>0</v>
      </c>
    </row>
    <row r="48" spans="1:11" x14ac:dyDescent="0.25">
      <c r="A48" s="792"/>
      <c r="B48" s="793"/>
      <c r="C48" s="793"/>
      <c r="D48" s="794"/>
      <c r="E48" s="794"/>
      <c r="F48" s="794"/>
      <c r="G48" s="794"/>
      <c r="H48" s="791">
        <f t="shared" si="0"/>
        <v>0</v>
      </c>
      <c r="I48" s="795">
        <f t="shared" si="1"/>
        <v>0</v>
      </c>
      <c r="J48" s="794">
        <f t="shared" si="2"/>
        <v>0</v>
      </c>
      <c r="K48" s="794">
        <f t="shared" si="3"/>
        <v>0</v>
      </c>
    </row>
    <row r="49" spans="1:11" x14ac:dyDescent="0.25">
      <c r="A49" s="792"/>
      <c r="B49" s="793"/>
      <c r="C49" s="793"/>
      <c r="D49" s="794"/>
      <c r="E49" s="794"/>
      <c r="F49" s="794"/>
      <c r="G49" s="794"/>
      <c r="H49" s="791">
        <f t="shared" si="0"/>
        <v>0</v>
      </c>
      <c r="I49" s="795">
        <f t="shared" si="1"/>
        <v>0</v>
      </c>
      <c r="J49" s="794">
        <f t="shared" si="2"/>
        <v>0</v>
      </c>
      <c r="K49" s="794">
        <f t="shared" si="3"/>
        <v>0</v>
      </c>
    </row>
    <row r="50" spans="1:11" x14ac:dyDescent="0.25">
      <c r="A50" s="797"/>
      <c r="B50" s="798"/>
      <c r="C50" s="798"/>
      <c r="D50" s="799"/>
      <c r="E50" s="799"/>
      <c r="F50" s="799"/>
      <c r="G50" s="799"/>
      <c r="H50" s="800">
        <f t="shared" si="0"/>
        <v>0</v>
      </c>
      <c r="I50" s="801">
        <f t="shared" si="1"/>
        <v>0</v>
      </c>
      <c r="J50" s="799">
        <f t="shared" si="2"/>
        <v>0</v>
      </c>
      <c r="K50" s="799">
        <f t="shared" si="3"/>
        <v>0</v>
      </c>
    </row>
    <row r="51" spans="1:11" x14ac:dyDescent="0.25">
      <c r="B51" s="803"/>
      <c r="C51" s="803"/>
      <c r="D51" s="14">
        <f>SUBTOTAL(9,D10:D50)</f>
        <v>0</v>
      </c>
      <c r="E51" s="14">
        <f t="shared" ref="E51:K51" si="4">SUBTOTAL(9,E10:E50)</f>
        <v>0</v>
      </c>
      <c r="F51" s="15">
        <f t="shared" si="4"/>
        <v>0</v>
      </c>
      <c r="G51" s="16">
        <f t="shared" si="4"/>
        <v>0</v>
      </c>
      <c r="H51" s="16">
        <f t="shared" si="4"/>
        <v>0</v>
      </c>
      <c r="I51" s="16">
        <f t="shared" si="4"/>
        <v>0</v>
      </c>
      <c r="J51" s="16">
        <f t="shared" si="4"/>
        <v>0</v>
      </c>
      <c r="K51" s="16">
        <f t="shared" si="4"/>
        <v>0</v>
      </c>
    </row>
    <row r="52" spans="1:11" x14ac:dyDescent="0.25">
      <c r="G52" s="804" t="s">
        <v>60</v>
      </c>
      <c r="H52" s="805">
        <v>1</v>
      </c>
      <c r="I52" s="17">
        <f>I51*H52</f>
        <v>0</v>
      </c>
      <c r="J52" s="18">
        <f>J51*H52</f>
        <v>0</v>
      </c>
      <c r="K52" s="18">
        <f>K51*H52</f>
        <v>0</v>
      </c>
    </row>
  </sheetData>
  <mergeCells count="1">
    <mergeCell ref="A1:B1"/>
  </mergeCells>
  <hyperlinks>
    <hyperlink ref="A1" location="'Index and Structure'!A1" display="The Macro Group" xr:uid="{00000000-0004-0000-1800-000000000000}"/>
  </hyperlinks>
  <pageMargins left="0.44" right="0.31496062992125984" top="0.23622047244094491" bottom="0.98425196850393704" header="0.27559055118110237" footer="0.51181102362204722"/>
  <pageSetup paperSize="9" scale="65" orientation="landscape" r:id="rId1"/>
  <headerFooter alignWithMargins="0">
    <oddFooter>&amp;L&amp;Z&amp;F&amp;R&amp;T &amp;D</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
    <tabColor rgb="FF92D050"/>
    <pageSetUpPr fitToPage="1"/>
  </sheetPr>
  <dimension ref="A1:AD40"/>
  <sheetViews>
    <sheetView view="pageBreakPreview" zoomScale="115" zoomScaleNormal="100" zoomScaleSheetLayoutView="115" workbookViewId="0">
      <selection activeCell="A8" sqref="A8"/>
    </sheetView>
  </sheetViews>
  <sheetFormatPr defaultColWidth="9.140625" defaultRowHeight="15" x14ac:dyDescent="0.25"/>
  <cols>
    <col min="1" max="1" width="29" style="258" customWidth="1"/>
    <col min="2" max="2" width="14.7109375" style="258" customWidth="1"/>
    <col min="3" max="7" width="12.7109375" style="258" customWidth="1"/>
    <col min="8" max="8" width="23.5703125" style="258" bestFit="1" customWidth="1"/>
    <col min="9" max="21" width="12.7109375" style="258" customWidth="1"/>
    <col min="22" max="22" width="9.5703125" style="258" bestFit="1" customWidth="1"/>
    <col min="23" max="30" width="12.7109375" style="258" customWidth="1"/>
    <col min="31" max="16384" width="9.140625" style="258"/>
  </cols>
  <sheetData>
    <row r="1" spans="1:30" s="250" customFormat="1" ht="6" customHeight="1" thickBot="1" x14ac:dyDescent="0.3"/>
    <row r="2" spans="1:30" s="250" customFormat="1" ht="19.899999999999999" customHeight="1" thickBot="1" x14ac:dyDescent="0.3">
      <c r="A2" s="2475" t="s">
        <v>44</v>
      </c>
      <c r="B2" s="2476"/>
      <c r="C2" s="2476"/>
      <c r="D2" s="2476"/>
      <c r="E2" s="2477"/>
      <c r="F2" s="1264"/>
      <c r="H2" s="1604" t="s">
        <v>40</v>
      </c>
      <c r="I2" s="1086"/>
      <c r="J2" s="1585" t="str">
        <f>'Index and Structure'!B2</f>
        <v>Nicolo Superannuation fund</v>
      </c>
      <c r="K2" s="1086"/>
      <c r="L2" s="1086"/>
      <c r="M2" s="1586"/>
      <c r="O2" s="1587" t="s">
        <v>38</v>
      </c>
      <c r="P2" s="1086"/>
      <c r="Q2" s="1588" t="str">
        <f>'Index and Structure'!B5</f>
        <v>NICO0024</v>
      </c>
      <c r="R2" s="1286"/>
      <c r="S2" s="1087"/>
    </row>
    <row r="3" spans="1:30" s="250" customFormat="1" ht="14.45" customHeight="1" x14ac:dyDescent="0.25">
      <c r="A3" s="253"/>
      <c r="B3" s="253"/>
      <c r="C3" s="253"/>
      <c r="D3" s="253"/>
      <c r="H3" s="1604" t="s">
        <v>45</v>
      </c>
      <c r="I3" s="1086"/>
      <c r="J3" s="1585" t="s">
        <v>581</v>
      </c>
      <c r="K3" s="1086"/>
      <c r="L3" s="1086"/>
      <c r="M3" s="1586"/>
      <c r="O3" s="1589" t="s">
        <v>41</v>
      </c>
      <c r="P3" s="1086"/>
      <c r="Q3" s="1588" t="str">
        <f>'Index and Structure'!B6</f>
        <v>Liam Aubin</v>
      </c>
      <c r="R3" s="1286" t="s">
        <v>42</v>
      </c>
      <c r="S3" s="1590"/>
      <c r="T3" s="1591"/>
      <c r="U3" s="1591"/>
    </row>
    <row r="4" spans="1:30" s="250" customFormat="1" ht="16.149999999999999" customHeight="1" x14ac:dyDescent="0.25">
      <c r="A4" s="1592"/>
      <c r="B4" s="1592"/>
      <c r="C4" s="1592"/>
      <c r="D4" s="1592"/>
      <c r="H4" s="1604" t="s">
        <v>46</v>
      </c>
      <c r="I4" s="1086"/>
      <c r="J4" s="1593" t="str">
        <f>'Index and Structure'!B4</f>
        <v>30 June 2022</v>
      </c>
      <c r="K4" s="1086"/>
      <c r="L4" s="1086"/>
      <c r="M4" s="1586"/>
      <c r="O4" s="1589" t="s">
        <v>43</v>
      </c>
      <c r="P4" s="1086"/>
      <c r="Q4" s="1588" t="str">
        <f>'Index and Structure'!B7</f>
        <v>Nicole Bryant</v>
      </c>
      <c r="R4" s="1286" t="s">
        <v>42</v>
      </c>
      <c r="S4" s="1594"/>
      <c r="T4" s="1595"/>
      <c r="U4" s="1595"/>
    </row>
    <row r="5" spans="1:30" s="250" customFormat="1" ht="16.149999999999999" customHeight="1" x14ac:dyDescent="0.25">
      <c r="A5" s="1592"/>
      <c r="B5" s="1592"/>
      <c r="C5" s="1592"/>
      <c r="D5" s="1592"/>
      <c r="H5" s="258"/>
      <c r="J5" s="1596"/>
      <c r="M5" s="1265"/>
      <c r="O5" s="1597"/>
      <c r="Q5" s="1615"/>
      <c r="S5" s="1595"/>
      <c r="T5" s="1595"/>
      <c r="U5" s="1595"/>
    </row>
    <row r="6" spans="1:30" s="250" customFormat="1" ht="16.149999999999999" customHeight="1" x14ac:dyDescent="0.25">
      <c r="A6" s="1592"/>
      <c r="B6" s="1592"/>
      <c r="C6" s="1592"/>
      <c r="D6" s="1592"/>
      <c r="E6" s="2474" t="s">
        <v>1026</v>
      </c>
      <c r="F6" s="2474"/>
      <c r="G6" s="2474"/>
      <c r="H6" s="2474"/>
      <c r="I6" s="2474"/>
      <c r="J6" s="2474"/>
      <c r="K6" s="2474"/>
      <c r="L6" s="2474"/>
      <c r="M6" s="2474"/>
      <c r="N6" s="2474"/>
      <c r="O6" s="2474"/>
      <c r="P6" s="2474"/>
      <c r="Q6" s="2474"/>
      <c r="R6" s="2474"/>
      <c r="S6" s="2474"/>
      <c r="T6" s="2474"/>
      <c r="U6" s="1694"/>
      <c r="V6" s="1595"/>
      <c r="W6" s="2478" t="s">
        <v>1024</v>
      </c>
      <c r="X6" s="2479"/>
      <c r="Y6" s="2479"/>
      <c r="Z6" s="2479"/>
      <c r="AA6" s="2479"/>
      <c r="AB6" s="2479"/>
      <c r="AC6" s="2479"/>
      <c r="AD6" s="2480"/>
    </row>
    <row r="7" spans="1:30" s="250" customFormat="1" ht="48" x14ac:dyDescent="0.25">
      <c r="A7" s="1584" t="s">
        <v>582</v>
      </c>
      <c r="B7" s="2168" t="s">
        <v>1027</v>
      </c>
      <c r="C7" s="1600" t="s">
        <v>1032</v>
      </c>
      <c r="D7" s="1600" t="s">
        <v>1033</v>
      </c>
      <c r="E7" s="1600" t="s">
        <v>1029</v>
      </c>
      <c r="F7" s="1600" t="s">
        <v>1030</v>
      </c>
      <c r="G7" s="1600" t="s">
        <v>583</v>
      </c>
      <c r="H7" s="1600" t="s">
        <v>584</v>
      </c>
      <c r="I7" s="1600" t="s">
        <v>585</v>
      </c>
      <c r="J7" s="1600" t="s">
        <v>586</v>
      </c>
      <c r="K7" s="1600" t="s">
        <v>587</v>
      </c>
      <c r="L7" s="1600" t="s">
        <v>1031</v>
      </c>
      <c r="M7" s="1600" t="s">
        <v>1028</v>
      </c>
      <c r="N7" s="1600" t="s">
        <v>588</v>
      </c>
      <c r="O7" s="1600" t="s">
        <v>589</v>
      </c>
      <c r="P7" s="1600" t="s">
        <v>590</v>
      </c>
      <c r="Q7" s="1601" t="s">
        <v>591</v>
      </c>
      <c r="R7" s="1602" t="s">
        <v>592</v>
      </c>
      <c r="S7" s="1602" t="s">
        <v>1025</v>
      </c>
      <c r="T7" s="1602" t="s">
        <v>1019</v>
      </c>
      <c r="U7" s="1603" t="s">
        <v>50</v>
      </c>
      <c r="V7" s="1598"/>
      <c r="W7" s="1602" t="s">
        <v>1020</v>
      </c>
      <c r="X7" s="1602" t="s">
        <v>1021</v>
      </c>
      <c r="Y7" s="1602" t="s">
        <v>1022</v>
      </c>
      <c r="Z7" s="1602" t="s">
        <v>1023</v>
      </c>
      <c r="AA7" s="1602" t="s">
        <v>1034</v>
      </c>
      <c r="AB7" s="1602" t="s">
        <v>1035</v>
      </c>
      <c r="AC7" s="1602" t="s">
        <v>33</v>
      </c>
      <c r="AD7" s="1602" t="s">
        <v>29</v>
      </c>
    </row>
    <row r="8" spans="1:30" s="250" customFormat="1" ht="16.149999999999999" customHeight="1" x14ac:dyDescent="0.25">
      <c r="A8" s="1606" t="s">
        <v>1063</v>
      </c>
      <c r="B8" s="2167"/>
      <c r="C8" s="2167"/>
      <c r="D8" s="2167"/>
      <c r="E8" s="1607"/>
      <c r="F8" s="1607"/>
      <c r="G8" s="1607"/>
      <c r="H8" s="1607"/>
      <c r="I8" s="1607">
        <f>24777.91*2</f>
        <v>49555.82</v>
      </c>
      <c r="J8" s="1607"/>
      <c r="K8" s="1607"/>
      <c r="L8" s="1607">
        <v>88.82</v>
      </c>
      <c r="M8" s="1607">
        <v>26904.48</v>
      </c>
      <c r="N8" s="1607">
        <f>I8/2</f>
        <v>24777.91</v>
      </c>
      <c r="O8" s="1607"/>
      <c r="P8" s="1607"/>
      <c r="Q8" s="1608"/>
      <c r="R8" s="1579">
        <f>SUM(E8:M8)+C8-D8-Q8</f>
        <v>76549.119999999995</v>
      </c>
      <c r="S8" s="1579">
        <f>SUM(E8:J8)+SUM(O8:P8)-N8</f>
        <v>24777.91</v>
      </c>
      <c r="T8" s="1605">
        <f>(R8-C8+D8)-L8-M8</f>
        <v>49555.819999999992</v>
      </c>
      <c r="U8" s="2244" t="s">
        <v>1067</v>
      </c>
      <c r="V8" s="91"/>
      <c r="W8" s="1611"/>
      <c r="X8" s="1611"/>
      <c r="Y8" s="1611"/>
      <c r="Z8" s="1611"/>
      <c r="AA8" s="1611"/>
      <c r="AB8" s="1611"/>
      <c r="AC8" s="1613">
        <f t="shared" ref="AC8:AC21" si="0">SUM(W8:Z8)-AA8+AB8</f>
        <v>0</v>
      </c>
      <c r="AD8" s="1614">
        <f t="shared" ref="AD8:AD21" si="1">AC8-R8</f>
        <v>-76549.119999999995</v>
      </c>
    </row>
    <row r="9" spans="1:30" s="250" customFormat="1" ht="16.149999999999999" customHeight="1" x14ac:dyDescent="0.25">
      <c r="A9" s="1606" t="s">
        <v>1064</v>
      </c>
      <c r="B9" s="1606"/>
      <c r="C9" s="1606">
        <v>5888.71</v>
      </c>
      <c r="D9" s="1606">
        <v>4969.7299999999996</v>
      </c>
      <c r="E9" s="1609">
        <v>6966.66</v>
      </c>
      <c r="F9" s="1609"/>
      <c r="G9" s="1609"/>
      <c r="H9" s="1609">
        <f>75630.42+N9</f>
        <v>75630.42</v>
      </c>
      <c r="I9" s="1609"/>
      <c r="J9" s="1609"/>
      <c r="K9" s="1609">
        <v>28793.72</v>
      </c>
      <c r="L9" s="1609">
        <v>6177.69</v>
      </c>
      <c r="M9" s="1609">
        <v>138230.82999999999</v>
      </c>
      <c r="N9" s="1609"/>
      <c r="O9" s="1609"/>
      <c r="P9" s="1609"/>
      <c r="Q9" s="1609"/>
      <c r="R9" s="1579">
        <f t="shared" ref="R9:R21" si="2">SUM(E9:M9)+C9-D9-Q9</f>
        <v>256718.3</v>
      </c>
      <c r="S9" s="1579">
        <f t="shared" ref="S9:S21" si="3">SUM(E9:J9)+SUM(O9:P9)-N9</f>
        <v>82597.08</v>
      </c>
      <c r="T9" s="1605">
        <f t="shared" ref="T9:T21" si="4">(R9-C9+D9)-L9-M9</f>
        <v>111390.80000000002</v>
      </c>
      <c r="U9" s="2244" t="s">
        <v>1068</v>
      </c>
      <c r="V9" s="91"/>
      <c r="W9" s="1611"/>
      <c r="X9" s="1611"/>
      <c r="Y9" s="1611"/>
      <c r="Z9" s="1611"/>
      <c r="AA9" s="1611"/>
      <c r="AB9" s="1611"/>
      <c r="AC9" s="1613">
        <f t="shared" si="0"/>
        <v>0</v>
      </c>
      <c r="AD9" s="1614">
        <f t="shared" si="1"/>
        <v>-256718.3</v>
      </c>
    </row>
    <row r="10" spans="1:30" s="250" customFormat="1" ht="16.149999999999999" customHeight="1" x14ac:dyDescent="0.25">
      <c r="A10" s="1606" t="s">
        <v>1065</v>
      </c>
      <c r="B10" s="1606"/>
      <c r="C10" s="1606">
        <v>772</v>
      </c>
      <c r="D10" s="1606"/>
      <c r="E10" s="1609">
        <v>0.2</v>
      </c>
      <c r="F10" s="1609"/>
      <c r="G10" s="1609"/>
      <c r="H10" s="1609"/>
      <c r="I10" s="1609"/>
      <c r="J10" s="1609"/>
      <c r="K10" s="1609"/>
      <c r="L10" s="1609"/>
      <c r="M10" s="1609">
        <v>3227.8</v>
      </c>
      <c r="N10" s="1609"/>
      <c r="O10" s="1609"/>
      <c r="P10" s="1609"/>
      <c r="Q10" s="1609"/>
      <c r="R10" s="1579">
        <f t="shared" si="2"/>
        <v>4000</v>
      </c>
      <c r="S10" s="1579">
        <f t="shared" si="3"/>
        <v>0.2</v>
      </c>
      <c r="T10" s="1605">
        <f t="shared" si="4"/>
        <v>0.1999999999998181</v>
      </c>
      <c r="U10" s="2244" t="s">
        <v>1066</v>
      </c>
      <c r="V10" s="1598"/>
      <c r="W10" s="1611"/>
      <c r="X10" s="1611"/>
      <c r="Y10" s="1611"/>
      <c r="Z10" s="1611"/>
      <c r="AA10" s="1611"/>
      <c r="AB10" s="1611"/>
      <c r="AC10" s="1613">
        <f t="shared" si="0"/>
        <v>0</v>
      </c>
      <c r="AD10" s="1614">
        <f t="shared" si="1"/>
        <v>-4000</v>
      </c>
    </row>
    <row r="11" spans="1:30" s="250" customFormat="1" ht="16.149999999999999" customHeight="1" x14ac:dyDescent="0.25">
      <c r="A11" s="1606"/>
      <c r="B11" s="1606"/>
      <c r="C11" s="1606"/>
      <c r="D11" s="1606"/>
      <c r="E11" s="1609"/>
      <c r="F11" s="1609"/>
      <c r="G11" s="1609"/>
      <c r="H11" s="1609"/>
      <c r="I11" s="1609"/>
      <c r="J11" s="1609"/>
      <c r="K11" s="1609"/>
      <c r="L11" s="1609"/>
      <c r="M11" s="1609"/>
      <c r="N11" s="1609"/>
      <c r="O11" s="1609"/>
      <c r="P11" s="1609"/>
      <c r="Q11" s="1609"/>
      <c r="R11" s="1579">
        <f t="shared" si="2"/>
        <v>0</v>
      </c>
      <c r="S11" s="1579">
        <f t="shared" si="3"/>
        <v>0</v>
      </c>
      <c r="T11" s="1605">
        <f t="shared" si="4"/>
        <v>0</v>
      </c>
      <c r="U11" s="1581"/>
      <c r="V11" s="1598"/>
      <c r="W11" s="1612"/>
      <c r="X11" s="1612"/>
      <c r="Y11" s="1612"/>
      <c r="Z11" s="1612"/>
      <c r="AA11" s="1612"/>
      <c r="AB11" s="1612"/>
      <c r="AC11" s="1613">
        <f t="shared" si="0"/>
        <v>0</v>
      </c>
      <c r="AD11" s="1614">
        <f t="shared" si="1"/>
        <v>0</v>
      </c>
    </row>
    <row r="12" spans="1:30" s="250" customFormat="1" ht="16.149999999999999" hidden="1" customHeight="1" x14ac:dyDescent="0.25">
      <c r="A12" s="1606"/>
      <c r="B12" s="1606"/>
      <c r="C12" s="1606"/>
      <c r="D12" s="1606"/>
      <c r="E12" s="1609"/>
      <c r="F12" s="1609"/>
      <c r="G12" s="1609"/>
      <c r="H12" s="1609"/>
      <c r="I12" s="1609"/>
      <c r="J12" s="1609"/>
      <c r="K12" s="1609"/>
      <c r="L12" s="1609"/>
      <c r="M12" s="1609"/>
      <c r="N12" s="1609"/>
      <c r="O12" s="1609"/>
      <c r="P12" s="1609"/>
      <c r="Q12" s="1609"/>
      <c r="R12" s="1579">
        <f t="shared" si="2"/>
        <v>0</v>
      </c>
      <c r="S12" s="1579">
        <f t="shared" si="3"/>
        <v>0</v>
      </c>
      <c r="T12" s="1605">
        <f t="shared" si="4"/>
        <v>0</v>
      </c>
      <c r="U12" s="1581"/>
      <c r="V12" s="1598"/>
      <c r="W12" s="1612"/>
      <c r="X12" s="1612"/>
      <c r="Y12" s="1612"/>
      <c r="Z12" s="1612"/>
      <c r="AA12" s="1612"/>
      <c r="AB12" s="1612"/>
      <c r="AC12" s="1613">
        <f t="shared" si="0"/>
        <v>0</v>
      </c>
      <c r="AD12" s="1614">
        <f t="shared" si="1"/>
        <v>0</v>
      </c>
    </row>
    <row r="13" spans="1:30" s="250" customFormat="1" ht="16.149999999999999" hidden="1" customHeight="1" x14ac:dyDescent="0.25">
      <c r="A13" s="1606"/>
      <c r="B13" s="1606"/>
      <c r="C13" s="1606"/>
      <c r="D13" s="1606"/>
      <c r="E13" s="1609"/>
      <c r="F13" s="1609"/>
      <c r="G13" s="1609"/>
      <c r="H13" s="1609"/>
      <c r="I13" s="1609"/>
      <c r="J13" s="1609"/>
      <c r="K13" s="1609"/>
      <c r="L13" s="1609"/>
      <c r="M13" s="1609"/>
      <c r="N13" s="1609"/>
      <c r="O13" s="1609"/>
      <c r="P13" s="1609"/>
      <c r="Q13" s="1609"/>
      <c r="R13" s="1579">
        <f t="shared" si="2"/>
        <v>0</v>
      </c>
      <c r="S13" s="1579">
        <f>SUM(E13:J13)+SUM(O13:P13)-N13</f>
        <v>0</v>
      </c>
      <c r="T13" s="1605">
        <f t="shared" si="4"/>
        <v>0</v>
      </c>
      <c r="U13" s="1581"/>
      <c r="V13" s="1598"/>
      <c r="W13" s="1612"/>
      <c r="X13" s="1612"/>
      <c r="Y13" s="1612"/>
      <c r="Z13" s="1612"/>
      <c r="AA13" s="1612"/>
      <c r="AB13" s="1612"/>
      <c r="AC13" s="1613">
        <f t="shared" si="0"/>
        <v>0</v>
      </c>
      <c r="AD13" s="1614">
        <f t="shared" si="1"/>
        <v>0</v>
      </c>
    </row>
    <row r="14" spans="1:30" s="250" customFormat="1" ht="16.149999999999999" hidden="1" customHeight="1" x14ac:dyDescent="0.25">
      <c r="A14" s="1606"/>
      <c r="B14" s="1606"/>
      <c r="C14" s="1606"/>
      <c r="D14" s="1606"/>
      <c r="E14" s="1609"/>
      <c r="F14" s="1609"/>
      <c r="G14" s="1609"/>
      <c r="H14" s="1609"/>
      <c r="I14" s="1609"/>
      <c r="J14" s="1609"/>
      <c r="K14" s="1609"/>
      <c r="L14" s="1609"/>
      <c r="M14" s="1609"/>
      <c r="N14" s="1609"/>
      <c r="O14" s="1609"/>
      <c r="P14" s="1609"/>
      <c r="Q14" s="1609"/>
      <c r="R14" s="1579">
        <f t="shared" si="2"/>
        <v>0</v>
      </c>
      <c r="S14" s="1579">
        <f t="shared" si="3"/>
        <v>0</v>
      </c>
      <c r="T14" s="1605">
        <f t="shared" si="4"/>
        <v>0</v>
      </c>
      <c r="U14" s="1581"/>
      <c r="V14" s="1598"/>
      <c r="W14" s="1612"/>
      <c r="X14" s="1612"/>
      <c r="Y14" s="1612"/>
      <c r="Z14" s="1612"/>
      <c r="AA14" s="1612"/>
      <c r="AB14" s="1612"/>
      <c r="AC14" s="1613">
        <f t="shared" si="0"/>
        <v>0</v>
      </c>
      <c r="AD14" s="1614">
        <f t="shared" si="1"/>
        <v>0</v>
      </c>
    </row>
    <row r="15" spans="1:30" s="250" customFormat="1" ht="16.149999999999999" hidden="1" customHeight="1" x14ac:dyDescent="0.25">
      <c r="A15" s="1606"/>
      <c r="B15" s="1606"/>
      <c r="C15" s="1606"/>
      <c r="D15" s="1606"/>
      <c r="E15" s="1609"/>
      <c r="F15" s="1609"/>
      <c r="G15" s="1609"/>
      <c r="H15" s="1609"/>
      <c r="I15" s="1609"/>
      <c r="J15" s="1609"/>
      <c r="K15" s="1609"/>
      <c r="L15" s="1609"/>
      <c r="M15" s="1609"/>
      <c r="N15" s="1609"/>
      <c r="O15" s="1609"/>
      <c r="P15" s="1609"/>
      <c r="Q15" s="1609"/>
      <c r="R15" s="1579">
        <f t="shared" si="2"/>
        <v>0</v>
      </c>
      <c r="S15" s="1579">
        <f t="shared" si="3"/>
        <v>0</v>
      </c>
      <c r="T15" s="1605">
        <f t="shared" si="4"/>
        <v>0</v>
      </c>
      <c r="U15" s="1581"/>
      <c r="V15" s="1598"/>
      <c r="W15" s="1612"/>
      <c r="X15" s="1612"/>
      <c r="Y15" s="1612"/>
      <c r="Z15" s="1612"/>
      <c r="AA15" s="1612"/>
      <c r="AB15" s="1612"/>
      <c r="AC15" s="1613">
        <f t="shared" si="0"/>
        <v>0</v>
      </c>
      <c r="AD15" s="1614">
        <f t="shared" si="1"/>
        <v>0</v>
      </c>
    </row>
    <row r="16" spans="1:30" s="250" customFormat="1" ht="16.149999999999999" hidden="1" customHeight="1" x14ac:dyDescent="0.25">
      <c r="A16" s="1606"/>
      <c r="B16" s="1606"/>
      <c r="C16" s="1606"/>
      <c r="D16" s="1606"/>
      <c r="E16" s="1609"/>
      <c r="F16" s="1609"/>
      <c r="G16" s="1609"/>
      <c r="H16" s="1609"/>
      <c r="I16" s="1609"/>
      <c r="J16" s="1609"/>
      <c r="K16" s="1609"/>
      <c r="L16" s="1609"/>
      <c r="M16" s="1609"/>
      <c r="N16" s="1609"/>
      <c r="O16" s="1609"/>
      <c r="P16" s="1609"/>
      <c r="Q16" s="1609"/>
      <c r="R16" s="1579">
        <f t="shared" si="2"/>
        <v>0</v>
      </c>
      <c r="S16" s="1579">
        <f t="shared" si="3"/>
        <v>0</v>
      </c>
      <c r="T16" s="1605">
        <f t="shared" si="4"/>
        <v>0</v>
      </c>
      <c r="U16" s="1581"/>
      <c r="V16" s="1598"/>
      <c r="W16" s="1612"/>
      <c r="X16" s="1612"/>
      <c r="Y16" s="1612"/>
      <c r="Z16" s="1612"/>
      <c r="AA16" s="1612"/>
      <c r="AB16" s="1612"/>
      <c r="AC16" s="1613">
        <f t="shared" si="0"/>
        <v>0</v>
      </c>
      <c r="AD16" s="1614">
        <f t="shared" si="1"/>
        <v>0</v>
      </c>
    </row>
    <row r="17" spans="1:30" s="250" customFormat="1" ht="16.149999999999999" hidden="1" customHeight="1" x14ac:dyDescent="0.25">
      <c r="A17" s="1606"/>
      <c r="B17" s="1606"/>
      <c r="C17" s="1606"/>
      <c r="D17" s="1606"/>
      <c r="E17" s="1609"/>
      <c r="F17" s="1609"/>
      <c r="G17" s="1609"/>
      <c r="H17" s="1609"/>
      <c r="I17" s="1609"/>
      <c r="J17" s="1609"/>
      <c r="K17" s="1609"/>
      <c r="L17" s="1609"/>
      <c r="M17" s="1609"/>
      <c r="N17" s="1609"/>
      <c r="O17" s="1609"/>
      <c r="P17" s="1609"/>
      <c r="Q17" s="1609"/>
      <c r="R17" s="1579">
        <f t="shared" si="2"/>
        <v>0</v>
      </c>
      <c r="S17" s="1579">
        <f t="shared" si="3"/>
        <v>0</v>
      </c>
      <c r="T17" s="1605">
        <f t="shared" si="4"/>
        <v>0</v>
      </c>
      <c r="U17" s="1581"/>
      <c r="V17" s="1598"/>
      <c r="W17" s="1612"/>
      <c r="X17" s="1612"/>
      <c r="Y17" s="1612"/>
      <c r="Z17" s="1612"/>
      <c r="AA17" s="1612"/>
      <c r="AB17" s="1612"/>
      <c r="AC17" s="1613">
        <f t="shared" si="0"/>
        <v>0</v>
      </c>
      <c r="AD17" s="1614">
        <f t="shared" si="1"/>
        <v>0</v>
      </c>
    </row>
    <row r="18" spans="1:30" s="250" customFormat="1" ht="16.149999999999999" hidden="1" customHeight="1" x14ac:dyDescent="0.25">
      <c r="A18" s="1606"/>
      <c r="B18" s="1606"/>
      <c r="C18" s="1606"/>
      <c r="D18" s="1606"/>
      <c r="E18" s="1609"/>
      <c r="F18" s="1609"/>
      <c r="G18" s="1609"/>
      <c r="H18" s="1609"/>
      <c r="I18" s="1609"/>
      <c r="J18" s="1609"/>
      <c r="K18" s="1609"/>
      <c r="L18" s="1609"/>
      <c r="M18" s="1609"/>
      <c r="N18" s="1609"/>
      <c r="O18" s="1609"/>
      <c r="P18" s="1609"/>
      <c r="Q18" s="1609"/>
      <c r="R18" s="1579">
        <f t="shared" si="2"/>
        <v>0</v>
      </c>
      <c r="S18" s="1579">
        <f t="shared" si="3"/>
        <v>0</v>
      </c>
      <c r="T18" s="1605">
        <f t="shared" si="4"/>
        <v>0</v>
      </c>
      <c r="U18" s="1581"/>
      <c r="V18" s="1598"/>
      <c r="W18" s="1612"/>
      <c r="X18" s="1612"/>
      <c r="Y18" s="1612"/>
      <c r="Z18" s="1612"/>
      <c r="AA18" s="1612"/>
      <c r="AB18" s="1612"/>
      <c r="AC18" s="1613">
        <f t="shared" si="0"/>
        <v>0</v>
      </c>
      <c r="AD18" s="1614">
        <f t="shared" si="1"/>
        <v>0</v>
      </c>
    </row>
    <row r="19" spans="1:30" s="250" customFormat="1" ht="16.149999999999999" hidden="1" customHeight="1" x14ac:dyDescent="0.25">
      <c r="A19" s="1606"/>
      <c r="B19" s="1606"/>
      <c r="C19" s="1606"/>
      <c r="D19" s="1606"/>
      <c r="E19" s="1609"/>
      <c r="F19" s="1609"/>
      <c r="G19" s="1609"/>
      <c r="H19" s="1609"/>
      <c r="I19" s="1609"/>
      <c r="J19" s="1609"/>
      <c r="K19" s="1609"/>
      <c r="L19" s="1609"/>
      <c r="M19" s="1609"/>
      <c r="N19" s="1609"/>
      <c r="O19" s="1609"/>
      <c r="P19" s="1609"/>
      <c r="Q19" s="1609"/>
      <c r="R19" s="1579">
        <f t="shared" si="2"/>
        <v>0</v>
      </c>
      <c r="S19" s="1579">
        <f t="shared" si="3"/>
        <v>0</v>
      </c>
      <c r="T19" s="1605">
        <f t="shared" si="4"/>
        <v>0</v>
      </c>
      <c r="U19" s="1581"/>
      <c r="V19" s="1598"/>
      <c r="W19" s="1612"/>
      <c r="X19" s="1612"/>
      <c r="Y19" s="1612"/>
      <c r="Z19" s="1612"/>
      <c r="AA19" s="1612"/>
      <c r="AB19" s="1612"/>
      <c r="AC19" s="1613">
        <f t="shared" si="0"/>
        <v>0</v>
      </c>
      <c r="AD19" s="1614">
        <f t="shared" si="1"/>
        <v>0</v>
      </c>
    </row>
    <row r="20" spans="1:30" s="250" customFormat="1" ht="16.149999999999999" hidden="1" customHeight="1" x14ac:dyDescent="0.25">
      <c r="A20" s="1606"/>
      <c r="B20" s="1606"/>
      <c r="C20" s="1606"/>
      <c r="D20" s="1606"/>
      <c r="E20" s="1609"/>
      <c r="F20" s="1609"/>
      <c r="G20" s="1609"/>
      <c r="H20" s="1609"/>
      <c r="I20" s="1609"/>
      <c r="J20" s="1609"/>
      <c r="K20" s="1609"/>
      <c r="L20" s="1609"/>
      <c r="M20" s="1609"/>
      <c r="N20" s="1609"/>
      <c r="O20" s="1609"/>
      <c r="P20" s="1609"/>
      <c r="Q20" s="1609"/>
      <c r="R20" s="1579">
        <f t="shared" si="2"/>
        <v>0</v>
      </c>
      <c r="S20" s="1579">
        <f t="shared" si="3"/>
        <v>0</v>
      </c>
      <c r="T20" s="1605">
        <f t="shared" si="4"/>
        <v>0</v>
      </c>
      <c r="U20" s="1581"/>
      <c r="V20" s="1598"/>
      <c r="W20" s="1612"/>
      <c r="X20" s="1612"/>
      <c r="Y20" s="1612"/>
      <c r="Z20" s="1612"/>
      <c r="AA20" s="1612"/>
      <c r="AB20" s="1612"/>
      <c r="AC20" s="1613">
        <f t="shared" si="0"/>
        <v>0</v>
      </c>
      <c r="AD20" s="1614">
        <f t="shared" si="1"/>
        <v>0</v>
      </c>
    </row>
    <row r="21" spans="1:30" s="250" customFormat="1" ht="16.149999999999999" customHeight="1" x14ac:dyDescent="0.25">
      <c r="A21" s="1606"/>
      <c r="B21" s="1606"/>
      <c r="C21" s="1606"/>
      <c r="D21" s="1606"/>
      <c r="E21" s="1609"/>
      <c r="F21" s="1609"/>
      <c r="G21" s="1609"/>
      <c r="H21" s="1609"/>
      <c r="I21" s="1609"/>
      <c r="J21" s="1609"/>
      <c r="K21" s="1609"/>
      <c r="L21" s="1609"/>
      <c r="M21" s="1609"/>
      <c r="N21" s="1609"/>
      <c r="O21" s="1609"/>
      <c r="P21" s="1609"/>
      <c r="Q21" s="1609"/>
      <c r="R21" s="1579">
        <f t="shared" si="2"/>
        <v>0</v>
      </c>
      <c r="S21" s="1579">
        <f t="shared" si="3"/>
        <v>0</v>
      </c>
      <c r="T21" s="1605">
        <f t="shared" si="4"/>
        <v>0</v>
      </c>
      <c r="U21" s="1580"/>
      <c r="V21" s="1598"/>
      <c r="W21" s="1612"/>
      <c r="X21" s="1612"/>
      <c r="Y21" s="1612"/>
      <c r="Z21" s="1612"/>
      <c r="AA21" s="1612"/>
      <c r="AB21" s="1612"/>
      <c r="AC21" s="1613">
        <f t="shared" si="0"/>
        <v>0</v>
      </c>
      <c r="AD21" s="1614">
        <f t="shared" si="1"/>
        <v>0</v>
      </c>
    </row>
    <row r="22" spans="1:30" s="250" customFormat="1" ht="16.149999999999999" customHeight="1" thickBot="1" x14ac:dyDescent="0.3">
      <c r="A22" s="1582"/>
      <c r="B22" s="1582"/>
      <c r="C22" s="1583">
        <f t="shared" ref="C22:T22" si="5">SUM(C8:C21)</f>
        <v>6660.71</v>
      </c>
      <c r="D22" s="1583">
        <f>SUM(D8:D21)</f>
        <v>4969.7299999999996</v>
      </c>
      <c r="E22" s="1583">
        <f t="shared" si="5"/>
        <v>6966.86</v>
      </c>
      <c r="F22" s="1583">
        <f t="shared" si="5"/>
        <v>0</v>
      </c>
      <c r="G22" s="1583">
        <f t="shared" si="5"/>
        <v>0</v>
      </c>
      <c r="H22" s="1583">
        <f t="shared" si="5"/>
        <v>75630.42</v>
      </c>
      <c r="I22" s="1583">
        <f t="shared" si="5"/>
        <v>49555.82</v>
      </c>
      <c r="J22" s="1583">
        <f t="shared" si="5"/>
        <v>0</v>
      </c>
      <c r="K22" s="1583">
        <f t="shared" si="5"/>
        <v>28793.72</v>
      </c>
      <c r="L22" s="1583">
        <f>SUM(L8:L21)</f>
        <v>6266.5099999999993</v>
      </c>
      <c r="M22" s="1583">
        <f>SUM(M8:M21)</f>
        <v>168363.11</v>
      </c>
      <c r="N22" s="1583">
        <f t="shared" si="5"/>
        <v>24777.91</v>
      </c>
      <c r="O22" s="1583">
        <f t="shared" si="5"/>
        <v>0</v>
      </c>
      <c r="P22" s="1583">
        <f t="shared" si="5"/>
        <v>0</v>
      </c>
      <c r="Q22" s="1583">
        <f t="shared" si="5"/>
        <v>0</v>
      </c>
      <c r="R22" s="1583">
        <f>SUM(R8:R21)</f>
        <v>337267.42</v>
      </c>
      <c r="S22" s="1583">
        <f t="shared" si="5"/>
        <v>107375.19</v>
      </c>
      <c r="T22" s="1610">
        <f t="shared" si="5"/>
        <v>160946.82</v>
      </c>
      <c r="U22" s="1598"/>
      <c r="V22" s="1598"/>
      <c r="AB22" s="1583">
        <f>SUM(AB7:AB21)</f>
        <v>0</v>
      </c>
      <c r="AC22" s="1583">
        <f>SUM(AC7:AC21)</f>
        <v>0</v>
      </c>
      <c r="AD22" s="1583">
        <f>SUM(AD7:AD21)</f>
        <v>-337267.42</v>
      </c>
    </row>
    <row r="23" spans="1:30" s="250" customFormat="1" ht="16.149999999999999" customHeight="1" thickTop="1" x14ac:dyDescent="0.25">
      <c r="A23" s="1582"/>
      <c r="B23" s="1582"/>
      <c r="C23" s="1582"/>
      <c r="D23" s="1582"/>
      <c r="E23" s="1599"/>
      <c r="F23" s="1599"/>
      <c r="G23" s="1599"/>
      <c r="H23" s="1599"/>
      <c r="I23" s="1599"/>
      <c r="J23" s="1599"/>
      <c r="K23" s="1599"/>
      <c r="L23" s="1599"/>
      <c r="M23" s="1599"/>
      <c r="N23" s="1599"/>
      <c r="O23" s="1599"/>
      <c r="P23" s="1599"/>
      <c r="Q23" s="1599"/>
      <c r="R23" s="1599"/>
      <c r="S23" s="1599"/>
      <c r="T23" s="1598"/>
      <c r="U23" s="1598"/>
    </row>
    <row r="24" spans="1:30" s="250" customFormat="1" ht="16.149999999999999" customHeight="1" x14ac:dyDescent="0.25">
      <c r="A24" s="1592"/>
      <c r="B24" s="1592"/>
      <c r="C24" s="1592"/>
      <c r="D24" s="1592"/>
      <c r="K24" s="1596"/>
      <c r="L24" s="1265"/>
      <c r="M24" s="1265"/>
      <c r="N24"/>
      <c r="O24"/>
      <c r="P24"/>
      <c r="Q24"/>
      <c r="R24"/>
      <c r="S24" s="1595"/>
      <c r="T24" s="1595"/>
    </row>
    <row r="25" spans="1:30" x14ac:dyDescent="0.25">
      <c r="H25" s="2330" t="s">
        <v>593</v>
      </c>
      <c r="I25" s="2331"/>
      <c r="J25" s="2331"/>
      <c r="K25" s="2331"/>
      <c r="L25" s="2331"/>
      <c r="M25" s="2332"/>
      <c r="N25"/>
      <c r="O25"/>
      <c r="P25"/>
      <c r="Q25"/>
      <c r="R25"/>
    </row>
    <row r="26" spans="1:30" x14ac:dyDescent="0.25">
      <c r="H26" s="2333"/>
      <c r="I26" s="2334"/>
      <c r="J26" s="2334"/>
      <c r="K26" s="2334"/>
      <c r="L26" s="2334"/>
      <c r="M26" s="2335"/>
    </row>
    <row r="29" spans="1:30" x14ac:dyDescent="0.25">
      <c r="I29" s="258" t="s">
        <v>1076</v>
      </c>
      <c r="J29" s="258" t="s">
        <v>1077</v>
      </c>
    </row>
    <row r="30" spans="1:30" x14ac:dyDescent="0.25">
      <c r="H30" s="258" t="s">
        <v>1071</v>
      </c>
    </row>
    <row r="31" spans="1:30" x14ac:dyDescent="0.25">
      <c r="H31" s="258" t="s">
        <v>1078</v>
      </c>
      <c r="I31" s="2246">
        <f>I22</f>
        <v>49555.82</v>
      </c>
      <c r="J31" s="2246">
        <v>20666.88</v>
      </c>
    </row>
    <row r="32" spans="1:30" x14ac:dyDescent="0.25">
      <c r="H32" s="258" t="s">
        <v>1079</v>
      </c>
      <c r="I32" s="2246">
        <f>H22</f>
        <v>75630.42</v>
      </c>
      <c r="J32" s="2246"/>
    </row>
    <row r="33" spans="8:11" x14ac:dyDescent="0.25">
      <c r="H33" s="258" t="s">
        <v>1075</v>
      </c>
      <c r="I33" s="2246">
        <f>-16704</f>
        <v>-16704</v>
      </c>
      <c r="J33" s="2246"/>
    </row>
    <row r="34" spans="8:11" x14ac:dyDescent="0.25">
      <c r="H34" s="258" t="s">
        <v>1072</v>
      </c>
      <c r="I34" s="2246">
        <f>-N22</f>
        <v>-24777.91</v>
      </c>
      <c r="J34" s="2246"/>
    </row>
    <row r="35" spans="8:11" x14ac:dyDescent="0.25">
      <c r="I35" s="2246"/>
      <c r="J35" s="2246"/>
    </row>
    <row r="36" spans="8:11" x14ac:dyDescent="0.25">
      <c r="H36" s="258" t="s">
        <v>1073</v>
      </c>
      <c r="I36" s="2246">
        <f>-I34</f>
        <v>24777.91</v>
      </c>
      <c r="J36" s="2246"/>
    </row>
    <row r="37" spans="8:11" x14ac:dyDescent="0.25">
      <c r="I37" s="2246"/>
      <c r="J37" s="2246"/>
    </row>
    <row r="38" spans="8:11" x14ac:dyDescent="0.25">
      <c r="H38" s="258" t="s">
        <v>1074</v>
      </c>
      <c r="I38" s="2246">
        <f>-I31*0.3333</f>
        <v>-16516.954805999998</v>
      </c>
      <c r="J38" s="2246">
        <f>-J31*0.3333</f>
        <v>-6888.2711040000004</v>
      </c>
      <c r="K38" s="2245">
        <f>SUM(I38:J38)</f>
        <v>-23405.225909999997</v>
      </c>
    </row>
    <row r="39" spans="8:11" ht="15.75" thickBot="1" x14ac:dyDescent="0.3">
      <c r="I39" s="2247">
        <f>SUM(I31:I38)</f>
        <v>91965.285193999996</v>
      </c>
      <c r="J39" s="2247">
        <f>SUM(J31:J38)</f>
        <v>13778.608896000002</v>
      </c>
      <c r="K39" s="2248">
        <f>SUM(I39:J39)</f>
        <v>105743.89409</v>
      </c>
    </row>
    <row r="40" spans="8:11" ht="15.75" thickTop="1" x14ac:dyDescent="0.25"/>
  </sheetData>
  <mergeCells count="4">
    <mergeCell ref="E6:T6"/>
    <mergeCell ref="H25:M26"/>
    <mergeCell ref="A2:E2"/>
    <mergeCell ref="W6:AD6"/>
  </mergeCells>
  <hyperlinks>
    <hyperlink ref="A2" location="'Index and Structure'!A1" display="The Macro Group" xr:uid="{00000000-0004-0000-1900-000000000000}"/>
    <hyperlink ref="U10" r:id="rId1" xr:uid="{8D76E918-E19E-45EE-A622-6620AF153EDF}"/>
    <hyperlink ref="U8" r:id="rId2" xr:uid="{FB85E623-852B-47C2-9116-80B0FFCF632D}"/>
    <hyperlink ref="U9" r:id="rId3" xr:uid="{F549F3C1-14B8-4722-9C7C-BAF74A1EACB2}"/>
  </hyperlinks>
  <pageMargins left="0.7" right="0.7" top="0.75" bottom="0.75" header="0.3" footer="0.3"/>
  <pageSetup paperSize="9" scale="45" orientation="landscape" r:id="rId4"/>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6191">
    <pageSetUpPr fitToPage="1"/>
  </sheetPr>
  <dimension ref="A1:J85"/>
  <sheetViews>
    <sheetView showGridLines="0" view="pageBreakPreview" topLeftCell="A37" zoomScaleNormal="50" workbookViewId="0">
      <selection activeCell="I72" sqref="I72"/>
    </sheetView>
  </sheetViews>
  <sheetFormatPr defaultColWidth="9.140625" defaultRowHeight="15" x14ac:dyDescent="0.25"/>
  <cols>
    <col min="1" max="1" width="14.5703125" style="250" customWidth="1"/>
    <col min="2" max="2" width="13.7109375" style="250" customWidth="1"/>
    <col min="3" max="3" width="13.42578125" style="250" customWidth="1"/>
    <col min="4" max="4" width="13.7109375" style="250" customWidth="1"/>
    <col min="5" max="5" width="13.28515625" style="250" customWidth="1"/>
    <col min="6" max="6" width="13.5703125" style="250" customWidth="1"/>
    <col min="7" max="7" width="16.140625" style="250" customWidth="1"/>
    <col min="8" max="8" width="16.7109375" style="250" customWidth="1"/>
    <col min="9" max="9" width="11.7109375" style="250" customWidth="1"/>
    <col min="10" max="11" width="10.42578125" style="250" customWidth="1"/>
    <col min="12" max="16384" width="9.140625" style="250"/>
  </cols>
  <sheetData>
    <row r="1" spans="1:10" ht="5.25" customHeight="1" thickBot="1" x14ac:dyDescent="0.3"/>
    <row r="2" spans="1:10" ht="19.899999999999999" customHeight="1" thickBot="1" x14ac:dyDescent="0.35">
      <c r="A2" s="2336" t="s">
        <v>44</v>
      </c>
      <c r="B2" s="2338"/>
      <c r="D2" s="1264"/>
      <c r="E2" s="1264"/>
      <c r="F2" s="251"/>
      <c r="G2" s="251"/>
      <c r="H2" s="251"/>
      <c r="I2" s="252"/>
    </row>
    <row r="3" spans="1:10" ht="27" customHeight="1" x14ac:dyDescent="0.25">
      <c r="A3" s="253"/>
    </row>
    <row r="4" spans="1:10" ht="19.5" customHeight="1" x14ac:dyDescent="0.25">
      <c r="A4" s="251"/>
    </row>
    <row r="5" spans="1:10" ht="5.25" customHeight="1" x14ac:dyDescent="0.25">
      <c r="A5" s="254"/>
      <c r="B5" s="255"/>
      <c r="C5" s="256"/>
      <c r="F5" s="254"/>
      <c r="G5" s="255"/>
      <c r="H5" s="255"/>
      <c r="I5" s="256"/>
    </row>
    <row r="6" spans="1:10" ht="14.25" customHeight="1" x14ac:dyDescent="0.25">
      <c r="A6" s="436" t="s">
        <v>40</v>
      </c>
      <c r="B6" s="258" t="str">
        <f>'Index and Structure'!B2</f>
        <v>Nicolo Superannuation fund</v>
      </c>
      <c r="C6" s="259"/>
      <c r="D6" s="1265"/>
      <c r="F6" s="979" t="s">
        <v>38</v>
      </c>
      <c r="G6" s="261" t="str">
        <f>'Index and Structure'!B5</f>
        <v>NICO0024</v>
      </c>
      <c r="I6" s="262"/>
    </row>
    <row r="7" spans="1:10" ht="14.25" customHeight="1" x14ac:dyDescent="0.25">
      <c r="A7" s="436" t="s">
        <v>45</v>
      </c>
      <c r="B7" s="258" t="str">
        <f>'Index and Structure'!F37</f>
        <v>Salary and Wages</v>
      </c>
      <c r="C7" s="259"/>
      <c r="D7" s="1265"/>
      <c r="F7" s="980" t="s">
        <v>41</v>
      </c>
      <c r="G7" s="258" t="str">
        <f>'Index and Structure'!B6</f>
        <v>Liam Aubin</v>
      </c>
      <c r="H7" s="250" t="s">
        <v>42</v>
      </c>
      <c r="I7" s="264"/>
    </row>
    <row r="8" spans="1:10" ht="14.25" customHeight="1" x14ac:dyDescent="0.25">
      <c r="A8" s="439" t="s">
        <v>46</v>
      </c>
      <c r="B8" s="266" t="str">
        <f>'Index and Structure'!B4</f>
        <v>30 June 2022</v>
      </c>
      <c r="C8" s="267"/>
      <c r="D8" s="1265"/>
      <c r="F8" s="981" t="s">
        <v>43</v>
      </c>
      <c r="G8" s="268" t="str">
        <f>'Index and Structure'!B7</f>
        <v>Nicole Bryant</v>
      </c>
      <c r="H8" s="441" t="s">
        <v>42</v>
      </c>
      <c r="I8" s="270"/>
    </row>
    <row r="9" spans="1:10" ht="15" customHeight="1" x14ac:dyDescent="0.25"/>
    <row r="10" spans="1:10" ht="30" customHeight="1" x14ac:dyDescent="0.25">
      <c r="A10" s="1260"/>
      <c r="B10" s="1261"/>
      <c r="C10" s="1261"/>
      <c r="D10" s="1261"/>
      <c r="E10" s="1261"/>
      <c r="F10" s="1261"/>
      <c r="G10" s="1261"/>
      <c r="H10" s="1261"/>
      <c r="I10" s="1262"/>
    </row>
    <row r="11" spans="1:10" s="91" customFormat="1" ht="13.5" customHeight="1" x14ac:dyDescent="0.2">
      <c r="A11" s="1458"/>
      <c r="B11" s="1459"/>
      <c r="C11" s="1459"/>
      <c r="D11" s="1459"/>
      <c r="E11" s="1459"/>
      <c r="F11" s="1459"/>
      <c r="G11" s="1460"/>
      <c r="H11" s="1459"/>
      <c r="I11" s="1461"/>
    </row>
    <row r="12" spans="1:10" s="91" customFormat="1" ht="13.5" customHeight="1" x14ac:dyDescent="0.2">
      <c r="A12" s="1462" t="str">
        <f>B7</f>
        <v>Salary and Wages</v>
      </c>
      <c r="B12" s="1463"/>
      <c r="C12" s="1464"/>
      <c r="D12" s="1464"/>
      <c r="E12" s="1464"/>
      <c r="F12" s="1464"/>
      <c r="G12" s="1464"/>
      <c r="H12" s="1464"/>
      <c r="I12" s="1465"/>
    </row>
    <row r="13" spans="1:10" s="91" customFormat="1" ht="13.5" customHeight="1" x14ac:dyDescent="0.2">
      <c r="A13" s="1462"/>
      <c r="B13" s="1463" t="s">
        <v>512</v>
      </c>
      <c r="C13" s="1464"/>
      <c r="D13" s="1464"/>
      <c r="E13" s="1464"/>
      <c r="F13" s="1464"/>
      <c r="G13" s="1464"/>
      <c r="H13" s="1464"/>
      <c r="I13" s="1465"/>
    </row>
    <row r="14" spans="1:10" s="91" customFormat="1" ht="13.5" customHeight="1" x14ac:dyDescent="0.2">
      <c r="A14" s="1466"/>
      <c r="B14" s="1467"/>
      <c r="C14" s="1467"/>
      <c r="D14" s="1467"/>
      <c r="E14" s="1467"/>
      <c r="F14" s="1467"/>
      <c r="G14" s="1467"/>
      <c r="H14" s="1467"/>
      <c r="I14" s="1468"/>
      <c r="J14" s="1455"/>
    </row>
    <row r="15" spans="1:10" s="91" customFormat="1" ht="13.5" customHeight="1" x14ac:dyDescent="0.2">
      <c r="A15" s="1466"/>
      <c r="B15" s="1467"/>
      <c r="C15" s="1467"/>
      <c r="D15" s="1467"/>
      <c r="E15" s="1467"/>
      <c r="F15" s="1467"/>
      <c r="G15" s="1469" t="s">
        <v>195</v>
      </c>
      <c r="H15" s="1467"/>
      <c r="I15" s="1095"/>
    </row>
    <row r="16" spans="1:10" s="91" customFormat="1" ht="13.5" customHeight="1" x14ac:dyDescent="0.2">
      <c r="A16" s="1470" t="s">
        <v>490</v>
      </c>
      <c r="B16" s="1467"/>
      <c r="C16" s="1467"/>
      <c r="D16" s="1467"/>
      <c r="E16" s="1467"/>
      <c r="F16" s="1467"/>
      <c r="G16" s="1469" t="s">
        <v>196</v>
      </c>
      <c r="H16" s="1467"/>
      <c r="I16" s="1095"/>
    </row>
    <row r="17" spans="1:10" s="91" customFormat="1" ht="13.5" customHeight="1" x14ac:dyDescent="0.2">
      <c r="A17" s="1471"/>
      <c r="B17" s="1469" t="s">
        <v>197</v>
      </c>
      <c r="C17" s="1469" t="s">
        <v>198</v>
      </c>
      <c r="D17" s="1469" t="s">
        <v>199</v>
      </c>
      <c r="E17" s="1469" t="s">
        <v>200</v>
      </c>
      <c r="F17" s="1469" t="s">
        <v>147</v>
      </c>
      <c r="G17" s="1469" t="s">
        <v>201</v>
      </c>
      <c r="H17" s="1469" t="s">
        <v>29</v>
      </c>
      <c r="I17" s="1095"/>
    </row>
    <row r="18" spans="1:10" s="91" customFormat="1" ht="13.5" customHeight="1" x14ac:dyDescent="0.2">
      <c r="A18" s="1471" t="s">
        <v>491</v>
      </c>
      <c r="B18" s="1472">
        <f>E27</f>
        <v>0</v>
      </c>
      <c r="C18" s="1472">
        <f>E30</f>
        <v>0</v>
      </c>
      <c r="D18" s="1472">
        <f>E33</f>
        <v>0</v>
      </c>
      <c r="E18" s="1472">
        <f>E36</f>
        <v>0</v>
      </c>
      <c r="F18" s="1473">
        <f>SUM(B18:E18)</f>
        <v>0</v>
      </c>
      <c r="G18" s="1474"/>
      <c r="H18" s="1475">
        <f>F18-G18</f>
        <v>0</v>
      </c>
      <c r="I18" s="1095"/>
    </row>
    <row r="19" spans="1:10" s="91" customFormat="1" ht="13.5" customHeight="1" x14ac:dyDescent="0.2">
      <c r="A19" s="1471" t="s">
        <v>492</v>
      </c>
      <c r="B19" s="1494">
        <f>F27</f>
        <v>0</v>
      </c>
      <c r="C19" s="1494">
        <f>F30</f>
        <v>0</v>
      </c>
      <c r="D19" s="1494">
        <f>F33</f>
        <v>0</v>
      </c>
      <c r="E19" s="1494">
        <f>F36</f>
        <v>0</v>
      </c>
      <c r="F19" s="1495">
        <f>SUM(B19:E19)</f>
        <v>0</v>
      </c>
      <c r="G19" s="1474"/>
      <c r="H19" s="1475">
        <f>F19-G19</f>
        <v>0</v>
      </c>
      <c r="I19" s="1095"/>
    </row>
    <row r="20" spans="1:10" s="91" customFormat="1" ht="13.5" customHeight="1" thickBot="1" x14ac:dyDescent="0.25">
      <c r="A20" s="1471" t="s">
        <v>493</v>
      </c>
      <c r="B20" s="1497">
        <f>B18-B19</f>
        <v>0</v>
      </c>
      <c r="C20" s="1497">
        <f>C18-C19</f>
        <v>0</v>
      </c>
      <c r="D20" s="1497">
        <f>D18-D19</f>
        <v>0</v>
      </c>
      <c r="E20" s="1497">
        <f>E18-E19</f>
        <v>0</v>
      </c>
      <c r="F20" s="1498">
        <f>SUM(B20:E20)</f>
        <v>0</v>
      </c>
      <c r="G20" s="1094"/>
      <c r="H20" s="1094"/>
      <c r="I20" s="1468"/>
      <c r="J20" s="1455"/>
    </row>
    <row r="21" spans="1:10" s="91" customFormat="1" ht="13.5" customHeight="1" thickTop="1" x14ac:dyDescent="0.2">
      <c r="A21" s="1471"/>
      <c r="B21" s="1496"/>
      <c r="C21" s="1496"/>
      <c r="D21" s="1496"/>
      <c r="E21" s="1496"/>
      <c r="F21" s="1496"/>
      <c r="G21" s="1467"/>
      <c r="H21" s="1467"/>
      <c r="I21" s="1468"/>
      <c r="J21" s="1455"/>
    </row>
    <row r="22" spans="1:10" s="91" customFormat="1" ht="13.5" customHeight="1" x14ac:dyDescent="0.2">
      <c r="A22" s="1470" t="s">
        <v>494</v>
      </c>
      <c r="B22" s="1467"/>
      <c r="C22" s="1476"/>
      <c r="D22" s="1476"/>
      <c r="E22" s="1467"/>
      <c r="F22" s="1467"/>
      <c r="G22" s="1467"/>
      <c r="H22" s="1467"/>
      <c r="I22" s="1468"/>
      <c r="J22" s="1455"/>
    </row>
    <row r="23" spans="1:10" s="91" customFormat="1" ht="13.5" customHeight="1" x14ac:dyDescent="0.2">
      <c r="A23" s="1470"/>
      <c r="B23" s="1467"/>
      <c r="C23" s="1476"/>
      <c r="D23" s="1476"/>
      <c r="E23" s="1476" t="s">
        <v>495</v>
      </c>
      <c r="F23" s="1476" t="s">
        <v>495</v>
      </c>
      <c r="G23" s="1467"/>
      <c r="H23" s="1467"/>
      <c r="I23" s="1468"/>
      <c r="J23" s="1455"/>
    </row>
    <row r="24" spans="1:10" s="91" customFormat="1" ht="13.5" customHeight="1" x14ac:dyDescent="0.2">
      <c r="A24" s="1477" t="s">
        <v>496</v>
      </c>
      <c r="B24" s="1467"/>
      <c r="C24" s="1476" t="s">
        <v>497</v>
      </c>
      <c r="D24" s="1476" t="s">
        <v>235</v>
      </c>
      <c r="E24" s="1476" t="s">
        <v>497</v>
      </c>
      <c r="F24" s="1476" t="s">
        <v>235</v>
      </c>
      <c r="G24" s="1467"/>
      <c r="H24" s="1467"/>
      <c r="I24" s="1478"/>
      <c r="J24" s="1456"/>
    </row>
    <row r="25" spans="1:10" s="91" customFormat="1" ht="13.5" customHeight="1" x14ac:dyDescent="0.2">
      <c r="A25" s="1479" t="s">
        <v>6</v>
      </c>
      <c r="B25" s="1467"/>
      <c r="C25" s="1480"/>
      <c r="D25" s="1480"/>
      <c r="E25" s="1481"/>
      <c r="F25" s="1481"/>
      <c r="G25" s="1482"/>
      <c r="H25" s="1467"/>
      <c r="I25" s="1483"/>
      <c r="J25" s="1457"/>
    </row>
    <row r="26" spans="1:10" s="91" customFormat="1" ht="13.5" customHeight="1" x14ac:dyDescent="0.2">
      <c r="A26" s="1479" t="s">
        <v>7</v>
      </c>
      <c r="B26" s="1467"/>
      <c r="C26" s="1480"/>
      <c r="D26" s="1480"/>
      <c r="E26" s="1481"/>
      <c r="F26" s="1481"/>
      <c r="G26" s="1467"/>
      <c r="H26" s="1467"/>
      <c r="I26" s="1483"/>
      <c r="J26" s="1457"/>
    </row>
    <row r="27" spans="1:10" s="91" customFormat="1" ht="13.5" customHeight="1" x14ac:dyDescent="0.2">
      <c r="A27" s="1479" t="s">
        <v>8</v>
      </c>
      <c r="B27" s="1482" t="s">
        <v>498</v>
      </c>
      <c r="C27" s="1480"/>
      <c r="D27" s="1480"/>
      <c r="E27" s="1472">
        <f>SUM(C25:C27)</f>
        <v>0</v>
      </c>
      <c r="F27" s="1472">
        <f>SUM(D25:D27)</f>
        <v>0</v>
      </c>
      <c r="G27" s="1467"/>
      <c r="H27" s="1467"/>
      <c r="I27" s="1483"/>
      <c r="J27" s="1457"/>
    </row>
    <row r="28" spans="1:10" s="91" customFormat="1" ht="13.5" customHeight="1" x14ac:dyDescent="0.2">
      <c r="A28" s="1479" t="s">
        <v>9</v>
      </c>
      <c r="B28" s="1467"/>
      <c r="C28" s="1480"/>
      <c r="D28" s="1480"/>
      <c r="E28" s="1481"/>
      <c r="F28" s="1481"/>
      <c r="G28" s="1467"/>
      <c r="H28" s="1467"/>
      <c r="I28" s="1483"/>
      <c r="J28" s="1457"/>
    </row>
    <row r="29" spans="1:10" s="91" customFormat="1" ht="13.5" customHeight="1" x14ac:dyDescent="0.2">
      <c r="A29" s="1479" t="s">
        <v>10</v>
      </c>
      <c r="B29" s="1467"/>
      <c r="C29" s="1480"/>
      <c r="D29" s="1480"/>
      <c r="E29" s="1481"/>
      <c r="F29" s="1481"/>
      <c r="G29" s="1467"/>
      <c r="H29" s="1467"/>
      <c r="I29" s="1483"/>
      <c r="J29" s="1457"/>
    </row>
    <row r="30" spans="1:10" s="91" customFormat="1" ht="13.5" customHeight="1" x14ac:dyDescent="0.2">
      <c r="A30" s="1479" t="s">
        <v>11</v>
      </c>
      <c r="B30" s="1482" t="s">
        <v>498</v>
      </c>
      <c r="C30" s="1480"/>
      <c r="D30" s="1480"/>
      <c r="E30" s="1472">
        <f>SUM(C28:C30)</f>
        <v>0</v>
      </c>
      <c r="F30" s="1472">
        <f>SUM(D28:D30)</f>
        <v>0</v>
      </c>
      <c r="G30" s="1467"/>
      <c r="H30" s="1467"/>
      <c r="I30" s="1483"/>
      <c r="J30" s="1457"/>
    </row>
    <row r="31" spans="1:10" s="91" customFormat="1" ht="13.5" customHeight="1" x14ac:dyDescent="0.2">
      <c r="A31" s="1479" t="s">
        <v>12</v>
      </c>
      <c r="B31" s="1467"/>
      <c r="C31" s="1480"/>
      <c r="D31" s="1480"/>
      <c r="E31" s="1481"/>
      <c r="F31" s="1481"/>
      <c r="G31" s="1467"/>
      <c r="H31" s="1467"/>
      <c r="I31" s="1483"/>
      <c r="J31" s="1457"/>
    </row>
    <row r="32" spans="1:10" s="91" customFormat="1" ht="13.5" customHeight="1" x14ac:dyDescent="0.2">
      <c r="A32" s="1479" t="s">
        <v>13</v>
      </c>
      <c r="B32" s="1467"/>
      <c r="C32" s="1480"/>
      <c r="D32" s="1480"/>
      <c r="E32" s="1481"/>
      <c r="F32" s="1481"/>
      <c r="G32" s="1467"/>
      <c r="H32" s="1467"/>
      <c r="I32" s="1483"/>
      <c r="J32" s="1457"/>
    </row>
    <row r="33" spans="1:10" s="91" customFormat="1" ht="13.5" customHeight="1" x14ac:dyDescent="0.2">
      <c r="A33" s="1479" t="s">
        <v>14</v>
      </c>
      <c r="B33" s="1482" t="s">
        <v>498</v>
      </c>
      <c r="C33" s="1480"/>
      <c r="D33" s="1480"/>
      <c r="E33" s="1472">
        <f>SUM(C31:C33)</f>
        <v>0</v>
      </c>
      <c r="F33" s="1472">
        <f>SUM(D31:D33)</f>
        <v>0</v>
      </c>
      <c r="G33" s="1467"/>
      <c r="H33" s="1467"/>
      <c r="I33" s="1483"/>
      <c r="J33" s="1457"/>
    </row>
    <row r="34" spans="1:10" s="91" customFormat="1" ht="13.5" customHeight="1" x14ac:dyDescent="0.2">
      <c r="A34" s="1479" t="s">
        <v>15</v>
      </c>
      <c r="B34" s="1467"/>
      <c r="C34" s="1480"/>
      <c r="D34" s="1480"/>
      <c r="E34" s="1481"/>
      <c r="F34" s="1481"/>
      <c r="G34" s="1467"/>
      <c r="H34" s="1467"/>
      <c r="I34" s="1483"/>
      <c r="J34" s="1457"/>
    </row>
    <row r="35" spans="1:10" s="91" customFormat="1" ht="13.5" customHeight="1" x14ac:dyDescent="0.2">
      <c r="A35" s="1479" t="s">
        <v>16</v>
      </c>
      <c r="B35" s="1467"/>
      <c r="C35" s="1480"/>
      <c r="D35" s="1480"/>
      <c r="E35" s="1481"/>
      <c r="F35" s="1481"/>
      <c r="G35" s="1467"/>
      <c r="H35" s="1467"/>
      <c r="I35" s="1483"/>
      <c r="J35" s="1457"/>
    </row>
    <row r="36" spans="1:10" s="91" customFormat="1" ht="13.5" customHeight="1" x14ac:dyDescent="0.2">
      <c r="A36" s="1479" t="s">
        <v>17</v>
      </c>
      <c r="B36" s="1482" t="s">
        <v>498</v>
      </c>
      <c r="C36" s="1499"/>
      <c r="D36" s="1499"/>
      <c r="E36" s="1500">
        <f>SUM(C34:C36)</f>
        <v>0</v>
      </c>
      <c r="F36" s="1500">
        <f>SUM(D34:D36)</f>
        <v>0</v>
      </c>
      <c r="G36" s="1467"/>
      <c r="H36" s="1467"/>
      <c r="I36" s="1483"/>
      <c r="J36" s="1457"/>
    </row>
    <row r="37" spans="1:10" s="91" customFormat="1" ht="13.5" customHeight="1" thickBot="1" x14ac:dyDescent="0.25">
      <c r="A37" s="1477" t="s">
        <v>33</v>
      </c>
      <c r="B37" s="1467"/>
      <c r="C37" s="1501">
        <f>SUM(C25:C36)</f>
        <v>0</v>
      </c>
      <c r="D37" s="1501">
        <f>SUM(D25:D36)</f>
        <v>0</v>
      </c>
      <c r="E37" s="1501">
        <f>SUM(E25:E36)</f>
        <v>0</v>
      </c>
      <c r="F37" s="1501">
        <f>SUM(F25:F36)</f>
        <v>0</v>
      </c>
      <c r="G37" s="1467"/>
      <c r="H37" s="1467"/>
      <c r="I37" s="1468"/>
      <c r="J37" s="1455"/>
    </row>
    <row r="38" spans="1:10" s="91" customFormat="1" ht="13.5" customHeight="1" thickTop="1" x14ac:dyDescent="0.2">
      <c r="A38" s="1471"/>
      <c r="B38" s="1467"/>
      <c r="C38" s="1496"/>
      <c r="D38" s="1496"/>
      <c r="E38" s="1496"/>
      <c r="F38" s="1496"/>
      <c r="G38" s="1467"/>
      <c r="H38" s="1467"/>
      <c r="I38" s="1468"/>
      <c r="J38" s="1455"/>
    </row>
    <row r="39" spans="1:10" s="91" customFormat="1" ht="13.5" customHeight="1" x14ac:dyDescent="0.2">
      <c r="A39" s="1470" t="s">
        <v>499</v>
      </c>
      <c r="B39" s="1467"/>
      <c r="C39" s="1467"/>
      <c r="D39" s="1467"/>
      <c r="E39" s="1467"/>
      <c r="F39" s="1467"/>
      <c r="G39" s="1467"/>
      <c r="H39" s="1467"/>
      <c r="I39" s="1468"/>
      <c r="J39" s="1455"/>
    </row>
    <row r="40" spans="1:10" s="91" customFormat="1" ht="13.5" customHeight="1" x14ac:dyDescent="0.2">
      <c r="A40" s="1471" t="s">
        <v>202</v>
      </c>
      <c r="B40" s="1467"/>
      <c r="C40" s="1467"/>
      <c r="D40" s="1467"/>
      <c r="E40" s="1484"/>
      <c r="F40" s="1467"/>
      <c r="G40" s="1467"/>
      <c r="H40" s="1467"/>
      <c r="I40" s="1468"/>
      <c r="J40" s="1455"/>
    </row>
    <row r="41" spans="1:10" s="91" customFormat="1" ht="13.5" customHeight="1" x14ac:dyDescent="0.2">
      <c r="A41" s="1471" t="s">
        <v>149</v>
      </c>
      <c r="B41" s="1467"/>
      <c r="C41" s="1467"/>
      <c r="D41" s="1467"/>
      <c r="E41" s="1502"/>
      <c r="F41" s="1467"/>
      <c r="G41" s="1467"/>
      <c r="H41" s="1467"/>
      <c r="I41" s="1468"/>
      <c r="J41" s="1455"/>
    </row>
    <row r="42" spans="1:10" s="91" customFormat="1" ht="12.75" customHeight="1" x14ac:dyDescent="0.2">
      <c r="A42" s="1471" t="s">
        <v>203</v>
      </c>
      <c r="B42" s="1467"/>
      <c r="C42" s="1467"/>
      <c r="D42" s="1467"/>
      <c r="E42" s="1503">
        <f>SUM(E40:E41)</f>
        <v>0</v>
      </c>
      <c r="F42" s="1467"/>
      <c r="G42" s="1467"/>
      <c r="H42" s="1467"/>
      <c r="I42" s="1468"/>
      <c r="J42" s="1455"/>
    </row>
    <row r="43" spans="1:10" s="91" customFormat="1" ht="12.75" customHeight="1" x14ac:dyDescent="0.2">
      <c r="A43" s="1471" t="s">
        <v>500</v>
      </c>
      <c r="B43" s="1467"/>
      <c r="C43" s="1467"/>
      <c r="D43" s="1467"/>
      <c r="E43" s="1504">
        <f>F18</f>
        <v>0</v>
      </c>
      <c r="F43" s="1467"/>
      <c r="G43" s="1467"/>
      <c r="H43" s="1467"/>
      <c r="I43" s="1468"/>
      <c r="J43" s="1455"/>
    </row>
    <row r="44" spans="1:10" s="91" customFormat="1" ht="13.5" customHeight="1" thickBot="1" x14ac:dyDescent="0.25">
      <c r="A44" s="1471" t="s">
        <v>122</v>
      </c>
      <c r="B44" s="1467"/>
      <c r="C44" s="1467"/>
      <c r="D44" s="1467"/>
      <c r="E44" s="1505">
        <f>E42-E43</f>
        <v>0</v>
      </c>
      <c r="F44" s="1467"/>
      <c r="G44" s="1467"/>
      <c r="H44" s="1467"/>
      <c r="I44" s="1468"/>
      <c r="J44" s="1455"/>
    </row>
    <row r="45" spans="1:10" s="91" customFormat="1" ht="13.5" customHeight="1" thickTop="1" x14ac:dyDescent="0.2">
      <c r="A45" s="1471"/>
      <c r="B45" s="1467"/>
      <c r="C45" s="1467"/>
      <c r="D45" s="1467"/>
      <c r="E45" s="1496"/>
      <c r="F45" s="1467"/>
      <c r="G45" s="1467"/>
      <c r="H45" s="1467"/>
      <c r="I45" s="1468"/>
      <c r="J45" s="1455"/>
    </row>
    <row r="46" spans="1:10" s="91" customFormat="1" ht="13.5" customHeight="1" x14ac:dyDescent="0.2">
      <c r="A46" s="1470" t="s">
        <v>501</v>
      </c>
      <c r="B46" s="1467"/>
      <c r="C46" s="1467"/>
      <c r="D46" s="1467"/>
      <c r="E46" s="1467"/>
      <c r="F46" s="1467"/>
      <c r="G46" s="1467"/>
      <c r="H46" s="1467"/>
      <c r="I46" s="1468"/>
      <c r="J46" s="1455"/>
    </row>
    <row r="47" spans="1:10" s="91" customFormat="1" ht="13.5" customHeight="1" x14ac:dyDescent="0.2">
      <c r="A47" s="1471" t="s">
        <v>204</v>
      </c>
      <c r="B47" s="1467"/>
      <c r="C47" s="1926">
        <v>0.1</v>
      </c>
      <c r="D47" s="1486"/>
      <c r="E47" s="1485">
        <f>C47*E42</f>
        <v>0</v>
      </c>
      <c r="F47" s="1467"/>
      <c r="G47" s="1467"/>
      <c r="H47" s="1467"/>
      <c r="I47" s="1468"/>
      <c r="J47" s="1455"/>
    </row>
    <row r="48" spans="1:10" s="91" customFormat="1" ht="13.5" customHeight="1" x14ac:dyDescent="0.2">
      <c r="A48" s="1471" t="s">
        <v>205</v>
      </c>
      <c r="B48" s="1467"/>
      <c r="C48" s="1467"/>
      <c r="D48" s="1486"/>
      <c r="E48" s="1486"/>
      <c r="F48" s="1467"/>
      <c r="G48" s="1467"/>
      <c r="H48" s="1467"/>
      <c r="I48" s="1468"/>
      <c r="J48" s="1455"/>
    </row>
    <row r="49" spans="1:10" s="91" customFormat="1" ht="13.5" customHeight="1" x14ac:dyDescent="0.2">
      <c r="A49" s="1487" t="s">
        <v>206</v>
      </c>
      <c r="B49" s="1467"/>
      <c r="C49" s="1467"/>
      <c r="D49" s="1484"/>
      <c r="E49" s="1486"/>
      <c r="F49" s="1467"/>
      <c r="G49" s="1467"/>
      <c r="H49" s="1467"/>
      <c r="I49" s="1468"/>
      <c r="J49" s="1455"/>
    </row>
    <row r="50" spans="1:10" s="91" customFormat="1" ht="13.5" customHeight="1" x14ac:dyDescent="0.2">
      <c r="A50" s="1487" t="s">
        <v>148</v>
      </c>
      <c r="B50" s="1467"/>
      <c r="C50" s="1467"/>
      <c r="D50" s="1507"/>
      <c r="E50" s="1485">
        <f>SUM(D49:D50)</f>
        <v>0</v>
      </c>
      <c r="F50" s="1467"/>
      <c r="G50" s="1467"/>
      <c r="H50" s="1467"/>
      <c r="I50" s="1468"/>
      <c r="J50" s="1455"/>
    </row>
    <row r="51" spans="1:10" s="91" customFormat="1" ht="13.5" customHeight="1" x14ac:dyDescent="0.2">
      <c r="A51" s="1471"/>
      <c r="B51" s="1467"/>
      <c r="C51" s="1467"/>
      <c r="D51" s="1506"/>
      <c r="E51" s="1508"/>
      <c r="F51" s="1467"/>
      <c r="G51" s="1467"/>
      <c r="H51" s="1467"/>
      <c r="I51" s="1468"/>
      <c r="J51" s="1455"/>
    </row>
    <row r="52" spans="1:10" s="91" customFormat="1" ht="13.5" customHeight="1" thickBot="1" x14ac:dyDescent="0.25">
      <c r="A52" s="1471" t="s">
        <v>122</v>
      </c>
      <c r="B52" s="1467"/>
      <c r="C52" s="1467"/>
      <c r="D52" s="1486"/>
      <c r="E52" s="1505">
        <f>E47-E50</f>
        <v>0</v>
      </c>
      <c r="F52" s="1467"/>
      <c r="G52" s="1467"/>
      <c r="H52" s="1467"/>
      <c r="I52" s="1468"/>
      <c r="J52" s="1455"/>
    </row>
    <row r="53" spans="1:10" ht="14.25" customHeight="1" thickTop="1" x14ac:dyDescent="0.25">
      <c r="A53" s="1471"/>
      <c r="B53" s="1467"/>
      <c r="C53" s="1467"/>
      <c r="D53" s="1486"/>
      <c r="E53" s="1506"/>
      <c r="F53" s="1467"/>
      <c r="G53" s="1467"/>
      <c r="H53" s="1467"/>
      <c r="I53" s="1468"/>
      <c r="J53" s="1455"/>
    </row>
    <row r="54" spans="1:10" ht="14.25" customHeight="1" x14ac:dyDescent="0.25">
      <c r="A54" s="1471" t="s">
        <v>502</v>
      </c>
      <c r="B54" s="1467"/>
      <c r="C54" s="1467"/>
      <c r="D54" s="1486"/>
      <c r="E54" s="1486"/>
      <c r="F54" s="1467"/>
      <c r="G54" s="1467"/>
      <c r="H54" s="1467"/>
      <c r="I54" s="1468"/>
      <c r="J54" s="1455"/>
    </row>
    <row r="55" spans="1:10" ht="14.25" customHeight="1" x14ac:dyDescent="0.25">
      <c r="A55" s="1471"/>
      <c r="B55" s="1467"/>
      <c r="C55" s="1467"/>
      <c r="D55" s="1486"/>
      <c r="E55" s="1486"/>
      <c r="F55" s="1467"/>
      <c r="G55" s="1467"/>
      <c r="H55" s="1467"/>
      <c r="I55" s="1468"/>
      <c r="J55" s="1455"/>
    </row>
    <row r="56" spans="1:10" x14ac:dyDescent="0.25">
      <c r="A56" s="1470" t="s">
        <v>503</v>
      </c>
      <c r="B56" s="1467"/>
      <c r="C56" s="1467"/>
      <c r="D56" s="1467"/>
      <c r="E56" s="1467"/>
      <c r="F56" s="1467"/>
      <c r="G56" s="1467"/>
      <c r="H56" s="1467"/>
      <c r="I56" s="1468"/>
      <c r="J56" s="1455"/>
    </row>
    <row r="57" spans="1:10" ht="13.5" customHeight="1" x14ac:dyDescent="0.25">
      <c r="A57" s="1471" t="s">
        <v>504</v>
      </c>
      <c r="B57" s="1467"/>
      <c r="C57" s="1467"/>
      <c r="D57" s="1467"/>
      <c r="E57" s="1488">
        <v>1300000</v>
      </c>
      <c r="F57" s="1482" t="s">
        <v>802</v>
      </c>
      <c r="G57" s="1467"/>
      <c r="H57" s="1467"/>
      <c r="I57" s="1468"/>
      <c r="J57" s="1455"/>
    </row>
    <row r="58" spans="1:10" ht="13.5" customHeight="1" x14ac:dyDescent="0.25">
      <c r="A58" s="1471" t="s">
        <v>505</v>
      </c>
      <c r="B58" s="1467"/>
      <c r="C58" s="1467"/>
      <c r="D58" s="1467"/>
      <c r="E58" s="1488">
        <f>E42-E57</f>
        <v>-1300000</v>
      </c>
      <c r="F58" s="1467"/>
      <c r="G58" s="1467"/>
      <c r="H58" s="1467"/>
      <c r="I58" s="1468"/>
      <c r="J58" s="1455"/>
    </row>
    <row r="59" spans="1:10" ht="13.5" customHeight="1" x14ac:dyDescent="0.25">
      <c r="A59" s="1471"/>
      <c r="B59" s="1467"/>
      <c r="C59" s="1467"/>
      <c r="D59" s="1467"/>
      <c r="E59" s="1467"/>
      <c r="F59" s="1467"/>
      <c r="G59" s="1467"/>
      <c r="H59" s="1467"/>
      <c r="I59" s="1468"/>
      <c r="J59" s="1455"/>
    </row>
    <row r="60" spans="1:10" x14ac:dyDescent="0.25">
      <c r="A60" s="1470" t="s">
        <v>506</v>
      </c>
      <c r="B60" s="1467"/>
      <c r="C60" s="1467"/>
      <c r="D60" s="1467"/>
      <c r="E60" s="1467"/>
      <c r="F60" s="1467"/>
      <c r="G60" s="1467"/>
      <c r="H60" s="1467"/>
      <c r="I60" s="1468"/>
      <c r="J60" s="1455"/>
    </row>
    <row r="61" spans="1:10" ht="13.5" customHeight="1" x14ac:dyDescent="0.25">
      <c r="A61" s="1477" t="s">
        <v>507</v>
      </c>
      <c r="B61" s="1489"/>
      <c r="C61" s="1476" t="s">
        <v>497</v>
      </c>
      <c r="D61" s="1476" t="s">
        <v>145</v>
      </c>
      <c r="E61" s="1467"/>
      <c r="F61" s="1467"/>
      <c r="G61" s="1467"/>
      <c r="H61" s="1467"/>
      <c r="I61" s="1468"/>
      <c r="J61" s="1455"/>
    </row>
    <row r="62" spans="1:10" ht="13.5" customHeight="1" x14ac:dyDescent="0.25">
      <c r="A62" s="1490"/>
      <c r="B62" s="1474"/>
      <c r="C62" s="1474"/>
      <c r="D62" s="1474"/>
      <c r="E62" s="1467"/>
      <c r="F62" s="1467"/>
      <c r="G62" s="1467"/>
      <c r="H62" s="1467"/>
      <c r="I62" s="1468"/>
      <c r="J62" s="1455"/>
    </row>
    <row r="63" spans="1:10" ht="13.5" customHeight="1" x14ac:dyDescent="0.25">
      <c r="A63" s="1490"/>
      <c r="B63" s="1474"/>
      <c r="C63" s="1474"/>
      <c r="D63" s="1474"/>
      <c r="E63" s="1467"/>
      <c r="F63" s="1467"/>
      <c r="G63" s="1467"/>
      <c r="H63" s="1467"/>
      <c r="I63" s="1468"/>
      <c r="J63" s="1455"/>
    </row>
    <row r="64" spans="1:10" ht="13.5" customHeight="1" x14ac:dyDescent="0.25">
      <c r="A64" s="1490"/>
      <c r="B64" s="1474"/>
      <c r="C64" s="1509"/>
      <c r="D64" s="1509"/>
      <c r="E64" s="1467"/>
      <c r="F64" s="1467"/>
      <c r="G64" s="1467"/>
      <c r="H64" s="1467"/>
      <c r="I64" s="1468"/>
      <c r="J64" s="1455"/>
    </row>
    <row r="65" spans="1:10" ht="15.75" thickBot="1" x14ac:dyDescent="0.3">
      <c r="A65" s="1477" t="s">
        <v>33</v>
      </c>
      <c r="B65" s="1467"/>
      <c r="C65" s="1505">
        <f>SUM(C62:C64)</f>
        <v>0</v>
      </c>
      <c r="D65" s="1505">
        <f>SUM(D62:D64)</f>
        <v>0</v>
      </c>
      <c r="E65" s="1467"/>
      <c r="F65" s="1467"/>
      <c r="G65" s="1467"/>
      <c r="H65" s="1467"/>
      <c r="I65" s="1468"/>
      <c r="J65" s="1455"/>
    </row>
    <row r="66" spans="1:10" ht="13.5" customHeight="1" thickTop="1" x14ac:dyDescent="0.25">
      <c r="A66" s="1471"/>
      <c r="B66" s="1467"/>
      <c r="C66" s="1496"/>
      <c r="D66" s="1496"/>
      <c r="E66" s="1467"/>
      <c r="F66" s="1467"/>
      <c r="G66" s="1467"/>
      <c r="H66" s="1467"/>
      <c r="I66" s="1468"/>
      <c r="J66" s="1455"/>
    </row>
    <row r="67" spans="1:10" ht="13.5" customHeight="1" x14ac:dyDescent="0.25">
      <c r="A67" s="1470" t="s">
        <v>508</v>
      </c>
      <c r="B67" s="1467"/>
      <c r="C67" s="1467"/>
      <c r="D67" s="1467"/>
      <c r="E67" s="1467"/>
      <c r="F67" s="1467"/>
      <c r="G67" s="1467"/>
      <c r="H67" s="1467"/>
      <c r="I67" s="1468"/>
      <c r="J67" s="1455"/>
    </row>
    <row r="68" spans="1:10" x14ac:dyDescent="0.25">
      <c r="A68" s="1477" t="s">
        <v>507</v>
      </c>
      <c r="B68" s="1489"/>
      <c r="C68" s="1476" t="s">
        <v>497</v>
      </c>
      <c r="D68" s="1476" t="s">
        <v>145</v>
      </c>
      <c r="E68" s="1476" t="s">
        <v>509</v>
      </c>
      <c r="F68" s="1489" t="s">
        <v>510</v>
      </c>
      <c r="G68" s="1476" t="s">
        <v>511</v>
      </c>
      <c r="H68" s="1467"/>
      <c r="I68" s="1468"/>
      <c r="J68" s="1455"/>
    </row>
    <row r="69" spans="1:10" ht="12.75" customHeight="1" x14ac:dyDescent="0.25">
      <c r="A69" s="1490"/>
      <c r="B69" s="1474"/>
      <c r="C69" s="1474"/>
      <c r="D69" s="1474"/>
      <c r="E69" s="1474"/>
      <c r="F69" s="1474"/>
      <c r="G69" s="1474"/>
      <c r="H69" s="1467"/>
      <c r="I69" s="1468"/>
      <c r="J69" s="1455"/>
    </row>
    <row r="70" spans="1:10" ht="12.75" customHeight="1" x14ac:dyDescent="0.25">
      <c r="A70" s="1490"/>
      <c r="B70" s="1474"/>
      <c r="C70" s="1474"/>
      <c r="D70" s="1474"/>
      <c r="E70" s="1474"/>
      <c r="F70" s="1474"/>
      <c r="G70" s="1474"/>
      <c r="H70" s="1467"/>
      <c r="I70" s="1468"/>
      <c r="J70" s="1455"/>
    </row>
    <row r="71" spans="1:10" ht="12.75" customHeight="1" x14ac:dyDescent="0.25">
      <c r="A71" s="1490"/>
      <c r="B71" s="1474"/>
      <c r="C71" s="1474"/>
      <c r="D71" s="1474"/>
      <c r="E71" s="1474"/>
      <c r="F71" s="1474"/>
      <c r="G71" s="1474"/>
      <c r="H71" s="1467"/>
      <c r="I71" s="1468"/>
      <c r="J71" s="1455"/>
    </row>
    <row r="72" spans="1:10" ht="12.75" customHeight="1" x14ac:dyDescent="0.25">
      <c r="A72" s="1490"/>
      <c r="B72" s="1474"/>
      <c r="C72" s="1474"/>
      <c r="D72" s="1474"/>
      <c r="E72" s="1474"/>
      <c r="F72" s="1474"/>
      <c r="G72" s="1474"/>
      <c r="H72" s="1467"/>
      <c r="I72" s="1468"/>
      <c r="J72" s="1455"/>
    </row>
    <row r="73" spans="1:10" ht="12.75" customHeight="1" x14ac:dyDescent="0.25">
      <c r="A73" s="1490"/>
      <c r="B73" s="1474"/>
      <c r="C73" s="1474"/>
      <c r="D73" s="1474"/>
      <c r="E73" s="1474"/>
      <c r="F73" s="1474"/>
      <c r="G73" s="1474"/>
      <c r="H73" s="1467"/>
      <c r="I73" s="1468"/>
      <c r="J73" s="1455"/>
    </row>
    <row r="74" spans="1:10" ht="12.75" customHeight="1" x14ac:dyDescent="0.25">
      <c r="A74" s="1490"/>
      <c r="B74" s="1474"/>
      <c r="C74" s="1474"/>
      <c r="D74" s="1474"/>
      <c r="E74" s="1474"/>
      <c r="F74" s="1474"/>
      <c r="G74" s="1474"/>
      <c r="H74" s="1467"/>
      <c r="I74" s="1468"/>
      <c r="J74" s="1455"/>
    </row>
    <row r="75" spans="1:10" ht="12.75" customHeight="1" x14ac:dyDescent="0.25">
      <c r="A75" s="1490"/>
      <c r="B75" s="1474"/>
      <c r="C75" s="1474"/>
      <c r="D75" s="1474"/>
      <c r="E75" s="1474"/>
      <c r="F75" s="1474"/>
      <c r="G75" s="1474"/>
      <c r="H75" s="1467"/>
      <c r="I75" s="1468"/>
      <c r="J75" s="1455"/>
    </row>
    <row r="76" spans="1:10" ht="12.75" customHeight="1" x14ac:dyDescent="0.25">
      <c r="A76" s="1490"/>
      <c r="B76" s="1474"/>
      <c r="C76" s="1474"/>
      <c r="D76" s="1474"/>
      <c r="E76" s="1474"/>
      <c r="F76" s="1474"/>
      <c r="G76" s="1474"/>
      <c r="H76" s="1467"/>
      <c r="I76" s="1468"/>
      <c r="J76" s="1455"/>
    </row>
    <row r="77" spans="1:10" ht="12.75" customHeight="1" x14ac:dyDescent="0.25">
      <c r="A77" s="1490"/>
      <c r="B77" s="1474"/>
      <c r="C77" s="1474"/>
      <c r="D77" s="1474"/>
      <c r="E77" s="1474"/>
      <c r="F77" s="1474"/>
      <c r="G77" s="1474"/>
      <c r="H77" s="1467"/>
      <c r="I77" s="1468"/>
      <c r="J77" s="1455"/>
    </row>
    <row r="78" spans="1:10" ht="12.75" customHeight="1" x14ac:dyDescent="0.25">
      <c r="A78" s="1490"/>
      <c r="B78" s="1474"/>
      <c r="C78" s="1474"/>
      <c r="D78" s="1474"/>
      <c r="E78" s="1474"/>
      <c r="F78" s="1474"/>
      <c r="G78" s="1474"/>
      <c r="H78" s="1467"/>
      <c r="I78" s="1468"/>
      <c r="J78" s="1455"/>
    </row>
    <row r="79" spans="1:10" ht="12.75" customHeight="1" x14ac:dyDescent="0.25">
      <c r="A79" s="1490"/>
      <c r="B79" s="1474"/>
      <c r="C79" s="1474"/>
      <c r="D79" s="1474"/>
      <c r="E79" s="1474"/>
      <c r="F79" s="1474"/>
      <c r="G79" s="1474"/>
      <c r="H79" s="1467"/>
      <c r="I79" s="1468"/>
      <c r="J79" s="1455"/>
    </row>
    <row r="80" spans="1:10" ht="12.75" customHeight="1" x14ac:dyDescent="0.25">
      <c r="A80" s="1490"/>
      <c r="B80" s="1474"/>
      <c r="C80" s="1474"/>
      <c r="D80" s="1474"/>
      <c r="E80" s="1474"/>
      <c r="F80" s="1474"/>
      <c r="G80" s="1474"/>
      <c r="H80" s="1467"/>
      <c r="I80" s="1468"/>
      <c r="J80" s="1455"/>
    </row>
    <row r="81" spans="1:10" ht="12.75" customHeight="1" x14ac:dyDescent="0.25">
      <c r="A81" s="1490"/>
      <c r="B81" s="1474"/>
      <c r="C81" s="1509"/>
      <c r="D81" s="1509"/>
      <c r="E81" s="1509"/>
      <c r="F81" s="1509"/>
      <c r="G81" s="1509"/>
      <c r="H81" s="1467"/>
      <c r="I81" s="1468"/>
      <c r="J81" s="1455"/>
    </row>
    <row r="82" spans="1:10" ht="15.75" thickBot="1" x14ac:dyDescent="0.3">
      <c r="A82" s="1477" t="s">
        <v>33</v>
      </c>
      <c r="B82" s="1467"/>
      <c r="C82" s="1511">
        <f>SUM(C69:C81)</f>
        <v>0</v>
      </c>
      <c r="D82" s="1511">
        <f>SUM(D69:D81)</f>
        <v>0</v>
      </c>
      <c r="E82" s="1511">
        <f>SUM(E69:E81)</f>
        <v>0</v>
      </c>
      <c r="F82" s="1511">
        <f>SUM(F69:F81)</f>
        <v>0</v>
      </c>
      <c r="G82" s="1511">
        <f>SUM(G69:G81)</f>
        <v>0</v>
      </c>
      <c r="H82" s="1467"/>
      <c r="I82" s="1468"/>
      <c r="J82" s="1455"/>
    </row>
    <row r="83" spans="1:10" ht="15.75" thickTop="1" x14ac:dyDescent="0.25">
      <c r="A83" s="1491"/>
      <c r="B83" s="1492"/>
      <c r="C83" s="1510"/>
      <c r="D83" s="1510"/>
      <c r="E83" s="1510"/>
      <c r="F83" s="1510"/>
      <c r="G83" s="1510"/>
      <c r="H83" s="1492"/>
      <c r="I83" s="1493"/>
      <c r="J83" s="1455"/>
    </row>
    <row r="84" spans="1:10" x14ac:dyDescent="0.25">
      <c r="J84" s="1455"/>
    </row>
    <row r="85" spans="1:10" x14ac:dyDescent="0.25">
      <c r="J85" s="1455"/>
    </row>
  </sheetData>
  <customSheetViews>
    <customSheetView guid="{F72FE543-F911-423C-A34B-9CA018DFE603}" showPageBreaks="1" showGridLines="0" printArea="1" view="pageBreakPreview" topLeftCell="A28">
      <selection activeCell="G6" sqref="G6:I8"/>
      <pageMargins left="0.74803149606299213" right="0.39370078740157483" top="0.55118110236220474" bottom="0.62992125984251968" header="0.51181102362204722" footer="0.47244094488188981"/>
      <pageSetup paperSize="9" scale="70" orientation="portrait" r:id="rId1"/>
      <headerFooter alignWithMargins="0">
        <oddFooter>&amp;LPrinted:&amp;T on &amp;D</oddFooter>
      </headerFooter>
    </customSheetView>
  </customSheetViews>
  <mergeCells count="1">
    <mergeCell ref="A2:B2"/>
  </mergeCells>
  <hyperlinks>
    <hyperlink ref="A2" location="'Index and Structure'!A1" display="The Macro Group" xr:uid="{00000000-0004-0000-2800-000000000000}"/>
  </hyperlinks>
  <pageMargins left="0.74803149606299213" right="0.39370078740157483" top="0.55118110236220474" bottom="0.62992125984251968" header="0.51181102362204722" footer="0.47244094488188981"/>
  <pageSetup paperSize="9" scale="67" orientation="portrait" r:id="rId2"/>
  <headerFooter alignWithMargins="0">
    <oddFooter>&amp;LPrinted:&amp;T on &amp;D</oddFooter>
  </headerFooter>
  <legacyDrawing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6120">
    <pageSetUpPr fitToPage="1"/>
  </sheetPr>
  <dimension ref="A1:J71"/>
  <sheetViews>
    <sheetView showGridLines="0" view="pageBreakPreview" topLeftCell="A30" zoomScaleNormal="50" workbookViewId="0">
      <selection activeCell="F52" sqref="F52"/>
    </sheetView>
  </sheetViews>
  <sheetFormatPr defaultColWidth="9.140625" defaultRowHeight="15" x14ac:dyDescent="0.25"/>
  <cols>
    <col min="1" max="1" width="17" style="537" customWidth="1"/>
    <col min="2" max="2" width="21.140625" style="537" customWidth="1"/>
    <col min="3" max="3" width="14.85546875" style="865" customWidth="1"/>
    <col min="4" max="4" width="15.5703125" style="866" customWidth="1"/>
    <col min="5" max="5" width="16.7109375" style="828" customWidth="1"/>
    <col min="6" max="6" width="10.140625" style="828" customWidth="1"/>
    <col min="7" max="7" width="16.140625" style="828" customWidth="1"/>
    <col min="8" max="8" width="16.28515625" style="828" customWidth="1"/>
    <col min="9" max="9" width="12.85546875" style="871" customWidth="1"/>
    <col min="10" max="10" width="5.85546875" style="537" customWidth="1"/>
    <col min="11" max="11" width="10.42578125" style="537" customWidth="1"/>
    <col min="12" max="16384" width="9.140625" style="537"/>
  </cols>
  <sheetData>
    <row r="1" spans="1:10" ht="19.899999999999999" customHeight="1" x14ac:dyDescent="0.3">
      <c r="A1" s="2481" t="s">
        <v>44</v>
      </c>
      <c r="B1" s="2482"/>
      <c r="C1" s="827"/>
      <c r="D1" s="878"/>
      <c r="E1" s="836"/>
      <c r="F1" s="836"/>
      <c r="G1" s="836"/>
      <c r="H1" s="836"/>
      <c r="J1" s="871"/>
    </row>
    <row r="2" spans="1:10" ht="27" customHeight="1" x14ac:dyDescent="0.25">
      <c r="A2" s="723"/>
      <c r="C2" s="826"/>
      <c r="D2" s="827"/>
    </row>
    <row r="3" spans="1:10" ht="14.25" customHeight="1" x14ac:dyDescent="0.25">
      <c r="A3" s="23" t="s">
        <v>40</v>
      </c>
      <c r="B3" s="529" t="str">
        <f>'Index and Structure'!B2</f>
        <v>Nicolo Superannuation fund</v>
      </c>
      <c r="C3" s="834"/>
      <c r="D3" s="829"/>
      <c r="E3" s="23" t="s">
        <v>38</v>
      </c>
      <c r="F3" s="24"/>
      <c r="G3" s="2118" t="str">
        <f>'Index and Structure'!B5</f>
        <v>NICO0024</v>
      </c>
      <c r="H3" s="825"/>
      <c r="I3" s="875"/>
    </row>
    <row r="4" spans="1:10" ht="14.25" customHeight="1" x14ac:dyDescent="0.25">
      <c r="A4" s="77" t="s">
        <v>45</v>
      </c>
      <c r="B4" s="881" t="str">
        <f>'Index and Structure'!A33</f>
        <v>Dividends Received</v>
      </c>
      <c r="C4" s="834"/>
      <c r="D4" s="829"/>
      <c r="E4" s="77" t="s">
        <v>41</v>
      </c>
      <c r="F4" s="19"/>
      <c r="G4" s="830" t="str">
        <f>'Index and Structure'!B6</f>
        <v>Liam Aubin</v>
      </c>
      <c r="H4" s="19" t="s">
        <v>42</v>
      </c>
      <c r="I4" s="877"/>
      <c r="J4" s="879"/>
    </row>
    <row r="5" spans="1:10" ht="14.25" customHeight="1" x14ac:dyDescent="0.25">
      <c r="A5" s="79" t="s">
        <v>46</v>
      </c>
      <c r="B5" s="882" t="str">
        <f>'Index and Structure'!B4</f>
        <v>30 June 2022</v>
      </c>
      <c r="C5" s="834"/>
      <c r="D5" s="831"/>
      <c r="E5" s="79" t="s">
        <v>43</v>
      </c>
      <c r="F5" s="81"/>
      <c r="G5" s="832" t="str">
        <f>'Index and Structure'!B7</f>
        <v>Nicole Bryant</v>
      </c>
      <c r="H5" s="81" t="s">
        <v>42</v>
      </c>
      <c r="I5" s="870"/>
    </row>
    <row r="6" spans="1:10" ht="14.25" customHeight="1" x14ac:dyDescent="0.25">
      <c r="B6" s="833"/>
      <c r="C6" s="834"/>
      <c r="D6" s="831"/>
      <c r="E6" s="835"/>
      <c r="F6" s="835"/>
    </row>
    <row r="7" spans="1:10" s="636" customFormat="1" ht="13.5" customHeight="1" x14ac:dyDescent="0.2">
      <c r="A7" s="880" t="str">
        <f>B4</f>
        <v>Dividends Received</v>
      </c>
      <c r="C7" s="842"/>
      <c r="D7" s="843"/>
      <c r="E7" s="859"/>
      <c r="F7" s="859"/>
      <c r="G7" s="844"/>
      <c r="H7" s="844"/>
      <c r="I7" s="874"/>
      <c r="J7" s="860"/>
    </row>
    <row r="8" spans="1:10" s="636" customFormat="1" ht="13.5" customHeight="1" x14ac:dyDescent="0.2">
      <c r="A8" s="860"/>
      <c r="B8" s="841"/>
      <c r="C8" s="842"/>
      <c r="D8" s="843"/>
      <c r="E8" s="844"/>
      <c r="F8" s="844"/>
      <c r="G8" s="844"/>
      <c r="H8" s="844"/>
      <c r="I8" s="874"/>
      <c r="J8" s="860"/>
    </row>
    <row r="9" spans="1:10" s="636" customFormat="1" ht="13.5" customHeight="1" x14ac:dyDescent="0.2">
      <c r="A9" s="845" t="s">
        <v>30</v>
      </c>
      <c r="B9" s="845" t="s">
        <v>52</v>
      </c>
      <c r="C9" s="846" t="s">
        <v>32</v>
      </c>
      <c r="D9" s="847" t="s">
        <v>23</v>
      </c>
      <c r="E9" s="848" t="s">
        <v>24</v>
      </c>
      <c r="F9" s="848" t="s">
        <v>657</v>
      </c>
      <c r="G9" s="848" t="s">
        <v>0</v>
      </c>
      <c r="H9" s="848" t="s">
        <v>33</v>
      </c>
      <c r="I9" s="845" t="s">
        <v>50</v>
      </c>
    </row>
    <row r="10" spans="1:10" s="636" customFormat="1" ht="13.5" customHeight="1" x14ac:dyDescent="0.25">
      <c r="A10" s="849"/>
      <c r="B10" s="850"/>
      <c r="C10" s="781"/>
      <c r="D10" s="781"/>
      <c r="E10" s="781"/>
      <c r="F10" s="1934">
        <v>0.3</v>
      </c>
      <c r="G10" s="868">
        <f>E10*(F10/(1-F10))</f>
        <v>0</v>
      </c>
      <c r="H10" s="868">
        <f>D10+E10+G10</f>
        <v>0</v>
      </c>
      <c r="I10" s="872"/>
    </row>
    <row r="11" spans="1:10" s="636" customFormat="1" ht="13.5" customHeight="1" x14ac:dyDescent="0.25">
      <c r="A11" s="851"/>
      <c r="B11" s="852"/>
      <c r="C11" s="853"/>
      <c r="D11" s="853"/>
      <c r="E11" s="853"/>
      <c r="F11" s="1934">
        <v>0.3</v>
      </c>
      <c r="G11" s="868">
        <f>E11*(F11/(1-F11))</f>
        <v>0</v>
      </c>
      <c r="H11" s="868">
        <f>D11+E11+G11</f>
        <v>0</v>
      </c>
      <c r="I11" s="872"/>
    </row>
    <row r="12" spans="1:10" s="636" customFormat="1" ht="13.5" customHeight="1" x14ac:dyDescent="0.25">
      <c r="A12" s="851"/>
      <c r="B12" s="852"/>
      <c r="C12" s="853"/>
      <c r="D12" s="853"/>
      <c r="E12" s="853"/>
      <c r="F12" s="1934">
        <v>0.3</v>
      </c>
      <c r="G12" s="868">
        <f>E12*(F12/(1-F12))</f>
        <v>0</v>
      </c>
      <c r="H12" s="868">
        <f>D12+E12+G12</f>
        <v>0</v>
      </c>
      <c r="I12" s="872"/>
    </row>
    <row r="13" spans="1:10" s="636" customFormat="1" ht="13.5" customHeight="1" x14ac:dyDescent="0.25">
      <c r="A13" s="854"/>
      <c r="B13" s="855"/>
      <c r="C13" s="867"/>
      <c r="D13" s="867">
        <f>SUBTOTAL(9,D10:D12)</f>
        <v>0</v>
      </c>
      <c r="E13" s="867">
        <f>SUBTOTAL(9,E10:E12)</f>
        <v>0</v>
      </c>
      <c r="F13" s="1935"/>
      <c r="G13" s="867">
        <f>SUBTOTAL(9,G10:G12)</f>
        <v>0</v>
      </c>
      <c r="H13" s="867">
        <f>SUBTOTAL(9,H10:H12)</f>
        <v>0</v>
      </c>
      <c r="I13" s="872"/>
    </row>
    <row r="14" spans="1:10" s="636" customFormat="1" ht="13.5" customHeight="1" x14ac:dyDescent="0.25">
      <c r="A14" s="854"/>
      <c r="B14" s="855"/>
      <c r="C14" s="856"/>
      <c r="D14" s="857"/>
      <c r="E14" s="828"/>
      <c r="F14" s="1936"/>
      <c r="G14" s="857"/>
      <c r="H14" s="857"/>
      <c r="I14" s="873"/>
    </row>
    <row r="15" spans="1:10" s="636" customFormat="1" ht="13.5" customHeight="1" x14ac:dyDescent="0.2">
      <c r="A15" s="845" t="s">
        <v>30</v>
      </c>
      <c r="B15" s="845" t="s">
        <v>52</v>
      </c>
      <c r="C15" s="846" t="s">
        <v>32</v>
      </c>
      <c r="D15" s="847" t="s">
        <v>23</v>
      </c>
      <c r="E15" s="848" t="s">
        <v>24</v>
      </c>
      <c r="F15" s="1937" t="s">
        <v>657</v>
      </c>
      <c r="G15" s="848" t="s">
        <v>0</v>
      </c>
      <c r="H15" s="848" t="s">
        <v>33</v>
      </c>
      <c r="I15" s="845" t="s">
        <v>50</v>
      </c>
    </row>
    <row r="16" spans="1:10" s="636" customFormat="1" ht="13.5" customHeight="1" x14ac:dyDescent="0.25">
      <c r="A16" s="851"/>
      <c r="B16" s="852"/>
      <c r="C16" s="853"/>
      <c r="D16" s="853"/>
      <c r="E16" s="781"/>
      <c r="F16" s="1934">
        <v>0.3</v>
      </c>
      <c r="G16" s="868">
        <f>E16*(F16/(1-F16))</f>
        <v>0</v>
      </c>
      <c r="H16" s="868">
        <f>D16+E16+G16</f>
        <v>0</v>
      </c>
      <c r="I16" s="872"/>
    </row>
    <row r="17" spans="1:9" s="636" customFormat="1" ht="13.5" customHeight="1" x14ac:dyDescent="0.25">
      <c r="A17" s="851"/>
      <c r="B17" s="852"/>
      <c r="C17" s="853"/>
      <c r="D17" s="853"/>
      <c r="E17" s="853"/>
      <c r="F17" s="1934">
        <v>0.3</v>
      </c>
      <c r="G17" s="868">
        <f>E17*(F17/(1-F17))</f>
        <v>0</v>
      </c>
      <c r="H17" s="868">
        <f>D17+E17+G17</f>
        <v>0</v>
      </c>
      <c r="I17" s="872"/>
    </row>
    <row r="18" spans="1:9" s="636" customFormat="1" ht="13.5" customHeight="1" x14ac:dyDescent="0.25">
      <c r="A18" s="851"/>
      <c r="B18" s="852"/>
      <c r="C18" s="853"/>
      <c r="D18" s="853"/>
      <c r="E18" s="853"/>
      <c r="F18" s="1934">
        <v>0.3</v>
      </c>
      <c r="G18" s="868">
        <f>E18*(F18/(1-F18))</f>
        <v>0</v>
      </c>
      <c r="H18" s="868">
        <f>D18+E18+G18</f>
        <v>0</v>
      </c>
      <c r="I18" s="872"/>
    </row>
    <row r="19" spans="1:9" s="636" customFormat="1" ht="13.5" customHeight="1" x14ac:dyDescent="0.25">
      <c r="A19" s="854"/>
      <c r="B19" s="855"/>
      <c r="C19" s="867"/>
      <c r="D19" s="867">
        <f>SUBTOTAL(9,D16:D18)</f>
        <v>0</v>
      </c>
      <c r="E19" s="867">
        <f>SUBTOTAL(9,E16:E18)</f>
        <v>0</v>
      </c>
      <c r="F19" s="1935"/>
      <c r="G19" s="867">
        <f>SUBTOTAL(9,G16:G18)</f>
        <v>0</v>
      </c>
      <c r="H19" s="867">
        <f>SUBTOTAL(9,H16:H18)</f>
        <v>0</v>
      </c>
      <c r="I19" s="872"/>
    </row>
    <row r="20" spans="1:9" s="636" customFormat="1" ht="13.5" customHeight="1" x14ac:dyDescent="0.25">
      <c r="A20" s="854"/>
      <c r="B20" s="855"/>
      <c r="C20" s="856"/>
      <c r="D20" s="857"/>
      <c r="E20" s="828"/>
      <c r="F20" s="1936"/>
      <c r="G20" s="857"/>
      <c r="H20" s="857"/>
      <c r="I20" s="873"/>
    </row>
    <row r="21" spans="1:9" s="636" customFormat="1" ht="13.5" customHeight="1" x14ac:dyDescent="0.2">
      <c r="A21" s="845" t="s">
        <v>30</v>
      </c>
      <c r="B21" s="845" t="s">
        <v>52</v>
      </c>
      <c r="C21" s="846" t="s">
        <v>32</v>
      </c>
      <c r="D21" s="847" t="s">
        <v>23</v>
      </c>
      <c r="E21" s="848" t="s">
        <v>24</v>
      </c>
      <c r="F21" s="1937" t="s">
        <v>657</v>
      </c>
      <c r="G21" s="848" t="s">
        <v>0</v>
      </c>
      <c r="H21" s="848" t="s">
        <v>33</v>
      </c>
      <c r="I21" s="845" t="s">
        <v>50</v>
      </c>
    </row>
    <row r="22" spans="1:9" s="636" customFormat="1" ht="13.5" customHeight="1" x14ac:dyDescent="0.25">
      <c r="A22" s="849"/>
      <c r="B22" s="850"/>
      <c r="C22" s="853"/>
      <c r="D22" s="853"/>
      <c r="E22" s="781"/>
      <c r="F22" s="1934">
        <v>0.3</v>
      </c>
      <c r="G22" s="868">
        <f>E22*(F22/(1-F22))</f>
        <v>0</v>
      </c>
      <c r="H22" s="868">
        <f>D22+E22+G22</f>
        <v>0</v>
      </c>
      <c r="I22" s="872"/>
    </row>
    <row r="23" spans="1:9" s="636" customFormat="1" ht="13.5" customHeight="1" x14ac:dyDescent="0.25">
      <c r="A23" s="851"/>
      <c r="B23" s="852"/>
      <c r="C23" s="853"/>
      <c r="D23" s="853"/>
      <c r="E23" s="853"/>
      <c r="F23" s="1934">
        <v>0.3</v>
      </c>
      <c r="G23" s="868">
        <f>E23*(F23/(1-F23))</f>
        <v>0</v>
      </c>
      <c r="H23" s="868">
        <f>D23+E23+G23</f>
        <v>0</v>
      </c>
      <c r="I23" s="872"/>
    </row>
    <row r="24" spans="1:9" s="636" customFormat="1" ht="13.5" customHeight="1" x14ac:dyDescent="0.25">
      <c r="A24" s="851"/>
      <c r="B24" s="852"/>
      <c r="C24" s="853"/>
      <c r="D24" s="853"/>
      <c r="E24" s="853"/>
      <c r="F24" s="1934">
        <v>0.3</v>
      </c>
      <c r="G24" s="868">
        <f>E24*(F24/(1-F24))</f>
        <v>0</v>
      </c>
      <c r="H24" s="868">
        <f>D24+E24+G24</f>
        <v>0</v>
      </c>
      <c r="I24" s="872"/>
    </row>
    <row r="25" spans="1:9" s="636" customFormat="1" ht="13.5" customHeight="1" x14ac:dyDescent="0.25">
      <c r="A25" s="854"/>
      <c r="B25" s="855"/>
      <c r="C25" s="867"/>
      <c r="D25" s="867">
        <f>SUBTOTAL(9,D22:D24)</f>
        <v>0</v>
      </c>
      <c r="E25" s="867">
        <f>SUBTOTAL(9,E22:E24)</f>
        <v>0</v>
      </c>
      <c r="F25" s="1935"/>
      <c r="G25" s="867">
        <f>SUBTOTAL(9,G22:G24)</f>
        <v>0</v>
      </c>
      <c r="H25" s="867">
        <f>SUBTOTAL(9,H22:H24)</f>
        <v>0</v>
      </c>
      <c r="I25" s="872"/>
    </row>
    <row r="26" spans="1:9" s="636" customFormat="1" ht="13.5" customHeight="1" x14ac:dyDescent="0.2">
      <c r="A26" s="840"/>
      <c r="B26" s="841"/>
      <c r="C26" s="842"/>
      <c r="D26" s="858"/>
      <c r="E26" s="844"/>
      <c r="F26" s="1938"/>
      <c r="G26" s="844"/>
      <c r="H26" s="844"/>
      <c r="I26" s="873"/>
    </row>
    <row r="27" spans="1:9" s="636" customFormat="1" ht="13.5" customHeight="1" x14ac:dyDescent="0.2">
      <c r="A27" s="845" t="s">
        <v>30</v>
      </c>
      <c r="B27" s="845" t="s">
        <v>52</v>
      </c>
      <c r="C27" s="846" t="s">
        <v>32</v>
      </c>
      <c r="D27" s="847" t="s">
        <v>23</v>
      </c>
      <c r="E27" s="848" t="s">
        <v>24</v>
      </c>
      <c r="F27" s="1937" t="s">
        <v>657</v>
      </c>
      <c r="G27" s="848" t="s">
        <v>0</v>
      </c>
      <c r="H27" s="848" t="s">
        <v>33</v>
      </c>
      <c r="I27" s="845" t="s">
        <v>50</v>
      </c>
    </row>
    <row r="28" spans="1:9" s="636" customFormat="1" ht="13.5" customHeight="1" x14ac:dyDescent="0.25">
      <c r="A28" s="851"/>
      <c r="B28" s="852"/>
      <c r="C28" s="853"/>
      <c r="D28" s="853"/>
      <c r="E28" s="781"/>
      <c r="F28" s="1934">
        <v>0.3</v>
      </c>
      <c r="G28" s="868">
        <f>E28*(F28/(1-F28))</f>
        <v>0</v>
      </c>
      <c r="H28" s="868">
        <f>D28+E28+G28</f>
        <v>0</v>
      </c>
      <c r="I28" s="872"/>
    </row>
    <row r="29" spans="1:9" s="636" customFormat="1" ht="13.5" customHeight="1" x14ac:dyDescent="0.25">
      <c r="A29" s="851"/>
      <c r="B29" s="852"/>
      <c r="C29" s="853"/>
      <c r="D29" s="853"/>
      <c r="E29" s="853"/>
      <c r="F29" s="1934">
        <v>0.3</v>
      </c>
      <c r="G29" s="868">
        <f>E29*(F29/(1-F29))</f>
        <v>0</v>
      </c>
      <c r="H29" s="868">
        <f>D29+E29+G29</f>
        <v>0</v>
      </c>
      <c r="I29" s="872"/>
    </row>
    <row r="30" spans="1:9" s="636" customFormat="1" ht="13.5" customHeight="1" x14ac:dyDescent="0.25">
      <c r="A30" s="851"/>
      <c r="B30" s="852"/>
      <c r="C30" s="853"/>
      <c r="D30" s="853"/>
      <c r="E30" s="853"/>
      <c r="F30" s="1934">
        <v>0.3</v>
      </c>
      <c r="G30" s="868">
        <f>E30*(F30/(1-F30))</f>
        <v>0</v>
      </c>
      <c r="H30" s="868">
        <f>D30+E30+G30</f>
        <v>0</v>
      </c>
      <c r="I30" s="872"/>
    </row>
    <row r="31" spans="1:9" s="636" customFormat="1" ht="13.5" customHeight="1" x14ac:dyDescent="0.25">
      <c r="A31" s="854"/>
      <c r="B31" s="855"/>
      <c r="C31" s="867"/>
      <c r="D31" s="867">
        <f>SUBTOTAL(9,D28:D30)</f>
        <v>0</v>
      </c>
      <c r="E31" s="867">
        <f>SUBTOTAL(9,E28:E30)</f>
        <v>0</v>
      </c>
      <c r="F31" s="1935"/>
      <c r="G31" s="867">
        <f>SUBTOTAL(9,G28:G30)</f>
        <v>0</v>
      </c>
      <c r="H31" s="867">
        <f>SUBTOTAL(9,H28:H30)</f>
        <v>0</v>
      </c>
      <c r="I31" s="872"/>
    </row>
    <row r="32" spans="1:9" s="636" customFormat="1" ht="13.5" customHeight="1" x14ac:dyDescent="0.2">
      <c r="A32" s="840"/>
      <c r="B32" s="841"/>
      <c r="C32" s="842"/>
      <c r="D32" s="843"/>
      <c r="E32" s="859"/>
      <c r="F32" s="1939"/>
      <c r="G32" s="859"/>
      <c r="H32" s="859"/>
      <c r="I32" s="873"/>
    </row>
    <row r="33" spans="1:9" s="636" customFormat="1" ht="13.5" customHeight="1" x14ac:dyDescent="0.2">
      <c r="A33" s="845" t="s">
        <v>30</v>
      </c>
      <c r="B33" s="845" t="s">
        <v>52</v>
      </c>
      <c r="C33" s="846" t="s">
        <v>32</v>
      </c>
      <c r="D33" s="847" t="s">
        <v>23</v>
      </c>
      <c r="E33" s="848" t="s">
        <v>24</v>
      </c>
      <c r="F33" s="1937" t="s">
        <v>657</v>
      </c>
      <c r="G33" s="848" t="s">
        <v>0</v>
      </c>
      <c r="H33" s="848" t="s">
        <v>33</v>
      </c>
      <c r="I33" s="845" t="s">
        <v>50</v>
      </c>
    </row>
    <row r="34" spans="1:9" s="636" customFormat="1" ht="13.5" customHeight="1" x14ac:dyDescent="0.25">
      <c r="A34" s="851"/>
      <c r="B34" s="852"/>
      <c r="C34" s="853"/>
      <c r="D34" s="853"/>
      <c r="E34" s="781"/>
      <c r="F34" s="1934">
        <v>0.3</v>
      </c>
      <c r="G34" s="868">
        <f>E34*(F34/(1-F34))</f>
        <v>0</v>
      </c>
      <c r="H34" s="868">
        <f>D34+E34+G34</f>
        <v>0</v>
      </c>
      <c r="I34" s="872"/>
    </row>
    <row r="35" spans="1:9" s="636" customFormat="1" ht="13.5" customHeight="1" x14ac:dyDescent="0.25">
      <c r="A35" s="851"/>
      <c r="B35" s="852"/>
      <c r="C35" s="853"/>
      <c r="D35" s="853"/>
      <c r="E35" s="853"/>
      <c r="F35" s="1934">
        <v>0.3</v>
      </c>
      <c r="G35" s="868">
        <f>E35*(F35/(1-F35))</f>
        <v>0</v>
      </c>
      <c r="H35" s="868">
        <f>D35+E35+G35</f>
        <v>0</v>
      </c>
      <c r="I35" s="872"/>
    </row>
    <row r="36" spans="1:9" s="636" customFormat="1" ht="13.5" customHeight="1" x14ac:dyDescent="0.25">
      <c r="A36" s="851"/>
      <c r="B36" s="852"/>
      <c r="C36" s="853"/>
      <c r="D36" s="853"/>
      <c r="E36" s="853"/>
      <c r="F36" s="1934">
        <v>0.3</v>
      </c>
      <c r="G36" s="868">
        <f>E36*(F36/(1-F36))</f>
        <v>0</v>
      </c>
      <c r="H36" s="868">
        <f>D36+E36+G36</f>
        <v>0</v>
      </c>
      <c r="I36" s="872"/>
    </row>
    <row r="37" spans="1:9" s="636" customFormat="1" ht="13.5" customHeight="1" x14ac:dyDescent="0.25">
      <c r="A37" s="854"/>
      <c r="B37" s="855"/>
      <c r="C37" s="867"/>
      <c r="D37" s="867">
        <f>SUBTOTAL(9,D34:D36)</f>
        <v>0</v>
      </c>
      <c r="E37" s="867">
        <f>SUBTOTAL(9,E34:E36)</f>
        <v>0</v>
      </c>
      <c r="F37" s="1935"/>
      <c r="G37" s="867">
        <f>SUBTOTAL(9,G34:G36)</f>
        <v>0</v>
      </c>
      <c r="H37" s="867">
        <f>SUBTOTAL(9,H34:H36)</f>
        <v>0</v>
      </c>
      <c r="I37" s="872"/>
    </row>
    <row r="38" spans="1:9" s="636" customFormat="1" ht="13.5" customHeight="1" x14ac:dyDescent="0.2">
      <c r="A38" s="840"/>
      <c r="B38" s="860"/>
      <c r="C38" s="842"/>
      <c r="D38" s="843"/>
      <c r="E38" s="844"/>
      <c r="F38" s="1938"/>
      <c r="G38" s="859"/>
      <c r="H38" s="859"/>
      <c r="I38" s="873"/>
    </row>
    <row r="39" spans="1:9" s="636" customFormat="1" ht="13.5" customHeight="1" x14ac:dyDescent="0.2">
      <c r="A39" s="845" t="s">
        <v>30</v>
      </c>
      <c r="B39" s="845" t="s">
        <v>52</v>
      </c>
      <c r="C39" s="846" t="s">
        <v>32</v>
      </c>
      <c r="D39" s="847" t="s">
        <v>23</v>
      </c>
      <c r="E39" s="848" t="s">
        <v>24</v>
      </c>
      <c r="F39" s="1937" t="s">
        <v>657</v>
      </c>
      <c r="G39" s="848" t="s">
        <v>0</v>
      </c>
      <c r="H39" s="848" t="s">
        <v>33</v>
      </c>
      <c r="I39" s="845" t="s">
        <v>50</v>
      </c>
    </row>
    <row r="40" spans="1:9" s="636" customFormat="1" ht="13.5" customHeight="1" x14ac:dyDescent="0.25">
      <c r="A40" s="851"/>
      <c r="B40" s="852"/>
      <c r="C40" s="853"/>
      <c r="D40" s="853"/>
      <c r="E40" s="781"/>
      <c r="F40" s="1934">
        <v>0.3</v>
      </c>
      <c r="G40" s="868">
        <f>E40*(F40/(1-F40))</f>
        <v>0</v>
      </c>
      <c r="H40" s="868">
        <f>D40+E40+G40</f>
        <v>0</v>
      </c>
      <c r="I40" s="872"/>
    </row>
    <row r="41" spans="1:9" s="636" customFormat="1" ht="13.5" customHeight="1" x14ac:dyDescent="0.25">
      <c r="A41" s="851"/>
      <c r="B41" s="852"/>
      <c r="C41" s="853"/>
      <c r="D41" s="853"/>
      <c r="E41" s="853"/>
      <c r="F41" s="1934">
        <v>0.3</v>
      </c>
      <c r="G41" s="868">
        <f>E41*(F41/(1-F41))</f>
        <v>0</v>
      </c>
      <c r="H41" s="868">
        <f>D41+E41+G41</f>
        <v>0</v>
      </c>
      <c r="I41" s="872"/>
    </row>
    <row r="42" spans="1:9" s="636" customFormat="1" ht="13.5" customHeight="1" x14ac:dyDescent="0.25">
      <c r="A42" s="851"/>
      <c r="B42" s="852"/>
      <c r="C42" s="853"/>
      <c r="D42" s="853"/>
      <c r="E42" s="853"/>
      <c r="F42" s="1934">
        <v>0.3</v>
      </c>
      <c r="G42" s="868">
        <f>E42*(F42/(1-F42))</f>
        <v>0</v>
      </c>
      <c r="H42" s="868">
        <f>D42+E42+G42</f>
        <v>0</v>
      </c>
      <c r="I42" s="872"/>
    </row>
    <row r="43" spans="1:9" s="636" customFormat="1" ht="13.5" customHeight="1" x14ac:dyDescent="0.25">
      <c r="A43" s="854"/>
      <c r="B43" s="855"/>
      <c r="C43" s="867"/>
      <c r="D43" s="867">
        <f>SUBTOTAL(9,D40:D42)</f>
        <v>0</v>
      </c>
      <c r="E43" s="867">
        <f>SUBTOTAL(9,E40:E42)</f>
        <v>0</v>
      </c>
      <c r="F43" s="1935"/>
      <c r="G43" s="867">
        <f>SUBTOTAL(9,G40:G42)</f>
        <v>0</v>
      </c>
      <c r="H43" s="867">
        <f>SUBTOTAL(9,H40:H42)</f>
        <v>0</v>
      </c>
      <c r="I43" s="872"/>
    </row>
    <row r="44" spans="1:9" s="636" customFormat="1" ht="13.5" customHeight="1" x14ac:dyDescent="0.25">
      <c r="A44" s="854"/>
      <c r="B44" s="855"/>
      <c r="C44" s="856"/>
      <c r="D44" s="857"/>
      <c r="E44" s="857"/>
      <c r="F44" s="1940"/>
      <c r="G44" s="857"/>
      <c r="H44" s="857"/>
      <c r="I44" s="873"/>
    </row>
    <row r="45" spans="1:9" s="636" customFormat="1" ht="13.5" customHeight="1" x14ac:dyDescent="0.2">
      <c r="A45" s="845" t="s">
        <v>30</v>
      </c>
      <c r="B45" s="845" t="s">
        <v>52</v>
      </c>
      <c r="C45" s="846" t="s">
        <v>32</v>
      </c>
      <c r="D45" s="847" t="s">
        <v>23</v>
      </c>
      <c r="E45" s="848" t="s">
        <v>24</v>
      </c>
      <c r="F45" s="1937" t="s">
        <v>657</v>
      </c>
      <c r="G45" s="848" t="s">
        <v>0</v>
      </c>
      <c r="H45" s="848" t="s">
        <v>33</v>
      </c>
      <c r="I45" s="845" t="s">
        <v>50</v>
      </c>
    </row>
    <row r="46" spans="1:9" s="636" customFormat="1" ht="13.5" customHeight="1" x14ac:dyDescent="0.25">
      <c r="A46" s="849"/>
      <c r="B46" s="850"/>
      <c r="C46" s="781"/>
      <c r="D46" s="781"/>
      <c r="E46" s="781"/>
      <c r="F46" s="1934">
        <v>0.3</v>
      </c>
      <c r="G46" s="868">
        <f>E46*(F46/(1-F46))</f>
        <v>0</v>
      </c>
      <c r="H46" s="868">
        <f>D46+E46+G46</f>
        <v>0</v>
      </c>
      <c r="I46" s="872"/>
    </row>
    <row r="47" spans="1:9" s="636" customFormat="1" ht="13.5" customHeight="1" x14ac:dyDescent="0.25">
      <c r="A47" s="851"/>
      <c r="B47" s="852"/>
      <c r="C47" s="853"/>
      <c r="D47" s="853"/>
      <c r="E47" s="853"/>
      <c r="F47" s="1934">
        <v>0.3</v>
      </c>
      <c r="G47" s="868">
        <f>E47*(F47/(1-F47))</f>
        <v>0</v>
      </c>
      <c r="H47" s="868">
        <f>D47+E47+G47</f>
        <v>0</v>
      </c>
      <c r="I47" s="872"/>
    </row>
    <row r="48" spans="1:9" s="636" customFormat="1" ht="13.5" customHeight="1" x14ac:dyDescent="0.25">
      <c r="A48" s="851"/>
      <c r="B48" s="852"/>
      <c r="C48" s="853"/>
      <c r="D48" s="853"/>
      <c r="E48" s="853"/>
      <c r="F48" s="1934">
        <v>0.3</v>
      </c>
      <c r="G48" s="868">
        <f>E48*(F48/(1-F48))</f>
        <v>0</v>
      </c>
      <c r="H48" s="868">
        <f>D48+E48+G48</f>
        <v>0</v>
      </c>
      <c r="I48" s="872"/>
    </row>
    <row r="49" spans="1:9" s="636" customFormat="1" ht="13.5" customHeight="1" x14ac:dyDescent="0.25">
      <c r="A49" s="854"/>
      <c r="B49" s="855"/>
      <c r="C49" s="867"/>
      <c r="D49" s="867">
        <f>SUBTOTAL(9,D46:D48)</f>
        <v>0</v>
      </c>
      <c r="E49" s="867">
        <f>SUBTOTAL(9,E46:E48)</f>
        <v>0</v>
      </c>
      <c r="F49" s="1935"/>
      <c r="G49" s="867">
        <f>SUBTOTAL(9,G46:G48)</f>
        <v>0</v>
      </c>
      <c r="H49" s="867">
        <f>SUBTOTAL(9,H46:H48)</f>
        <v>0</v>
      </c>
      <c r="I49" s="872"/>
    </row>
    <row r="50" spans="1:9" s="636" customFormat="1" ht="13.5" customHeight="1" x14ac:dyDescent="0.2">
      <c r="A50" s="840"/>
      <c r="B50" s="860"/>
      <c r="C50" s="842"/>
      <c r="D50" s="843"/>
      <c r="E50" s="844"/>
      <c r="F50" s="1938"/>
      <c r="G50" s="859"/>
      <c r="H50" s="859"/>
      <c r="I50" s="873"/>
    </row>
    <row r="51" spans="1:9" s="636" customFormat="1" ht="13.5" customHeight="1" x14ac:dyDescent="0.2">
      <c r="A51" s="845" t="s">
        <v>30</v>
      </c>
      <c r="B51" s="845" t="s">
        <v>52</v>
      </c>
      <c r="C51" s="846" t="s">
        <v>32</v>
      </c>
      <c r="D51" s="847" t="s">
        <v>23</v>
      </c>
      <c r="E51" s="848" t="s">
        <v>24</v>
      </c>
      <c r="F51" s="1937" t="s">
        <v>657</v>
      </c>
      <c r="G51" s="848" t="s">
        <v>0</v>
      </c>
      <c r="H51" s="848" t="s">
        <v>33</v>
      </c>
      <c r="I51" s="845" t="s">
        <v>50</v>
      </c>
    </row>
    <row r="52" spans="1:9" s="636" customFormat="1" ht="13.5" customHeight="1" x14ac:dyDescent="0.25">
      <c r="A52" s="851"/>
      <c r="B52" s="852"/>
      <c r="C52" s="853"/>
      <c r="D52" s="853"/>
      <c r="E52" s="781"/>
      <c r="F52" s="1934">
        <v>0.3</v>
      </c>
      <c r="G52" s="868">
        <f>E52*(F52/(1-F52))</f>
        <v>0</v>
      </c>
      <c r="H52" s="868">
        <f>D52+E52+G52</f>
        <v>0</v>
      </c>
      <c r="I52" s="872"/>
    </row>
    <row r="53" spans="1:9" s="636" customFormat="1" ht="13.5" customHeight="1" x14ac:dyDescent="0.25">
      <c r="A53" s="851"/>
      <c r="B53" s="852"/>
      <c r="C53" s="853"/>
      <c r="D53" s="853"/>
      <c r="E53" s="853"/>
      <c r="F53" s="1934">
        <v>0.3</v>
      </c>
      <c r="G53" s="868">
        <f>E53*(F53/(1-F53))</f>
        <v>0</v>
      </c>
      <c r="H53" s="868">
        <f>D53+E53+G53</f>
        <v>0</v>
      </c>
      <c r="I53" s="872"/>
    </row>
    <row r="54" spans="1:9" s="636" customFormat="1" ht="13.5" customHeight="1" x14ac:dyDescent="0.25">
      <c r="A54" s="851"/>
      <c r="B54" s="852"/>
      <c r="C54" s="853"/>
      <c r="D54" s="853"/>
      <c r="E54" s="853"/>
      <c r="F54" s="1934">
        <v>0.3</v>
      </c>
      <c r="G54" s="868">
        <f>E54*(F54/(1-F54))</f>
        <v>0</v>
      </c>
      <c r="H54" s="868">
        <f>D54+E54+G54</f>
        <v>0</v>
      </c>
      <c r="I54" s="872"/>
    </row>
    <row r="55" spans="1:9" s="636" customFormat="1" ht="13.5" customHeight="1" x14ac:dyDescent="0.25">
      <c r="A55" s="854"/>
      <c r="B55" s="855"/>
      <c r="C55" s="867">
        <f>SUBTOTAL(9,C52:C54)</f>
        <v>0</v>
      </c>
      <c r="D55" s="867">
        <f>SUBTOTAL(9,D52:D54)</f>
        <v>0</v>
      </c>
      <c r="E55" s="867">
        <f>SUBTOTAL(9,E52:E54)</f>
        <v>0</v>
      </c>
      <c r="F55" s="1935"/>
      <c r="G55" s="867">
        <f>SUBTOTAL(9,G52:G54)</f>
        <v>0</v>
      </c>
      <c r="H55" s="867">
        <f>SUBTOTAL(9,H52:H54)</f>
        <v>0</v>
      </c>
      <c r="I55" s="872"/>
    </row>
    <row r="56" spans="1:9" s="636" customFormat="1" ht="13.5" customHeight="1" x14ac:dyDescent="0.25">
      <c r="A56" s="854"/>
      <c r="B56" s="855"/>
      <c r="C56" s="856"/>
      <c r="D56" s="857"/>
      <c r="E56" s="857"/>
      <c r="F56" s="1940"/>
      <c r="G56" s="857"/>
      <c r="H56" s="857"/>
      <c r="I56" s="873"/>
    </row>
    <row r="57" spans="1:9" s="636" customFormat="1" ht="13.5" customHeight="1" x14ac:dyDescent="0.2">
      <c r="A57" s="845" t="s">
        <v>30</v>
      </c>
      <c r="B57" s="845" t="s">
        <v>52</v>
      </c>
      <c r="C57" s="846" t="s">
        <v>32</v>
      </c>
      <c r="D57" s="847" t="s">
        <v>23</v>
      </c>
      <c r="E57" s="848" t="s">
        <v>24</v>
      </c>
      <c r="F57" s="1937" t="s">
        <v>657</v>
      </c>
      <c r="G57" s="848" t="s">
        <v>0</v>
      </c>
      <c r="H57" s="848" t="s">
        <v>33</v>
      </c>
      <c r="I57" s="845" t="s">
        <v>50</v>
      </c>
    </row>
    <row r="58" spans="1:9" s="636" customFormat="1" ht="13.5" customHeight="1" x14ac:dyDescent="0.25">
      <c r="A58" s="851"/>
      <c r="B58" s="852"/>
      <c r="C58" s="853"/>
      <c r="D58" s="853"/>
      <c r="E58" s="781"/>
      <c r="F58" s="1934">
        <v>0.3</v>
      </c>
      <c r="G58" s="868">
        <f>E58*(F58/(1-F58))</f>
        <v>0</v>
      </c>
      <c r="H58" s="868">
        <f>D58+E58+G58</f>
        <v>0</v>
      </c>
      <c r="I58" s="872"/>
    </row>
    <row r="59" spans="1:9" s="636" customFormat="1" ht="13.5" customHeight="1" x14ac:dyDescent="0.25">
      <c r="A59" s="851"/>
      <c r="B59" s="852"/>
      <c r="C59" s="853"/>
      <c r="D59" s="853"/>
      <c r="E59" s="853"/>
      <c r="F59" s="1934">
        <v>0.3</v>
      </c>
      <c r="G59" s="868">
        <f>E59*(F59/(1-F59))</f>
        <v>0</v>
      </c>
      <c r="H59" s="868">
        <f>D59+E59+G59</f>
        <v>0</v>
      </c>
      <c r="I59" s="872"/>
    </row>
    <row r="60" spans="1:9" s="636" customFormat="1" ht="13.5" customHeight="1" x14ac:dyDescent="0.25">
      <c r="A60" s="851"/>
      <c r="B60" s="852"/>
      <c r="C60" s="853"/>
      <c r="D60" s="853"/>
      <c r="E60" s="853"/>
      <c r="F60" s="1934">
        <v>0.3</v>
      </c>
      <c r="G60" s="868">
        <f>E60*(F60/(1-F60))</f>
        <v>0</v>
      </c>
      <c r="H60" s="868">
        <f>D60+E60+G60</f>
        <v>0</v>
      </c>
      <c r="I60" s="872"/>
    </row>
    <row r="61" spans="1:9" s="636" customFormat="1" ht="13.5" customHeight="1" x14ac:dyDescent="0.25">
      <c r="A61" s="854"/>
      <c r="B61" s="855"/>
      <c r="C61" s="867">
        <f>SUBTOTAL(9,C58:C60)</f>
        <v>0</v>
      </c>
      <c r="D61" s="867">
        <f>SUBTOTAL(9,D58:D60)</f>
        <v>0</v>
      </c>
      <c r="E61" s="867">
        <f>SUBTOTAL(9,E58:E60)</f>
        <v>0</v>
      </c>
      <c r="F61" s="1935"/>
      <c r="G61" s="867">
        <f>SUBTOTAL(9,G58:G60)</f>
        <v>0</v>
      </c>
      <c r="H61" s="867">
        <f>SUBTOTAL(9,H58:H60)</f>
        <v>0</v>
      </c>
      <c r="I61" s="872"/>
    </row>
    <row r="62" spans="1:9" s="636" customFormat="1" ht="13.5" customHeight="1" x14ac:dyDescent="0.25">
      <c r="A62" s="854"/>
      <c r="B62" s="855"/>
      <c r="C62" s="856"/>
      <c r="D62" s="857"/>
      <c r="E62" s="857"/>
      <c r="F62" s="1940"/>
      <c r="G62" s="857"/>
      <c r="H62" s="857"/>
      <c r="I62" s="873"/>
    </row>
    <row r="63" spans="1:9" s="636" customFormat="1" ht="13.5" customHeight="1" x14ac:dyDescent="0.2">
      <c r="A63" s="845" t="s">
        <v>30</v>
      </c>
      <c r="B63" s="845" t="s">
        <v>52</v>
      </c>
      <c r="C63" s="846" t="s">
        <v>32</v>
      </c>
      <c r="D63" s="847" t="s">
        <v>23</v>
      </c>
      <c r="E63" s="848" t="s">
        <v>24</v>
      </c>
      <c r="F63" s="1937" t="s">
        <v>657</v>
      </c>
      <c r="G63" s="848" t="s">
        <v>0</v>
      </c>
      <c r="H63" s="848" t="s">
        <v>33</v>
      </c>
      <c r="I63" s="845" t="s">
        <v>50</v>
      </c>
    </row>
    <row r="64" spans="1:9" s="636" customFormat="1" ht="13.5" customHeight="1" x14ac:dyDescent="0.25">
      <c r="A64" s="851"/>
      <c r="B64" s="852"/>
      <c r="C64" s="853"/>
      <c r="D64" s="853"/>
      <c r="E64" s="781"/>
      <c r="F64" s="1934">
        <v>0.3</v>
      </c>
      <c r="G64" s="868">
        <f>E64*(F64/(1-F64))</f>
        <v>0</v>
      </c>
      <c r="H64" s="868">
        <f>D64+E64+G64</f>
        <v>0</v>
      </c>
      <c r="I64" s="872"/>
    </row>
    <row r="65" spans="1:10" s="636" customFormat="1" ht="13.5" customHeight="1" x14ac:dyDescent="0.25">
      <c r="A65" s="851"/>
      <c r="B65" s="852"/>
      <c r="C65" s="853"/>
      <c r="D65" s="853"/>
      <c r="E65" s="853"/>
      <c r="F65" s="1934">
        <v>0.3</v>
      </c>
      <c r="G65" s="868">
        <f>E65*(F65/(1-F65))</f>
        <v>0</v>
      </c>
      <c r="H65" s="868">
        <f>D65+E65+G65</f>
        <v>0</v>
      </c>
      <c r="I65" s="872"/>
    </row>
    <row r="66" spans="1:10" s="636" customFormat="1" ht="13.5" customHeight="1" x14ac:dyDescent="0.25">
      <c r="A66" s="851"/>
      <c r="B66" s="852"/>
      <c r="C66" s="853"/>
      <c r="D66" s="853"/>
      <c r="E66" s="853"/>
      <c r="F66" s="1934">
        <v>0.3</v>
      </c>
      <c r="G66" s="868">
        <f>E66*(F66/(1-F66))</f>
        <v>0</v>
      </c>
      <c r="H66" s="868">
        <f>D66+E66+G66</f>
        <v>0</v>
      </c>
      <c r="I66" s="872"/>
    </row>
    <row r="67" spans="1:10" s="636" customFormat="1" ht="13.5" customHeight="1" x14ac:dyDescent="0.25">
      <c r="A67" s="854"/>
      <c r="B67" s="855"/>
      <c r="C67" s="867">
        <f>SUBTOTAL(9,C64:C66)</f>
        <v>0</v>
      </c>
      <c r="D67" s="867">
        <f>SUBTOTAL(9,D64:D66)</f>
        <v>0</v>
      </c>
      <c r="E67" s="867">
        <f>SUBTOTAL(9,E64:E66)</f>
        <v>0</v>
      </c>
      <c r="F67" s="867"/>
      <c r="G67" s="867">
        <f>SUBTOTAL(9,G64:G66)</f>
        <v>0</v>
      </c>
      <c r="H67" s="867">
        <f>SUBTOTAL(9,H64:H66)</f>
        <v>0</v>
      </c>
      <c r="I67" s="872"/>
    </row>
    <row r="68" spans="1:10" s="636" customFormat="1" ht="13.5" customHeight="1" x14ac:dyDescent="0.25">
      <c r="A68" s="854"/>
      <c r="B68" s="855"/>
      <c r="C68" s="2119"/>
      <c r="D68" s="2119"/>
      <c r="E68" s="2119"/>
      <c r="F68" s="2119"/>
      <c r="G68" s="2119"/>
      <c r="H68" s="2119"/>
      <c r="I68" s="2120"/>
      <c r="J68" s="860"/>
    </row>
    <row r="69" spans="1:10" s="636" customFormat="1" ht="13.5" customHeight="1" x14ac:dyDescent="0.25">
      <c r="A69" s="854"/>
      <c r="B69" s="855"/>
      <c r="C69" s="2119"/>
      <c r="D69" s="2119"/>
      <c r="E69" s="2119"/>
      <c r="F69" s="2119"/>
      <c r="G69" s="2119"/>
      <c r="H69" s="2119"/>
      <c r="I69" s="2121"/>
      <c r="J69" s="860"/>
    </row>
    <row r="70" spans="1:10" s="636" customFormat="1" ht="13.5" customHeight="1" x14ac:dyDescent="0.2">
      <c r="A70" s="861" t="s">
        <v>146</v>
      </c>
      <c r="B70" s="862"/>
      <c r="C70" s="869">
        <f>SUBTOTAL(9,C9:C67)</f>
        <v>0</v>
      </c>
      <c r="D70" s="869">
        <f>SUBTOTAL(9,D9:D67)</f>
        <v>0</v>
      </c>
      <c r="E70" s="869">
        <f>SUBTOTAL(9,E9:E67)</f>
        <v>0</v>
      </c>
      <c r="F70" s="869"/>
      <c r="G70" s="869">
        <f>SUBTOTAL(9,G9:G67)</f>
        <v>0</v>
      </c>
      <c r="H70" s="869">
        <f>SUBTOTAL(9,H9:H67)</f>
        <v>0</v>
      </c>
      <c r="I70" s="873"/>
      <c r="J70" s="860"/>
    </row>
    <row r="71" spans="1:10" s="636" customFormat="1" ht="13.5" customHeight="1" x14ac:dyDescent="0.2">
      <c r="A71" s="863"/>
      <c r="B71" s="864"/>
      <c r="C71" s="837"/>
      <c r="D71" s="838"/>
      <c r="E71" s="839"/>
      <c r="F71" s="839"/>
      <c r="G71" s="839"/>
      <c r="H71" s="839"/>
      <c r="I71" s="876"/>
    </row>
  </sheetData>
  <mergeCells count="1">
    <mergeCell ref="A1:B1"/>
  </mergeCells>
  <dataValidations count="1">
    <dataValidation type="list" allowBlank="1" showInputMessage="1" showErrorMessage="1" sqref="F10:F12 F16:F18 F22:F24 F28:F30 F34:F36 F40:F42 F46:F48 F52:F54 F58:F60 F64:F66" xr:uid="{0A82B29C-7BF6-45F0-B530-B5B2B2136A36}">
      <formula1>"25%,26%,27.5%,28.5%,30%"</formula1>
    </dataValidation>
  </dataValidations>
  <hyperlinks>
    <hyperlink ref="A1" location="'Index and Structure'!A1" display="The Macro Group" xr:uid="{00000000-0004-0000-1A00-000000000000}"/>
  </hyperlinks>
  <pageMargins left="0.74803149606299213" right="0.39370078740157483" top="0.55118110236220474" bottom="0.62992125984251968" header="0.51181102362204722" footer="0.47244094488188981"/>
  <pageSetup paperSize="9" scale="63" orientation="portrait" r:id="rId1"/>
  <headerFooter alignWithMargins="0">
    <oddFooter>&amp;LPrinted:&amp;T on &amp;D</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6150"/>
  <dimension ref="A1:H46"/>
  <sheetViews>
    <sheetView showGridLines="0" view="pageBreakPreview" zoomScaleNormal="100" zoomScaleSheetLayoutView="100" workbookViewId="0">
      <selection activeCell="E23" sqref="E23"/>
    </sheetView>
  </sheetViews>
  <sheetFormatPr defaultColWidth="9.140625" defaultRowHeight="15" x14ac:dyDescent="0.25"/>
  <cols>
    <col min="1" max="1" width="13.140625" style="250" customWidth="1"/>
    <col min="2" max="3" width="11.42578125" style="250" customWidth="1"/>
    <col min="4" max="4" width="12.5703125" style="250" customWidth="1"/>
    <col min="5" max="5" width="15.5703125" style="250" customWidth="1"/>
    <col min="6" max="6" width="19.140625" style="250" customWidth="1"/>
    <col min="7" max="7" width="11.28515625" style="250" customWidth="1"/>
    <col min="8" max="8" width="8.85546875" style="250" customWidth="1"/>
    <col min="9" max="10" width="10.42578125" style="250" customWidth="1"/>
    <col min="11" max="16384" width="9.140625" style="250"/>
  </cols>
  <sheetData>
    <row r="1" spans="1:8" ht="5.25" customHeight="1" thickBot="1" x14ac:dyDescent="0.3"/>
    <row r="2" spans="1:8" ht="19.899999999999999" customHeight="1" thickBot="1" x14ac:dyDescent="0.35">
      <c r="A2" s="2336" t="s">
        <v>44</v>
      </c>
      <c r="B2" s="2337"/>
      <c r="C2" s="2338"/>
      <c r="D2" s="251"/>
      <c r="E2" s="251"/>
      <c r="F2" s="251"/>
      <c r="G2" s="251"/>
      <c r="H2" s="252"/>
    </row>
    <row r="3" spans="1:8" ht="27" customHeight="1" x14ac:dyDescent="0.25">
      <c r="A3" s="253"/>
    </row>
    <row r="4" spans="1:8" ht="19.5" customHeight="1" x14ac:dyDescent="0.25">
      <c r="A4" s="251"/>
    </row>
    <row r="5" spans="1:8" ht="5.25" customHeight="1" x14ac:dyDescent="0.25">
      <c r="A5" s="254"/>
      <c r="B5" s="255"/>
      <c r="C5" s="256"/>
      <c r="E5" s="254"/>
      <c r="F5" s="255"/>
      <c r="G5" s="255"/>
      <c r="H5" s="256"/>
    </row>
    <row r="6" spans="1:8" ht="14.25" customHeight="1" x14ac:dyDescent="0.25">
      <c r="A6" s="257" t="s">
        <v>40</v>
      </c>
      <c r="B6" s="258" t="str">
        <f>'Index and Structure'!B2</f>
        <v>Nicolo Superannuation fund</v>
      </c>
      <c r="C6" s="966"/>
      <c r="D6" s="967"/>
      <c r="E6" s="968" t="s">
        <v>38</v>
      </c>
      <c r="F6" s="261" t="str">
        <f>'Index and Structure'!B5</f>
        <v>NICO0024</v>
      </c>
      <c r="H6" s="262"/>
    </row>
    <row r="7" spans="1:8" ht="14.25" customHeight="1" x14ac:dyDescent="0.25">
      <c r="A7" s="257" t="s">
        <v>45</v>
      </c>
      <c r="B7" s="250" t="str">
        <f>'Index and Structure'!A34</f>
        <v>FBT Contributions</v>
      </c>
      <c r="C7" s="966"/>
      <c r="D7" s="967"/>
      <c r="E7" s="969" t="s">
        <v>41</v>
      </c>
      <c r="F7" s="258" t="str">
        <f>'Index and Structure'!B6</f>
        <v>Liam Aubin</v>
      </c>
      <c r="G7" s="263"/>
      <c r="H7" s="264">
        <f ca="1">TODAY()</f>
        <v>45044</v>
      </c>
    </row>
    <row r="8" spans="1:8" ht="14.25" customHeight="1" x14ac:dyDescent="0.25">
      <c r="A8" s="265" t="s">
        <v>46</v>
      </c>
      <c r="B8" s="970" t="str">
        <f>'Index and Structure'!B4</f>
        <v>30 June 2022</v>
      </c>
      <c r="C8" s="971"/>
      <c r="D8" s="967"/>
      <c r="E8" s="972" t="s">
        <v>43</v>
      </c>
      <c r="F8" s="268" t="str">
        <f>'Index and Structure'!B7</f>
        <v>Nicole Bryant</v>
      </c>
      <c r="G8" s="269" t="s">
        <v>42</v>
      </c>
      <c r="H8" s="270"/>
    </row>
    <row r="9" spans="1:8" ht="9.75" customHeight="1" x14ac:dyDescent="0.25"/>
    <row r="10" spans="1:8" ht="30" customHeight="1" x14ac:dyDescent="0.25">
      <c r="A10" s="271"/>
      <c r="B10" s="272"/>
      <c r="C10" s="272"/>
      <c r="D10" s="272"/>
      <c r="E10" s="272"/>
      <c r="F10" s="273">
        <f>'Index and Structure'!D4</f>
        <v>2022</v>
      </c>
      <c r="G10" s="272"/>
      <c r="H10" s="274"/>
    </row>
    <row r="11" spans="1:8" s="91" customFormat="1" ht="13.5" customHeight="1" x14ac:dyDescent="0.2">
      <c r="A11" s="974"/>
      <c r="B11" s="975"/>
      <c r="C11" s="975"/>
      <c r="D11" s="975"/>
      <c r="E11" s="976"/>
      <c r="F11" s="975"/>
      <c r="G11" s="989"/>
      <c r="H11" s="977"/>
    </row>
    <row r="12" spans="1:8" s="91" customFormat="1" ht="13.5" customHeight="1" thickBot="1" x14ac:dyDescent="0.25">
      <c r="A12" s="1266" t="str">
        <f>B7</f>
        <v>FBT Contributions</v>
      </c>
      <c r="B12" s="1263"/>
      <c r="C12" s="280"/>
      <c r="D12" s="280"/>
      <c r="E12" s="280"/>
      <c r="F12" s="963">
        <f>F30</f>
        <v>0</v>
      </c>
      <c r="G12" s="287"/>
      <c r="H12" s="282"/>
    </row>
    <row r="13" spans="1:8" s="91" customFormat="1" ht="13.5" customHeight="1" thickTop="1" x14ac:dyDescent="0.2">
      <c r="A13" s="283"/>
      <c r="B13" s="280"/>
      <c r="C13" s="280"/>
      <c r="D13" s="280"/>
      <c r="E13" s="280"/>
      <c r="F13" s="284"/>
      <c r="G13" s="287"/>
      <c r="H13" s="282"/>
    </row>
    <row r="14" spans="1:8" s="91" customFormat="1" ht="13.5" customHeight="1" x14ac:dyDescent="0.2">
      <c r="A14" s="283"/>
      <c r="B14" s="280"/>
      <c r="C14" s="285"/>
      <c r="D14" s="286"/>
      <c r="E14" s="280"/>
      <c r="F14" s="287"/>
      <c r="G14" s="287"/>
      <c r="H14" s="288"/>
    </row>
    <row r="15" spans="1:8" s="91" customFormat="1" ht="13.5" customHeight="1" x14ac:dyDescent="0.2">
      <c r="A15" s="283"/>
      <c r="C15" s="280"/>
      <c r="D15" s="286"/>
      <c r="E15" s="286"/>
      <c r="F15" s="287"/>
      <c r="G15" s="287"/>
      <c r="H15" s="288"/>
    </row>
    <row r="16" spans="1:8" s="91" customFormat="1" ht="30" x14ac:dyDescent="0.2">
      <c r="A16" s="283"/>
      <c r="B16" s="1422" t="s">
        <v>472</v>
      </c>
      <c r="C16" s="321" t="s">
        <v>473</v>
      </c>
      <c r="D16" s="286"/>
      <c r="E16" s="1432" t="s">
        <v>474</v>
      </c>
      <c r="F16" s="1435" t="s">
        <v>476</v>
      </c>
      <c r="G16" s="322" t="s">
        <v>50</v>
      </c>
      <c r="H16" s="288"/>
    </row>
    <row r="17" spans="1:8" s="91" customFormat="1" ht="13.5" customHeight="1" x14ac:dyDescent="0.2">
      <c r="A17" s="947"/>
      <c r="B17" s="1426" t="s">
        <v>469</v>
      </c>
      <c r="C17" s="948" t="s">
        <v>470</v>
      </c>
      <c r="D17" s="949"/>
      <c r="E17" s="1433"/>
      <c r="F17" s="1434"/>
      <c r="G17" s="322" t="s">
        <v>479</v>
      </c>
      <c r="H17" s="288"/>
    </row>
    <row r="18" spans="1:8" s="91" customFormat="1" ht="13.5" customHeight="1" x14ac:dyDescent="0.2">
      <c r="A18" s="950"/>
      <c r="B18" s="948"/>
      <c r="C18" s="948" t="s">
        <v>471</v>
      </c>
      <c r="D18" s="948"/>
      <c r="E18" s="1433"/>
      <c r="F18" s="1427"/>
      <c r="G18" s="322" t="s">
        <v>480</v>
      </c>
      <c r="H18" s="288"/>
    </row>
    <row r="19" spans="1:8" s="91" customFormat="1" ht="13.5" customHeight="1" x14ac:dyDescent="0.2">
      <c r="A19" s="951"/>
      <c r="B19" s="948"/>
      <c r="C19" s="948" t="s">
        <v>475</v>
      </c>
      <c r="D19" s="948"/>
      <c r="E19" s="948"/>
      <c r="F19" s="1431">
        <f>MIN(E17:E18)/1.1</f>
        <v>0</v>
      </c>
      <c r="G19" s="322"/>
      <c r="H19" s="288"/>
    </row>
    <row r="20" spans="1:8" s="91" customFormat="1" ht="13.5" customHeight="1" x14ac:dyDescent="0.2">
      <c r="A20" s="951"/>
      <c r="B20" s="948"/>
      <c r="C20" s="948"/>
      <c r="D20" s="948"/>
      <c r="E20" s="948"/>
      <c r="F20" s="1427"/>
      <c r="G20" s="322"/>
      <c r="H20" s="288"/>
    </row>
    <row r="21" spans="1:8" s="91" customFormat="1" ht="13.5" customHeight="1" x14ac:dyDescent="0.2">
      <c r="A21" s="951"/>
      <c r="B21" s="1426" t="s">
        <v>477</v>
      </c>
      <c r="C21" s="948" t="s">
        <v>470</v>
      </c>
      <c r="D21" s="949"/>
      <c r="E21" s="1433"/>
      <c r="F21" s="1434"/>
      <c r="G21" s="322" t="s">
        <v>481</v>
      </c>
      <c r="H21" s="288"/>
    </row>
    <row r="22" spans="1:8" s="91" customFormat="1" ht="13.5" customHeight="1" x14ac:dyDescent="0.2">
      <c r="A22" s="951"/>
      <c r="B22" s="948"/>
      <c r="C22" s="948" t="s">
        <v>471</v>
      </c>
      <c r="D22" s="948"/>
      <c r="E22" s="1433"/>
      <c r="F22" s="1427"/>
      <c r="G22" s="322" t="s">
        <v>482</v>
      </c>
      <c r="H22" s="288"/>
    </row>
    <row r="23" spans="1:8" s="91" customFormat="1" ht="13.5" customHeight="1" x14ac:dyDescent="0.2">
      <c r="A23" s="951"/>
      <c r="B23" s="948"/>
      <c r="C23" s="948" t="s">
        <v>475</v>
      </c>
      <c r="D23" s="948"/>
      <c r="E23" s="948"/>
      <c r="F23" s="1431">
        <f>MIN(E21:E22)/1.1</f>
        <v>0</v>
      </c>
      <c r="G23" s="322"/>
      <c r="H23" s="288"/>
    </row>
    <row r="24" spans="1:8" s="91" customFormat="1" ht="13.5" customHeight="1" x14ac:dyDescent="0.2">
      <c r="A24" s="951"/>
      <c r="B24" s="948"/>
      <c r="C24" s="948"/>
      <c r="D24" s="948"/>
      <c r="E24" s="948"/>
      <c r="F24" s="1427"/>
      <c r="G24" s="322"/>
      <c r="H24" s="288"/>
    </row>
    <row r="25" spans="1:8" s="91" customFormat="1" ht="13.5" customHeight="1" x14ac:dyDescent="0.2">
      <c r="A25" s="952"/>
      <c r="B25" s="1426" t="s">
        <v>478</v>
      </c>
      <c r="C25" s="948" t="s">
        <v>470</v>
      </c>
      <c r="D25" s="949"/>
      <c r="E25" s="1433"/>
      <c r="F25" s="1434"/>
      <c r="G25" s="322" t="s">
        <v>483</v>
      </c>
      <c r="H25" s="326"/>
    </row>
    <row r="26" spans="1:8" s="91" customFormat="1" ht="13.5" customHeight="1" x14ac:dyDescent="0.2">
      <c r="A26" s="947"/>
      <c r="B26" s="948"/>
      <c r="C26" s="948" t="s">
        <v>471</v>
      </c>
      <c r="D26" s="948"/>
      <c r="E26" s="1433"/>
      <c r="F26" s="1427"/>
      <c r="G26" s="322" t="s">
        <v>484</v>
      </c>
      <c r="H26" s="326"/>
    </row>
    <row r="27" spans="1:8" s="91" customFormat="1" ht="13.5" customHeight="1" x14ac:dyDescent="0.2">
      <c r="A27" s="954"/>
      <c r="B27" s="948"/>
      <c r="C27" s="948" t="s">
        <v>475</v>
      </c>
      <c r="D27" s="948"/>
      <c r="E27" s="948"/>
      <c r="F27" s="1431">
        <f>MIN(E25:E26)/1.1</f>
        <v>0</v>
      </c>
      <c r="G27" s="322"/>
      <c r="H27" s="326"/>
    </row>
    <row r="28" spans="1:8" s="91" customFormat="1" ht="13.5" customHeight="1" x14ac:dyDescent="0.2">
      <c r="A28" s="954"/>
      <c r="B28" s="948"/>
      <c r="C28" s="953"/>
      <c r="D28" s="953"/>
      <c r="E28" s="953"/>
      <c r="F28" s="1428"/>
      <c r="G28" s="322"/>
      <c r="H28" s="326"/>
    </row>
    <row r="29" spans="1:8" s="91" customFormat="1" ht="12.75" customHeight="1" x14ac:dyDescent="0.2">
      <c r="A29" s="283"/>
      <c r="B29" s="280"/>
      <c r="C29" s="280"/>
      <c r="D29" s="280"/>
      <c r="E29" s="1436"/>
      <c r="F29" s="327"/>
      <c r="G29" s="322"/>
      <c r="H29" s="326"/>
    </row>
    <row r="30" spans="1:8" s="91" customFormat="1" ht="13.5" customHeight="1" thickBot="1" x14ac:dyDescent="0.25">
      <c r="A30" s="283"/>
      <c r="B30" s="323"/>
      <c r="C30" s="280"/>
      <c r="D30" s="280"/>
      <c r="E30" s="1436"/>
      <c r="F30" s="973">
        <f>SUM(F17:F29)</f>
        <v>0</v>
      </c>
      <c r="G30" s="322"/>
      <c r="H30" s="288"/>
    </row>
    <row r="31" spans="1:8" s="91" customFormat="1" ht="13.5" customHeight="1" thickTop="1" x14ac:dyDescent="0.2">
      <c r="A31" s="283"/>
      <c r="B31" s="280"/>
      <c r="C31" s="280"/>
      <c r="D31" s="280"/>
      <c r="E31" s="280"/>
      <c r="F31" s="290"/>
      <c r="G31" s="287"/>
      <c r="H31" s="288"/>
    </row>
    <row r="32" spans="1:8" s="91" customFormat="1" ht="13.5" customHeight="1" x14ac:dyDescent="0.2">
      <c r="A32" s="283"/>
      <c r="B32" s="280"/>
      <c r="C32" s="280"/>
      <c r="D32" s="280"/>
      <c r="E32" s="280"/>
      <c r="F32" s="290"/>
      <c r="G32" s="287"/>
      <c r="H32" s="288"/>
    </row>
    <row r="33" spans="1:8" s="91" customFormat="1" ht="13.5" customHeight="1" x14ac:dyDescent="0.2">
      <c r="A33" s="283"/>
      <c r="B33" s="280"/>
      <c r="C33" s="280"/>
      <c r="D33" s="280"/>
      <c r="E33" s="280"/>
      <c r="F33" s="290"/>
      <c r="G33" s="287"/>
      <c r="H33" s="295"/>
    </row>
    <row r="34" spans="1:8" s="91" customFormat="1" ht="13.5" customHeight="1" x14ac:dyDescent="0.2">
      <c r="A34" s="283"/>
      <c r="B34" s="329"/>
      <c r="C34" s="329"/>
      <c r="D34" s="329"/>
      <c r="E34" s="329"/>
      <c r="F34" s="330"/>
      <c r="G34" s="287"/>
      <c r="H34" s="295"/>
    </row>
    <row r="35" spans="1:8" s="91" customFormat="1" ht="13.5" customHeight="1" x14ac:dyDescent="0.2">
      <c r="A35" s="283"/>
      <c r="B35" s="329"/>
      <c r="C35" s="329"/>
      <c r="D35" s="329"/>
      <c r="E35" s="329"/>
      <c r="F35" s="330"/>
      <c r="G35" s="287"/>
      <c r="H35" s="295"/>
    </row>
    <row r="36" spans="1:8" s="91" customFormat="1" ht="13.5" customHeight="1" x14ac:dyDescent="0.2">
      <c r="A36" s="283"/>
      <c r="B36" s="329"/>
      <c r="C36" s="329"/>
      <c r="D36" s="329"/>
      <c r="E36" s="329"/>
      <c r="F36" s="330"/>
      <c r="G36" s="287"/>
      <c r="H36" s="295"/>
    </row>
    <row r="37" spans="1:8" s="91" customFormat="1" ht="13.5" customHeight="1" x14ac:dyDescent="0.2">
      <c r="A37" s="283"/>
      <c r="B37" s="329"/>
      <c r="C37" s="329"/>
      <c r="D37" s="329"/>
      <c r="E37" s="329"/>
      <c r="F37" s="330"/>
      <c r="G37" s="287"/>
      <c r="H37" s="295"/>
    </row>
    <row r="38" spans="1:8" s="91" customFormat="1" ht="13.5" customHeight="1" x14ac:dyDescent="0.2">
      <c r="A38" s="283"/>
      <c r="B38" s="329"/>
      <c r="C38" s="329"/>
      <c r="D38" s="329"/>
      <c r="E38" s="329"/>
      <c r="F38" s="330"/>
      <c r="G38" s="287"/>
      <c r="H38" s="295"/>
    </row>
    <row r="39" spans="1:8" s="91" customFormat="1" ht="13.5" customHeight="1" x14ac:dyDescent="0.2">
      <c r="A39" s="283"/>
      <c r="B39" s="329"/>
      <c r="C39" s="329"/>
      <c r="D39" s="329"/>
      <c r="E39" s="329"/>
      <c r="F39" s="330"/>
      <c r="G39" s="287"/>
      <c r="H39" s="295"/>
    </row>
    <row r="40" spans="1:8" s="91" customFormat="1" ht="13.5" customHeight="1" x14ac:dyDescent="0.2">
      <c r="A40" s="283"/>
      <c r="B40" s="329"/>
      <c r="C40" s="329"/>
      <c r="D40" s="329"/>
      <c r="E40" s="329"/>
      <c r="F40" s="330"/>
      <c r="G40" s="287"/>
      <c r="H40" s="295"/>
    </row>
    <row r="41" spans="1:8" s="91" customFormat="1" ht="13.5" customHeight="1" x14ac:dyDescent="0.2">
      <c r="A41" s="283"/>
      <c r="B41" s="329"/>
      <c r="C41" s="329"/>
      <c r="D41" s="329"/>
      <c r="E41" s="329"/>
      <c r="F41" s="330"/>
      <c r="G41" s="287"/>
      <c r="H41" s="295"/>
    </row>
    <row r="42" spans="1:8" s="91" customFormat="1" ht="13.5" customHeight="1" x14ac:dyDescent="0.2">
      <c r="A42" s="283"/>
      <c r="B42" s="329"/>
      <c r="C42" s="329"/>
      <c r="D42" s="329"/>
      <c r="E42" s="329"/>
      <c r="F42" s="330"/>
      <c r="G42" s="287"/>
      <c r="H42" s="295"/>
    </row>
    <row r="43" spans="1:8" s="91" customFormat="1" ht="13.5" customHeight="1" x14ac:dyDescent="0.2">
      <c r="A43" s="283"/>
      <c r="B43" s="329"/>
      <c r="C43" s="329"/>
      <c r="D43" s="329"/>
      <c r="E43" s="329"/>
      <c r="F43" s="330"/>
      <c r="G43" s="287"/>
      <c r="H43" s="295"/>
    </row>
    <row r="44" spans="1:8" s="91" customFormat="1" ht="13.5" customHeight="1" x14ac:dyDescent="0.2">
      <c r="A44" s="283"/>
      <c r="B44" s="329"/>
      <c r="C44" s="329"/>
      <c r="D44" s="329"/>
      <c r="E44" s="329"/>
      <c r="F44" s="330"/>
      <c r="G44" s="280"/>
      <c r="H44" s="295"/>
    </row>
    <row r="45" spans="1:8" s="91" customFormat="1" ht="13.5" customHeight="1" x14ac:dyDescent="0.2">
      <c r="A45" s="283"/>
      <c r="B45" s="329"/>
      <c r="C45" s="329"/>
      <c r="D45" s="329"/>
      <c r="E45" s="329"/>
      <c r="F45" s="330"/>
      <c r="G45" s="280"/>
      <c r="H45" s="295"/>
    </row>
    <row r="46" spans="1:8" s="91" customFormat="1" ht="13.5" customHeight="1" x14ac:dyDescent="0.2">
      <c r="A46" s="339"/>
      <c r="B46" s="986"/>
      <c r="C46" s="987"/>
      <c r="D46" s="986"/>
      <c r="E46" s="986"/>
      <c r="F46" s="988"/>
      <c r="G46" s="986"/>
      <c r="H46" s="341"/>
    </row>
  </sheetData>
  <mergeCells count="1">
    <mergeCell ref="A2:C2"/>
  </mergeCells>
  <hyperlinks>
    <hyperlink ref="A2" location="'Index and Structure'!A1" display="The Macro Group" xr:uid="{00000000-0004-0000-1C00-000000000000}"/>
  </hyperlinks>
  <pageMargins left="0.74803149606299213" right="0.39370078740157483" top="0.55118110236220474" bottom="0.62992125984251968" header="0.51181102362204722" footer="0.47244094488188981"/>
  <pageSetup paperSize="9" scale="88" orientation="portrait" r:id="rId1"/>
  <headerFooter alignWithMargins="0">
    <oddFooter>&amp;LPrinted:&amp;T on &amp;D</oddFooter>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6175"/>
  <dimension ref="A1:H52"/>
  <sheetViews>
    <sheetView showGridLines="0" view="pageBreakPreview" topLeftCell="A13" zoomScaleNormal="100" zoomScaleSheetLayoutView="100" workbookViewId="0">
      <selection activeCell="F26" sqref="F26"/>
    </sheetView>
  </sheetViews>
  <sheetFormatPr defaultColWidth="20.28515625" defaultRowHeight="15" x14ac:dyDescent="0.25"/>
  <cols>
    <col min="1" max="2" width="20.28515625" style="19" customWidth="1"/>
    <col min="3" max="3" width="13.5703125" style="19" customWidth="1"/>
    <col min="4" max="4" width="10.7109375" style="19" customWidth="1"/>
    <col min="5" max="6" width="20.28515625" style="19" customWidth="1"/>
    <col min="7" max="7" width="16" style="19" customWidth="1"/>
    <col min="8" max="8" width="8.7109375" style="19" customWidth="1"/>
    <col min="9" max="16384" width="20.28515625" style="19"/>
  </cols>
  <sheetData>
    <row r="1" spans="1:8" ht="5.25" customHeight="1" thickBot="1" x14ac:dyDescent="0.3"/>
    <row r="2" spans="1:8" ht="19.899999999999999" customHeight="1" thickBot="1" x14ac:dyDescent="0.35">
      <c r="A2" s="2269" t="s">
        <v>44</v>
      </c>
      <c r="B2" s="2270"/>
      <c r="C2" s="21"/>
      <c r="D2" s="21"/>
      <c r="E2" s="21"/>
      <c r="F2" s="21"/>
      <c r="G2" s="21"/>
      <c r="H2" s="20"/>
    </row>
    <row r="3" spans="1:8" ht="19.5" customHeight="1" x14ac:dyDescent="0.25">
      <c r="A3" s="22"/>
    </row>
    <row r="4" spans="1:8" ht="14.25" customHeight="1" x14ac:dyDescent="0.25">
      <c r="A4" s="23" t="s">
        <v>40</v>
      </c>
      <c r="B4" s="74" t="str">
        <f>'Index and Structure'!B2</f>
        <v>Nicolo Superannuation fund</v>
      </c>
      <c r="C4" s="75"/>
      <c r="D4" s="30"/>
      <c r="E4" s="73" t="s">
        <v>38</v>
      </c>
      <c r="F4" s="83" t="str">
        <f>'Index and Structure'!B5</f>
        <v>NICO0024</v>
      </c>
      <c r="G4" s="24"/>
      <c r="H4" s="25"/>
    </row>
    <row r="5" spans="1:8" ht="14.25" customHeight="1" x14ac:dyDescent="0.25">
      <c r="A5" s="77" t="s">
        <v>45</v>
      </c>
      <c r="B5" s="19" t="str">
        <f>'Index and Structure'!A35</f>
        <v>Disposal of Luxury Car - General pool Asset</v>
      </c>
      <c r="C5" s="29"/>
      <c r="D5" s="30"/>
      <c r="E5" s="78" t="s">
        <v>41</v>
      </c>
      <c r="F5" s="28" t="str">
        <f>'Index and Structure'!B6</f>
        <v>Liam Aubin</v>
      </c>
      <c r="G5" s="19" t="s">
        <v>42</v>
      </c>
      <c r="H5" s="35"/>
    </row>
    <row r="6" spans="1:8" ht="14.25" customHeight="1" x14ac:dyDescent="0.25">
      <c r="A6" s="79" t="s">
        <v>46</v>
      </c>
      <c r="B6" s="37" t="str">
        <f>'Index and Structure'!B4</f>
        <v>30 June 2022</v>
      </c>
      <c r="C6" s="38"/>
      <c r="D6" s="30"/>
      <c r="E6" s="80" t="s">
        <v>43</v>
      </c>
      <c r="F6" s="40" t="str">
        <f>'Index and Structure'!B7</f>
        <v>Nicole Bryant</v>
      </c>
      <c r="G6" s="81" t="s">
        <v>42</v>
      </c>
      <c r="H6" s="41"/>
    </row>
    <row r="7" spans="1:8" ht="9.75" customHeight="1" x14ac:dyDescent="0.25"/>
    <row r="8" spans="1:8" ht="30" customHeight="1" x14ac:dyDescent="0.25">
      <c r="A8" s="42"/>
      <c r="B8" s="43"/>
      <c r="C8" s="43"/>
      <c r="D8" s="43"/>
      <c r="E8" s="43"/>
      <c r="F8" s="342">
        <f>'Index and Structure'!D4</f>
        <v>2022</v>
      </c>
      <c r="G8" s="43"/>
      <c r="H8" s="44"/>
    </row>
    <row r="9" spans="1:8" s="45" customFormat="1" ht="13.5" customHeight="1" x14ac:dyDescent="0.2">
      <c r="A9" s="235"/>
      <c r="B9" s="46"/>
      <c r="C9" s="46"/>
      <c r="D9" s="46"/>
      <c r="E9" s="70"/>
      <c r="F9" s="46"/>
      <c r="G9" s="64"/>
      <c r="H9" s="71"/>
    </row>
    <row r="10" spans="1:8" s="45" customFormat="1" ht="13.5" customHeight="1" thickBot="1" x14ac:dyDescent="0.25">
      <c r="A10" s="207" t="s">
        <v>368</v>
      </c>
      <c r="B10" s="207"/>
      <c r="C10" s="165"/>
      <c r="D10" s="165"/>
      <c r="E10" s="165"/>
      <c r="F10" s="883" t="e">
        <f>F37</f>
        <v>#DIV/0!</v>
      </c>
      <c r="G10" s="199"/>
      <c r="H10" s="196"/>
    </row>
    <row r="11" spans="1:8" s="45" customFormat="1" ht="13.5" customHeight="1" thickTop="1" x14ac:dyDescent="0.2">
      <c r="A11" s="197"/>
      <c r="B11" s="165"/>
      <c r="C11" s="165"/>
      <c r="D11" s="165"/>
      <c r="E11" s="165"/>
      <c r="F11" s="200"/>
      <c r="G11" s="199"/>
      <c r="H11" s="196"/>
    </row>
    <row r="12" spans="1:8" s="45" customFormat="1" ht="13.5" customHeight="1" x14ac:dyDescent="0.2">
      <c r="A12" s="884" t="s">
        <v>308</v>
      </c>
      <c r="B12" s="165"/>
      <c r="C12" s="201"/>
      <c r="D12" s="202"/>
      <c r="E12" s="165"/>
      <c r="F12" s="199"/>
      <c r="G12" s="199"/>
      <c r="H12" s="86"/>
    </row>
    <row r="13" spans="1:8" s="45" customFormat="1" ht="13.5" customHeight="1" x14ac:dyDescent="0.2">
      <c r="B13" s="885"/>
      <c r="C13" s="885"/>
      <c r="D13" s="885"/>
      <c r="E13" s="885"/>
      <c r="G13" s="885"/>
      <c r="H13" s="886"/>
    </row>
    <row r="14" spans="1:8" s="45" customFormat="1" ht="13.5" customHeight="1" x14ac:dyDescent="0.2">
      <c r="A14" s="884" t="s">
        <v>354</v>
      </c>
      <c r="B14" s="2492"/>
      <c r="C14" s="2493"/>
      <c r="D14" s="2494"/>
      <c r="E14" s="885"/>
      <c r="F14" s="885"/>
      <c r="G14" s="885"/>
      <c r="H14" s="886"/>
    </row>
    <row r="15" spans="1:8" s="45" customFormat="1" ht="13.5" customHeight="1" x14ac:dyDescent="0.2">
      <c r="A15" s="884" t="s">
        <v>369</v>
      </c>
      <c r="B15" s="2495"/>
      <c r="C15" s="2496"/>
      <c r="D15" s="885"/>
      <c r="E15" s="885"/>
      <c r="F15" s="885"/>
      <c r="G15" s="885"/>
      <c r="H15" s="886"/>
    </row>
    <row r="16" spans="1:8" s="45" customFormat="1" ht="12.75" customHeight="1" x14ac:dyDescent="0.2">
      <c r="A16" s="887"/>
      <c r="B16" s="201"/>
      <c r="C16" s="201"/>
      <c r="D16" s="201"/>
      <c r="E16" s="201"/>
      <c r="F16" s="201"/>
      <c r="G16" s="201"/>
      <c r="H16" s="888"/>
    </row>
    <row r="17" spans="1:8" s="45" customFormat="1" ht="13.5" customHeight="1" x14ac:dyDescent="0.2">
      <c r="A17" s="889"/>
      <c r="B17" s="890" t="s">
        <v>309</v>
      </c>
      <c r="C17" s="885"/>
      <c r="D17" s="885"/>
      <c r="E17" s="885"/>
      <c r="F17" s="891"/>
      <c r="G17" s="885"/>
      <c r="H17" s="886"/>
    </row>
    <row r="18" spans="1:8" s="45" customFormat="1" ht="13.5" customHeight="1" x14ac:dyDescent="0.2">
      <c r="A18" s="889"/>
      <c r="B18" s="885" t="s">
        <v>357</v>
      </c>
      <c r="C18" s="885"/>
      <c r="D18" s="885"/>
      <c r="E18" s="885"/>
      <c r="F18" s="1551"/>
      <c r="G18" s="885"/>
      <c r="H18" s="886"/>
    </row>
    <row r="19" spans="1:8" s="45" customFormat="1" ht="13.5" customHeight="1" x14ac:dyDescent="0.2">
      <c r="A19" s="889"/>
      <c r="B19" s="885" t="s">
        <v>311</v>
      </c>
      <c r="C19" s="885"/>
      <c r="D19" s="885"/>
      <c r="E19" s="885"/>
      <c r="F19" s="892">
        <f>F18/11</f>
        <v>0</v>
      </c>
      <c r="G19" s="885"/>
      <c r="H19" s="886"/>
    </row>
    <row r="20" spans="1:8" s="45" customFormat="1" ht="13.5" customHeight="1" thickBot="1" x14ac:dyDescent="0.25">
      <c r="A20" s="889"/>
      <c r="B20" s="885" t="s">
        <v>312</v>
      </c>
      <c r="C20" s="885"/>
      <c r="D20" s="885"/>
      <c r="E20" s="893" t="s">
        <v>313</v>
      </c>
      <c r="F20" s="894">
        <f>F18-F19</f>
        <v>0</v>
      </c>
      <c r="G20" s="885"/>
      <c r="H20" s="886"/>
    </row>
    <row r="21" spans="1:8" s="45" customFormat="1" ht="12.75" customHeight="1" thickTop="1" x14ac:dyDescent="0.2">
      <c r="A21" s="889"/>
      <c r="B21" s="885"/>
      <c r="C21" s="885"/>
      <c r="D21" s="885"/>
      <c r="E21" s="885"/>
      <c r="F21" s="895"/>
      <c r="G21" s="896"/>
      <c r="H21" s="886"/>
    </row>
    <row r="22" spans="1:8" s="45" customFormat="1" ht="12.75" customHeight="1" x14ac:dyDescent="0.2">
      <c r="A22" s="889"/>
      <c r="B22" s="890" t="s">
        <v>314</v>
      </c>
      <c r="C22" s="885"/>
      <c r="D22" s="885"/>
      <c r="E22" s="885"/>
      <c r="F22" s="891"/>
      <c r="G22" s="896"/>
      <c r="H22" s="886"/>
    </row>
    <row r="23" spans="1:8" s="45" customFormat="1" ht="13.5" customHeight="1" x14ac:dyDescent="0.2">
      <c r="A23" s="889"/>
      <c r="B23" s="885" t="s">
        <v>315</v>
      </c>
      <c r="C23" s="885"/>
      <c r="D23" s="885"/>
      <c r="E23" s="893" t="s">
        <v>316</v>
      </c>
      <c r="F23" s="1551"/>
      <c r="G23" s="1552"/>
      <c r="H23" s="886"/>
    </row>
    <row r="24" spans="1:8" s="45" customFormat="1" ht="13.5" customHeight="1" x14ac:dyDescent="0.2">
      <c r="A24" s="889"/>
      <c r="B24" s="885" t="s">
        <v>317</v>
      </c>
      <c r="C24" s="885"/>
      <c r="D24" s="885"/>
      <c r="E24" s="893" t="s">
        <v>318</v>
      </c>
      <c r="F24" s="1551"/>
      <c r="G24" s="897"/>
      <c r="H24" s="886"/>
    </row>
    <row r="25" spans="1:8" s="45" customFormat="1" ht="13.5" customHeight="1" x14ac:dyDescent="0.2">
      <c r="A25" s="889"/>
      <c r="B25" s="885"/>
      <c r="C25" s="885"/>
      <c r="D25" s="885"/>
      <c r="E25" s="885"/>
      <c r="F25" s="1553"/>
      <c r="G25" s="885"/>
      <c r="H25" s="886"/>
    </row>
    <row r="26" spans="1:8" s="45" customFormat="1" ht="13.5" customHeight="1" thickBot="1" x14ac:dyDescent="0.25">
      <c r="A26" s="889"/>
      <c r="B26" s="885" t="s">
        <v>319</v>
      </c>
      <c r="C26" s="885"/>
      <c r="D26" s="885"/>
      <c r="E26" s="893" t="s">
        <v>320</v>
      </c>
      <c r="F26" s="898" t="e">
        <f>F20*F23/F24</f>
        <v>#DIV/0!</v>
      </c>
      <c r="G26" s="885"/>
      <c r="H26" s="886"/>
    </row>
    <row r="27" spans="1:8" s="45" customFormat="1" ht="13.5" customHeight="1" thickTop="1" x14ac:dyDescent="0.2">
      <c r="A27" s="889"/>
      <c r="B27" s="885"/>
      <c r="C27" s="885"/>
      <c r="D27" s="885"/>
      <c r="E27" s="893"/>
      <c r="F27" s="899"/>
      <c r="G27" s="241"/>
      <c r="H27" s="886"/>
    </row>
    <row r="28" spans="1:8" s="45" customFormat="1" ht="13.5" customHeight="1" x14ac:dyDescent="0.2">
      <c r="A28" s="889"/>
      <c r="B28" s="885" t="s">
        <v>358</v>
      </c>
      <c r="C28" s="885"/>
      <c r="D28" s="885"/>
      <c r="E28" s="893"/>
      <c r="F28" s="900" t="e">
        <f>F26*1.1</f>
        <v>#DIV/0!</v>
      </c>
      <c r="G28" s="885" t="s">
        <v>359</v>
      </c>
      <c r="H28" s="886"/>
    </row>
    <row r="29" spans="1:8" s="45" customFormat="1" ht="13.5" customHeight="1" x14ac:dyDescent="0.2">
      <c r="A29" s="889"/>
      <c r="B29" s="885"/>
      <c r="C29" s="885"/>
      <c r="D29" s="885"/>
      <c r="E29" s="893"/>
      <c r="F29" s="899"/>
      <c r="G29" s="897"/>
      <c r="H29" s="886"/>
    </row>
    <row r="30" spans="1:8" s="45" customFormat="1" ht="13.5" customHeight="1" x14ac:dyDescent="0.2">
      <c r="A30" s="889"/>
      <c r="B30" s="890" t="s">
        <v>360</v>
      </c>
      <c r="C30" s="885"/>
      <c r="D30" s="885"/>
      <c r="E30" s="893"/>
      <c r="F30" s="899"/>
      <c r="G30" s="901"/>
      <c r="H30" s="886"/>
    </row>
    <row r="31" spans="1:8" s="45" customFormat="1" ht="13.5" customHeight="1" x14ac:dyDescent="0.2">
      <c r="A31" s="889"/>
      <c r="B31" s="885" t="s">
        <v>361</v>
      </c>
      <c r="C31" s="885"/>
      <c r="D31" s="885"/>
      <c r="E31" s="893"/>
      <c r="F31" s="1554" t="e">
        <f>F20-F26</f>
        <v>#DIV/0!</v>
      </c>
      <c r="G31" s="897"/>
      <c r="H31" s="886"/>
    </row>
    <row r="32" spans="1:8" s="45" customFormat="1" ht="13.5" customHeight="1" x14ac:dyDescent="0.2">
      <c r="A32" s="889"/>
      <c r="B32" s="885" t="s">
        <v>362</v>
      </c>
      <c r="C32" s="885"/>
      <c r="D32" s="885"/>
      <c r="E32" s="893"/>
      <c r="F32" s="1555">
        <f>-(F24-F23)</f>
        <v>0</v>
      </c>
      <c r="G32" s="897"/>
      <c r="H32" s="886"/>
    </row>
    <row r="33" spans="1:8" s="45" customFormat="1" ht="13.5" customHeight="1" x14ac:dyDescent="0.2">
      <c r="A33" s="889"/>
      <c r="B33" s="885" t="s">
        <v>363</v>
      </c>
      <c r="C33" s="885"/>
      <c r="D33" s="885"/>
      <c r="E33" s="893"/>
      <c r="F33" s="1556"/>
      <c r="G33" s="897"/>
      <c r="H33" s="886"/>
    </row>
    <row r="34" spans="1:8" s="45" customFormat="1" ht="13.5" customHeight="1" x14ac:dyDescent="0.2">
      <c r="A34" s="889"/>
      <c r="B34" s="885" t="s">
        <v>364</v>
      </c>
      <c r="C34" s="885"/>
      <c r="D34" s="885"/>
      <c r="E34" s="893"/>
      <c r="F34" s="902" t="e">
        <f>SUM(F31:F33)</f>
        <v>#DIV/0!</v>
      </c>
      <c r="G34" s="897"/>
      <c r="H34" s="886"/>
    </row>
    <row r="35" spans="1:8" s="45" customFormat="1" ht="13.5" customHeight="1" x14ac:dyDescent="0.2">
      <c r="A35" s="889"/>
      <c r="B35" s="885" t="s">
        <v>365</v>
      </c>
      <c r="C35" s="885"/>
      <c r="D35" s="885"/>
      <c r="E35" s="893"/>
      <c r="F35" s="1557"/>
      <c r="G35" s="897"/>
      <c r="H35" s="886"/>
    </row>
    <row r="36" spans="1:8" s="45" customFormat="1" ht="13.5" customHeight="1" x14ac:dyDescent="0.2">
      <c r="A36" s="889"/>
      <c r="B36" s="885" t="s">
        <v>366</v>
      </c>
      <c r="C36" s="885"/>
      <c r="D36" s="885"/>
      <c r="E36" s="893"/>
      <c r="F36" s="902" t="e">
        <f>F34*F35</f>
        <v>#DIV/0!</v>
      </c>
      <c r="G36" s="901"/>
      <c r="H36" s="886"/>
    </row>
    <row r="37" spans="1:8" s="45" customFormat="1" ht="13.5" customHeight="1" thickBot="1" x14ac:dyDescent="0.25">
      <c r="A37" s="889"/>
      <c r="B37" s="885" t="s">
        <v>367</v>
      </c>
      <c r="C37" s="885"/>
      <c r="D37" s="885"/>
      <c r="E37" s="893"/>
      <c r="F37" s="903" t="e">
        <f>F34-F36</f>
        <v>#DIV/0!</v>
      </c>
      <c r="G37" s="897"/>
      <c r="H37" s="886"/>
    </row>
    <row r="38" spans="1:8" s="45" customFormat="1" ht="13.5" customHeight="1" thickTop="1" x14ac:dyDescent="0.2">
      <c r="A38" s="889"/>
      <c r="B38" s="885"/>
      <c r="C38" s="885"/>
      <c r="D38" s="885"/>
      <c r="E38" s="893"/>
      <c r="F38" s="904"/>
      <c r="G38" s="897"/>
      <c r="H38" s="886"/>
    </row>
    <row r="39" spans="1:8" s="45" customFormat="1" ht="13.5" customHeight="1" x14ac:dyDescent="0.2">
      <c r="A39" s="889"/>
      <c r="B39" s="890" t="s">
        <v>347</v>
      </c>
      <c r="C39" s="885"/>
      <c r="D39" s="885"/>
      <c r="E39" s="893"/>
      <c r="F39" s="905"/>
      <c r="G39" s="906"/>
      <c r="H39" s="886"/>
    </row>
    <row r="40" spans="1:8" s="45" customFormat="1" ht="13.5" customHeight="1" x14ac:dyDescent="0.2">
      <c r="A40" s="889"/>
      <c r="B40" s="885" t="s">
        <v>310</v>
      </c>
      <c r="C40" s="885"/>
      <c r="D40" s="885"/>
      <c r="E40" s="893"/>
      <c r="F40" s="907">
        <f>F18</f>
        <v>0</v>
      </c>
      <c r="G40" s="906"/>
      <c r="H40" s="886"/>
    </row>
    <row r="41" spans="1:8" s="45" customFormat="1" ht="19.899999999999999" customHeight="1" x14ac:dyDescent="0.2">
      <c r="A41" s="889"/>
      <c r="B41" s="885" t="s">
        <v>311</v>
      </c>
      <c r="C41" s="885"/>
      <c r="D41" s="885"/>
      <c r="E41" s="893" t="s">
        <v>348</v>
      </c>
      <c r="F41" s="907">
        <f>F19</f>
        <v>0</v>
      </c>
      <c r="G41" s="906"/>
      <c r="H41" s="886"/>
    </row>
    <row r="42" spans="1:8" s="45" customFormat="1" ht="13.5" customHeight="1" x14ac:dyDescent="0.2">
      <c r="A42" s="889"/>
      <c r="B42" s="885" t="s">
        <v>337</v>
      </c>
      <c r="C42" s="885"/>
      <c r="D42" s="885"/>
      <c r="E42" s="893" t="s">
        <v>349</v>
      </c>
      <c r="F42" s="908">
        <f>F35</f>
        <v>0</v>
      </c>
      <c r="G42" s="906"/>
      <c r="H42" s="886"/>
    </row>
    <row r="43" spans="1:8" x14ac:dyDescent="0.25">
      <c r="A43" s="889"/>
      <c r="B43" s="885" t="s">
        <v>350</v>
      </c>
      <c r="C43" s="885"/>
      <c r="D43" s="885"/>
      <c r="E43" s="893" t="s">
        <v>351</v>
      </c>
      <c r="F43" s="909">
        <f>F41*F42</f>
        <v>0</v>
      </c>
      <c r="G43" s="910"/>
      <c r="H43" s="886"/>
    </row>
    <row r="44" spans="1:8" ht="16.5" customHeight="1" thickBot="1" x14ac:dyDescent="0.3">
      <c r="A44" s="889"/>
      <c r="B44" s="885" t="s">
        <v>352</v>
      </c>
      <c r="C44" s="885"/>
      <c r="D44" s="885"/>
      <c r="E44" s="893" t="s">
        <v>353</v>
      </c>
      <c r="F44" s="911">
        <f>F41-F43</f>
        <v>0</v>
      </c>
      <c r="G44" s="906"/>
      <c r="H44" s="886"/>
    </row>
    <row r="45" spans="1:8" ht="15.75" thickTop="1" x14ac:dyDescent="0.25">
      <c r="A45" s="889"/>
      <c r="B45" s="885"/>
      <c r="C45" s="885"/>
      <c r="D45" s="885"/>
      <c r="E45" s="885"/>
      <c r="F45" s="904"/>
      <c r="G45" s="896"/>
      <c r="H45" s="886"/>
    </row>
    <row r="46" spans="1:8" ht="15.75" thickBot="1" x14ac:dyDescent="0.3">
      <c r="A46" s="912"/>
      <c r="B46" s="885"/>
      <c r="C46" s="885"/>
      <c r="D46" s="885"/>
      <c r="E46" s="904"/>
      <c r="F46" s="896"/>
      <c r="G46" s="885"/>
      <c r="H46" s="886"/>
    </row>
    <row r="47" spans="1:8" x14ac:dyDescent="0.25">
      <c r="A47" s="2483" t="s">
        <v>370</v>
      </c>
      <c r="B47" s="2484"/>
      <c r="C47" s="2484"/>
      <c r="D47" s="2484"/>
      <c r="E47" s="2484"/>
      <c r="F47" s="2484"/>
      <c r="G47" s="2484"/>
      <c r="H47" s="2485"/>
    </row>
    <row r="48" spans="1:8" x14ac:dyDescent="0.25">
      <c r="A48" s="2486"/>
      <c r="B48" s="2487"/>
      <c r="C48" s="2487"/>
      <c r="D48" s="2487"/>
      <c r="E48" s="2487"/>
      <c r="F48" s="2487"/>
      <c r="G48" s="2487"/>
      <c r="H48" s="2488"/>
    </row>
    <row r="49" spans="1:8" x14ac:dyDescent="0.25">
      <c r="A49" s="2486"/>
      <c r="B49" s="2487"/>
      <c r="C49" s="2487"/>
      <c r="D49" s="2487"/>
      <c r="E49" s="2487"/>
      <c r="F49" s="2487"/>
      <c r="G49" s="2487"/>
      <c r="H49" s="2488"/>
    </row>
    <row r="50" spans="1:8" x14ac:dyDescent="0.25">
      <c r="A50" s="2486"/>
      <c r="B50" s="2487"/>
      <c r="C50" s="2487"/>
      <c r="D50" s="2487"/>
      <c r="E50" s="2487"/>
      <c r="F50" s="2487"/>
      <c r="G50" s="2487"/>
      <c r="H50" s="2488"/>
    </row>
    <row r="51" spans="1:8" x14ac:dyDescent="0.25">
      <c r="A51" s="2486"/>
      <c r="B51" s="2487"/>
      <c r="C51" s="2487"/>
      <c r="D51" s="2487"/>
      <c r="E51" s="2487"/>
      <c r="F51" s="2487"/>
      <c r="G51" s="2487"/>
      <c r="H51" s="2488"/>
    </row>
    <row r="52" spans="1:8" ht="15.75" thickBot="1" x14ac:dyDescent="0.3">
      <c r="A52" s="2489"/>
      <c r="B52" s="2490"/>
      <c r="C52" s="2490"/>
      <c r="D52" s="2490"/>
      <c r="E52" s="2490"/>
      <c r="F52" s="2490"/>
      <c r="G52" s="2490"/>
      <c r="H52" s="2491"/>
    </row>
  </sheetData>
  <mergeCells count="4">
    <mergeCell ref="A47:H52"/>
    <mergeCell ref="B14:D14"/>
    <mergeCell ref="B15:C15"/>
    <mergeCell ref="A2:B2"/>
  </mergeCells>
  <hyperlinks>
    <hyperlink ref="A2" location="'Index and Structure'!A1" display="The Macro Group" xr:uid="{00000000-0004-0000-1D00-000000000000}"/>
  </hyperlinks>
  <pageMargins left="0.74803149606299213" right="0.39370078740157483" top="0.55118110236220474" bottom="0.62992125984251968" header="0.51181102362204722" footer="0.47244094488188981"/>
  <pageSetup paperSize="9" scale="50" orientation="portrait" r:id="rId1"/>
  <headerFooter alignWithMargins="0">
    <oddFooter>&amp;LPrinted:&amp;T on &amp;D</oddFooter>
  </headerFooter>
  <legacyDrawing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6174"/>
  <dimension ref="A1:H59"/>
  <sheetViews>
    <sheetView showGridLines="0" view="pageBreakPreview" topLeftCell="A19" zoomScaleNormal="100" zoomScaleSheetLayoutView="100" workbookViewId="0">
      <selection activeCell="F26" sqref="F26"/>
    </sheetView>
  </sheetViews>
  <sheetFormatPr defaultColWidth="9.140625" defaultRowHeight="15" x14ac:dyDescent="0.25"/>
  <cols>
    <col min="1" max="1" width="13.140625" style="19" customWidth="1"/>
    <col min="2" max="2" width="11.42578125" style="19" customWidth="1"/>
    <col min="3" max="3" width="19.5703125" style="19" customWidth="1"/>
    <col min="4" max="4" width="17.28515625" style="19" customWidth="1"/>
    <col min="5" max="5" width="15.5703125" style="19" customWidth="1"/>
    <col min="6" max="6" width="19.140625" style="19" customWidth="1"/>
    <col min="7" max="7" width="14" style="19" customWidth="1"/>
    <col min="8" max="8" width="9.4257812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E2" s="21"/>
      <c r="F2" s="21"/>
      <c r="G2" s="21"/>
      <c r="H2" s="20"/>
    </row>
    <row r="3" spans="1:8" ht="17.25" customHeight="1" x14ac:dyDescent="0.25">
      <c r="A3" s="22"/>
    </row>
    <row r="4" spans="1:8" ht="14.25" customHeight="1" x14ac:dyDescent="0.25">
      <c r="A4" s="23" t="s">
        <v>40</v>
      </c>
      <c r="B4" s="74" t="str">
        <f>'Index and Structure'!B2</f>
        <v>Nicolo Superannuation fund</v>
      </c>
      <c r="C4" s="75"/>
      <c r="D4" s="30"/>
      <c r="E4" s="73" t="s">
        <v>38</v>
      </c>
      <c r="F4" s="83" t="str">
        <f>'Index and Structure'!B5</f>
        <v>NICO0024</v>
      </c>
      <c r="G4" s="24"/>
      <c r="H4" s="25"/>
    </row>
    <row r="5" spans="1:8" ht="14.25" customHeight="1" x14ac:dyDescent="0.25">
      <c r="A5" s="77" t="s">
        <v>45</v>
      </c>
      <c r="B5" s="19" t="str">
        <f>'Index and Structure'!A36</f>
        <v>Disposal of Luxury Car - Not Pooled</v>
      </c>
      <c r="C5" s="29"/>
      <c r="D5" s="30"/>
      <c r="E5" s="78" t="s">
        <v>41</v>
      </c>
      <c r="F5" s="28" t="str">
        <f>'Index and Structure'!B6</f>
        <v>Liam Aubin</v>
      </c>
      <c r="G5" s="19" t="s">
        <v>42</v>
      </c>
      <c r="H5" s="35"/>
    </row>
    <row r="6" spans="1:8" ht="14.25" customHeight="1" x14ac:dyDescent="0.25">
      <c r="A6" s="79" t="s">
        <v>46</v>
      </c>
      <c r="B6" s="37" t="str">
        <f>'Index and Structure'!B4</f>
        <v>30 June 2022</v>
      </c>
      <c r="C6" s="38"/>
      <c r="D6" s="30"/>
      <c r="E6" s="80" t="s">
        <v>43</v>
      </c>
      <c r="F6" s="40" t="str">
        <f>'Index and Structure'!B7</f>
        <v>Nicole Bryant</v>
      </c>
      <c r="G6" s="81" t="s">
        <v>42</v>
      </c>
      <c r="H6" s="41"/>
    </row>
    <row r="7" spans="1:8" ht="9.75" customHeight="1" x14ac:dyDescent="0.25"/>
    <row r="8" spans="1:8" ht="30" customHeight="1" x14ac:dyDescent="0.25">
      <c r="A8" s="42"/>
      <c r="B8" s="43"/>
      <c r="C8" s="43"/>
      <c r="D8" s="43"/>
      <c r="E8" s="43"/>
      <c r="F8" s="342">
        <f>'Index and Structure'!D4</f>
        <v>2022</v>
      </c>
      <c r="G8" s="43"/>
      <c r="H8" s="44"/>
    </row>
    <row r="9" spans="1:8" s="45" customFormat="1" ht="13.5" customHeight="1" x14ac:dyDescent="0.2">
      <c r="A9" s="235"/>
      <c r="B9" s="46"/>
      <c r="C9" s="46"/>
      <c r="D9" s="46"/>
      <c r="E9" s="70"/>
      <c r="F9" s="46"/>
      <c r="G9" s="46"/>
      <c r="H9" s="71"/>
    </row>
    <row r="10" spans="1:8" s="45" customFormat="1" ht="13.5" customHeight="1" thickBot="1" x14ac:dyDescent="0.25">
      <c r="A10" s="913" t="s">
        <v>308</v>
      </c>
      <c r="B10" s="913"/>
      <c r="C10" s="48"/>
      <c r="D10" s="48"/>
      <c r="E10" s="48"/>
      <c r="F10" s="914">
        <f>F36</f>
        <v>0</v>
      </c>
      <c r="G10" s="915"/>
      <c r="H10" s="71"/>
    </row>
    <row r="11" spans="1:8" s="45" customFormat="1" ht="13.5" customHeight="1" thickTop="1" x14ac:dyDescent="0.2">
      <c r="A11" s="106"/>
      <c r="B11" s="51"/>
      <c r="C11" s="48"/>
      <c r="D11" s="48"/>
      <c r="E11" s="48"/>
      <c r="F11" s="916"/>
      <c r="G11" s="916"/>
      <c r="H11" s="71"/>
    </row>
    <row r="12" spans="1:8" s="45" customFormat="1" ht="13.5" customHeight="1" x14ac:dyDescent="0.2">
      <c r="A12" s="917" t="s">
        <v>354</v>
      </c>
      <c r="C12" s="2497"/>
      <c r="D12" s="2498"/>
      <c r="E12" s="918"/>
      <c r="F12" s="918"/>
      <c r="G12" s="918"/>
      <c r="H12" s="919"/>
    </row>
    <row r="13" spans="1:8" s="45" customFormat="1" ht="13.5" customHeight="1" x14ac:dyDescent="0.2">
      <c r="A13" s="917" t="s">
        <v>355</v>
      </c>
      <c r="B13" s="918"/>
      <c r="C13" s="1546"/>
      <c r="D13" s="918"/>
      <c r="E13" s="918"/>
      <c r="F13" s="918"/>
      <c r="G13" s="918"/>
      <c r="H13" s="919"/>
    </row>
    <row r="14" spans="1:8" s="45" customFormat="1" ht="13.5" customHeight="1" x14ac:dyDescent="0.2">
      <c r="A14" s="920"/>
      <c r="B14" s="918"/>
      <c r="C14" s="918"/>
      <c r="D14" s="918"/>
      <c r="E14" s="918"/>
      <c r="F14" s="921"/>
      <c r="G14" s="918"/>
      <c r="H14" s="919"/>
    </row>
    <row r="15" spans="1:8" s="45" customFormat="1" ht="13.5" customHeight="1" x14ac:dyDescent="0.2">
      <c r="A15" s="920"/>
      <c r="B15" s="917" t="s">
        <v>309</v>
      </c>
      <c r="C15" s="918"/>
      <c r="D15" s="918"/>
      <c r="E15" s="918"/>
      <c r="F15" s="922"/>
      <c r="G15" s="918"/>
      <c r="H15" s="919"/>
    </row>
    <row r="16" spans="1:8" s="45" customFormat="1" ht="13.5" customHeight="1" x14ac:dyDescent="0.2">
      <c r="A16" s="920"/>
      <c r="B16" s="918" t="s">
        <v>310</v>
      </c>
      <c r="C16" s="918"/>
      <c r="D16" s="918"/>
      <c r="E16" s="918"/>
      <c r="F16" s="1547"/>
      <c r="G16" s="918"/>
      <c r="H16" s="919"/>
    </row>
    <row r="17" spans="1:8" s="45" customFormat="1" ht="13.5" customHeight="1" x14ac:dyDescent="0.2">
      <c r="A17" s="920"/>
      <c r="B17" s="918" t="s">
        <v>311</v>
      </c>
      <c r="C17" s="918"/>
      <c r="D17" s="918"/>
      <c r="E17" s="918"/>
      <c r="F17" s="923">
        <f>F16/11</f>
        <v>0</v>
      </c>
      <c r="G17" s="918"/>
      <c r="H17" s="919"/>
    </row>
    <row r="18" spans="1:8" s="45" customFormat="1" ht="13.5" customHeight="1" thickBot="1" x14ac:dyDescent="0.25">
      <c r="A18" s="920"/>
      <c r="B18" s="918" t="s">
        <v>312</v>
      </c>
      <c r="C18" s="918"/>
      <c r="D18" s="918"/>
      <c r="E18" s="924" t="s">
        <v>313</v>
      </c>
      <c r="F18" s="925">
        <f>F16-F17</f>
        <v>0</v>
      </c>
      <c r="G18" s="918"/>
      <c r="H18" s="919"/>
    </row>
    <row r="19" spans="1:8" s="45" customFormat="1" ht="13.5" customHeight="1" thickTop="1" x14ac:dyDescent="0.2">
      <c r="A19" s="920"/>
      <c r="B19" s="918"/>
      <c r="C19" s="918"/>
      <c r="D19" s="918"/>
      <c r="E19" s="918"/>
      <c r="F19" s="926"/>
      <c r="G19" s="918"/>
      <c r="H19" s="919"/>
    </row>
    <row r="20" spans="1:8" s="45" customFormat="1" ht="13.5" customHeight="1" x14ac:dyDescent="0.2">
      <c r="A20" s="920"/>
      <c r="B20" s="917" t="s">
        <v>314</v>
      </c>
      <c r="C20" s="918"/>
      <c r="D20" s="918"/>
      <c r="E20" s="918"/>
      <c r="F20" s="922"/>
      <c r="G20" s="918"/>
      <c r="H20" s="919"/>
    </row>
    <row r="21" spans="1:8" s="45" customFormat="1" ht="13.5" customHeight="1" x14ac:dyDescent="0.2">
      <c r="A21" s="920"/>
      <c r="B21" s="918" t="s">
        <v>315</v>
      </c>
      <c r="C21" s="918"/>
      <c r="D21" s="917"/>
      <c r="E21" s="924" t="s">
        <v>316</v>
      </c>
      <c r="F21" s="1547"/>
      <c r="G21" s="1548"/>
      <c r="H21" s="919"/>
    </row>
    <row r="22" spans="1:8" s="45" customFormat="1" ht="13.5" customHeight="1" x14ac:dyDescent="0.2">
      <c r="A22" s="920"/>
      <c r="B22" s="918" t="s">
        <v>317</v>
      </c>
      <c r="C22" s="918"/>
      <c r="D22" s="918"/>
      <c r="E22" s="924" t="s">
        <v>318</v>
      </c>
      <c r="F22" s="1547"/>
      <c r="G22" s="927"/>
      <c r="H22" s="919"/>
    </row>
    <row r="23" spans="1:8" s="45" customFormat="1" ht="13.5" customHeight="1" x14ac:dyDescent="0.2">
      <c r="A23" s="920"/>
      <c r="B23" s="918"/>
      <c r="C23" s="918"/>
      <c r="D23" s="918"/>
      <c r="E23" s="918"/>
      <c r="F23" s="928"/>
      <c r="G23" s="918"/>
      <c r="H23" s="919"/>
    </row>
    <row r="24" spans="1:8" s="45" customFormat="1" ht="13.5" customHeight="1" thickBot="1" x14ac:dyDescent="0.25">
      <c r="A24" s="920"/>
      <c r="B24" s="918" t="s">
        <v>319</v>
      </c>
      <c r="C24" s="918"/>
      <c r="D24" s="918"/>
      <c r="E24" s="924" t="s">
        <v>320</v>
      </c>
      <c r="F24" s="925" t="e">
        <f>F18*F21/F22</f>
        <v>#DIV/0!</v>
      </c>
      <c r="G24" s="918"/>
      <c r="H24" s="919"/>
    </row>
    <row r="25" spans="1:8" s="45" customFormat="1" ht="13.5" customHeight="1" thickTop="1" x14ac:dyDescent="0.2">
      <c r="A25" s="920"/>
      <c r="B25" s="918"/>
      <c r="C25" s="918"/>
      <c r="D25" s="918"/>
      <c r="E25" s="924"/>
      <c r="F25" s="926"/>
      <c r="G25" s="918"/>
      <c r="H25" s="919"/>
    </row>
    <row r="26" spans="1:8" s="45" customFormat="1" ht="13.5" customHeight="1" x14ac:dyDescent="0.2">
      <c r="A26" s="920"/>
      <c r="B26" s="918" t="s">
        <v>321</v>
      </c>
      <c r="C26" s="918"/>
      <c r="D26" s="918"/>
      <c r="E26" s="924"/>
      <c r="F26" s="922"/>
      <c r="G26" s="918"/>
      <c r="H26" s="919"/>
    </row>
    <row r="27" spans="1:8" s="45" customFormat="1" ht="13.5" customHeight="1" x14ac:dyDescent="0.2">
      <c r="A27" s="920"/>
      <c r="B27" s="929" t="s">
        <v>322</v>
      </c>
      <c r="C27" s="918"/>
      <c r="D27" s="918"/>
      <c r="E27" s="924" t="s">
        <v>323</v>
      </c>
      <c r="F27" s="1549"/>
      <c r="G27" s="918"/>
      <c r="H27" s="919"/>
    </row>
    <row r="28" spans="1:8" s="45" customFormat="1" ht="13.5" customHeight="1" x14ac:dyDescent="0.2">
      <c r="A28" s="920"/>
      <c r="B28" s="929" t="s">
        <v>324</v>
      </c>
      <c r="C28" s="918"/>
      <c r="D28" s="918"/>
      <c r="E28" s="924" t="s">
        <v>325</v>
      </c>
      <c r="F28" s="1547">
        <f>F27</f>
        <v>0</v>
      </c>
      <c r="G28" s="918"/>
      <c r="H28" s="919"/>
    </row>
    <row r="29" spans="1:8" s="45" customFormat="1" ht="13.5" customHeight="1" x14ac:dyDescent="0.2">
      <c r="A29" s="920"/>
      <c r="B29" s="918"/>
      <c r="C29" s="918"/>
      <c r="D29" s="918"/>
      <c r="E29" s="924"/>
      <c r="F29" s="922"/>
      <c r="G29" s="918"/>
      <c r="H29" s="919"/>
    </row>
    <row r="30" spans="1:8" s="45" customFormat="1" ht="13.5" customHeight="1" x14ac:dyDescent="0.2">
      <c r="A30" s="920"/>
      <c r="B30" s="918" t="s">
        <v>326</v>
      </c>
      <c r="C30" s="918"/>
      <c r="D30" s="918"/>
      <c r="E30" s="918"/>
      <c r="F30" s="922"/>
      <c r="G30" s="918"/>
      <c r="H30" s="919"/>
    </row>
    <row r="31" spans="1:8" s="45" customFormat="1" ht="13.5" customHeight="1" x14ac:dyDescent="0.2">
      <c r="A31" s="920"/>
      <c r="B31" s="929" t="s">
        <v>327</v>
      </c>
      <c r="C31" s="918"/>
      <c r="D31" s="918"/>
      <c r="E31" s="924" t="s">
        <v>328</v>
      </c>
      <c r="F31" s="930">
        <f>F22-F27</f>
        <v>0</v>
      </c>
      <c r="G31" s="918"/>
      <c r="H31" s="919"/>
    </row>
    <row r="32" spans="1:8" s="45" customFormat="1" ht="13.5" customHeight="1" x14ac:dyDescent="0.2">
      <c r="A32" s="920"/>
      <c r="B32" s="929" t="s">
        <v>329</v>
      </c>
      <c r="C32" s="918"/>
      <c r="D32" s="918"/>
      <c r="E32" s="924" t="s">
        <v>330</v>
      </c>
      <c r="F32" s="930">
        <f>F21-F28</f>
        <v>0</v>
      </c>
      <c r="G32" s="918"/>
      <c r="H32" s="919"/>
    </row>
    <row r="33" spans="1:8" s="45" customFormat="1" ht="13.5" customHeight="1" x14ac:dyDescent="0.2">
      <c r="A33" s="920"/>
      <c r="B33" s="929" t="s">
        <v>331</v>
      </c>
      <c r="C33" s="918"/>
      <c r="D33" s="918"/>
      <c r="E33" s="924"/>
      <c r="F33" s="930">
        <f>F31-F32</f>
        <v>0</v>
      </c>
      <c r="G33" s="918"/>
      <c r="H33" s="919"/>
    </row>
    <row r="34" spans="1:8" s="45" customFormat="1" ht="13.5" customHeight="1" x14ac:dyDescent="0.2">
      <c r="A34" s="920"/>
      <c r="B34" s="918"/>
      <c r="C34" s="918"/>
      <c r="D34" s="918"/>
      <c r="E34" s="924"/>
      <c r="F34" s="922"/>
      <c r="G34" s="918"/>
      <c r="H34" s="919"/>
    </row>
    <row r="35" spans="1:8" s="45" customFormat="1" ht="13.5" customHeight="1" x14ac:dyDescent="0.2">
      <c r="A35" s="920"/>
      <c r="B35" s="917" t="s">
        <v>332</v>
      </c>
      <c r="C35" s="917"/>
      <c r="D35" s="917"/>
      <c r="E35" s="921" t="s">
        <v>333</v>
      </c>
      <c r="F35" s="938" t="e">
        <f>F24-F32</f>
        <v>#DIV/0!</v>
      </c>
      <c r="G35" s="932"/>
      <c r="H35" s="919"/>
    </row>
    <row r="36" spans="1:8" s="45" customFormat="1" ht="13.5" customHeight="1" x14ac:dyDescent="0.2">
      <c r="A36" s="920"/>
      <c r="B36" s="933" t="s">
        <v>334</v>
      </c>
      <c r="C36" s="918"/>
      <c r="D36" s="918"/>
      <c r="E36" s="924" t="s">
        <v>335</v>
      </c>
      <c r="F36" s="931">
        <f>F18-F22+F28</f>
        <v>0</v>
      </c>
      <c r="G36" s="918"/>
      <c r="H36" s="919"/>
    </row>
    <row r="37" spans="1:8" s="45" customFormat="1" ht="13.5" customHeight="1" x14ac:dyDescent="0.2">
      <c r="A37" s="920"/>
      <c r="B37" s="933"/>
      <c r="C37" s="918"/>
      <c r="D37" s="918"/>
      <c r="E37" s="924"/>
      <c r="F37" s="922"/>
      <c r="G37" s="918"/>
      <c r="H37" s="919"/>
    </row>
    <row r="38" spans="1:8" s="45" customFormat="1" ht="13.5" customHeight="1" x14ac:dyDescent="0.2">
      <c r="A38" s="920"/>
      <c r="B38" s="934" t="s">
        <v>336</v>
      </c>
      <c r="C38" s="935"/>
      <c r="D38" s="935"/>
      <c r="E38" s="936"/>
      <c r="F38" s="937"/>
      <c r="G38" s="918"/>
      <c r="H38" s="919"/>
    </row>
    <row r="39" spans="1:8" s="45" customFormat="1" ht="13.5" customHeight="1" x14ac:dyDescent="0.2">
      <c r="A39" s="920"/>
      <c r="B39" s="918" t="s">
        <v>337</v>
      </c>
      <c r="C39" s="918"/>
      <c r="D39" s="918"/>
      <c r="E39" s="924" t="s">
        <v>338</v>
      </c>
      <c r="F39" s="1550"/>
      <c r="G39" s="918"/>
      <c r="H39" s="919"/>
    </row>
    <row r="40" spans="1:8" s="45" customFormat="1" ht="13.5" customHeight="1" x14ac:dyDescent="0.2">
      <c r="A40" s="920"/>
      <c r="B40" s="918"/>
      <c r="C40" s="918"/>
      <c r="D40" s="918"/>
      <c r="E40" s="924"/>
      <c r="F40" s="922"/>
      <c r="G40" s="932"/>
      <c r="H40" s="919"/>
    </row>
    <row r="41" spans="1:8" s="45" customFormat="1" ht="13.5" customHeight="1" x14ac:dyDescent="0.2">
      <c r="A41" s="920"/>
      <c r="B41" s="918" t="s">
        <v>339</v>
      </c>
      <c r="C41" s="918"/>
      <c r="D41" s="918"/>
      <c r="E41" s="924" t="s">
        <v>340</v>
      </c>
      <c r="F41" s="930" t="e">
        <f>F35*F39</f>
        <v>#DIV/0!</v>
      </c>
      <c r="G41" s="918"/>
      <c r="H41" s="919"/>
    </row>
    <row r="42" spans="1:8" s="45" customFormat="1" ht="13.5" customHeight="1" x14ac:dyDescent="0.2">
      <c r="A42" s="920"/>
      <c r="B42" s="918"/>
      <c r="C42" s="918"/>
      <c r="D42" s="918"/>
      <c r="E42" s="924"/>
      <c r="F42" s="922"/>
      <c r="G42" s="918"/>
      <c r="H42" s="919"/>
    </row>
    <row r="43" spans="1:8" s="45" customFormat="1" ht="13.5" customHeight="1" x14ac:dyDescent="0.2">
      <c r="A43" s="920"/>
      <c r="B43" s="918" t="s">
        <v>341</v>
      </c>
      <c r="C43" s="918"/>
      <c r="D43" s="918"/>
      <c r="E43" s="924" t="s">
        <v>342</v>
      </c>
      <c r="F43" s="938" t="e">
        <f>F35-F41</f>
        <v>#DIV/0!</v>
      </c>
      <c r="G43" s="918"/>
      <c r="H43" s="919"/>
    </row>
    <row r="44" spans="1:8" s="45" customFormat="1" ht="13.5" customHeight="1" x14ac:dyDescent="0.2">
      <c r="A44" s="920"/>
      <c r="B44" s="918"/>
      <c r="C44" s="918"/>
      <c r="D44" s="918"/>
      <c r="E44" s="924"/>
      <c r="F44" s="939"/>
      <c r="G44" s="918"/>
      <c r="H44" s="919"/>
    </row>
    <row r="45" spans="1:8" s="45" customFormat="1" ht="13.5" customHeight="1" x14ac:dyDescent="0.2">
      <c r="A45" s="920"/>
      <c r="B45" s="918" t="s">
        <v>343</v>
      </c>
      <c r="C45" s="918"/>
      <c r="D45" s="918"/>
      <c r="E45" s="924" t="s">
        <v>344</v>
      </c>
      <c r="F45" s="930">
        <f>F36*F39</f>
        <v>0</v>
      </c>
      <c r="G45" s="918"/>
      <c r="H45" s="919"/>
    </row>
    <row r="46" spans="1:8" s="45" customFormat="1" ht="13.5" customHeight="1" x14ac:dyDescent="0.2">
      <c r="A46" s="920"/>
      <c r="B46" s="918"/>
      <c r="C46" s="918"/>
      <c r="D46" s="918"/>
      <c r="E46" s="924"/>
      <c r="F46" s="939"/>
      <c r="G46" s="918"/>
      <c r="H46" s="919"/>
    </row>
    <row r="47" spans="1:8" s="45" customFormat="1" ht="13.5" customHeight="1" x14ac:dyDescent="0.2">
      <c r="A47" s="920"/>
      <c r="B47" s="918" t="s">
        <v>345</v>
      </c>
      <c r="C47" s="918"/>
      <c r="D47" s="918"/>
      <c r="E47" s="924" t="s">
        <v>346</v>
      </c>
      <c r="F47" s="938">
        <f>F36-F45</f>
        <v>0</v>
      </c>
      <c r="G47" s="918"/>
      <c r="H47" s="919"/>
    </row>
    <row r="48" spans="1:8" s="45" customFormat="1" ht="13.5" customHeight="1" x14ac:dyDescent="0.2">
      <c r="A48" s="920"/>
      <c r="B48" s="917"/>
      <c r="C48" s="918"/>
      <c r="D48" s="918"/>
      <c r="E48" s="924"/>
      <c r="F48" s="932"/>
      <c r="G48" s="918"/>
      <c r="H48" s="940"/>
    </row>
    <row r="49" spans="1:8" s="45" customFormat="1" ht="13.5" customHeight="1" x14ac:dyDescent="0.2">
      <c r="A49" s="920"/>
      <c r="B49" s="917" t="s">
        <v>347</v>
      </c>
      <c r="C49" s="918"/>
      <c r="D49" s="918"/>
      <c r="E49" s="924"/>
      <c r="F49" s="932"/>
      <c r="G49" s="932"/>
      <c r="H49" s="919"/>
    </row>
    <row r="50" spans="1:8" s="45" customFormat="1" ht="13.5" customHeight="1" x14ac:dyDescent="0.2">
      <c r="A50" s="920"/>
      <c r="B50" s="918" t="s">
        <v>310</v>
      </c>
      <c r="C50" s="918"/>
      <c r="D50" s="918"/>
      <c r="E50" s="924"/>
      <c r="F50" s="941">
        <f>F16</f>
        <v>0</v>
      </c>
      <c r="G50" s="932"/>
      <c r="H50" s="919"/>
    </row>
    <row r="51" spans="1:8" s="45" customFormat="1" ht="13.5" customHeight="1" x14ac:dyDescent="0.2">
      <c r="A51" s="920"/>
      <c r="B51" s="918" t="s">
        <v>311</v>
      </c>
      <c r="C51" s="918"/>
      <c r="D51" s="918"/>
      <c r="E51" s="924" t="s">
        <v>348</v>
      </c>
      <c r="F51" s="941">
        <f>F17</f>
        <v>0</v>
      </c>
      <c r="G51" s="932"/>
      <c r="H51" s="919"/>
    </row>
    <row r="52" spans="1:8" s="45" customFormat="1" ht="13.5" customHeight="1" x14ac:dyDescent="0.2">
      <c r="A52" s="920"/>
      <c r="B52" s="918" t="s">
        <v>337</v>
      </c>
      <c r="C52" s="918"/>
      <c r="D52" s="918"/>
      <c r="E52" s="924" t="s">
        <v>349</v>
      </c>
      <c r="F52" s="942">
        <f>F39</f>
        <v>0</v>
      </c>
      <c r="G52" s="932"/>
      <c r="H52" s="919"/>
    </row>
    <row r="53" spans="1:8" s="45" customFormat="1" ht="13.5" customHeight="1" x14ac:dyDescent="0.2">
      <c r="A53" s="920"/>
      <c r="B53" s="918" t="s">
        <v>350</v>
      </c>
      <c r="C53" s="918"/>
      <c r="D53" s="918"/>
      <c r="E53" s="924" t="s">
        <v>351</v>
      </c>
      <c r="F53" s="943">
        <f>F51*F52</f>
        <v>0</v>
      </c>
      <c r="G53" s="932"/>
      <c r="H53" s="919"/>
    </row>
    <row r="54" spans="1:8" s="45" customFormat="1" ht="13.5" customHeight="1" thickBot="1" x14ac:dyDescent="0.25">
      <c r="A54" s="920"/>
      <c r="B54" s="918" t="s">
        <v>352</v>
      </c>
      <c r="C54" s="918"/>
      <c r="D54" s="918"/>
      <c r="E54" s="924" t="s">
        <v>353</v>
      </c>
      <c r="F54" s="944">
        <f>F51-F53</f>
        <v>0</v>
      </c>
      <c r="G54" s="932"/>
      <c r="H54" s="919"/>
    </row>
    <row r="55" spans="1:8" s="45" customFormat="1" ht="13.5" customHeight="1" thickTop="1" x14ac:dyDescent="0.2">
      <c r="A55" s="235"/>
      <c r="B55" s="46"/>
      <c r="C55" s="46"/>
      <c r="D55" s="46"/>
      <c r="E55" s="46"/>
      <c r="F55" s="46"/>
      <c r="G55" s="46"/>
      <c r="H55" s="71"/>
    </row>
    <row r="56" spans="1:8" s="45" customFormat="1" ht="12.75" customHeight="1" x14ac:dyDescent="0.2">
      <c r="A56" s="235"/>
      <c r="B56" s="2318" t="s">
        <v>356</v>
      </c>
      <c r="C56" s="2319"/>
      <c r="D56" s="2319"/>
      <c r="E56" s="2319"/>
      <c r="F56" s="2319"/>
      <c r="G56" s="2320"/>
      <c r="H56" s="71"/>
    </row>
    <row r="57" spans="1:8" s="45" customFormat="1" ht="12.75" customHeight="1" x14ac:dyDescent="0.2">
      <c r="A57" s="235"/>
      <c r="B57" s="2321"/>
      <c r="C57" s="2322"/>
      <c r="D57" s="2322"/>
      <c r="E57" s="2322"/>
      <c r="F57" s="2322"/>
      <c r="G57" s="2323"/>
      <c r="H57" s="71"/>
    </row>
    <row r="58" spans="1:8" s="45" customFormat="1" ht="13.5" customHeight="1" x14ac:dyDescent="0.2">
      <c r="A58" s="235"/>
      <c r="B58" s="46"/>
      <c r="C58" s="46"/>
      <c r="D58" s="46"/>
      <c r="E58" s="70"/>
      <c r="F58" s="46"/>
      <c r="G58" s="46"/>
      <c r="H58" s="71"/>
    </row>
    <row r="59" spans="1:8" s="45" customFormat="1" ht="13.5" customHeight="1" x14ac:dyDescent="0.2">
      <c r="A59" s="138"/>
      <c r="B59" s="139"/>
      <c r="C59" s="139"/>
      <c r="D59" s="139"/>
      <c r="E59" s="139"/>
      <c r="F59" s="139"/>
      <c r="G59" s="139"/>
      <c r="H59" s="54"/>
    </row>
  </sheetData>
  <mergeCells count="3">
    <mergeCell ref="A2:C2"/>
    <mergeCell ref="B56:G57"/>
    <mergeCell ref="C12:D12"/>
  </mergeCells>
  <hyperlinks>
    <hyperlink ref="A2" location="'Index and Structure'!A1" display="The Macro Group" xr:uid="{00000000-0004-0000-1E00-000000000000}"/>
  </hyperlinks>
  <pageMargins left="0.74803149606299213" right="0.39370078740157483" top="0.55118110236220474" bottom="0.62992125984251968" header="0.51181102362204722" footer="0.47244094488188981"/>
  <pageSetup paperSize="9" scale="65" orientation="portrait" r:id="rId1"/>
  <headerFooter alignWithMargins="0">
    <oddFooter>&amp;LPrinted:&amp;T on &amp;D</oddFooter>
  </headerFooter>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6161">
    <pageSetUpPr fitToPage="1"/>
  </sheetPr>
  <dimension ref="A1:S84"/>
  <sheetViews>
    <sheetView showGridLines="0" view="pageBreakPreview" zoomScaleNormal="50" zoomScaleSheetLayoutView="100" workbookViewId="0">
      <selection activeCell="R2" sqref="R2"/>
    </sheetView>
  </sheetViews>
  <sheetFormatPr defaultColWidth="9.140625" defaultRowHeight="15" x14ac:dyDescent="0.25"/>
  <cols>
    <col min="1" max="1" width="26.7109375" style="1304" bestFit="1" customWidth="1"/>
    <col min="2" max="2" width="9.5703125" style="1304" bestFit="1" customWidth="1"/>
    <col min="3" max="4" width="10.5703125" style="1304" customWidth="1"/>
    <col min="5" max="5" width="10.42578125" style="1304" customWidth="1"/>
    <col min="6" max="13" width="9.5703125" style="1304" bestFit="1" customWidth="1"/>
    <col min="14" max="14" width="10.85546875" style="1304" customWidth="1"/>
    <col min="15" max="15" width="12.5703125" style="1304" customWidth="1"/>
    <col min="16" max="16" width="10" style="1304" customWidth="1"/>
    <col min="17" max="17" width="10.85546875" style="1304" customWidth="1"/>
    <col min="18" max="16384" width="9.140625" style="1304"/>
  </cols>
  <sheetData>
    <row r="1" spans="1:18" ht="19.899999999999999" customHeight="1" thickBot="1" x14ac:dyDescent="0.4">
      <c r="A1" s="2533" t="s">
        <v>44</v>
      </c>
      <c r="B1" s="2534"/>
      <c r="C1" s="2534"/>
      <c r="D1" s="2535"/>
      <c r="E1" s="1299"/>
      <c r="F1" s="1300" t="s">
        <v>40</v>
      </c>
      <c r="G1" s="1300" t="str">
        <f>'Index and Structure'!B2</f>
        <v>Nicolo Superannuation fund</v>
      </c>
      <c r="H1" s="1302"/>
      <c r="I1" s="1303"/>
      <c r="K1" s="1305" t="s">
        <v>38</v>
      </c>
      <c r="L1" s="1302" t="str">
        <f>'Index and Structure'!B5</f>
        <v>NICO0024</v>
      </c>
      <c r="O1" s="1308" t="str">
        <f>'Index and Structure'!A4</f>
        <v>Year :</v>
      </c>
      <c r="P1" s="1903">
        <f>'Index and Structure'!D4</f>
        <v>2022</v>
      </c>
      <c r="R1" s="1306" t="s">
        <v>1008</v>
      </c>
    </row>
    <row r="2" spans="1:18" ht="14.45" customHeight="1" x14ac:dyDescent="0.25">
      <c r="A2" s="1307"/>
      <c r="B2" s="1307"/>
      <c r="F2" s="1300" t="s">
        <v>45</v>
      </c>
      <c r="G2" s="1301" t="s">
        <v>47</v>
      </c>
      <c r="H2" s="1302"/>
      <c r="I2" s="1303"/>
      <c r="K2" s="1308" t="s">
        <v>41</v>
      </c>
      <c r="L2" s="1302" t="str">
        <f>'Index and Structure'!B6</f>
        <v>Liam Aubin</v>
      </c>
      <c r="O2" s="1302" t="s">
        <v>42</v>
      </c>
      <c r="P2" s="1309"/>
    </row>
    <row r="3" spans="1:18" ht="16.149999999999999" customHeight="1" x14ac:dyDescent="0.25">
      <c r="A3" s="1310" t="s">
        <v>390</v>
      </c>
      <c r="B3" s="2536" t="s">
        <v>397</v>
      </c>
      <c r="C3" s="2536"/>
      <c r="D3" s="2536"/>
      <c r="F3" s="1300" t="s">
        <v>46</v>
      </c>
      <c r="G3" s="1902" t="str">
        <f>'Index and Structure'!B4</f>
        <v>30 June 2022</v>
      </c>
      <c r="H3" s="1302"/>
      <c r="I3" s="1303"/>
      <c r="K3" s="1308" t="s">
        <v>43</v>
      </c>
      <c r="L3" s="1302" t="str">
        <f>'Index and Structure'!B7</f>
        <v>Nicole Bryant</v>
      </c>
      <c r="O3" s="1302" t="s">
        <v>42</v>
      </c>
      <c r="P3" s="1311"/>
    </row>
    <row r="4" spans="1:18" ht="18" customHeight="1" x14ac:dyDescent="0.25">
      <c r="A4" s="1310"/>
      <c r="B4" s="2536" t="s">
        <v>398</v>
      </c>
      <c r="C4" s="2536"/>
      <c r="D4" s="2536"/>
      <c r="F4" s="1454" t="s">
        <v>488</v>
      </c>
    </row>
    <row r="5" spans="1:18" ht="18" customHeight="1" x14ac:dyDescent="0.25">
      <c r="A5" s="1310"/>
      <c r="B5" s="2536" t="s">
        <v>399</v>
      </c>
      <c r="C5" s="2536"/>
      <c r="D5" s="2536"/>
      <c r="F5" s="1312" t="s">
        <v>400</v>
      </c>
      <c r="G5" s="1313"/>
      <c r="H5" s="1313"/>
      <c r="I5" s="1313"/>
      <c r="J5" s="1313"/>
      <c r="K5" s="1313"/>
      <c r="L5" s="1313"/>
      <c r="M5" s="1313"/>
      <c r="N5" s="1313"/>
      <c r="O5" s="1313"/>
    </row>
    <row r="6" spans="1:18" s="1314" customFormat="1" ht="13.5" customHeight="1" x14ac:dyDescent="0.25">
      <c r="C6" s="1315"/>
      <c r="D6" s="1315"/>
      <c r="E6" s="1315"/>
      <c r="F6" s="1316" t="s">
        <v>401</v>
      </c>
      <c r="G6" s="1316"/>
      <c r="H6" s="1316"/>
      <c r="I6" s="1316"/>
      <c r="J6" s="1316"/>
      <c r="K6" s="1316"/>
      <c r="L6" s="1316"/>
      <c r="M6" s="1316"/>
      <c r="N6" s="1316"/>
      <c r="O6" s="1312"/>
      <c r="P6" s="1317"/>
      <c r="Q6" s="1317"/>
      <c r="R6" s="1317"/>
    </row>
    <row r="7" spans="1:18" s="1314" customFormat="1" ht="13.5" customHeight="1" x14ac:dyDescent="0.25">
      <c r="A7" s="2537" t="s">
        <v>402</v>
      </c>
      <c r="B7" s="2520" t="s">
        <v>6</v>
      </c>
      <c r="C7" s="2520" t="s">
        <v>7</v>
      </c>
      <c r="D7" s="2520" t="s">
        <v>8</v>
      </c>
      <c r="E7" s="2520" t="s">
        <v>9</v>
      </c>
      <c r="F7" s="2520" t="s">
        <v>10</v>
      </c>
      <c r="G7" s="2520" t="s">
        <v>11</v>
      </c>
      <c r="H7" s="2520" t="s">
        <v>12</v>
      </c>
      <c r="I7" s="2520" t="s">
        <v>13</v>
      </c>
      <c r="J7" s="2520" t="s">
        <v>14</v>
      </c>
      <c r="K7" s="2520" t="s">
        <v>15</v>
      </c>
      <c r="L7" s="2520" t="s">
        <v>16</v>
      </c>
      <c r="M7" s="2520" t="s">
        <v>17</v>
      </c>
      <c r="N7" s="2518" t="s">
        <v>403</v>
      </c>
      <c r="O7" s="2518" t="s">
        <v>404</v>
      </c>
      <c r="P7" s="2520" t="s">
        <v>33</v>
      </c>
      <c r="Q7" s="2520" t="s">
        <v>405</v>
      </c>
      <c r="R7" s="1317"/>
    </row>
    <row r="8" spans="1:18" s="1314" customFormat="1" ht="13.5" customHeight="1" x14ac:dyDescent="0.25">
      <c r="A8" s="2538"/>
      <c r="B8" s="2521"/>
      <c r="C8" s="2521"/>
      <c r="D8" s="2521"/>
      <c r="E8" s="2521"/>
      <c r="F8" s="2521"/>
      <c r="G8" s="2521"/>
      <c r="H8" s="2521"/>
      <c r="I8" s="2521"/>
      <c r="J8" s="2521"/>
      <c r="K8" s="2521"/>
      <c r="L8" s="2521"/>
      <c r="M8" s="2521"/>
      <c r="N8" s="2519"/>
      <c r="O8" s="2519"/>
      <c r="P8" s="2521"/>
      <c r="Q8" s="2521"/>
      <c r="R8" s="1317"/>
    </row>
    <row r="9" spans="1:18" s="1314" customFormat="1" ht="13.5" customHeight="1" x14ac:dyDescent="0.25">
      <c r="A9" s="1318" t="s">
        <v>406</v>
      </c>
      <c r="B9" s="1319"/>
      <c r="C9" s="1319"/>
      <c r="D9" s="1319"/>
      <c r="E9" s="1319"/>
      <c r="F9" s="1319"/>
      <c r="G9" s="1319"/>
      <c r="H9" s="1319"/>
      <c r="I9" s="1319"/>
      <c r="J9" s="1319"/>
      <c r="K9" s="1319"/>
      <c r="L9" s="1319"/>
      <c r="M9" s="1319"/>
      <c r="N9" s="1320"/>
      <c r="O9" s="1320"/>
      <c r="P9" s="1319"/>
      <c r="Q9" s="1321"/>
      <c r="R9" s="1317"/>
    </row>
    <row r="10" spans="1:18" s="1314" customFormat="1" ht="13.5" customHeight="1" x14ac:dyDescent="0.25">
      <c r="A10" s="1322" t="s">
        <v>407</v>
      </c>
      <c r="B10" s="1323"/>
      <c r="C10" s="1323"/>
      <c r="D10" s="1323"/>
      <c r="E10" s="1323"/>
      <c r="F10" s="1323"/>
      <c r="G10" s="1323"/>
      <c r="H10" s="1323"/>
      <c r="I10" s="1323"/>
      <c r="J10" s="1323"/>
      <c r="K10" s="1323"/>
      <c r="L10" s="1323"/>
      <c r="M10" s="1323"/>
      <c r="N10" s="1323"/>
      <c r="O10" s="1323"/>
      <c r="P10" s="1324">
        <f>SUM(B10:O10)</f>
        <v>0</v>
      </c>
      <c r="Q10" s="1325" t="s">
        <v>151</v>
      </c>
      <c r="R10" s="1317"/>
    </row>
    <row r="11" spans="1:18" s="1314" customFormat="1" ht="13.5" customHeight="1" x14ac:dyDescent="0.25">
      <c r="A11" s="1326" t="s">
        <v>408</v>
      </c>
      <c r="B11" s="1327"/>
      <c r="C11" s="1327"/>
      <c r="D11" s="1327"/>
      <c r="E11" s="1327"/>
      <c r="F11" s="1327"/>
      <c r="G11" s="1327"/>
      <c r="H11" s="1327"/>
      <c r="I11" s="1327"/>
      <c r="J11" s="1327"/>
      <c r="K11" s="1327"/>
      <c r="L11" s="1327"/>
      <c r="M11" s="1327"/>
      <c r="N11" s="1327"/>
      <c r="O11" s="1327"/>
      <c r="P11" s="1324">
        <f t="shared" ref="P11:P44" si="0">SUM(B11:O11)</f>
        <v>0</v>
      </c>
      <c r="Q11" s="1328" t="s">
        <v>151</v>
      </c>
      <c r="R11" s="1317"/>
    </row>
    <row r="12" spans="1:18" s="1314" customFormat="1" ht="13.5" customHeight="1" x14ac:dyDescent="0.25">
      <c r="A12" s="1326" t="s">
        <v>409</v>
      </c>
      <c r="B12" s="1329">
        <f>SUM(B10:B11)</f>
        <v>0</v>
      </c>
      <c r="C12" s="1329">
        <f t="shared" ref="C12:P12" si="1">SUM(C10:C11)</f>
        <v>0</v>
      </c>
      <c r="D12" s="1329">
        <f t="shared" si="1"/>
        <v>0</v>
      </c>
      <c r="E12" s="1329">
        <f t="shared" si="1"/>
        <v>0</v>
      </c>
      <c r="F12" s="1329">
        <f t="shared" si="1"/>
        <v>0</v>
      </c>
      <c r="G12" s="1329">
        <f t="shared" si="1"/>
        <v>0</v>
      </c>
      <c r="H12" s="1329">
        <f t="shared" si="1"/>
        <v>0</v>
      </c>
      <c r="I12" s="1329">
        <f t="shared" si="1"/>
        <v>0</v>
      </c>
      <c r="J12" s="1329">
        <f t="shared" si="1"/>
        <v>0</v>
      </c>
      <c r="K12" s="1329">
        <f t="shared" si="1"/>
        <v>0</v>
      </c>
      <c r="L12" s="1329">
        <f t="shared" si="1"/>
        <v>0</v>
      </c>
      <c r="M12" s="1329">
        <f t="shared" si="1"/>
        <v>0</v>
      </c>
      <c r="N12" s="1329">
        <f t="shared" si="1"/>
        <v>0</v>
      </c>
      <c r="O12" s="1329">
        <f t="shared" si="1"/>
        <v>0</v>
      </c>
      <c r="P12" s="1329">
        <f t="shared" si="1"/>
        <v>0</v>
      </c>
      <c r="Q12" s="1328"/>
      <c r="R12" s="1317"/>
    </row>
    <row r="13" spans="1:18" s="1314" customFormat="1" ht="13.5" customHeight="1" x14ac:dyDescent="0.25">
      <c r="A13" s="1330"/>
      <c r="B13" s="1331"/>
      <c r="C13" s="1331"/>
      <c r="D13" s="1331"/>
      <c r="E13" s="1331"/>
      <c r="F13" s="1331"/>
      <c r="G13" s="1331"/>
      <c r="H13" s="1331"/>
      <c r="I13" s="1331"/>
      <c r="J13" s="1331"/>
      <c r="K13" s="1331"/>
      <c r="L13" s="1331"/>
      <c r="M13" s="1331"/>
      <c r="N13" s="1331"/>
      <c r="O13" s="1331"/>
      <c r="P13" s="1332"/>
      <c r="Q13" s="1333"/>
      <c r="R13" s="1317"/>
    </row>
    <row r="14" spans="1:18" s="1314" customFormat="1" ht="13.5" customHeight="1" x14ac:dyDescent="0.25">
      <c r="A14" s="1318" t="s">
        <v>410</v>
      </c>
      <c r="B14" s="1319"/>
      <c r="C14" s="1319"/>
      <c r="D14" s="1319"/>
      <c r="E14" s="1319"/>
      <c r="F14" s="1319"/>
      <c r="G14" s="1319"/>
      <c r="H14" s="1319"/>
      <c r="I14" s="1319"/>
      <c r="J14" s="1319"/>
      <c r="K14" s="1319"/>
      <c r="L14" s="1319"/>
      <c r="M14" s="1319"/>
      <c r="N14" s="1320"/>
      <c r="O14" s="1320"/>
      <c r="P14" s="1319"/>
      <c r="Q14" s="1321"/>
      <c r="R14" s="1317"/>
    </row>
    <row r="15" spans="1:18" s="1314" customFormat="1" ht="13.5" customHeight="1" x14ac:dyDescent="0.25">
      <c r="A15" s="1326" t="s">
        <v>411</v>
      </c>
      <c r="B15" s="1327"/>
      <c r="C15" s="1327"/>
      <c r="D15" s="1327"/>
      <c r="E15" s="1327"/>
      <c r="F15" s="1327"/>
      <c r="G15" s="1327"/>
      <c r="H15" s="1327"/>
      <c r="I15" s="1327"/>
      <c r="J15" s="1327"/>
      <c r="K15" s="1327"/>
      <c r="L15" s="1327"/>
      <c r="M15" s="1327"/>
      <c r="N15" s="1327"/>
      <c r="O15" s="1327"/>
      <c r="P15" s="1324">
        <f>SUM(B15:O15)</f>
        <v>0</v>
      </c>
      <c r="Q15" s="1328" t="s">
        <v>412</v>
      </c>
      <c r="R15" s="1317"/>
    </row>
    <row r="16" spans="1:18" s="1314" customFormat="1" ht="13.5" customHeight="1" x14ac:dyDescent="0.25">
      <c r="A16" s="1334" t="s">
        <v>413</v>
      </c>
      <c r="B16" s="1335"/>
      <c r="C16" s="1335"/>
      <c r="D16" s="1335"/>
      <c r="E16" s="1335"/>
      <c r="F16" s="1335"/>
      <c r="G16" s="1335"/>
      <c r="H16" s="1335"/>
      <c r="I16" s="1335"/>
      <c r="J16" s="1335"/>
      <c r="K16" s="1335"/>
      <c r="L16" s="1335"/>
      <c r="M16" s="1335"/>
      <c r="N16" s="1335"/>
      <c r="O16" s="1335"/>
      <c r="P16" s="1336">
        <f>SUM(B16:O16)</f>
        <v>0</v>
      </c>
      <c r="Q16" s="1337" t="s">
        <v>412</v>
      </c>
      <c r="R16" s="1317"/>
    </row>
    <row r="17" spans="1:18" s="1314" customFormat="1" ht="13.5" customHeight="1" x14ac:dyDescent="0.25">
      <c r="A17" s="1338" t="s">
        <v>414</v>
      </c>
      <c r="B17" s="1339"/>
      <c r="C17" s="1339"/>
      <c r="D17" s="1339"/>
      <c r="E17" s="1339"/>
      <c r="F17" s="1339"/>
      <c r="G17" s="1339"/>
      <c r="H17" s="1339"/>
      <c r="I17" s="1339"/>
      <c r="J17" s="1339"/>
      <c r="K17" s="1339"/>
      <c r="L17" s="1339"/>
      <c r="M17" s="1339"/>
      <c r="N17" s="1339"/>
      <c r="O17" s="1339"/>
      <c r="P17" s="1340"/>
      <c r="Q17" s="1341"/>
      <c r="R17" s="1317"/>
    </row>
    <row r="18" spans="1:18" s="1314" customFormat="1" ht="13.5" customHeight="1" x14ac:dyDescent="0.25">
      <c r="A18" s="1342"/>
      <c r="B18" s="1332"/>
      <c r="C18" s="1332"/>
      <c r="D18" s="1332"/>
      <c r="E18" s="1332"/>
      <c r="F18" s="1332"/>
      <c r="G18" s="1332"/>
      <c r="H18" s="1332"/>
      <c r="I18" s="1332"/>
      <c r="J18" s="1332"/>
      <c r="K18" s="1332"/>
      <c r="L18" s="1332"/>
      <c r="M18" s="1332"/>
      <c r="N18" s="1332"/>
      <c r="O18" s="1332"/>
      <c r="P18" s="1332"/>
      <c r="Q18" s="1343"/>
      <c r="R18" s="1317"/>
    </row>
    <row r="19" spans="1:18" s="1314" customFormat="1" ht="13.5" customHeight="1" x14ac:dyDescent="0.25">
      <c r="A19" s="1344" t="s">
        <v>415</v>
      </c>
      <c r="B19" s="1345"/>
      <c r="C19" s="1345"/>
      <c r="D19" s="1345"/>
      <c r="E19" s="1345"/>
      <c r="F19" s="1345"/>
      <c r="G19" s="1345"/>
      <c r="H19" s="1345"/>
      <c r="I19" s="1345"/>
      <c r="J19" s="1345"/>
      <c r="K19" s="1345"/>
      <c r="L19" s="1345"/>
      <c r="M19" s="1345"/>
      <c r="N19" s="1345"/>
      <c r="O19" s="1345"/>
      <c r="P19" s="1345"/>
      <c r="Q19" s="1346"/>
      <c r="R19" s="1317"/>
    </row>
    <row r="20" spans="1:18" s="1314" customFormat="1" ht="13.5" customHeight="1" x14ac:dyDescent="0.25">
      <c r="A20" s="1326" t="s">
        <v>279</v>
      </c>
      <c r="B20" s="1327"/>
      <c r="C20" s="1327"/>
      <c r="D20" s="1327"/>
      <c r="E20" s="1327"/>
      <c r="F20" s="1327"/>
      <c r="G20" s="1327"/>
      <c r="H20" s="1327"/>
      <c r="I20" s="1327"/>
      <c r="J20" s="1327"/>
      <c r="K20" s="1327"/>
      <c r="L20" s="1327"/>
      <c r="M20" s="1327"/>
      <c r="N20" s="1327"/>
      <c r="O20" s="1327"/>
      <c r="P20" s="1324">
        <f t="shared" si="0"/>
        <v>0</v>
      </c>
      <c r="Q20" s="1328" t="s">
        <v>320</v>
      </c>
      <c r="R20" s="1317"/>
    </row>
    <row r="21" spans="1:18" s="1314" customFormat="1" ht="13.5" customHeight="1" x14ac:dyDescent="0.25">
      <c r="A21" s="1326" t="s">
        <v>416</v>
      </c>
      <c r="B21" s="1327"/>
      <c r="C21" s="1327"/>
      <c r="D21" s="1327"/>
      <c r="E21" s="1327"/>
      <c r="F21" s="1327"/>
      <c r="G21" s="1327"/>
      <c r="H21" s="1327"/>
      <c r="I21" s="1327"/>
      <c r="J21" s="1327"/>
      <c r="K21" s="1327"/>
      <c r="L21" s="1327"/>
      <c r="M21" s="1327"/>
      <c r="N21" s="1327"/>
      <c r="O21" s="1329">
        <f>B69</f>
        <v>0</v>
      </c>
      <c r="P21" s="1324">
        <f t="shared" si="0"/>
        <v>0</v>
      </c>
      <c r="Q21" s="1328" t="s">
        <v>323</v>
      </c>
      <c r="R21" s="1317"/>
    </row>
    <row r="22" spans="1:18" s="1314" customFormat="1" ht="13.5" customHeight="1" x14ac:dyDescent="0.25">
      <c r="A22" s="1326" t="s">
        <v>417</v>
      </c>
      <c r="B22" s="1327"/>
      <c r="C22" s="1327"/>
      <c r="D22" s="1327"/>
      <c r="E22" s="1327"/>
      <c r="F22" s="1327"/>
      <c r="G22" s="1327"/>
      <c r="H22" s="1327"/>
      <c r="I22" s="1327"/>
      <c r="J22" s="1327"/>
      <c r="K22" s="1327"/>
      <c r="L22" s="1327"/>
      <c r="M22" s="1327"/>
      <c r="N22" s="1327"/>
      <c r="O22" s="1329">
        <f>K54</f>
        <v>0</v>
      </c>
      <c r="P22" s="1324">
        <f t="shared" si="0"/>
        <v>0</v>
      </c>
      <c r="Q22" s="1328" t="s">
        <v>325</v>
      </c>
      <c r="R22" s="1317"/>
    </row>
    <row r="23" spans="1:18" s="1314" customFormat="1" ht="13.5" customHeight="1" x14ac:dyDescent="0.25">
      <c r="A23" s="1326" t="s">
        <v>26</v>
      </c>
      <c r="B23" s="1327"/>
      <c r="C23" s="1327"/>
      <c r="D23" s="1327"/>
      <c r="E23" s="1327"/>
      <c r="F23" s="1327"/>
      <c r="G23" s="1327"/>
      <c r="H23" s="1327"/>
      <c r="I23" s="1327"/>
      <c r="J23" s="1327"/>
      <c r="K23" s="1327"/>
      <c r="L23" s="1327"/>
      <c r="M23" s="1327"/>
      <c r="N23" s="1327"/>
      <c r="O23" s="1327"/>
      <c r="P23" s="1324">
        <f t="shared" si="0"/>
        <v>0</v>
      </c>
      <c r="Q23" s="1328" t="s">
        <v>328</v>
      </c>
      <c r="R23" s="1317"/>
    </row>
    <row r="24" spans="1:18" s="1314" customFormat="1" ht="13.5" customHeight="1" x14ac:dyDescent="0.25">
      <c r="A24" s="1326" t="s">
        <v>418</v>
      </c>
      <c r="B24" s="1327"/>
      <c r="C24" s="1327"/>
      <c r="D24" s="1327"/>
      <c r="E24" s="1327"/>
      <c r="F24" s="1327"/>
      <c r="G24" s="1327"/>
      <c r="H24" s="1327"/>
      <c r="I24" s="1327"/>
      <c r="J24" s="1327"/>
      <c r="K24" s="1327"/>
      <c r="L24" s="1327"/>
      <c r="M24" s="1327"/>
      <c r="N24" s="1327"/>
      <c r="O24" s="1329">
        <f>C69</f>
        <v>0</v>
      </c>
      <c r="P24" s="1324">
        <f t="shared" si="0"/>
        <v>0</v>
      </c>
      <c r="Q24" s="1328" t="s">
        <v>330</v>
      </c>
      <c r="R24" s="1317"/>
    </row>
    <row r="25" spans="1:18" s="1314" customFormat="1" ht="13.5" customHeight="1" x14ac:dyDescent="0.25">
      <c r="A25" s="1326" t="s">
        <v>419</v>
      </c>
      <c r="B25" s="1327"/>
      <c r="C25" s="1327"/>
      <c r="D25" s="1327"/>
      <c r="E25" s="1327"/>
      <c r="F25" s="1327"/>
      <c r="G25" s="1327"/>
      <c r="H25" s="1327"/>
      <c r="I25" s="1327"/>
      <c r="J25" s="1327"/>
      <c r="K25" s="1327"/>
      <c r="L25" s="1327"/>
      <c r="M25" s="1327"/>
      <c r="N25" s="1327"/>
      <c r="O25" s="1329">
        <f>K55+K57</f>
        <v>0</v>
      </c>
      <c r="P25" s="1324">
        <f t="shared" si="0"/>
        <v>0</v>
      </c>
      <c r="Q25" s="1328" t="s">
        <v>333</v>
      </c>
      <c r="R25" s="1317"/>
    </row>
    <row r="26" spans="1:18" s="1314" customFormat="1" ht="13.5" customHeight="1" x14ac:dyDescent="0.25">
      <c r="A26" s="1326" t="s">
        <v>420</v>
      </c>
      <c r="B26" s="1327"/>
      <c r="C26" s="1327"/>
      <c r="D26" s="1327"/>
      <c r="E26" s="1327"/>
      <c r="F26" s="1327"/>
      <c r="G26" s="1327"/>
      <c r="H26" s="1327"/>
      <c r="I26" s="1327"/>
      <c r="J26" s="1327"/>
      <c r="K26" s="1327"/>
      <c r="L26" s="1327"/>
      <c r="M26" s="1327"/>
      <c r="N26" s="1327"/>
      <c r="O26" s="1327"/>
      <c r="P26" s="1324">
        <f t="shared" si="0"/>
        <v>0</v>
      </c>
      <c r="Q26" s="1328" t="s">
        <v>335</v>
      </c>
      <c r="R26" s="1317"/>
    </row>
    <row r="27" spans="1:18" s="1314" customFormat="1" ht="13.5" customHeight="1" x14ac:dyDescent="0.25">
      <c r="A27" s="1326" t="s">
        <v>27</v>
      </c>
      <c r="B27" s="1327"/>
      <c r="C27" s="1327"/>
      <c r="D27" s="1327"/>
      <c r="E27" s="1327"/>
      <c r="F27" s="1327"/>
      <c r="G27" s="1327"/>
      <c r="H27" s="1327"/>
      <c r="I27" s="1327"/>
      <c r="J27" s="1327"/>
      <c r="K27" s="1327"/>
      <c r="L27" s="1327"/>
      <c r="M27" s="1327"/>
      <c r="N27" s="1327"/>
      <c r="O27" s="1329">
        <f>D69</f>
        <v>0</v>
      </c>
      <c r="P27" s="1324">
        <f t="shared" si="0"/>
        <v>0</v>
      </c>
      <c r="Q27" s="1328" t="s">
        <v>338</v>
      </c>
      <c r="R27" s="1317"/>
    </row>
    <row r="28" spans="1:18" s="1314" customFormat="1" ht="13.5" customHeight="1" x14ac:dyDescent="0.25">
      <c r="A28" s="1326" t="s">
        <v>5</v>
      </c>
      <c r="B28" s="1327"/>
      <c r="C28" s="1327"/>
      <c r="D28" s="1327"/>
      <c r="E28" s="1327"/>
      <c r="F28" s="1327"/>
      <c r="G28" s="1327"/>
      <c r="H28" s="1327"/>
      <c r="I28" s="1327"/>
      <c r="J28" s="1327"/>
      <c r="K28" s="1327"/>
      <c r="L28" s="1327"/>
      <c r="M28" s="1327"/>
      <c r="N28" s="1327"/>
      <c r="O28" s="1329">
        <f>E69</f>
        <v>0</v>
      </c>
      <c r="P28" s="1324">
        <f t="shared" si="0"/>
        <v>0</v>
      </c>
      <c r="Q28" s="1328" t="s">
        <v>340</v>
      </c>
      <c r="R28" s="1317"/>
    </row>
    <row r="29" spans="1:18" s="1314" customFormat="1" ht="13.5" customHeight="1" x14ac:dyDescent="0.25">
      <c r="A29" s="1326" t="s">
        <v>421</v>
      </c>
      <c r="B29" s="1327"/>
      <c r="C29" s="1327"/>
      <c r="D29" s="1327"/>
      <c r="E29" s="1327"/>
      <c r="F29" s="1327"/>
      <c r="G29" s="1327"/>
      <c r="H29" s="1327"/>
      <c r="I29" s="1327"/>
      <c r="J29" s="1327"/>
      <c r="K29" s="1327"/>
      <c r="L29" s="1327"/>
      <c r="M29" s="1327"/>
      <c r="N29" s="1327"/>
      <c r="O29" s="1329">
        <f>F69</f>
        <v>0</v>
      </c>
      <c r="P29" s="1324">
        <f t="shared" si="0"/>
        <v>0</v>
      </c>
      <c r="Q29" s="1328" t="s">
        <v>342</v>
      </c>
      <c r="R29" s="1317"/>
    </row>
    <row r="30" spans="1:18" s="1314" customFormat="1" ht="13.5" customHeight="1" x14ac:dyDescent="0.25">
      <c r="A30" s="1326" t="s">
        <v>159</v>
      </c>
      <c r="B30" s="1327"/>
      <c r="C30" s="1327"/>
      <c r="D30" s="1327"/>
      <c r="E30" s="1327"/>
      <c r="F30" s="1327"/>
      <c r="G30" s="1327"/>
      <c r="H30" s="1327"/>
      <c r="I30" s="1327"/>
      <c r="J30" s="1327"/>
      <c r="K30" s="1327"/>
      <c r="L30" s="1327"/>
      <c r="M30" s="1327"/>
      <c r="N30" s="1327"/>
      <c r="O30" s="1329">
        <f>G69</f>
        <v>0</v>
      </c>
      <c r="P30" s="1324">
        <f t="shared" si="0"/>
        <v>0</v>
      </c>
      <c r="Q30" s="1328" t="s">
        <v>344</v>
      </c>
      <c r="R30" s="1317"/>
    </row>
    <row r="31" spans="1:18" s="1314" customFormat="1" ht="13.5" customHeight="1" x14ac:dyDescent="0.25">
      <c r="A31" s="1326" t="s">
        <v>422</v>
      </c>
      <c r="B31" s="1327"/>
      <c r="C31" s="1327"/>
      <c r="D31" s="1327"/>
      <c r="E31" s="1327"/>
      <c r="F31" s="1327"/>
      <c r="G31" s="1327"/>
      <c r="H31" s="1327"/>
      <c r="I31" s="1327"/>
      <c r="J31" s="1327"/>
      <c r="K31" s="1327"/>
      <c r="L31" s="1327"/>
      <c r="M31" s="1327"/>
      <c r="N31" s="1327"/>
      <c r="O31" s="1327"/>
      <c r="P31" s="1324">
        <f t="shared" si="0"/>
        <v>0</v>
      </c>
      <c r="Q31" s="1328" t="s">
        <v>346</v>
      </c>
      <c r="R31" s="1317"/>
    </row>
    <row r="32" spans="1:18" s="1314" customFormat="1" ht="13.5" customHeight="1" x14ac:dyDescent="0.25">
      <c r="A32" s="1326" t="s">
        <v>423</v>
      </c>
      <c r="B32" s="1329">
        <f>SUBTOTAL(9,B33:B35)</f>
        <v>0</v>
      </c>
      <c r="C32" s="1329">
        <f t="shared" ref="C32:N32" si="2">SUBTOTAL(9,C33:C35)</f>
        <v>0</v>
      </c>
      <c r="D32" s="1329">
        <f t="shared" si="2"/>
        <v>0</v>
      </c>
      <c r="E32" s="1329">
        <f t="shared" si="2"/>
        <v>0</v>
      </c>
      <c r="F32" s="1329">
        <f t="shared" si="2"/>
        <v>0</v>
      </c>
      <c r="G32" s="1329">
        <f t="shared" si="2"/>
        <v>0</v>
      </c>
      <c r="H32" s="1329">
        <f t="shared" si="2"/>
        <v>0</v>
      </c>
      <c r="I32" s="1329">
        <f t="shared" si="2"/>
        <v>0</v>
      </c>
      <c r="J32" s="1329">
        <f t="shared" si="2"/>
        <v>0</v>
      </c>
      <c r="K32" s="1329">
        <f t="shared" si="2"/>
        <v>0</v>
      </c>
      <c r="L32" s="1329">
        <f t="shared" si="2"/>
        <v>0</v>
      </c>
      <c r="M32" s="1329">
        <f t="shared" si="2"/>
        <v>0</v>
      </c>
      <c r="N32" s="1329">
        <f t="shared" si="2"/>
        <v>0</v>
      </c>
      <c r="O32" s="1329">
        <f>SUBTOTAL(9,O33:O35)</f>
        <v>0</v>
      </c>
      <c r="P32" s="1329">
        <f>SUBTOTAL(9,P33:P35)</f>
        <v>0</v>
      </c>
      <c r="Q32" s="1328" t="s">
        <v>348</v>
      </c>
      <c r="R32" s="1317"/>
    </row>
    <row r="33" spans="1:18" s="1314" customFormat="1" ht="13.5" customHeight="1" x14ac:dyDescent="0.25">
      <c r="A33" s="1347" t="s">
        <v>424</v>
      </c>
      <c r="B33" s="1327"/>
      <c r="C33" s="1327"/>
      <c r="D33" s="1327"/>
      <c r="E33" s="1327"/>
      <c r="F33" s="1327"/>
      <c r="G33" s="1327"/>
      <c r="H33" s="1327"/>
      <c r="I33" s="1327"/>
      <c r="J33" s="1327"/>
      <c r="K33" s="1327"/>
      <c r="L33" s="1327"/>
      <c r="M33" s="1327"/>
      <c r="N33" s="1327"/>
      <c r="O33" s="1327"/>
      <c r="P33" s="1348">
        <f t="shared" si="0"/>
        <v>0</v>
      </c>
      <c r="Q33" s="1328" t="s">
        <v>412</v>
      </c>
      <c r="R33" s="1317"/>
    </row>
    <row r="34" spans="1:18" s="1314" customFormat="1" ht="13.5" customHeight="1" x14ac:dyDescent="0.25">
      <c r="A34" s="1347" t="s">
        <v>425</v>
      </c>
      <c r="B34" s="1327"/>
      <c r="C34" s="1327"/>
      <c r="D34" s="1327"/>
      <c r="E34" s="1327"/>
      <c r="F34" s="1327"/>
      <c r="G34" s="1327"/>
      <c r="H34" s="1327"/>
      <c r="I34" s="1327"/>
      <c r="J34" s="1327"/>
      <c r="K34" s="1327"/>
      <c r="L34" s="1327"/>
      <c r="M34" s="1327"/>
      <c r="N34" s="1327"/>
      <c r="O34" s="1327"/>
      <c r="P34" s="1348">
        <f t="shared" si="0"/>
        <v>0</v>
      </c>
      <c r="Q34" s="1328" t="s">
        <v>412</v>
      </c>
      <c r="R34" s="1317"/>
    </row>
    <row r="35" spans="1:18" s="1314" customFormat="1" ht="13.5" customHeight="1" x14ac:dyDescent="0.25">
      <c r="A35" s="1347" t="s">
        <v>426</v>
      </c>
      <c r="B35" s="1327"/>
      <c r="C35" s="1327"/>
      <c r="D35" s="1327"/>
      <c r="E35" s="1327"/>
      <c r="F35" s="1327"/>
      <c r="G35" s="1327"/>
      <c r="H35" s="1327"/>
      <c r="I35" s="1327"/>
      <c r="J35" s="1327"/>
      <c r="K35" s="1327"/>
      <c r="L35" s="1327"/>
      <c r="M35" s="1327"/>
      <c r="N35" s="1327"/>
      <c r="O35" s="1327"/>
      <c r="P35" s="1348">
        <f t="shared" si="0"/>
        <v>0</v>
      </c>
      <c r="Q35" s="1328" t="s">
        <v>412</v>
      </c>
      <c r="R35" s="1317"/>
    </row>
    <row r="36" spans="1:18" s="1314" customFormat="1" ht="13.5" customHeight="1" x14ac:dyDescent="0.25">
      <c r="A36" s="1326" t="s">
        <v>25</v>
      </c>
      <c r="B36" s="1327"/>
      <c r="C36" s="1327"/>
      <c r="D36" s="1327"/>
      <c r="E36" s="1327"/>
      <c r="F36" s="1327"/>
      <c r="G36" s="1327"/>
      <c r="H36" s="1327"/>
      <c r="I36" s="1327"/>
      <c r="J36" s="1327"/>
      <c r="K36" s="1327"/>
      <c r="L36" s="1327"/>
      <c r="M36" s="1327"/>
      <c r="N36" s="1327"/>
      <c r="O36" s="1329">
        <f>H69</f>
        <v>0</v>
      </c>
      <c r="P36" s="1324">
        <f t="shared" si="0"/>
        <v>0</v>
      </c>
      <c r="Q36" s="1328" t="s">
        <v>349</v>
      </c>
      <c r="R36" s="1317"/>
    </row>
    <row r="37" spans="1:18" s="1314" customFormat="1" ht="13.5" customHeight="1" x14ac:dyDescent="0.25">
      <c r="A37" s="1326" t="s">
        <v>427</v>
      </c>
      <c r="B37" s="1327"/>
      <c r="C37" s="1327"/>
      <c r="D37" s="1327"/>
      <c r="E37" s="1327"/>
      <c r="F37" s="1327"/>
      <c r="G37" s="1327"/>
      <c r="H37" s="1327"/>
      <c r="I37" s="1327"/>
      <c r="J37" s="1327"/>
      <c r="K37" s="1327"/>
      <c r="L37" s="1327"/>
      <c r="M37" s="1327"/>
      <c r="N37" s="1327"/>
      <c r="O37" s="1329">
        <f>K58+K56</f>
        <v>0</v>
      </c>
      <c r="P37" s="1324">
        <f t="shared" si="0"/>
        <v>0</v>
      </c>
      <c r="Q37" s="1328" t="s">
        <v>351</v>
      </c>
      <c r="R37" s="1317"/>
    </row>
    <row r="38" spans="1:18" s="1314" customFormat="1" ht="13.5" customHeight="1" x14ac:dyDescent="0.25">
      <c r="A38" s="1326" t="s">
        <v>428</v>
      </c>
      <c r="B38" s="1327"/>
      <c r="C38" s="1327"/>
      <c r="D38" s="1327"/>
      <c r="E38" s="1327"/>
      <c r="F38" s="1327"/>
      <c r="G38" s="1327"/>
      <c r="H38" s="1327"/>
      <c r="I38" s="1327"/>
      <c r="J38" s="1327"/>
      <c r="K38" s="1327"/>
      <c r="L38" s="1327"/>
      <c r="M38" s="1327"/>
      <c r="N38" s="1327"/>
      <c r="O38" s="1327"/>
      <c r="P38" s="1324">
        <f t="shared" si="0"/>
        <v>0</v>
      </c>
      <c r="Q38" s="1328" t="s">
        <v>353</v>
      </c>
      <c r="R38" s="1317"/>
    </row>
    <row r="39" spans="1:18" s="1314" customFormat="1" ht="13.5" customHeight="1" x14ac:dyDescent="0.25">
      <c r="A39" s="1326" t="s">
        <v>429</v>
      </c>
      <c r="B39" s="1327"/>
      <c r="C39" s="1327"/>
      <c r="D39" s="1327"/>
      <c r="E39" s="1327"/>
      <c r="F39" s="1327"/>
      <c r="G39" s="1327"/>
      <c r="H39" s="1327"/>
      <c r="I39" s="1327"/>
      <c r="J39" s="1327"/>
      <c r="K39" s="1327"/>
      <c r="L39" s="1327"/>
      <c r="M39" s="1327"/>
      <c r="N39" s="1327"/>
      <c r="O39" s="1329">
        <f>I69</f>
        <v>0</v>
      </c>
      <c r="P39" s="1324">
        <f t="shared" si="0"/>
        <v>0</v>
      </c>
      <c r="Q39" s="1328" t="s">
        <v>430</v>
      </c>
      <c r="R39" s="1317"/>
    </row>
    <row r="40" spans="1:18" s="1314" customFormat="1" ht="13.5" customHeight="1" x14ac:dyDescent="0.25">
      <c r="A40" s="1326" t="s">
        <v>431</v>
      </c>
      <c r="B40" s="1327"/>
      <c r="C40" s="1327"/>
      <c r="D40" s="1327"/>
      <c r="E40" s="1327"/>
      <c r="F40" s="1327"/>
      <c r="G40" s="1327"/>
      <c r="H40" s="1327"/>
      <c r="I40" s="1327"/>
      <c r="J40" s="1327"/>
      <c r="K40" s="1327"/>
      <c r="L40" s="1327"/>
      <c r="M40" s="1327"/>
      <c r="N40" s="1327"/>
      <c r="O40" s="1329">
        <f>J69</f>
        <v>0</v>
      </c>
      <c r="P40" s="1324">
        <f t="shared" si="0"/>
        <v>0</v>
      </c>
      <c r="Q40" s="1328" t="s">
        <v>432</v>
      </c>
      <c r="R40" s="1317"/>
    </row>
    <row r="41" spans="1:18" s="1314" customFormat="1" ht="13.5" customHeight="1" x14ac:dyDescent="0.25">
      <c r="A41" s="1326" t="s">
        <v>433</v>
      </c>
      <c r="B41" s="1329">
        <f>SUBTOTAL(9,B42:B44)</f>
        <v>0</v>
      </c>
      <c r="C41" s="1329">
        <f t="shared" ref="C41:P41" si="3">SUBTOTAL(9,C42:C44)</f>
        <v>0</v>
      </c>
      <c r="D41" s="1329">
        <f t="shared" si="3"/>
        <v>0</v>
      </c>
      <c r="E41" s="1329">
        <f t="shared" si="3"/>
        <v>0</v>
      </c>
      <c r="F41" s="1329">
        <f t="shared" si="3"/>
        <v>0</v>
      </c>
      <c r="G41" s="1329">
        <f t="shared" si="3"/>
        <v>0</v>
      </c>
      <c r="H41" s="1329">
        <f t="shared" si="3"/>
        <v>0</v>
      </c>
      <c r="I41" s="1329">
        <f t="shared" si="3"/>
        <v>0</v>
      </c>
      <c r="J41" s="1329">
        <f t="shared" si="3"/>
        <v>0</v>
      </c>
      <c r="K41" s="1329">
        <f t="shared" si="3"/>
        <v>0</v>
      </c>
      <c r="L41" s="1329">
        <f t="shared" si="3"/>
        <v>0</v>
      </c>
      <c r="M41" s="1329">
        <f t="shared" si="3"/>
        <v>0</v>
      </c>
      <c r="N41" s="1329">
        <f t="shared" si="3"/>
        <v>0</v>
      </c>
      <c r="O41" s="1329">
        <f>SUBTOTAL(9,O42:O44)</f>
        <v>0</v>
      </c>
      <c r="P41" s="1329">
        <f t="shared" si="3"/>
        <v>0</v>
      </c>
      <c r="Q41" s="1328" t="s">
        <v>434</v>
      </c>
      <c r="R41" s="1317"/>
    </row>
    <row r="42" spans="1:18" s="1314" customFormat="1" ht="13.5" customHeight="1" x14ac:dyDescent="0.25">
      <c r="A42" s="1347" t="s">
        <v>435</v>
      </c>
      <c r="B42" s="1327"/>
      <c r="C42" s="1327"/>
      <c r="D42" s="1327"/>
      <c r="E42" s="1327"/>
      <c r="F42" s="1327"/>
      <c r="G42" s="1327"/>
      <c r="H42" s="1327"/>
      <c r="I42" s="1327"/>
      <c r="J42" s="1327"/>
      <c r="K42" s="1327"/>
      <c r="L42" s="1327"/>
      <c r="M42" s="1327"/>
      <c r="N42" s="1327"/>
      <c r="O42" s="1327"/>
      <c r="P42" s="1348">
        <f t="shared" si="0"/>
        <v>0</v>
      </c>
      <c r="Q42" s="1328" t="s">
        <v>412</v>
      </c>
      <c r="R42" s="1317"/>
    </row>
    <row r="43" spans="1:18" s="1314" customFormat="1" ht="13.5" customHeight="1" x14ac:dyDescent="0.25">
      <c r="A43" s="1347" t="s">
        <v>435</v>
      </c>
      <c r="B43" s="1327"/>
      <c r="C43" s="1327"/>
      <c r="D43" s="1327"/>
      <c r="E43" s="1327"/>
      <c r="F43" s="1327"/>
      <c r="G43" s="1327"/>
      <c r="H43" s="1327"/>
      <c r="I43" s="1327"/>
      <c r="J43" s="1327"/>
      <c r="K43" s="1327"/>
      <c r="L43" s="1327"/>
      <c r="M43" s="1327"/>
      <c r="N43" s="1327"/>
      <c r="O43" s="1327"/>
      <c r="P43" s="1348">
        <f t="shared" si="0"/>
        <v>0</v>
      </c>
      <c r="Q43" s="1328" t="s">
        <v>412</v>
      </c>
      <c r="R43" s="1317"/>
    </row>
    <row r="44" spans="1:18" s="1314" customFormat="1" ht="13.5" customHeight="1" x14ac:dyDescent="0.25">
      <c r="A44" s="1347" t="s">
        <v>435</v>
      </c>
      <c r="B44" s="1327"/>
      <c r="C44" s="1327"/>
      <c r="D44" s="1327"/>
      <c r="E44" s="1327"/>
      <c r="F44" s="1327"/>
      <c r="G44" s="1327"/>
      <c r="H44" s="1327"/>
      <c r="I44" s="1327"/>
      <c r="J44" s="1327"/>
      <c r="K44" s="1327"/>
      <c r="L44" s="1327"/>
      <c r="M44" s="1327"/>
      <c r="N44" s="1327"/>
      <c r="O44" s="1327"/>
      <c r="P44" s="1348">
        <f t="shared" si="0"/>
        <v>0</v>
      </c>
      <c r="Q44" s="1328" t="s">
        <v>412</v>
      </c>
      <c r="R44" s="1317"/>
    </row>
    <row r="45" spans="1:18" s="1314" customFormat="1" ht="13.5" customHeight="1" x14ac:dyDescent="0.25">
      <c r="A45" s="1349" t="s">
        <v>436</v>
      </c>
      <c r="B45" s="1329">
        <f>SUBTOTAL(9,B20:B44)</f>
        <v>0</v>
      </c>
      <c r="C45" s="1329">
        <f t="shared" ref="C45:P45" si="4">SUBTOTAL(9,C20:C44)</f>
        <v>0</v>
      </c>
      <c r="D45" s="1329">
        <f t="shared" si="4"/>
        <v>0</v>
      </c>
      <c r="E45" s="1329">
        <f t="shared" si="4"/>
        <v>0</v>
      </c>
      <c r="F45" s="1329">
        <f t="shared" si="4"/>
        <v>0</v>
      </c>
      <c r="G45" s="1329">
        <f t="shared" si="4"/>
        <v>0</v>
      </c>
      <c r="H45" s="1329">
        <f t="shared" si="4"/>
        <v>0</v>
      </c>
      <c r="I45" s="1329">
        <f t="shared" si="4"/>
        <v>0</v>
      </c>
      <c r="J45" s="1329">
        <f t="shared" si="4"/>
        <v>0</v>
      </c>
      <c r="K45" s="1329">
        <f t="shared" si="4"/>
        <v>0</v>
      </c>
      <c r="L45" s="1329">
        <f t="shared" si="4"/>
        <v>0</v>
      </c>
      <c r="M45" s="1329">
        <f t="shared" si="4"/>
        <v>0</v>
      </c>
      <c r="N45" s="1329">
        <f t="shared" si="4"/>
        <v>0</v>
      </c>
      <c r="O45" s="1329">
        <f>SUBTOTAL(9,O20:O44)</f>
        <v>0</v>
      </c>
      <c r="P45" s="1329">
        <f t="shared" si="4"/>
        <v>0</v>
      </c>
      <c r="Q45" s="1326"/>
      <c r="R45" s="1317"/>
    </row>
    <row r="46" spans="1:18" s="1314" customFormat="1" ht="13.5" customHeight="1" x14ac:dyDescent="0.25">
      <c r="A46" s="1349" t="s">
        <v>437</v>
      </c>
      <c r="B46" s="1329">
        <f>B12+B15-B16-B45</f>
        <v>0</v>
      </c>
      <c r="C46" s="1329">
        <f t="shared" ref="C46:P46" si="5">C12+C15-C16-C45</f>
        <v>0</v>
      </c>
      <c r="D46" s="1329">
        <f t="shared" si="5"/>
        <v>0</v>
      </c>
      <c r="E46" s="1329">
        <f t="shared" si="5"/>
        <v>0</v>
      </c>
      <c r="F46" s="1329">
        <f t="shared" si="5"/>
        <v>0</v>
      </c>
      <c r="G46" s="1329">
        <f t="shared" si="5"/>
        <v>0</v>
      </c>
      <c r="H46" s="1329">
        <f t="shared" si="5"/>
        <v>0</v>
      </c>
      <c r="I46" s="1329">
        <f t="shared" si="5"/>
        <v>0</v>
      </c>
      <c r="J46" s="1329">
        <f t="shared" si="5"/>
        <v>0</v>
      </c>
      <c r="K46" s="1329">
        <f t="shared" si="5"/>
        <v>0</v>
      </c>
      <c r="L46" s="1329">
        <f t="shared" si="5"/>
        <v>0</v>
      </c>
      <c r="M46" s="1329">
        <f t="shared" si="5"/>
        <v>0</v>
      </c>
      <c r="N46" s="1329">
        <f t="shared" si="5"/>
        <v>0</v>
      </c>
      <c r="O46" s="1329">
        <f>O12+O15-O16-O45</f>
        <v>0</v>
      </c>
      <c r="P46" s="1329">
        <f t="shared" si="5"/>
        <v>0</v>
      </c>
      <c r="Q46" s="1326"/>
      <c r="R46" s="1317"/>
    </row>
    <row r="47" spans="1:18" s="1314" customFormat="1" ht="13.5" customHeight="1" x14ac:dyDescent="0.25">
      <c r="A47" s="1349" t="s">
        <v>438</v>
      </c>
      <c r="B47" s="1327"/>
      <c r="C47" s="1327"/>
      <c r="D47" s="1327"/>
      <c r="E47" s="1327"/>
      <c r="F47" s="1327"/>
      <c r="G47" s="1327"/>
      <c r="H47" s="1327"/>
      <c r="I47" s="1327"/>
      <c r="J47" s="1327"/>
      <c r="K47" s="1327"/>
      <c r="L47" s="1327"/>
      <c r="M47" s="1327"/>
      <c r="N47" s="1327"/>
      <c r="O47" s="1327"/>
      <c r="P47" s="1348">
        <f>SUM(B47:O47)</f>
        <v>0</v>
      </c>
      <c r="Q47" s="1326"/>
      <c r="R47" s="1317"/>
    </row>
    <row r="48" spans="1:18" s="1314" customFormat="1" ht="13.5" customHeight="1" x14ac:dyDescent="0.25">
      <c r="A48" s="1349" t="s">
        <v>29</v>
      </c>
      <c r="B48" s="1350">
        <f>B46-B47</f>
        <v>0</v>
      </c>
      <c r="C48" s="1350">
        <f t="shared" ref="C48:N48" si="6">C46-C47</f>
        <v>0</v>
      </c>
      <c r="D48" s="1350">
        <f t="shared" si="6"/>
        <v>0</v>
      </c>
      <c r="E48" s="1350">
        <f t="shared" si="6"/>
        <v>0</v>
      </c>
      <c r="F48" s="1350">
        <f t="shared" si="6"/>
        <v>0</v>
      </c>
      <c r="G48" s="1350">
        <f t="shared" si="6"/>
        <v>0</v>
      </c>
      <c r="H48" s="1350">
        <f t="shared" si="6"/>
        <v>0</v>
      </c>
      <c r="I48" s="1350">
        <f t="shared" si="6"/>
        <v>0</v>
      </c>
      <c r="J48" s="1350">
        <f t="shared" si="6"/>
        <v>0</v>
      </c>
      <c r="K48" s="1350">
        <f t="shared" si="6"/>
        <v>0</v>
      </c>
      <c r="L48" s="1350">
        <f t="shared" si="6"/>
        <v>0</v>
      </c>
      <c r="M48" s="1350">
        <f t="shared" si="6"/>
        <v>0</v>
      </c>
      <c r="N48" s="1350">
        <f t="shared" si="6"/>
        <v>0</v>
      </c>
      <c r="O48" s="1350"/>
      <c r="P48" s="1351">
        <f>P46-P47-O46</f>
        <v>0</v>
      </c>
      <c r="Q48" s="1326"/>
      <c r="R48" s="1317"/>
    </row>
    <row r="49" spans="1:19" s="1314" customFormat="1" ht="13.5" customHeight="1" x14ac:dyDescent="0.25">
      <c r="A49" s="1349" t="s">
        <v>49</v>
      </c>
      <c r="B49" s="1327"/>
      <c r="C49" s="1327"/>
      <c r="D49" s="1327"/>
      <c r="E49" s="1327"/>
      <c r="F49" s="1327"/>
      <c r="G49" s="1327"/>
      <c r="H49" s="1327"/>
      <c r="I49" s="1327"/>
      <c r="J49" s="1327"/>
      <c r="K49" s="1327"/>
      <c r="L49" s="1327"/>
      <c r="M49" s="1327"/>
      <c r="N49" s="1327"/>
      <c r="O49" s="1327"/>
      <c r="P49" s="1327"/>
      <c r="Q49" s="1326"/>
      <c r="R49" s="1317"/>
      <c r="S49" s="1352"/>
    </row>
    <row r="50" spans="1:19" s="1314" customFormat="1" ht="13.5" customHeight="1" x14ac:dyDescent="0.2">
      <c r="B50" s="1353"/>
      <c r="C50" s="1352"/>
      <c r="D50" s="1352"/>
      <c r="E50" s="1352"/>
      <c r="F50" s="1352"/>
      <c r="G50" s="1352"/>
      <c r="H50" s="1352"/>
      <c r="I50" s="1352"/>
      <c r="K50" s="1354"/>
      <c r="L50" s="1355"/>
      <c r="M50" s="1355"/>
      <c r="N50" s="1355" t="s">
        <v>439</v>
      </c>
      <c r="O50" s="1356">
        <f>O21+O22+O24+O25+O27+O28+O29+O30+O36+O37+O39+O40+O41-SUM(B69:K69)</f>
        <v>0</v>
      </c>
    </row>
    <row r="51" spans="1:19" s="1314" customFormat="1" ht="13.5" customHeight="1" x14ac:dyDescent="0.2">
      <c r="B51" s="1353"/>
      <c r="C51" s="1352"/>
      <c r="D51" s="1352"/>
      <c r="E51" s="1352"/>
      <c r="F51" s="1352"/>
      <c r="G51" s="1352"/>
      <c r="H51" s="1352"/>
      <c r="I51" s="1352"/>
      <c r="J51" s="1352"/>
      <c r="K51" s="1352"/>
      <c r="L51" s="1352"/>
      <c r="M51" s="1352"/>
      <c r="N51" s="1352"/>
      <c r="O51" s="1352"/>
    </row>
    <row r="52" spans="1:19" s="1314" customFormat="1" ht="13.5" customHeight="1" x14ac:dyDescent="0.2">
      <c r="A52" s="2522" t="s">
        <v>440</v>
      </c>
      <c r="B52" s="2520" t="s">
        <v>441</v>
      </c>
      <c r="C52" s="2520" t="s">
        <v>28</v>
      </c>
      <c r="D52" s="2520" t="s">
        <v>27</v>
      </c>
      <c r="E52" s="2520" t="s">
        <v>5</v>
      </c>
      <c r="F52" s="2520" t="s">
        <v>421</v>
      </c>
      <c r="G52" s="2520" t="s">
        <v>159</v>
      </c>
      <c r="H52" s="2520" t="s">
        <v>25</v>
      </c>
      <c r="I52" s="2520" t="s">
        <v>91</v>
      </c>
      <c r="J52" s="2520" t="s">
        <v>282</v>
      </c>
      <c r="K52" s="2520" t="s">
        <v>3</v>
      </c>
      <c r="L52" s="2525" t="s">
        <v>48</v>
      </c>
      <c r="M52" s="2526"/>
      <c r="N52" s="2526"/>
      <c r="O52" s="2527"/>
      <c r="P52" s="2531" t="s">
        <v>49</v>
      </c>
      <c r="Q52" s="1357"/>
    </row>
    <row r="53" spans="1:19" s="1314" customFormat="1" ht="13.5" customHeight="1" x14ac:dyDescent="0.2">
      <c r="A53" s="2523"/>
      <c r="B53" s="2524"/>
      <c r="C53" s="2524"/>
      <c r="D53" s="2524"/>
      <c r="E53" s="2524"/>
      <c r="F53" s="2524"/>
      <c r="G53" s="2524"/>
      <c r="H53" s="2524"/>
      <c r="I53" s="2524"/>
      <c r="J53" s="2524"/>
      <c r="K53" s="2524"/>
      <c r="L53" s="2528"/>
      <c r="M53" s="2529"/>
      <c r="N53" s="2529"/>
      <c r="O53" s="2530"/>
      <c r="P53" s="2532"/>
      <c r="Q53" s="1358"/>
    </row>
    <row r="54" spans="1:19" s="1314" customFormat="1" ht="13.5" customHeight="1" x14ac:dyDescent="0.2">
      <c r="A54" s="1359"/>
      <c r="B54" s="1360"/>
      <c r="C54" s="1360"/>
      <c r="D54" s="1360"/>
      <c r="E54" s="1360"/>
      <c r="F54" s="1360"/>
      <c r="G54" s="1360"/>
      <c r="H54" s="1360"/>
      <c r="I54" s="1360"/>
      <c r="J54" s="1361"/>
      <c r="K54" s="1360"/>
      <c r="L54" s="2515" t="s">
        <v>442</v>
      </c>
      <c r="M54" s="2516"/>
      <c r="N54" s="2516"/>
      <c r="O54" s="2517"/>
      <c r="P54" s="1362"/>
      <c r="Q54" s="1359"/>
    </row>
    <row r="55" spans="1:19" s="1314" customFormat="1" ht="13.5" customHeight="1" x14ac:dyDescent="0.2">
      <c r="A55" s="1363"/>
      <c r="B55" s="1364"/>
      <c r="C55" s="1364"/>
      <c r="D55" s="1364"/>
      <c r="E55" s="1364"/>
      <c r="F55" s="1365"/>
      <c r="G55" s="1365"/>
      <c r="H55" s="1365"/>
      <c r="I55" s="1365"/>
      <c r="J55" s="1365"/>
      <c r="K55" s="1365"/>
      <c r="L55" s="2515" t="s">
        <v>443</v>
      </c>
      <c r="M55" s="2516"/>
      <c r="N55" s="2516"/>
      <c r="O55" s="2517"/>
      <c r="P55" s="1366"/>
      <c r="Q55" s="1363"/>
    </row>
    <row r="56" spans="1:19" s="1314" customFormat="1" ht="13.5" customHeight="1" x14ac:dyDescent="0.2">
      <c r="A56" s="1363"/>
      <c r="B56" s="1364"/>
      <c r="C56" s="1364"/>
      <c r="D56" s="1364"/>
      <c r="E56" s="1364"/>
      <c r="F56" s="1365"/>
      <c r="G56" s="1365"/>
      <c r="H56" s="1365"/>
      <c r="I56" s="1365"/>
      <c r="J56" s="1365"/>
      <c r="K56" s="1365"/>
      <c r="L56" s="2515" t="s">
        <v>444</v>
      </c>
      <c r="M56" s="2516"/>
      <c r="N56" s="2516"/>
      <c r="O56" s="2517"/>
      <c r="P56" s="1366"/>
      <c r="Q56" s="1363"/>
    </row>
    <row r="57" spans="1:19" s="1314" customFormat="1" ht="13.5" customHeight="1" x14ac:dyDescent="0.2">
      <c r="A57" s="1363"/>
      <c r="B57" s="1364"/>
      <c r="C57" s="1364"/>
      <c r="D57" s="1364"/>
      <c r="E57" s="1364"/>
      <c r="F57" s="1365"/>
      <c r="G57" s="1365"/>
      <c r="H57" s="1365"/>
      <c r="I57" s="1365"/>
      <c r="J57" s="1365"/>
      <c r="K57" s="1365"/>
      <c r="L57" s="2515" t="s">
        <v>445</v>
      </c>
      <c r="M57" s="2516"/>
      <c r="N57" s="2516"/>
      <c r="O57" s="2517"/>
      <c r="P57" s="1366"/>
      <c r="Q57" s="1363"/>
    </row>
    <row r="58" spans="1:19" s="1314" customFormat="1" ht="13.5" customHeight="1" x14ac:dyDescent="0.2">
      <c r="A58" s="1363"/>
      <c r="B58" s="1364"/>
      <c r="C58" s="1364"/>
      <c r="D58" s="1364"/>
      <c r="E58" s="1364"/>
      <c r="F58" s="1365"/>
      <c r="G58" s="1365"/>
      <c r="H58" s="1365"/>
      <c r="I58" s="1365"/>
      <c r="J58" s="1365"/>
      <c r="K58" s="1365"/>
      <c r="L58" s="2515" t="s">
        <v>446</v>
      </c>
      <c r="M58" s="2516"/>
      <c r="N58" s="2516"/>
      <c r="O58" s="2517"/>
      <c r="P58" s="1366"/>
      <c r="Q58" s="1363"/>
    </row>
    <row r="59" spans="1:19" s="1314" customFormat="1" ht="13.5" customHeight="1" x14ac:dyDescent="0.2">
      <c r="A59" s="1363"/>
      <c r="B59" s="1364"/>
      <c r="C59" s="1364"/>
      <c r="D59" s="1364"/>
      <c r="E59" s="1364"/>
      <c r="F59" s="1365"/>
      <c r="G59" s="1365"/>
      <c r="H59" s="1367"/>
      <c r="I59" s="1365"/>
      <c r="J59" s="1365"/>
      <c r="K59" s="1365"/>
      <c r="L59" s="2512" t="s">
        <v>447</v>
      </c>
      <c r="M59" s="2513"/>
      <c r="N59" s="2513"/>
      <c r="O59" s="2513"/>
      <c r="P59" s="2514"/>
      <c r="Q59" s="1363"/>
    </row>
    <row r="60" spans="1:19" s="1314" customFormat="1" ht="13.5" customHeight="1" x14ac:dyDescent="0.2">
      <c r="A60" s="1363"/>
      <c r="B60" s="1364"/>
      <c r="C60" s="1364"/>
      <c r="D60" s="1364"/>
      <c r="E60" s="1364"/>
      <c r="F60" s="1365"/>
      <c r="G60" s="1365"/>
      <c r="H60" s="1365"/>
      <c r="I60" s="1365"/>
      <c r="J60" s="1365"/>
      <c r="K60" s="1365"/>
      <c r="L60" s="2500" t="s">
        <v>435</v>
      </c>
      <c r="M60" s="2501"/>
      <c r="N60" s="2501"/>
      <c r="O60" s="2502"/>
      <c r="P60" s="1366"/>
      <c r="Q60" s="1363"/>
    </row>
    <row r="61" spans="1:19" s="1314" customFormat="1" ht="13.5" customHeight="1" x14ac:dyDescent="0.2">
      <c r="A61" s="1363"/>
      <c r="B61" s="1364"/>
      <c r="C61" s="1364"/>
      <c r="D61" s="1364"/>
      <c r="E61" s="1364"/>
      <c r="F61" s="1365"/>
      <c r="G61" s="1365"/>
      <c r="H61" s="1365"/>
      <c r="I61" s="1365"/>
      <c r="J61" s="1365"/>
      <c r="K61" s="1365"/>
      <c r="L61" s="2500" t="s">
        <v>435</v>
      </c>
      <c r="M61" s="2501"/>
      <c r="N61" s="2501"/>
      <c r="O61" s="2502"/>
      <c r="P61" s="1366"/>
      <c r="Q61" s="1363"/>
    </row>
    <row r="62" spans="1:19" s="1314" customFormat="1" ht="13.5" customHeight="1" x14ac:dyDescent="0.2">
      <c r="A62" s="1363"/>
      <c r="B62" s="1364"/>
      <c r="C62" s="1364"/>
      <c r="D62" s="1364"/>
      <c r="E62" s="1364"/>
      <c r="F62" s="1365"/>
      <c r="G62" s="1365"/>
      <c r="H62" s="1365"/>
      <c r="I62" s="1365"/>
      <c r="J62" s="1365"/>
      <c r="K62" s="1365"/>
      <c r="L62" s="2500" t="s">
        <v>435</v>
      </c>
      <c r="M62" s="2501"/>
      <c r="N62" s="2501"/>
      <c r="O62" s="2502"/>
      <c r="P62" s="1366"/>
      <c r="Q62" s="1363"/>
    </row>
    <row r="63" spans="1:19" s="1314" customFormat="1" ht="13.9" customHeight="1" x14ac:dyDescent="0.2">
      <c r="A63" s="1363"/>
      <c r="B63" s="1364"/>
      <c r="C63" s="1364"/>
      <c r="D63" s="1364"/>
      <c r="E63" s="1364"/>
      <c r="F63" s="1364"/>
      <c r="G63" s="1364"/>
      <c r="H63" s="1364"/>
      <c r="I63" s="1364"/>
      <c r="J63" s="1364"/>
      <c r="K63" s="1364"/>
      <c r="L63" s="2500" t="s">
        <v>435</v>
      </c>
      <c r="M63" s="2501"/>
      <c r="N63" s="2501"/>
      <c r="O63" s="2502"/>
      <c r="P63" s="1368"/>
      <c r="Q63" s="1363"/>
    </row>
    <row r="64" spans="1:19" s="1314" customFormat="1" ht="13.5" customHeight="1" x14ac:dyDescent="0.2">
      <c r="A64" s="1363"/>
      <c r="B64" s="1364"/>
      <c r="C64" s="1364"/>
      <c r="D64" s="1364"/>
      <c r="E64" s="1365"/>
      <c r="F64" s="1364"/>
      <c r="G64" s="1364"/>
      <c r="H64" s="1364"/>
      <c r="I64" s="1364"/>
      <c r="J64" s="1364"/>
      <c r="K64" s="1364"/>
      <c r="L64" s="2500" t="s">
        <v>435</v>
      </c>
      <c r="M64" s="2501"/>
      <c r="N64" s="2501"/>
      <c r="O64" s="2502"/>
      <c r="P64" s="1368"/>
      <c r="Q64" s="1363"/>
    </row>
    <row r="65" spans="1:19" s="1314" customFormat="1" ht="13.5" customHeight="1" x14ac:dyDescent="0.2">
      <c r="A65" s="1363"/>
      <c r="B65" s="1364"/>
      <c r="C65" s="1364"/>
      <c r="D65" s="1369"/>
      <c r="E65" s="1364"/>
      <c r="F65" s="1364"/>
      <c r="G65" s="1364"/>
      <c r="H65" s="1364"/>
      <c r="I65" s="1364"/>
      <c r="J65" s="1364"/>
      <c r="K65" s="1364"/>
      <c r="L65" s="2500" t="s">
        <v>435</v>
      </c>
      <c r="M65" s="2501"/>
      <c r="N65" s="2501"/>
      <c r="O65" s="2502"/>
      <c r="P65" s="1368"/>
      <c r="Q65" s="1363"/>
    </row>
    <row r="66" spans="1:19" s="1314" customFormat="1" ht="13.5" customHeight="1" x14ac:dyDescent="0.2">
      <c r="A66" s="1363"/>
      <c r="B66" s="1364"/>
      <c r="C66" s="1369"/>
      <c r="D66" s="1369"/>
      <c r="E66" s="1364"/>
      <c r="F66" s="1364"/>
      <c r="G66" s="1364"/>
      <c r="H66" s="1370"/>
      <c r="I66" s="1370"/>
      <c r="J66" s="1370"/>
      <c r="K66" s="1370"/>
      <c r="L66" s="2500" t="s">
        <v>435</v>
      </c>
      <c r="M66" s="2501"/>
      <c r="N66" s="2501"/>
      <c r="O66" s="2502"/>
      <c r="P66" s="1368"/>
      <c r="Q66" s="1363"/>
    </row>
    <row r="67" spans="1:19" s="1314" customFormat="1" ht="13.5" customHeight="1" x14ac:dyDescent="0.2">
      <c r="A67" s="1363"/>
      <c r="B67" s="1364"/>
      <c r="C67" s="1369"/>
      <c r="D67" s="1369"/>
      <c r="E67" s="1364"/>
      <c r="F67" s="1364"/>
      <c r="G67" s="1364"/>
      <c r="H67" s="1370"/>
      <c r="I67" s="1370"/>
      <c r="J67" s="1370"/>
      <c r="K67" s="1370"/>
      <c r="L67" s="2500" t="s">
        <v>435</v>
      </c>
      <c r="M67" s="2501"/>
      <c r="N67" s="2501"/>
      <c r="O67" s="2502"/>
      <c r="P67" s="1368"/>
      <c r="Q67" s="1363"/>
    </row>
    <row r="68" spans="1:19" s="1314" customFormat="1" ht="13.5" customHeight="1" x14ac:dyDescent="0.2">
      <c r="A68" s="1371"/>
      <c r="B68" s="1372"/>
      <c r="C68" s="1372"/>
      <c r="D68" s="1372"/>
      <c r="E68" s="1373"/>
      <c r="F68" s="1373"/>
      <c r="G68" s="1373"/>
      <c r="H68" s="1374"/>
      <c r="I68" s="1374"/>
      <c r="J68" s="1374"/>
      <c r="K68" s="1374"/>
      <c r="L68" s="2500" t="s">
        <v>435</v>
      </c>
      <c r="M68" s="2501"/>
      <c r="N68" s="2501"/>
      <c r="O68" s="2502"/>
      <c r="P68" s="1375"/>
      <c r="Q68" s="1371"/>
    </row>
    <row r="69" spans="1:19" s="1314" customFormat="1" ht="17.25" customHeight="1" x14ac:dyDescent="0.25">
      <c r="A69" s="1376" t="s">
        <v>33</v>
      </c>
      <c r="B69" s="1377">
        <f t="shared" ref="B69:K69" si="7">SUM(B54:B68)</f>
        <v>0</v>
      </c>
      <c r="C69" s="1377">
        <f t="shared" si="7"/>
        <v>0</v>
      </c>
      <c r="D69" s="1377">
        <f t="shared" si="7"/>
        <v>0</v>
      </c>
      <c r="E69" s="1377">
        <f t="shared" si="7"/>
        <v>0</v>
      </c>
      <c r="F69" s="1377">
        <f t="shared" si="7"/>
        <v>0</v>
      </c>
      <c r="G69" s="1377">
        <f t="shared" si="7"/>
        <v>0</v>
      </c>
      <c r="H69" s="1377">
        <f t="shared" si="7"/>
        <v>0</v>
      </c>
      <c r="I69" s="1377">
        <f t="shared" si="7"/>
        <v>0</v>
      </c>
      <c r="J69" s="1377">
        <f t="shared" si="7"/>
        <v>0</v>
      </c>
      <c r="K69" s="1377">
        <f t="shared" si="7"/>
        <v>0</v>
      </c>
      <c r="L69" s="2503"/>
      <c r="M69" s="2504"/>
      <c r="N69" s="2504"/>
      <c r="O69" s="2505"/>
      <c r="P69" s="1378"/>
      <c r="Q69" s="1379"/>
    </row>
    <row r="70" spans="1:19" s="1314" customFormat="1" ht="17.25" customHeight="1" x14ac:dyDescent="0.2">
      <c r="A70" s="1380" t="s">
        <v>448</v>
      </c>
      <c r="B70" s="1381"/>
      <c r="C70" s="1382"/>
      <c r="D70" s="1383"/>
      <c r="E70" s="1383"/>
      <c r="F70" s="1383"/>
      <c r="G70" s="1383"/>
      <c r="H70" s="1384"/>
      <c r="I70" s="1384"/>
      <c r="J70" s="1384"/>
      <c r="Q70" s="1380"/>
    </row>
    <row r="71" spans="1:19" s="1314" customFormat="1" ht="20.25" customHeight="1" x14ac:dyDescent="0.2">
      <c r="A71" s="1352"/>
      <c r="B71" s="1352"/>
      <c r="C71" s="1353"/>
      <c r="D71" s="1353"/>
      <c r="E71" s="1385"/>
      <c r="F71" s="1385"/>
      <c r="G71" s="1385"/>
      <c r="H71" s="1385"/>
      <c r="I71" s="1386"/>
      <c r="J71" s="1386"/>
      <c r="K71" s="1386"/>
      <c r="L71" s="1386"/>
      <c r="M71" s="1387" t="s">
        <v>449</v>
      </c>
      <c r="N71" s="1388"/>
      <c r="O71" s="1389"/>
      <c r="P71" s="1390">
        <f>P12</f>
        <v>0</v>
      </c>
    </row>
    <row r="72" spans="1:19" s="1314" customFormat="1" ht="20.25" customHeight="1" x14ac:dyDescent="0.2">
      <c r="A72" s="1391" t="s">
        <v>394</v>
      </c>
      <c r="B72" s="1392"/>
      <c r="C72" s="1393"/>
      <c r="D72" s="1393"/>
      <c r="E72" s="1394"/>
      <c r="F72" s="1395"/>
      <c r="G72" s="1385"/>
      <c r="H72" s="1385"/>
      <c r="I72" s="1386"/>
      <c r="J72" s="1386"/>
      <c r="K72" s="1386"/>
      <c r="L72" s="1386"/>
      <c r="M72" s="1387" t="s">
        <v>450</v>
      </c>
      <c r="N72" s="1388"/>
      <c r="O72" s="1389"/>
      <c r="P72" s="1390">
        <f>P45</f>
        <v>0</v>
      </c>
    </row>
    <row r="73" spans="1:19" s="1314" customFormat="1" ht="18.75" customHeight="1" x14ac:dyDescent="0.25">
      <c r="A73" s="1396" t="s">
        <v>395</v>
      </c>
      <c r="B73" s="1397" t="s">
        <v>30</v>
      </c>
      <c r="C73" s="1397" t="s">
        <v>34</v>
      </c>
      <c r="D73" s="1398" t="s">
        <v>451</v>
      </c>
      <c r="E73" s="1399" t="s">
        <v>452</v>
      </c>
      <c r="G73" s="1385"/>
      <c r="H73" s="1385"/>
      <c r="I73" s="1386"/>
      <c r="J73" s="1386"/>
      <c r="K73" s="1386"/>
      <c r="L73" s="1386"/>
      <c r="M73" s="1387" t="s">
        <v>453</v>
      </c>
      <c r="N73" s="1388"/>
      <c r="O73" s="1389"/>
      <c r="P73" s="1400">
        <f>P71-P72</f>
        <v>0</v>
      </c>
      <c r="Q73" s="1386"/>
      <c r="R73" s="1386"/>
      <c r="S73" s="1386"/>
    </row>
    <row r="74" spans="1:19" s="1314" customFormat="1" ht="13.15" customHeight="1" x14ac:dyDescent="0.2">
      <c r="A74" s="1401"/>
      <c r="B74" s="1401"/>
      <c r="C74" s="1402"/>
      <c r="D74" s="1403"/>
      <c r="E74" s="1404" t="e">
        <f>(1/D74)*2</f>
        <v>#DIV/0!</v>
      </c>
      <c r="G74" s="1385"/>
      <c r="H74" s="1385"/>
      <c r="I74" s="1352"/>
      <c r="J74" s="1352"/>
      <c r="K74" s="1352"/>
      <c r="L74" s="1352"/>
      <c r="M74" s="1352"/>
      <c r="N74" s="1386"/>
      <c r="O74" s="1386"/>
      <c r="P74" s="1386"/>
      <c r="Q74" s="2499"/>
      <c r="R74" s="2499"/>
    </row>
    <row r="75" spans="1:19" s="1314" customFormat="1" ht="12.75" customHeight="1" x14ac:dyDescent="0.2">
      <c r="A75" s="1401"/>
      <c r="B75" s="1401"/>
      <c r="C75" s="1406"/>
      <c r="D75" s="1403"/>
      <c r="E75" s="1404" t="e">
        <f t="shared" ref="E75:E80" si="8">(1/D75)*2</f>
        <v>#DIV/0!</v>
      </c>
      <c r="G75" s="1385"/>
      <c r="H75" s="1385"/>
      <c r="I75" s="1386"/>
      <c r="K75" s="1386"/>
      <c r="M75" s="1387" t="s">
        <v>454</v>
      </c>
      <c r="N75" s="1389"/>
      <c r="O75" s="1391" t="s">
        <v>455</v>
      </c>
      <c r="P75" s="1407" t="s">
        <v>19</v>
      </c>
      <c r="Q75" s="1405"/>
      <c r="R75" s="1405"/>
    </row>
    <row r="76" spans="1:19" s="1314" customFormat="1" ht="13.5" customHeight="1" x14ac:dyDescent="0.2">
      <c r="A76" s="1401"/>
      <c r="B76" s="1401"/>
      <c r="C76" s="1402"/>
      <c r="D76" s="1403"/>
      <c r="E76" s="1404" t="e">
        <f t="shared" si="8"/>
        <v>#DIV/0!</v>
      </c>
      <c r="G76" s="1385"/>
      <c r="H76" s="1385"/>
      <c r="I76" s="1386"/>
      <c r="M76" s="2506"/>
      <c r="N76" s="2507"/>
      <c r="O76" s="1409"/>
      <c r="P76" s="1410">
        <f>O76*P73</f>
        <v>0</v>
      </c>
      <c r="Q76" s="1405"/>
      <c r="R76" s="1405"/>
    </row>
    <row r="77" spans="1:19" s="1314" customFormat="1" ht="13.5" customHeight="1" x14ac:dyDescent="0.2">
      <c r="A77" s="1401"/>
      <c r="B77" s="1401"/>
      <c r="C77" s="1402"/>
      <c r="D77" s="1403"/>
      <c r="E77" s="1404" t="e">
        <f t="shared" si="8"/>
        <v>#DIV/0!</v>
      </c>
      <c r="G77" s="1385"/>
      <c r="H77" s="1385"/>
      <c r="I77" s="1386"/>
      <c r="J77" s="1386"/>
      <c r="K77" s="1386"/>
      <c r="L77" s="1386"/>
      <c r="M77" s="2508"/>
      <c r="N77" s="2509"/>
      <c r="O77" s="1411"/>
      <c r="P77" s="1412">
        <f>O77*P73</f>
        <v>0</v>
      </c>
      <c r="R77" s="1405"/>
    </row>
    <row r="78" spans="1:19" s="1314" customFormat="1" ht="13.5" customHeight="1" x14ac:dyDescent="0.2">
      <c r="A78" s="1401"/>
      <c r="B78" s="1401"/>
      <c r="C78" s="1402"/>
      <c r="D78" s="1403"/>
      <c r="E78" s="1404" t="e">
        <f t="shared" si="8"/>
        <v>#DIV/0!</v>
      </c>
      <c r="G78" s="1385"/>
      <c r="H78" s="1385"/>
      <c r="I78" s="1386"/>
      <c r="J78" s="1386"/>
      <c r="M78" s="2510"/>
      <c r="N78" s="2511"/>
      <c r="O78" s="1413"/>
      <c r="P78" s="1414">
        <f>O78*P73</f>
        <v>0</v>
      </c>
      <c r="R78" s="1405"/>
    </row>
    <row r="79" spans="1:19" s="1314" customFormat="1" ht="13.5" customHeight="1" x14ac:dyDescent="0.2">
      <c r="A79" s="1401"/>
      <c r="B79" s="1401"/>
      <c r="C79" s="1402"/>
      <c r="D79" s="1403"/>
      <c r="E79" s="1404" t="e">
        <f t="shared" si="8"/>
        <v>#DIV/0!</v>
      </c>
      <c r="G79" s="1385"/>
      <c r="H79" s="1385"/>
      <c r="I79" s="1386"/>
      <c r="J79" s="1386"/>
      <c r="R79" s="1405"/>
    </row>
    <row r="80" spans="1:19" s="1314" customFormat="1" ht="13.5" customHeight="1" x14ac:dyDescent="0.2">
      <c r="A80" s="1401"/>
      <c r="B80" s="1401"/>
      <c r="C80" s="1402"/>
      <c r="D80" s="1403"/>
      <c r="E80" s="1404" t="e">
        <f t="shared" si="8"/>
        <v>#DIV/0!</v>
      </c>
      <c r="G80" s="1385"/>
      <c r="H80" s="1385"/>
      <c r="I80" s="1386"/>
      <c r="J80" s="1386"/>
      <c r="R80" s="1405"/>
    </row>
    <row r="81" spans="1:18" s="1314" customFormat="1" ht="13.5" customHeight="1" x14ac:dyDescent="0.2">
      <c r="A81" s="1385"/>
      <c r="B81" s="1385"/>
      <c r="C81" s="1415">
        <f>SUM(C74:C80)</f>
        <v>0</v>
      </c>
      <c r="D81" s="1385"/>
      <c r="E81" s="1385"/>
      <c r="G81" s="1385"/>
      <c r="H81" s="1385"/>
      <c r="I81" s="1386"/>
      <c r="J81" s="1386"/>
      <c r="R81" s="1405"/>
    </row>
    <row r="82" spans="1:18" s="1314" customFormat="1" ht="13.5" customHeight="1" x14ac:dyDescent="0.2">
      <c r="G82" s="1385"/>
      <c r="H82" s="1385"/>
      <c r="I82" s="1352"/>
      <c r="J82" s="1352"/>
      <c r="K82" s="1352"/>
      <c r="L82" s="1352"/>
      <c r="M82" s="1352"/>
      <c r="N82" s="1352"/>
      <c r="O82" s="1352"/>
      <c r="Q82" s="2499"/>
      <c r="R82" s="2499"/>
    </row>
    <row r="83" spans="1:18" s="1314" customFormat="1" ht="13.5" customHeight="1" x14ac:dyDescent="0.2">
      <c r="A83" s="1352"/>
      <c r="B83" s="1352"/>
      <c r="C83" s="1408" t="s">
        <v>456</v>
      </c>
      <c r="D83" s="1416"/>
      <c r="E83" s="1416"/>
      <c r="F83" s="1416"/>
      <c r="G83" s="1416"/>
      <c r="H83" s="1416"/>
      <c r="I83" s="1416"/>
      <c r="J83" s="1416"/>
      <c r="K83" s="1416"/>
      <c r="L83" s="1416"/>
      <c r="M83" s="1416"/>
      <c r="N83" s="1417"/>
      <c r="O83" s="1352"/>
      <c r="P83" s="1352"/>
      <c r="Q83" s="2499"/>
      <c r="R83" s="2499"/>
    </row>
    <row r="84" spans="1:18" s="1314" customFormat="1" ht="13.5" customHeight="1" x14ac:dyDescent="0.2">
      <c r="A84" s="1352"/>
      <c r="B84" s="1352"/>
      <c r="C84" s="1418"/>
      <c r="D84" s="1419"/>
      <c r="E84" s="1419"/>
      <c r="F84" s="1419"/>
      <c r="G84" s="1419"/>
      <c r="H84" s="1419"/>
      <c r="I84" s="1419"/>
      <c r="J84" s="1419"/>
      <c r="K84" s="1419"/>
      <c r="L84" s="1419"/>
      <c r="M84" s="1419"/>
      <c r="N84" s="1420"/>
      <c r="O84" s="1352"/>
      <c r="P84" s="1352"/>
      <c r="Q84" s="2499"/>
      <c r="R84" s="2499"/>
    </row>
  </sheetData>
  <sheetProtection formatCells="0" formatColumns="0" formatRows="0" insertRows="0" insertHyperlinks="0" sort="0"/>
  <mergeCells count="57">
    <mergeCell ref="A1:D1"/>
    <mergeCell ref="B3:D3"/>
    <mergeCell ref="B4:D4"/>
    <mergeCell ref="B5:D5"/>
    <mergeCell ref="A7:A8"/>
    <mergeCell ref="B7:B8"/>
    <mergeCell ref="C7:C8"/>
    <mergeCell ref="D7:D8"/>
    <mergeCell ref="E7:E8"/>
    <mergeCell ref="F7:F8"/>
    <mergeCell ref="G7:G8"/>
    <mergeCell ref="H7:H8"/>
    <mergeCell ref="I7:I8"/>
    <mergeCell ref="J7:J8"/>
    <mergeCell ref="K7:K8"/>
    <mergeCell ref="L7:L8"/>
    <mergeCell ref="M7:M8"/>
    <mergeCell ref="N7:N8"/>
    <mergeCell ref="O7:O8"/>
    <mergeCell ref="P7:P8"/>
    <mergeCell ref="Q7:Q8"/>
    <mergeCell ref="A52:A53"/>
    <mergeCell ref="B52:B53"/>
    <mergeCell ref="C52:C53"/>
    <mergeCell ref="D52:D53"/>
    <mergeCell ref="E52:E53"/>
    <mergeCell ref="F52:F53"/>
    <mergeCell ref="G52:G53"/>
    <mergeCell ref="H52:H53"/>
    <mergeCell ref="I52:I53"/>
    <mergeCell ref="J52:J53"/>
    <mergeCell ref="K52:K53"/>
    <mergeCell ref="L52:O53"/>
    <mergeCell ref="P52:P53"/>
    <mergeCell ref="L54:O54"/>
    <mergeCell ref="L55:O55"/>
    <mergeCell ref="L56:O56"/>
    <mergeCell ref="L57:O57"/>
    <mergeCell ref="L58:O58"/>
    <mergeCell ref="L59:P59"/>
    <mergeCell ref="L60:O60"/>
    <mergeCell ref="L61:O61"/>
    <mergeCell ref="L62:O62"/>
    <mergeCell ref="L63:O63"/>
    <mergeCell ref="L64:O64"/>
    <mergeCell ref="L65:O65"/>
    <mergeCell ref="L66:O66"/>
    <mergeCell ref="L67:O67"/>
    <mergeCell ref="Q82:R82"/>
    <mergeCell ref="Q83:R83"/>
    <mergeCell ref="Q84:R84"/>
    <mergeCell ref="L68:O68"/>
    <mergeCell ref="L69:O69"/>
    <mergeCell ref="Q74:R74"/>
    <mergeCell ref="M76:N76"/>
    <mergeCell ref="M77:N77"/>
    <mergeCell ref="M78:N78"/>
  </mergeCells>
  <hyperlinks>
    <hyperlink ref="A1" location="'Index and Structure'!A1" display="The Macro Group" xr:uid="{00000000-0004-0000-1F00-000000000000}"/>
  </hyperlinks>
  <pageMargins left="0.43307086614173229" right="0.43307086614173229" top="0.70866141732283472" bottom="0.15748031496062992" header="0.23622047244094491" footer="0.15748031496062992"/>
  <pageSetup paperSize="9" scale="46" orientation="landscape" r:id="rId1"/>
  <headerFooter alignWithMargins="0">
    <oddFooter>&amp;LPrinted:&amp;T on &amp;D</oddFooter>
  </headerFooter>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6162">
    <pageSetUpPr fitToPage="1"/>
  </sheetPr>
  <dimension ref="A1:S84"/>
  <sheetViews>
    <sheetView showGridLines="0" view="pageBreakPreview" zoomScaleNormal="50" zoomScaleSheetLayoutView="100" workbookViewId="0">
      <selection activeCell="R2" sqref="R2"/>
    </sheetView>
  </sheetViews>
  <sheetFormatPr defaultColWidth="9.140625" defaultRowHeight="15" x14ac:dyDescent="0.25"/>
  <cols>
    <col min="1" max="1" width="26.7109375" style="1304" bestFit="1" customWidth="1"/>
    <col min="2" max="2" width="9.5703125" style="1304" bestFit="1" customWidth="1"/>
    <col min="3" max="4" width="10.5703125" style="1304" customWidth="1"/>
    <col min="5" max="5" width="10.42578125" style="1304" customWidth="1"/>
    <col min="6" max="13" width="9.5703125" style="1304" bestFit="1" customWidth="1"/>
    <col min="14" max="14" width="10.85546875" style="1304" customWidth="1"/>
    <col min="15" max="15" width="12.5703125" style="1304" customWidth="1"/>
    <col min="16" max="16" width="10" style="1304" customWidth="1"/>
    <col min="17" max="17" width="10.85546875" style="1304" customWidth="1"/>
    <col min="18" max="16384" width="9.140625" style="1304"/>
  </cols>
  <sheetData>
    <row r="1" spans="1:18" ht="19.899999999999999" customHeight="1" thickBot="1" x14ac:dyDescent="0.4">
      <c r="A1" s="2533" t="s">
        <v>44</v>
      </c>
      <c r="B1" s="2534"/>
      <c r="C1" s="2534"/>
      <c r="D1" s="2535"/>
      <c r="E1" s="1299"/>
      <c r="F1" s="1300" t="s">
        <v>40</v>
      </c>
      <c r="G1" s="1300" t="str">
        <f>'Index and Structure'!B2</f>
        <v>Nicolo Superannuation fund</v>
      </c>
      <c r="H1" s="1302"/>
      <c r="I1" s="1303"/>
      <c r="K1" s="1305" t="s">
        <v>38</v>
      </c>
      <c r="L1" s="1302" t="str">
        <f>'Index and Structure'!B5</f>
        <v>NICO0024</v>
      </c>
      <c r="O1" s="1308" t="str">
        <f>'Index and Structure'!A4</f>
        <v>Year :</v>
      </c>
      <c r="P1" s="1903">
        <f>'Index and Structure'!D4</f>
        <v>2022</v>
      </c>
      <c r="R1" s="1306" t="s">
        <v>1008</v>
      </c>
    </row>
    <row r="2" spans="1:18" ht="14.45" customHeight="1" x14ac:dyDescent="0.25">
      <c r="A2" s="1307"/>
      <c r="B2" s="1307"/>
      <c r="F2" s="1300" t="s">
        <v>45</v>
      </c>
      <c r="G2" s="1301" t="s">
        <v>47</v>
      </c>
      <c r="H2" s="1302"/>
      <c r="I2" s="1303"/>
      <c r="K2" s="1308" t="s">
        <v>41</v>
      </c>
      <c r="L2" s="1302" t="str">
        <f>'Index and Structure'!B6</f>
        <v>Liam Aubin</v>
      </c>
      <c r="O2" s="1302" t="s">
        <v>42</v>
      </c>
      <c r="P2" s="1309"/>
    </row>
    <row r="3" spans="1:18" ht="16.149999999999999" customHeight="1" x14ac:dyDescent="0.25">
      <c r="A3" s="1310" t="s">
        <v>390</v>
      </c>
      <c r="B3" s="2536" t="s">
        <v>397</v>
      </c>
      <c r="C3" s="2536"/>
      <c r="D3" s="2536"/>
      <c r="F3" s="1300" t="s">
        <v>46</v>
      </c>
      <c r="G3" s="1902" t="str">
        <f>'Index and Structure'!B4</f>
        <v>30 June 2022</v>
      </c>
      <c r="H3" s="1302"/>
      <c r="I3" s="1303"/>
      <c r="K3" s="1308" t="s">
        <v>43</v>
      </c>
      <c r="L3" s="1302" t="str">
        <f>'Index and Structure'!B7</f>
        <v>Nicole Bryant</v>
      </c>
      <c r="O3" s="1302" t="s">
        <v>42</v>
      </c>
      <c r="P3" s="1311"/>
    </row>
    <row r="4" spans="1:18" ht="18" customHeight="1" x14ac:dyDescent="0.25">
      <c r="A4" s="1310"/>
      <c r="B4" s="2536" t="s">
        <v>398</v>
      </c>
      <c r="C4" s="2536"/>
      <c r="D4" s="2536"/>
      <c r="F4" s="1454" t="s">
        <v>488</v>
      </c>
    </row>
    <row r="5" spans="1:18" ht="18" customHeight="1" x14ac:dyDescent="0.25">
      <c r="A5" s="1310"/>
      <c r="B5" s="2536" t="s">
        <v>399</v>
      </c>
      <c r="C5" s="2536"/>
      <c r="D5" s="2536"/>
      <c r="F5" s="1312" t="s">
        <v>400</v>
      </c>
      <c r="G5" s="1313"/>
      <c r="H5" s="1313"/>
      <c r="I5" s="1313"/>
      <c r="J5" s="1313"/>
      <c r="K5" s="1313"/>
      <c r="L5" s="1313"/>
      <c r="M5" s="1313"/>
      <c r="N5" s="1313"/>
      <c r="O5" s="1313"/>
    </row>
    <row r="6" spans="1:18" s="1314" customFormat="1" ht="13.5" customHeight="1" x14ac:dyDescent="0.25">
      <c r="C6" s="1315"/>
      <c r="D6" s="1315"/>
      <c r="E6" s="1315"/>
      <c r="F6" s="1316" t="s">
        <v>401</v>
      </c>
      <c r="G6" s="1316"/>
      <c r="H6" s="1316"/>
      <c r="I6" s="1316"/>
      <c r="J6" s="1316"/>
      <c r="K6" s="1316"/>
      <c r="L6" s="1316"/>
      <c r="M6" s="1316"/>
      <c r="N6" s="1316"/>
      <c r="O6" s="1312"/>
      <c r="P6" s="1317"/>
      <c r="Q6" s="1317"/>
      <c r="R6" s="1317"/>
    </row>
    <row r="7" spans="1:18" s="1314" customFormat="1" ht="13.5" customHeight="1" x14ac:dyDescent="0.25">
      <c r="A7" s="2537" t="s">
        <v>402</v>
      </c>
      <c r="B7" s="2520" t="s">
        <v>6</v>
      </c>
      <c r="C7" s="2520" t="s">
        <v>7</v>
      </c>
      <c r="D7" s="2520" t="s">
        <v>8</v>
      </c>
      <c r="E7" s="2520" t="s">
        <v>9</v>
      </c>
      <c r="F7" s="2520" t="s">
        <v>10</v>
      </c>
      <c r="G7" s="2520" t="s">
        <v>11</v>
      </c>
      <c r="H7" s="2520" t="s">
        <v>12</v>
      </c>
      <c r="I7" s="2520" t="s">
        <v>13</v>
      </c>
      <c r="J7" s="2520" t="s">
        <v>14</v>
      </c>
      <c r="K7" s="2520" t="s">
        <v>15</v>
      </c>
      <c r="L7" s="2520" t="s">
        <v>16</v>
      </c>
      <c r="M7" s="2520" t="s">
        <v>17</v>
      </c>
      <c r="N7" s="2518" t="s">
        <v>403</v>
      </c>
      <c r="O7" s="2518" t="s">
        <v>404</v>
      </c>
      <c r="P7" s="2520" t="s">
        <v>33</v>
      </c>
      <c r="Q7" s="2520" t="s">
        <v>405</v>
      </c>
      <c r="R7" s="1317"/>
    </row>
    <row r="8" spans="1:18" s="1314" customFormat="1" ht="13.5" customHeight="1" x14ac:dyDescent="0.25">
      <c r="A8" s="2538"/>
      <c r="B8" s="2521"/>
      <c r="C8" s="2521"/>
      <c r="D8" s="2521"/>
      <c r="E8" s="2521"/>
      <c r="F8" s="2521"/>
      <c r="G8" s="2521"/>
      <c r="H8" s="2521"/>
      <c r="I8" s="2521"/>
      <c r="J8" s="2521"/>
      <c r="K8" s="2521"/>
      <c r="L8" s="2521"/>
      <c r="M8" s="2521"/>
      <c r="N8" s="2519"/>
      <c r="O8" s="2519"/>
      <c r="P8" s="2521"/>
      <c r="Q8" s="2521"/>
      <c r="R8" s="1317"/>
    </row>
    <row r="9" spans="1:18" s="1314" customFormat="1" ht="13.5" customHeight="1" x14ac:dyDescent="0.25">
      <c r="A9" s="1318" t="s">
        <v>406</v>
      </c>
      <c r="B9" s="1319"/>
      <c r="C9" s="1319"/>
      <c r="D9" s="1319"/>
      <c r="E9" s="1319"/>
      <c r="F9" s="1319"/>
      <c r="G9" s="1319"/>
      <c r="H9" s="1319"/>
      <c r="I9" s="1319"/>
      <c r="J9" s="1319"/>
      <c r="K9" s="1319"/>
      <c r="L9" s="1319"/>
      <c r="M9" s="1319"/>
      <c r="N9" s="1320"/>
      <c r="O9" s="1320"/>
      <c r="P9" s="1319"/>
      <c r="Q9" s="1321"/>
      <c r="R9" s="1317"/>
    </row>
    <row r="10" spans="1:18" s="1314" customFormat="1" ht="13.5" customHeight="1" x14ac:dyDescent="0.25">
      <c r="A10" s="1322" t="s">
        <v>407</v>
      </c>
      <c r="B10" s="1323"/>
      <c r="C10" s="1323"/>
      <c r="D10" s="1323"/>
      <c r="E10" s="1323"/>
      <c r="F10" s="1323"/>
      <c r="G10" s="1323"/>
      <c r="H10" s="1323"/>
      <c r="I10" s="1323"/>
      <c r="J10" s="1323"/>
      <c r="K10" s="1323"/>
      <c r="L10" s="1323"/>
      <c r="M10" s="1323"/>
      <c r="N10" s="1323"/>
      <c r="O10" s="1323"/>
      <c r="P10" s="1324">
        <f>SUM(B10:O10)</f>
        <v>0</v>
      </c>
      <c r="Q10" s="1325" t="s">
        <v>151</v>
      </c>
      <c r="R10" s="1317"/>
    </row>
    <row r="11" spans="1:18" s="1314" customFormat="1" ht="13.5" customHeight="1" x14ac:dyDescent="0.25">
      <c r="A11" s="1326" t="s">
        <v>408</v>
      </c>
      <c r="B11" s="1327"/>
      <c r="C11" s="1327"/>
      <c r="D11" s="1327"/>
      <c r="E11" s="1327"/>
      <c r="F11" s="1327"/>
      <c r="G11" s="1327"/>
      <c r="H11" s="1327"/>
      <c r="I11" s="1327"/>
      <c r="J11" s="1327"/>
      <c r="K11" s="1327"/>
      <c r="L11" s="1327"/>
      <c r="M11" s="1327"/>
      <c r="N11" s="1327"/>
      <c r="O11" s="1327"/>
      <c r="P11" s="1324">
        <f t="shared" ref="P11:P44" si="0">SUM(B11:O11)</f>
        <v>0</v>
      </c>
      <c r="Q11" s="1328" t="s">
        <v>151</v>
      </c>
      <c r="R11" s="1317"/>
    </row>
    <row r="12" spans="1:18" s="1314" customFormat="1" ht="13.5" customHeight="1" x14ac:dyDescent="0.25">
      <c r="A12" s="1326" t="s">
        <v>409</v>
      </c>
      <c r="B12" s="1329">
        <f>SUM(B10:B11)</f>
        <v>0</v>
      </c>
      <c r="C12" s="1329">
        <f t="shared" ref="C12:P12" si="1">SUM(C10:C11)</f>
        <v>0</v>
      </c>
      <c r="D12" s="1329">
        <f t="shared" si="1"/>
        <v>0</v>
      </c>
      <c r="E12" s="1329">
        <f t="shared" si="1"/>
        <v>0</v>
      </c>
      <c r="F12" s="1329">
        <f t="shared" si="1"/>
        <v>0</v>
      </c>
      <c r="G12" s="1329">
        <f t="shared" si="1"/>
        <v>0</v>
      </c>
      <c r="H12" s="1329">
        <f t="shared" si="1"/>
        <v>0</v>
      </c>
      <c r="I12" s="1329">
        <f t="shared" si="1"/>
        <v>0</v>
      </c>
      <c r="J12" s="1329">
        <f t="shared" si="1"/>
        <v>0</v>
      </c>
      <c r="K12" s="1329">
        <f t="shared" si="1"/>
        <v>0</v>
      </c>
      <c r="L12" s="1329">
        <f t="shared" si="1"/>
        <v>0</v>
      </c>
      <c r="M12" s="1329">
        <f t="shared" si="1"/>
        <v>0</v>
      </c>
      <c r="N12" s="1329">
        <f t="shared" si="1"/>
        <v>0</v>
      </c>
      <c r="O12" s="1329">
        <f t="shared" si="1"/>
        <v>0</v>
      </c>
      <c r="P12" s="1329">
        <f t="shared" si="1"/>
        <v>0</v>
      </c>
      <c r="Q12" s="1328"/>
      <c r="R12" s="1317"/>
    </row>
    <row r="13" spans="1:18" s="1314" customFormat="1" ht="13.5" customHeight="1" x14ac:dyDescent="0.25">
      <c r="A13" s="1330"/>
      <c r="B13" s="1331"/>
      <c r="C13" s="1331"/>
      <c r="D13" s="1331"/>
      <c r="E13" s="1331"/>
      <c r="F13" s="1331"/>
      <c r="G13" s="1331"/>
      <c r="H13" s="1331"/>
      <c r="I13" s="1331"/>
      <c r="J13" s="1331"/>
      <c r="K13" s="1331"/>
      <c r="L13" s="1331"/>
      <c r="M13" s="1331"/>
      <c r="N13" s="1331"/>
      <c r="O13" s="1331"/>
      <c r="P13" s="1332"/>
      <c r="Q13" s="1333"/>
      <c r="R13" s="1317"/>
    </row>
    <row r="14" spans="1:18" s="1314" customFormat="1" ht="13.5" customHeight="1" x14ac:dyDescent="0.25">
      <c r="A14" s="1318" t="s">
        <v>410</v>
      </c>
      <c r="B14" s="1319"/>
      <c r="C14" s="1319"/>
      <c r="D14" s="1319"/>
      <c r="E14" s="1319"/>
      <c r="F14" s="1319"/>
      <c r="G14" s="1319"/>
      <c r="H14" s="1319"/>
      <c r="I14" s="1319"/>
      <c r="J14" s="1319"/>
      <c r="K14" s="1319"/>
      <c r="L14" s="1319"/>
      <c r="M14" s="1319"/>
      <c r="N14" s="1320"/>
      <c r="O14" s="1320"/>
      <c r="P14" s="1319"/>
      <c r="Q14" s="1321"/>
      <c r="R14" s="1317"/>
    </row>
    <row r="15" spans="1:18" s="1314" customFormat="1" ht="13.5" customHeight="1" x14ac:dyDescent="0.25">
      <c r="A15" s="1326" t="s">
        <v>411</v>
      </c>
      <c r="B15" s="1327"/>
      <c r="C15" s="1327"/>
      <c r="D15" s="1327"/>
      <c r="E15" s="1327"/>
      <c r="F15" s="1327"/>
      <c r="G15" s="1327"/>
      <c r="H15" s="1327"/>
      <c r="I15" s="1327"/>
      <c r="J15" s="1327"/>
      <c r="K15" s="1327"/>
      <c r="L15" s="1327"/>
      <c r="M15" s="1327"/>
      <c r="N15" s="1327"/>
      <c r="O15" s="1327"/>
      <c r="P15" s="1324">
        <f>SUM(B15:O15)</f>
        <v>0</v>
      </c>
      <c r="Q15" s="1328" t="s">
        <v>412</v>
      </c>
      <c r="R15" s="1317"/>
    </row>
    <row r="16" spans="1:18" s="1314" customFormat="1" ht="13.5" customHeight="1" x14ac:dyDescent="0.25">
      <c r="A16" s="1334" t="s">
        <v>413</v>
      </c>
      <c r="B16" s="1335"/>
      <c r="C16" s="1335"/>
      <c r="D16" s="1335"/>
      <c r="E16" s="1335"/>
      <c r="F16" s="1335"/>
      <c r="G16" s="1335"/>
      <c r="H16" s="1335"/>
      <c r="I16" s="1335"/>
      <c r="J16" s="1335"/>
      <c r="K16" s="1335"/>
      <c r="L16" s="1335"/>
      <c r="M16" s="1335"/>
      <c r="N16" s="1335"/>
      <c r="O16" s="1335"/>
      <c r="P16" s="1336">
        <f>SUM(B16:O16)</f>
        <v>0</v>
      </c>
      <c r="Q16" s="1337" t="s">
        <v>412</v>
      </c>
      <c r="R16" s="1317"/>
    </row>
    <row r="17" spans="1:18" s="1314" customFormat="1" ht="13.5" customHeight="1" x14ac:dyDescent="0.25">
      <c r="A17" s="1338" t="s">
        <v>414</v>
      </c>
      <c r="B17" s="1339"/>
      <c r="C17" s="1339"/>
      <c r="D17" s="1339"/>
      <c r="E17" s="1339"/>
      <c r="F17" s="1339"/>
      <c r="G17" s="1339"/>
      <c r="H17" s="1339"/>
      <c r="I17" s="1339"/>
      <c r="J17" s="1339"/>
      <c r="K17" s="1339"/>
      <c r="L17" s="1339"/>
      <c r="M17" s="1339"/>
      <c r="N17" s="1339"/>
      <c r="O17" s="1339"/>
      <c r="P17" s="1340"/>
      <c r="Q17" s="1341"/>
      <c r="R17" s="1317"/>
    </row>
    <row r="18" spans="1:18" s="1314" customFormat="1" ht="13.5" customHeight="1" x14ac:dyDescent="0.25">
      <c r="A18" s="1342"/>
      <c r="B18" s="1332"/>
      <c r="C18" s="1332"/>
      <c r="D18" s="1332"/>
      <c r="E18" s="1332"/>
      <c r="F18" s="1332"/>
      <c r="G18" s="1332"/>
      <c r="H18" s="1332"/>
      <c r="I18" s="1332"/>
      <c r="J18" s="1332"/>
      <c r="K18" s="1332"/>
      <c r="L18" s="1332"/>
      <c r="M18" s="1332"/>
      <c r="N18" s="1332"/>
      <c r="O18" s="1332"/>
      <c r="P18" s="1332"/>
      <c r="Q18" s="1343"/>
      <c r="R18" s="1317"/>
    </row>
    <row r="19" spans="1:18" s="1314" customFormat="1" ht="13.5" customHeight="1" x14ac:dyDescent="0.25">
      <c r="A19" s="1344" t="s">
        <v>415</v>
      </c>
      <c r="B19" s="1345"/>
      <c r="C19" s="1345"/>
      <c r="D19" s="1345"/>
      <c r="E19" s="1345"/>
      <c r="F19" s="1345"/>
      <c r="G19" s="1345"/>
      <c r="H19" s="1345"/>
      <c r="I19" s="1345"/>
      <c r="J19" s="1345"/>
      <c r="K19" s="1345"/>
      <c r="L19" s="1345"/>
      <c r="M19" s="1345"/>
      <c r="N19" s="1345"/>
      <c r="O19" s="1345"/>
      <c r="P19" s="1345"/>
      <c r="Q19" s="1346"/>
      <c r="R19" s="1317"/>
    </row>
    <row r="20" spans="1:18" s="1314" customFormat="1" ht="13.5" customHeight="1" x14ac:dyDescent="0.25">
      <c r="A20" s="1326" t="s">
        <v>279</v>
      </c>
      <c r="B20" s="1327"/>
      <c r="C20" s="1327"/>
      <c r="D20" s="1327"/>
      <c r="E20" s="1327"/>
      <c r="F20" s="1327"/>
      <c r="G20" s="1327"/>
      <c r="H20" s="1327"/>
      <c r="I20" s="1327"/>
      <c r="J20" s="1327"/>
      <c r="K20" s="1327"/>
      <c r="L20" s="1327"/>
      <c r="M20" s="1327"/>
      <c r="N20" s="1327"/>
      <c r="O20" s="1327"/>
      <c r="P20" s="1324">
        <f t="shared" si="0"/>
        <v>0</v>
      </c>
      <c r="Q20" s="1328" t="s">
        <v>320</v>
      </c>
      <c r="R20" s="1317"/>
    </row>
    <row r="21" spans="1:18" s="1314" customFormat="1" ht="13.5" customHeight="1" x14ac:dyDescent="0.25">
      <c r="A21" s="1326" t="s">
        <v>416</v>
      </c>
      <c r="B21" s="1327"/>
      <c r="C21" s="1327"/>
      <c r="D21" s="1327"/>
      <c r="E21" s="1327"/>
      <c r="F21" s="1327"/>
      <c r="G21" s="1327"/>
      <c r="H21" s="1327"/>
      <c r="I21" s="1327"/>
      <c r="J21" s="1327"/>
      <c r="K21" s="1327"/>
      <c r="L21" s="1327"/>
      <c r="M21" s="1327"/>
      <c r="N21" s="1327"/>
      <c r="O21" s="1329">
        <f>B69</f>
        <v>0</v>
      </c>
      <c r="P21" s="1324">
        <f t="shared" si="0"/>
        <v>0</v>
      </c>
      <c r="Q21" s="1328" t="s">
        <v>323</v>
      </c>
      <c r="R21" s="1317"/>
    </row>
    <row r="22" spans="1:18" s="1314" customFormat="1" ht="13.5" customHeight="1" x14ac:dyDescent="0.25">
      <c r="A22" s="1326" t="s">
        <v>417</v>
      </c>
      <c r="B22" s="1327"/>
      <c r="C22" s="1327"/>
      <c r="D22" s="1327"/>
      <c r="E22" s="1327"/>
      <c r="F22" s="1327"/>
      <c r="G22" s="1327"/>
      <c r="H22" s="1327"/>
      <c r="I22" s="1327"/>
      <c r="J22" s="1327"/>
      <c r="K22" s="1327"/>
      <c r="L22" s="1327"/>
      <c r="M22" s="1327"/>
      <c r="N22" s="1327"/>
      <c r="O22" s="1329">
        <f>K54</f>
        <v>0</v>
      </c>
      <c r="P22" s="1324">
        <f t="shared" si="0"/>
        <v>0</v>
      </c>
      <c r="Q22" s="1328" t="s">
        <v>325</v>
      </c>
      <c r="R22" s="1317"/>
    </row>
    <row r="23" spans="1:18" s="1314" customFormat="1" ht="13.5" customHeight="1" x14ac:dyDescent="0.25">
      <c r="A23" s="1326" t="s">
        <v>26</v>
      </c>
      <c r="B23" s="1327"/>
      <c r="C23" s="1327"/>
      <c r="D23" s="1327"/>
      <c r="E23" s="1327"/>
      <c r="F23" s="1327"/>
      <c r="G23" s="1327"/>
      <c r="H23" s="1327"/>
      <c r="I23" s="1327"/>
      <c r="J23" s="1327"/>
      <c r="K23" s="1327"/>
      <c r="L23" s="1327"/>
      <c r="M23" s="1327"/>
      <c r="N23" s="1327"/>
      <c r="O23" s="1327"/>
      <c r="P23" s="1324">
        <f t="shared" si="0"/>
        <v>0</v>
      </c>
      <c r="Q23" s="1328" t="s">
        <v>328</v>
      </c>
      <c r="R23" s="1317"/>
    </row>
    <row r="24" spans="1:18" s="1314" customFormat="1" ht="13.5" customHeight="1" x14ac:dyDescent="0.25">
      <c r="A24" s="1326" t="s">
        <v>418</v>
      </c>
      <c r="B24" s="1327"/>
      <c r="C24" s="1327"/>
      <c r="D24" s="1327"/>
      <c r="E24" s="1327"/>
      <c r="F24" s="1327"/>
      <c r="G24" s="1327"/>
      <c r="H24" s="1327"/>
      <c r="I24" s="1327"/>
      <c r="J24" s="1327"/>
      <c r="K24" s="1327"/>
      <c r="L24" s="1327"/>
      <c r="M24" s="1327"/>
      <c r="N24" s="1327"/>
      <c r="O24" s="1329">
        <f>C69</f>
        <v>0</v>
      </c>
      <c r="P24" s="1324">
        <f t="shared" si="0"/>
        <v>0</v>
      </c>
      <c r="Q24" s="1328" t="s">
        <v>330</v>
      </c>
      <c r="R24" s="1317"/>
    </row>
    <row r="25" spans="1:18" s="1314" customFormat="1" ht="13.5" customHeight="1" x14ac:dyDescent="0.25">
      <c r="A25" s="1326" t="s">
        <v>419</v>
      </c>
      <c r="B25" s="1327"/>
      <c r="C25" s="1327"/>
      <c r="D25" s="1327"/>
      <c r="E25" s="1327"/>
      <c r="F25" s="1327"/>
      <c r="G25" s="1327"/>
      <c r="H25" s="1327"/>
      <c r="I25" s="1327"/>
      <c r="J25" s="1327"/>
      <c r="K25" s="1327"/>
      <c r="L25" s="1327"/>
      <c r="M25" s="1327"/>
      <c r="N25" s="1327"/>
      <c r="O25" s="1329">
        <f>K55+K57</f>
        <v>0</v>
      </c>
      <c r="P25" s="1324">
        <f t="shared" si="0"/>
        <v>0</v>
      </c>
      <c r="Q25" s="1328" t="s">
        <v>333</v>
      </c>
      <c r="R25" s="1317"/>
    </row>
    <row r="26" spans="1:18" s="1314" customFormat="1" ht="13.5" customHeight="1" x14ac:dyDescent="0.25">
      <c r="A26" s="1326" t="s">
        <v>420</v>
      </c>
      <c r="B26" s="1327"/>
      <c r="C26" s="1327"/>
      <c r="D26" s="1327"/>
      <c r="E26" s="1327"/>
      <c r="F26" s="1327"/>
      <c r="G26" s="1327"/>
      <c r="H26" s="1327"/>
      <c r="I26" s="1327"/>
      <c r="J26" s="1327"/>
      <c r="K26" s="1327"/>
      <c r="L26" s="1327"/>
      <c r="M26" s="1327"/>
      <c r="N26" s="1327"/>
      <c r="O26" s="1327"/>
      <c r="P26" s="1324">
        <f t="shared" si="0"/>
        <v>0</v>
      </c>
      <c r="Q26" s="1328" t="s">
        <v>335</v>
      </c>
      <c r="R26" s="1317"/>
    </row>
    <row r="27" spans="1:18" s="1314" customFormat="1" ht="13.5" customHeight="1" x14ac:dyDescent="0.25">
      <c r="A27" s="1326" t="s">
        <v>27</v>
      </c>
      <c r="B27" s="1327"/>
      <c r="C27" s="1327"/>
      <c r="D27" s="1327"/>
      <c r="E27" s="1327"/>
      <c r="F27" s="1327"/>
      <c r="G27" s="1327"/>
      <c r="H27" s="1327"/>
      <c r="I27" s="1327"/>
      <c r="J27" s="1327"/>
      <c r="K27" s="1327"/>
      <c r="L27" s="1327"/>
      <c r="M27" s="1327"/>
      <c r="N27" s="1327"/>
      <c r="O27" s="1329">
        <f>D69</f>
        <v>0</v>
      </c>
      <c r="P27" s="1324">
        <f t="shared" si="0"/>
        <v>0</v>
      </c>
      <c r="Q27" s="1328" t="s">
        <v>338</v>
      </c>
      <c r="R27" s="1317"/>
    </row>
    <row r="28" spans="1:18" s="1314" customFormat="1" ht="13.5" customHeight="1" x14ac:dyDescent="0.25">
      <c r="A28" s="1326" t="s">
        <v>5</v>
      </c>
      <c r="B28" s="1327"/>
      <c r="C28" s="1327"/>
      <c r="D28" s="1327"/>
      <c r="E28" s="1327"/>
      <c r="F28" s="1327"/>
      <c r="G28" s="1327"/>
      <c r="H28" s="1327"/>
      <c r="I28" s="1327"/>
      <c r="J28" s="1327"/>
      <c r="K28" s="1327"/>
      <c r="L28" s="1327"/>
      <c r="M28" s="1327"/>
      <c r="N28" s="1327"/>
      <c r="O28" s="1329">
        <f>E69</f>
        <v>0</v>
      </c>
      <c r="P28" s="1324">
        <f t="shared" si="0"/>
        <v>0</v>
      </c>
      <c r="Q28" s="1328" t="s">
        <v>340</v>
      </c>
      <c r="R28" s="1317"/>
    </row>
    <row r="29" spans="1:18" s="1314" customFormat="1" ht="13.5" customHeight="1" x14ac:dyDescent="0.25">
      <c r="A29" s="1326" t="s">
        <v>421</v>
      </c>
      <c r="B29" s="1327"/>
      <c r="C29" s="1327"/>
      <c r="D29" s="1327"/>
      <c r="E29" s="1327"/>
      <c r="F29" s="1327"/>
      <c r="G29" s="1327"/>
      <c r="H29" s="1327"/>
      <c r="I29" s="1327"/>
      <c r="J29" s="1327"/>
      <c r="K29" s="1327"/>
      <c r="L29" s="1327"/>
      <c r="M29" s="1327"/>
      <c r="N29" s="1327"/>
      <c r="O29" s="1329">
        <f>F69</f>
        <v>0</v>
      </c>
      <c r="P29" s="1324">
        <f t="shared" si="0"/>
        <v>0</v>
      </c>
      <c r="Q29" s="1328" t="s">
        <v>342</v>
      </c>
      <c r="R29" s="1317"/>
    </row>
    <row r="30" spans="1:18" s="1314" customFormat="1" ht="13.5" customHeight="1" x14ac:dyDescent="0.25">
      <c r="A30" s="1326" t="s">
        <v>159</v>
      </c>
      <c r="B30" s="1327"/>
      <c r="C30" s="1327"/>
      <c r="D30" s="1327"/>
      <c r="E30" s="1327"/>
      <c r="F30" s="1327"/>
      <c r="G30" s="1327"/>
      <c r="H30" s="1327"/>
      <c r="I30" s="1327"/>
      <c r="J30" s="1327"/>
      <c r="K30" s="1327"/>
      <c r="L30" s="1327"/>
      <c r="M30" s="1327"/>
      <c r="N30" s="1327"/>
      <c r="O30" s="1329">
        <f>G69</f>
        <v>0</v>
      </c>
      <c r="P30" s="1324">
        <f t="shared" si="0"/>
        <v>0</v>
      </c>
      <c r="Q30" s="1328" t="s">
        <v>344</v>
      </c>
      <c r="R30" s="1317"/>
    </row>
    <row r="31" spans="1:18" s="1314" customFormat="1" ht="13.5" customHeight="1" x14ac:dyDescent="0.25">
      <c r="A31" s="1326" t="s">
        <v>422</v>
      </c>
      <c r="B31" s="1327"/>
      <c r="C31" s="1327"/>
      <c r="D31" s="1327"/>
      <c r="E31" s="1327"/>
      <c r="F31" s="1327"/>
      <c r="G31" s="1327"/>
      <c r="H31" s="1327"/>
      <c r="I31" s="1327"/>
      <c r="J31" s="1327"/>
      <c r="K31" s="1327"/>
      <c r="L31" s="1327"/>
      <c r="M31" s="1327"/>
      <c r="N31" s="1327"/>
      <c r="O31" s="1327"/>
      <c r="P31" s="1324">
        <f t="shared" si="0"/>
        <v>0</v>
      </c>
      <c r="Q31" s="1328" t="s">
        <v>346</v>
      </c>
      <c r="R31" s="1317"/>
    </row>
    <row r="32" spans="1:18" s="1314" customFormat="1" ht="13.5" customHeight="1" x14ac:dyDescent="0.25">
      <c r="A32" s="1326" t="s">
        <v>423</v>
      </c>
      <c r="B32" s="1329">
        <f>SUBTOTAL(9,B33:B35)</f>
        <v>0</v>
      </c>
      <c r="C32" s="1329">
        <f t="shared" ref="C32:N32" si="2">SUBTOTAL(9,C33:C35)</f>
        <v>0</v>
      </c>
      <c r="D32" s="1329">
        <f t="shared" si="2"/>
        <v>0</v>
      </c>
      <c r="E32" s="1329">
        <f t="shared" si="2"/>
        <v>0</v>
      </c>
      <c r="F32" s="1329">
        <f t="shared" si="2"/>
        <v>0</v>
      </c>
      <c r="G32" s="1329">
        <f t="shared" si="2"/>
        <v>0</v>
      </c>
      <c r="H32" s="1329">
        <f t="shared" si="2"/>
        <v>0</v>
      </c>
      <c r="I32" s="1329">
        <f t="shared" si="2"/>
        <v>0</v>
      </c>
      <c r="J32" s="1329">
        <f t="shared" si="2"/>
        <v>0</v>
      </c>
      <c r="K32" s="1329">
        <f t="shared" si="2"/>
        <v>0</v>
      </c>
      <c r="L32" s="1329">
        <f t="shared" si="2"/>
        <v>0</v>
      </c>
      <c r="M32" s="1329">
        <f t="shared" si="2"/>
        <v>0</v>
      </c>
      <c r="N32" s="1329">
        <f t="shared" si="2"/>
        <v>0</v>
      </c>
      <c r="O32" s="1329">
        <f>SUBTOTAL(9,O33:O35)</f>
        <v>0</v>
      </c>
      <c r="P32" s="1329">
        <f>SUBTOTAL(9,P33:P35)</f>
        <v>0</v>
      </c>
      <c r="Q32" s="1328" t="s">
        <v>348</v>
      </c>
      <c r="R32" s="1317"/>
    </row>
    <row r="33" spans="1:18" s="1314" customFormat="1" ht="13.5" customHeight="1" x14ac:dyDescent="0.25">
      <c r="A33" s="1347" t="s">
        <v>424</v>
      </c>
      <c r="B33" s="1327"/>
      <c r="C33" s="1327"/>
      <c r="D33" s="1327"/>
      <c r="E33" s="1327"/>
      <c r="F33" s="1327"/>
      <c r="G33" s="1327"/>
      <c r="H33" s="1327"/>
      <c r="I33" s="1327"/>
      <c r="J33" s="1327"/>
      <c r="K33" s="1327"/>
      <c r="L33" s="1327"/>
      <c r="M33" s="1327"/>
      <c r="N33" s="1327"/>
      <c r="O33" s="1327"/>
      <c r="P33" s="1348">
        <f t="shared" si="0"/>
        <v>0</v>
      </c>
      <c r="Q33" s="1328" t="s">
        <v>412</v>
      </c>
      <c r="R33" s="1317"/>
    </row>
    <row r="34" spans="1:18" s="1314" customFormat="1" ht="13.5" customHeight="1" x14ac:dyDescent="0.25">
      <c r="A34" s="1347" t="s">
        <v>425</v>
      </c>
      <c r="B34" s="1327"/>
      <c r="C34" s="1327"/>
      <c r="D34" s="1327"/>
      <c r="E34" s="1327"/>
      <c r="F34" s="1327"/>
      <c r="G34" s="1327"/>
      <c r="H34" s="1327"/>
      <c r="I34" s="1327"/>
      <c r="J34" s="1327"/>
      <c r="K34" s="1327"/>
      <c r="L34" s="1327"/>
      <c r="M34" s="1327"/>
      <c r="N34" s="1327"/>
      <c r="O34" s="1327"/>
      <c r="P34" s="1348">
        <f t="shared" si="0"/>
        <v>0</v>
      </c>
      <c r="Q34" s="1328" t="s">
        <v>412</v>
      </c>
      <c r="R34" s="1317"/>
    </row>
    <row r="35" spans="1:18" s="1314" customFormat="1" ht="13.5" customHeight="1" x14ac:dyDescent="0.25">
      <c r="A35" s="1347" t="s">
        <v>426</v>
      </c>
      <c r="B35" s="1327"/>
      <c r="C35" s="1327"/>
      <c r="D35" s="1327"/>
      <c r="E35" s="1327"/>
      <c r="F35" s="1327"/>
      <c r="G35" s="1327"/>
      <c r="H35" s="1327"/>
      <c r="I35" s="1327"/>
      <c r="J35" s="1327"/>
      <c r="K35" s="1327"/>
      <c r="L35" s="1327"/>
      <c r="M35" s="1327"/>
      <c r="N35" s="1327"/>
      <c r="O35" s="1327"/>
      <c r="P35" s="1348">
        <f t="shared" si="0"/>
        <v>0</v>
      </c>
      <c r="Q35" s="1328" t="s">
        <v>412</v>
      </c>
      <c r="R35" s="1317"/>
    </row>
    <row r="36" spans="1:18" s="1314" customFormat="1" ht="13.5" customHeight="1" x14ac:dyDescent="0.25">
      <c r="A36" s="1326" t="s">
        <v>25</v>
      </c>
      <c r="B36" s="1327"/>
      <c r="C36" s="1327"/>
      <c r="D36" s="1327"/>
      <c r="E36" s="1327"/>
      <c r="F36" s="1327"/>
      <c r="G36" s="1327"/>
      <c r="H36" s="1327"/>
      <c r="I36" s="1327"/>
      <c r="J36" s="1327"/>
      <c r="K36" s="1327"/>
      <c r="L36" s="1327"/>
      <c r="M36" s="1327"/>
      <c r="N36" s="1327"/>
      <c r="O36" s="1329">
        <f>H69</f>
        <v>0</v>
      </c>
      <c r="P36" s="1324">
        <f t="shared" si="0"/>
        <v>0</v>
      </c>
      <c r="Q36" s="1328" t="s">
        <v>349</v>
      </c>
      <c r="R36" s="1317"/>
    </row>
    <row r="37" spans="1:18" s="1314" customFormat="1" ht="13.5" customHeight="1" x14ac:dyDescent="0.25">
      <c r="A37" s="1326" t="s">
        <v>427</v>
      </c>
      <c r="B37" s="1327"/>
      <c r="C37" s="1327"/>
      <c r="D37" s="1327"/>
      <c r="E37" s="1327"/>
      <c r="F37" s="1327"/>
      <c r="G37" s="1327"/>
      <c r="H37" s="1327"/>
      <c r="I37" s="1327"/>
      <c r="J37" s="1327"/>
      <c r="K37" s="1327"/>
      <c r="L37" s="1327"/>
      <c r="M37" s="1327"/>
      <c r="N37" s="1327"/>
      <c r="O37" s="1329">
        <f>K58+K56</f>
        <v>0</v>
      </c>
      <c r="P37" s="1324">
        <f t="shared" si="0"/>
        <v>0</v>
      </c>
      <c r="Q37" s="1328" t="s">
        <v>351</v>
      </c>
      <c r="R37" s="1317"/>
    </row>
    <row r="38" spans="1:18" s="1314" customFormat="1" ht="13.5" customHeight="1" x14ac:dyDescent="0.25">
      <c r="A38" s="1326" t="s">
        <v>428</v>
      </c>
      <c r="B38" s="1327"/>
      <c r="C38" s="1327"/>
      <c r="D38" s="1327"/>
      <c r="E38" s="1327"/>
      <c r="F38" s="1327"/>
      <c r="G38" s="1327"/>
      <c r="H38" s="1327"/>
      <c r="I38" s="1327"/>
      <c r="J38" s="1327"/>
      <c r="K38" s="1327"/>
      <c r="L38" s="1327"/>
      <c r="M38" s="1327"/>
      <c r="N38" s="1327"/>
      <c r="O38" s="1327"/>
      <c r="P38" s="1324">
        <f t="shared" si="0"/>
        <v>0</v>
      </c>
      <c r="Q38" s="1328" t="s">
        <v>353</v>
      </c>
      <c r="R38" s="1317"/>
    </row>
    <row r="39" spans="1:18" s="1314" customFormat="1" ht="13.5" customHeight="1" x14ac:dyDescent="0.25">
      <c r="A39" s="1326" t="s">
        <v>429</v>
      </c>
      <c r="B39" s="1327"/>
      <c r="C39" s="1327"/>
      <c r="D39" s="1327"/>
      <c r="E39" s="1327"/>
      <c r="F39" s="1327"/>
      <c r="G39" s="1327"/>
      <c r="H39" s="1327"/>
      <c r="I39" s="1327"/>
      <c r="J39" s="1327"/>
      <c r="K39" s="1327"/>
      <c r="L39" s="1327"/>
      <c r="M39" s="1327"/>
      <c r="N39" s="1327"/>
      <c r="O39" s="1329">
        <f>I69</f>
        <v>0</v>
      </c>
      <c r="P39" s="1324">
        <f t="shared" si="0"/>
        <v>0</v>
      </c>
      <c r="Q39" s="1328" t="s">
        <v>430</v>
      </c>
      <c r="R39" s="1317"/>
    </row>
    <row r="40" spans="1:18" s="1314" customFormat="1" ht="13.5" customHeight="1" x14ac:dyDescent="0.25">
      <c r="A40" s="1326" t="s">
        <v>431</v>
      </c>
      <c r="B40" s="1327"/>
      <c r="C40" s="1327"/>
      <c r="D40" s="1327"/>
      <c r="E40" s="1327"/>
      <c r="F40" s="1327"/>
      <c r="G40" s="1327"/>
      <c r="H40" s="1327"/>
      <c r="I40" s="1327"/>
      <c r="J40" s="1327"/>
      <c r="K40" s="1327"/>
      <c r="L40" s="1327"/>
      <c r="M40" s="1327"/>
      <c r="N40" s="1327"/>
      <c r="O40" s="1329">
        <f>J69</f>
        <v>0</v>
      </c>
      <c r="P40" s="1324">
        <f t="shared" si="0"/>
        <v>0</v>
      </c>
      <c r="Q40" s="1328" t="s">
        <v>432</v>
      </c>
      <c r="R40" s="1317"/>
    </row>
    <row r="41" spans="1:18" s="1314" customFormat="1" ht="13.5" customHeight="1" x14ac:dyDescent="0.25">
      <c r="A41" s="1326" t="s">
        <v>433</v>
      </c>
      <c r="B41" s="1329">
        <f>SUBTOTAL(9,B42:B44)</f>
        <v>0</v>
      </c>
      <c r="C41" s="1329">
        <f t="shared" ref="C41:P41" si="3">SUBTOTAL(9,C42:C44)</f>
        <v>0</v>
      </c>
      <c r="D41" s="1329">
        <f t="shared" si="3"/>
        <v>0</v>
      </c>
      <c r="E41" s="1329">
        <f t="shared" si="3"/>
        <v>0</v>
      </c>
      <c r="F41" s="1329">
        <f t="shared" si="3"/>
        <v>0</v>
      </c>
      <c r="G41" s="1329">
        <f t="shared" si="3"/>
        <v>0</v>
      </c>
      <c r="H41" s="1329">
        <f t="shared" si="3"/>
        <v>0</v>
      </c>
      <c r="I41" s="1329">
        <f t="shared" si="3"/>
        <v>0</v>
      </c>
      <c r="J41" s="1329">
        <f t="shared" si="3"/>
        <v>0</v>
      </c>
      <c r="K41" s="1329">
        <f t="shared" si="3"/>
        <v>0</v>
      </c>
      <c r="L41" s="1329">
        <f t="shared" si="3"/>
        <v>0</v>
      </c>
      <c r="M41" s="1329">
        <f t="shared" si="3"/>
        <v>0</v>
      </c>
      <c r="N41" s="1329">
        <f t="shared" si="3"/>
        <v>0</v>
      </c>
      <c r="O41" s="1329">
        <f>SUBTOTAL(9,O42:O44)</f>
        <v>0</v>
      </c>
      <c r="P41" s="1329">
        <f t="shared" si="3"/>
        <v>0</v>
      </c>
      <c r="Q41" s="1328" t="s">
        <v>434</v>
      </c>
      <c r="R41" s="1317"/>
    </row>
    <row r="42" spans="1:18" s="1314" customFormat="1" ht="13.5" customHeight="1" x14ac:dyDescent="0.25">
      <c r="A42" s="1347" t="s">
        <v>435</v>
      </c>
      <c r="B42" s="1327"/>
      <c r="C42" s="1327"/>
      <c r="D42" s="1327"/>
      <c r="E42" s="1327"/>
      <c r="F42" s="1327"/>
      <c r="G42" s="1327"/>
      <c r="H42" s="1327"/>
      <c r="I42" s="1327"/>
      <c r="J42" s="1327"/>
      <c r="K42" s="1327"/>
      <c r="L42" s="1327"/>
      <c r="M42" s="1327"/>
      <c r="N42" s="1327"/>
      <c r="O42" s="1327"/>
      <c r="P42" s="1348">
        <f t="shared" si="0"/>
        <v>0</v>
      </c>
      <c r="Q42" s="1328" t="s">
        <v>412</v>
      </c>
      <c r="R42" s="1317"/>
    </row>
    <row r="43" spans="1:18" s="1314" customFormat="1" ht="13.5" customHeight="1" x14ac:dyDescent="0.25">
      <c r="A43" s="1347" t="s">
        <v>435</v>
      </c>
      <c r="B43" s="1327"/>
      <c r="C43" s="1327"/>
      <c r="D43" s="1327"/>
      <c r="E43" s="1327"/>
      <c r="F43" s="1327"/>
      <c r="G43" s="1327"/>
      <c r="H43" s="1327"/>
      <c r="I43" s="1327"/>
      <c r="J43" s="1327"/>
      <c r="K43" s="1327"/>
      <c r="L43" s="1327"/>
      <c r="M43" s="1327"/>
      <c r="N43" s="1327"/>
      <c r="O43" s="1327"/>
      <c r="P43" s="1348">
        <f t="shared" si="0"/>
        <v>0</v>
      </c>
      <c r="Q43" s="1328" t="s">
        <v>412</v>
      </c>
      <c r="R43" s="1317"/>
    </row>
    <row r="44" spans="1:18" s="1314" customFormat="1" ht="13.5" customHeight="1" x14ac:dyDescent="0.25">
      <c r="A44" s="1347" t="s">
        <v>435</v>
      </c>
      <c r="B44" s="1327"/>
      <c r="C44" s="1327"/>
      <c r="D44" s="1327"/>
      <c r="E44" s="1327"/>
      <c r="F44" s="1327"/>
      <c r="G44" s="1327"/>
      <c r="H44" s="1327"/>
      <c r="I44" s="1327"/>
      <c r="J44" s="1327"/>
      <c r="K44" s="1327"/>
      <c r="L44" s="1327"/>
      <c r="M44" s="1327"/>
      <c r="N44" s="1327"/>
      <c r="O44" s="1327"/>
      <c r="P44" s="1348">
        <f t="shared" si="0"/>
        <v>0</v>
      </c>
      <c r="Q44" s="1328" t="s">
        <v>412</v>
      </c>
      <c r="R44" s="1317"/>
    </row>
    <row r="45" spans="1:18" s="1314" customFormat="1" ht="13.5" customHeight="1" x14ac:dyDescent="0.25">
      <c r="A45" s="1349" t="s">
        <v>436</v>
      </c>
      <c r="B45" s="1329">
        <f>SUBTOTAL(9,B20:B44)</f>
        <v>0</v>
      </c>
      <c r="C45" s="1329">
        <f t="shared" ref="C45:P45" si="4">SUBTOTAL(9,C20:C44)</f>
        <v>0</v>
      </c>
      <c r="D45" s="1329">
        <f t="shared" si="4"/>
        <v>0</v>
      </c>
      <c r="E45" s="1329">
        <f t="shared" si="4"/>
        <v>0</v>
      </c>
      <c r="F45" s="1329">
        <f t="shared" si="4"/>
        <v>0</v>
      </c>
      <c r="G45" s="1329">
        <f t="shared" si="4"/>
        <v>0</v>
      </c>
      <c r="H45" s="1329">
        <f t="shared" si="4"/>
        <v>0</v>
      </c>
      <c r="I45" s="1329">
        <f t="shared" si="4"/>
        <v>0</v>
      </c>
      <c r="J45" s="1329">
        <f t="shared" si="4"/>
        <v>0</v>
      </c>
      <c r="K45" s="1329">
        <f t="shared" si="4"/>
        <v>0</v>
      </c>
      <c r="L45" s="1329">
        <f t="shared" si="4"/>
        <v>0</v>
      </c>
      <c r="M45" s="1329">
        <f t="shared" si="4"/>
        <v>0</v>
      </c>
      <c r="N45" s="1329">
        <f t="shared" si="4"/>
        <v>0</v>
      </c>
      <c r="O45" s="1329">
        <f>SUBTOTAL(9,O20:O44)</f>
        <v>0</v>
      </c>
      <c r="P45" s="1329">
        <f t="shared" si="4"/>
        <v>0</v>
      </c>
      <c r="Q45" s="1326"/>
      <c r="R45" s="1317"/>
    </row>
    <row r="46" spans="1:18" s="1314" customFormat="1" ht="13.5" customHeight="1" x14ac:dyDescent="0.25">
      <c r="A46" s="1349" t="s">
        <v>437</v>
      </c>
      <c r="B46" s="1329">
        <f>B12+B15-B16-B45</f>
        <v>0</v>
      </c>
      <c r="C46" s="1329">
        <f t="shared" ref="C46:P46" si="5">C12+C15-C16-C45</f>
        <v>0</v>
      </c>
      <c r="D46" s="1329">
        <f t="shared" si="5"/>
        <v>0</v>
      </c>
      <c r="E46" s="1329">
        <f t="shared" si="5"/>
        <v>0</v>
      </c>
      <c r="F46" s="1329">
        <f t="shared" si="5"/>
        <v>0</v>
      </c>
      <c r="G46" s="1329">
        <f t="shared" si="5"/>
        <v>0</v>
      </c>
      <c r="H46" s="1329">
        <f t="shared" si="5"/>
        <v>0</v>
      </c>
      <c r="I46" s="1329">
        <f t="shared" si="5"/>
        <v>0</v>
      </c>
      <c r="J46" s="1329">
        <f t="shared" si="5"/>
        <v>0</v>
      </c>
      <c r="K46" s="1329">
        <f t="shared" si="5"/>
        <v>0</v>
      </c>
      <c r="L46" s="1329">
        <f t="shared" si="5"/>
        <v>0</v>
      </c>
      <c r="M46" s="1329">
        <f t="shared" si="5"/>
        <v>0</v>
      </c>
      <c r="N46" s="1329">
        <f t="shared" si="5"/>
        <v>0</v>
      </c>
      <c r="O46" s="1329">
        <f>O12+O15-O16-O45</f>
        <v>0</v>
      </c>
      <c r="P46" s="1329">
        <f t="shared" si="5"/>
        <v>0</v>
      </c>
      <c r="Q46" s="1326"/>
      <c r="R46" s="1317"/>
    </row>
    <row r="47" spans="1:18" s="1314" customFormat="1" ht="13.5" customHeight="1" x14ac:dyDescent="0.25">
      <c r="A47" s="1349" t="s">
        <v>438</v>
      </c>
      <c r="B47" s="1327"/>
      <c r="C47" s="1327"/>
      <c r="D47" s="1327"/>
      <c r="E47" s="1327"/>
      <c r="F47" s="1327"/>
      <c r="G47" s="1327"/>
      <c r="H47" s="1327"/>
      <c r="I47" s="1327"/>
      <c r="J47" s="1327"/>
      <c r="K47" s="1327"/>
      <c r="L47" s="1327"/>
      <c r="M47" s="1327"/>
      <c r="N47" s="1327"/>
      <c r="O47" s="1327"/>
      <c r="P47" s="1348">
        <f>SUM(B47:O47)</f>
        <v>0</v>
      </c>
      <c r="Q47" s="1326"/>
      <c r="R47" s="1317"/>
    </row>
    <row r="48" spans="1:18" s="1314" customFormat="1" ht="13.5" customHeight="1" x14ac:dyDescent="0.25">
      <c r="A48" s="1349" t="s">
        <v>29</v>
      </c>
      <c r="B48" s="1350">
        <f>B46-B47</f>
        <v>0</v>
      </c>
      <c r="C48" s="1350">
        <f t="shared" ref="C48:N48" si="6">C46-C47</f>
        <v>0</v>
      </c>
      <c r="D48" s="1350">
        <f t="shared" si="6"/>
        <v>0</v>
      </c>
      <c r="E48" s="1350">
        <f t="shared" si="6"/>
        <v>0</v>
      </c>
      <c r="F48" s="1350">
        <f t="shared" si="6"/>
        <v>0</v>
      </c>
      <c r="G48" s="1350">
        <f t="shared" si="6"/>
        <v>0</v>
      </c>
      <c r="H48" s="1350">
        <f t="shared" si="6"/>
        <v>0</v>
      </c>
      <c r="I48" s="1350">
        <f t="shared" si="6"/>
        <v>0</v>
      </c>
      <c r="J48" s="1350">
        <f t="shared" si="6"/>
        <v>0</v>
      </c>
      <c r="K48" s="1350">
        <f t="shared" si="6"/>
        <v>0</v>
      </c>
      <c r="L48" s="1350">
        <f t="shared" si="6"/>
        <v>0</v>
      </c>
      <c r="M48" s="1350">
        <f t="shared" si="6"/>
        <v>0</v>
      </c>
      <c r="N48" s="1350">
        <f t="shared" si="6"/>
        <v>0</v>
      </c>
      <c r="O48" s="1350"/>
      <c r="P48" s="1351">
        <f>P46-P47-O46</f>
        <v>0</v>
      </c>
      <c r="Q48" s="1326"/>
      <c r="R48" s="1317"/>
    </row>
    <row r="49" spans="1:19" s="1314" customFormat="1" ht="13.5" customHeight="1" x14ac:dyDescent="0.25">
      <c r="A49" s="1349" t="s">
        <v>49</v>
      </c>
      <c r="B49" s="1327"/>
      <c r="C49" s="1327"/>
      <c r="D49" s="1327"/>
      <c r="E49" s="1327"/>
      <c r="F49" s="1327"/>
      <c r="G49" s="1327"/>
      <c r="H49" s="1327"/>
      <c r="I49" s="1327"/>
      <c r="J49" s="1327"/>
      <c r="K49" s="1327"/>
      <c r="L49" s="1327"/>
      <c r="M49" s="1327"/>
      <c r="N49" s="1327"/>
      <c r="O49" s="1327"/>
      <c r="P49" s="1327"/>
      <c r="Q49" s="1326"/>
      <c r="R49" s="1317"/>
      <c r="S49" s="1352"/>
    </row>
    <row r="50" spans="1:19" s="1314" customFormat="1" ht="13.5" customHeight="1" x14ac:dyDescent="0.2">
      <c r="B50" s="1353"/>
      <c r="C50" s="1352"/>
      <c r="D50" s="1352"/>
      <c r="E50" s="1352"/>
      <c r="F50" s="1352"/>
      <c r="G50" s="1352"/>
      <c r="H50" s="1352"/>
      <c r="I50" s="1352"/>
      <c r="K50" s="1354"/>
      <c r="L50" s="1355"/>
      <c r="M50" s="1355"/>
      <c r="N50" s="1355" t="s">
        <v>439</v>
      </c>
      <c r="O50" s="1356">
        <f>O21+O22+O24+O25+O27+O28+O29+O30+O36+O37+O39+O40+O41-SUM(B69:K69)</f>
        <v>0</v>
      </c>
    </row>
    <row r="51" spans="1:19" s="1314" customFormat="1" ht="13.5" customHeight="1" x14ac:dyDescent="0.2">
      <c r="B51" s="1353"/>
      <c r="C51" s="1352"/>
      <c r="D51" s="1352"/>
      <c r="E51" s="1352"/>
      <c r="F51" s="1352"/>
      <c r="G51" s="1352"/>
      <c r="H51" s="1352"/>
      <c r="I51" s="1352"/>
      <c r="J51" s="1352"/>
      <c r="K51" s="1352"/>
      <c r="L51" s="1352"/>
      <c r="M51" s="1352"/>
      <c r="N51" s="1352"/>
      <c r="O51" s="1352"/>
    </row>
    <row r="52" spans="1:19" s="1314" customFormat="1" ht="13.5" customHeight="1" x14ac:dyDescent="0.2">
      <c r="A52" s="2522" t="s">
        <v>440</v>
      </c>
      <c r="B52" s="2520" t="s">
        <v>441</v>
      </c>
      <c r="C52" s="2520" t="s">
        <v>28</v>
      </c>
      <c r="D52" s="2520" t="s">
        <v>27</v>
      </c>
      <c r="E52" s="2520" t="s">
        <v>5</v>
      </c>
      <c r="F52" s="2520" t="s">
        <v>421</v>
      </c>
      <c r="G52" s="2520" t="s">
        <v>159</v>
      </c>
      <c r="H52" s="2520" t="s">
        <v>25</v>
      </c>
      <c r="I52" s="2520" t="s">
        <v>91</v>
      </c>
      <c r="J52" s="2520" t="s">
        <v>282</v>
      </c>
      <c r="K52" s="2520" t="s">
        <v>3</v>
      </c>
      <c r="L52" s="2525" t="s">
        <v>48</v>
      </c>
      <c r="M52" s="2526"/>
      <c r="N52" s="2526"/>
      <c r="O52" s="2527"/>
      <c r="P52" s="2531" t="s">
        <v>49</v>
      </c>
      <c r="Q52" s="1357"/>
    </row>
    <row r="53" spans="1:19" s="1314" customFormat="1" ht="13.5" customHeight="1" x14ac:dyDescent="0.2">
      <c r="A53" s="2523"/>
      <c r="B53" s="2524"/>
      <c r="C53" s="2524"/>
      <c r="D53" s="2524"/>
      <c r="E53" s="2524"/>
      <c r="F53" s="2524"/>
      <c r="G53" s="2524"/>
      <c r="H53" s="2524"/>
      <c r="I53" s="2524"/>
      <c r="J53" s="2524"/>
      <c r="K53" s="2524"/>
      <c r="L53" s="2528"/>
      <c r="M53" s="2529"/>
      <c r="N53" s="2529"/>
      <c r="O53" s="2530"/>
      <c r="P53" s="2532"/>
      <c r="Q53" s="1358"/>
    </row>
    <row r="54" spans="1:19" s="1314" customFormat="1" ht="13.5" customHeight="1" x14ac:dyDescent="0.2">
      <c r="A54" s="1359"/>
      <c r="B54" s="1360"/>
      <c r="C54" s="1360"/>
      <c r="D54" s="1360"/>
      <c r="E54" s="1360"/>
      <c r="F54" s="1360"/>
      <c r="G54" s="1360"/>
      <c r="H54" s="1360"/>
      <c r="I54" s="1360"/>
      <c r="J54" s="1361"/>
      <c r="K54" s="1360"/>
      <c r="L54" s="2515" t="s">
        <v>442</v>
      </c>
      <c r="M54" s="2516"/>
      <c r="N54" s="2516"/>
      <c r="O54" s="2517"/>
      <c r="P54" s="1362"/>
      <c r="Q54" s="1359"/>
    </row>
    <row r="55" spans="1:19" s="1314" customFormat="1" ht="13.5" customHeight="1" x14ac:dyDescent="0.2">
      <c r="A55" s="1363"/>
      <c r="B55" s="1364"/>
      <c r="C55" s="1364"/>
      <c r="D55" s="1364"/>
      <c r="E55" s="1364"/>
      <c r="F55" s="1365"/>
      <c r="G55" s="1365"/>
      <c r="H55" s="1365"/>
      <c r="I55" s="1365"/>
      <c r="J55" s="1365"/>
      <c r="K55" s="1365"/>
      <c r="L55" s="2515" t="s">
        <v>443</v>
      </c>
      <c r="M55" s="2516"/>
      <c r="N55" s="2516"/>
      <c r="O55" s="2517"/>
      <c r="P55" s="1366"/>
      <c r="Q55" s="1363"/>
    </row>
    <row r="56" spans="1:19" s="1314" customFormat="1" ht="13.5" customHeight="1" x14ac:dyDescent="0.2">
      <c r="A56" s="1363"/>
      <c r="B56" s="1364"/>
      <c r="C56" s="1364"/>
      <c r="D56" s="1364"/>
      <c r="E56" s="1364"/>
      <c r="F56" s="1365"/>
      <c r="G56" s="1365"/>
      <c r="H56" s="1365"/>
      <c r="I56" s="1365"/>
      <c r="J56" s="1365"/>
      <c r="K56" s="1365"/>
      <c r="L56" s="2515" t="s">
        <v>444</v>
      </c>
      <c r="M56" s="2516"/>
      <c r="N56" s="2516"/>
      <c r="O56" s="2517"/>
      <c r="P56" s="1366"/>
      <c r="Q56" s="1363"/>
    </row>
    <row r="57" spans="1:19" s="1314" customFormat="1" ht="13.5" customHeight="1" x14ac:dyDescent="0.2">
      <c r="A57" s="1363"/>
      <c r="B57" s="1364"/>
      <c r="C57" s="1364"/>
      <c r="D57" s="1364"/>
      <c r="E57" s="1364"/>
      <c r="F57" s="1365"/>
      <c r="G57" s="1365"/>
      <c r="H57" s="1365"/>
      <c r="I57" s="1365"/>
      <c r="J57" s="1365"/>
      <c r="K57" s="1365"/>
      <c r="L57" s="2515" t="s">
        <v>445</v>
      </c>
      <c r="M57" s="2516"/>
      <c r="N57" s="2516"/>
      <c r="O57" s="2517"/>
      <c r="P57" s="1366"/>
      <c r="Q57" s="1363"/>
    </row>
    <row r="58" spans="1:19" s="1314" customFormat="1" ht="13.5" customHeight="1" x14ac:dyDescent="0.2">
      <c r="A58" s="1363"/>
      <c r="B58" s="1364"/>
      <c r="C58" s="1364"/>
      <c r="D58" s="1364"/>
      <c r="E58" s="1364"/>
      <c r="F58" s="1365"/>
      <c r="G58" s="1365"/>
      <c r="H58" s="1365"/>
      <c r="I58" s="1365"/>
      <c r="J58" s="1365"/>
      <c r="K58" s="1365"/>
      <c r="L58" s="2515" t="s">
        <v>446</v>
      </c>
      <c r="M58" s="2516"/>
      <c r="N58" s="2516"/>
      <c r="O58" s="2517"/>
      <c r="P58" s="1366"/>
      <c r="Q58" s="1363"/>
    </row>
    <row r="59" spans="1:19" s="1314" customFormat="1" ht="13.5" customHeight="1" x14ac:dyDescent="0.2">
      <c r="A59" s="1363"/>
      <c r="B59" s="1364"/>
      <c r="C59" s="1364"/>
      <c r="D59" s="1364"/>
      <c r="E59" s="1364"/>
      <c r="F59" s="1365"/>
      <c r="G59" s="1365"/>
      <c r="H59" s="1367"/>
      <c r="I59" s="1365"/>
      <c r="J59" s="1365"/>
      <c r="K59" s="1365"/>
      <c r="L59" s="2512" t="s">
        <v>447</v>
      </c>
      <c r="M59" s="2513"/>
      <c r="N59" s="2513"/>
      <c r="O59" s="2513"/>
      <c r="P59" s="2514"/>
      <c r="Q59" s="1363"/>
    </row>
    <row r="60" spans="1:19" s="1314" customFormat="1" ht="13.5" customHeight="1" x14ac:dyDescent="0.2">
      <c r="A60" s="1363"/>
      <c r="B60" s="1364"/>
      <c r="C60" s="1364"/>
      <c r="D60" s="1364"/>
      <c r="E60" s="1364"/>
      <c r="F60" s="1365"/>
      <c r="G60" s="1365"/>
      <c r="H60" s="1365"/>
      <c r="I60" s="1365"/>
      <c r="J60" s="1365"/>
      <c r="K60" s="1365"/>
      <c r="L60" s="2500" t="s">
        <v>435</v>
      </c>
      <c r="M60" s="2501"/>
      <c r="N60" s="2501"/>
      <c r="O60" s="2502"/>
      <c r="P60" s="1366"/>
      <c r="Q60" s="1363"/>
    </row>
    <row r="61" spans="1:19" s="1314" customFormat="1" ht="13.5" customHeight="1" x14ac:dyDescent="0.2">
      <c r="A61" s="1363"/>
      <c r="B61" s="1364"/>
      <c r="C61" s="1364"/>
      <c r="D61" s="1364"/>
      <c r="E61" s="1364"/>
      <c r="F61" s="1365"/>
      <c r="G61" s="1365"/>
      <c r="H61" s="1365"/>
      <c r="I61" s="1365"/>
      <c r="J61" s="1365"/>
      <c r="K61" s="1365"/>
      <c r="L61" s="2500" t="s">
        <v>435</v>
      </c>
      <c r="M61" s="2501"/>
      <c r="N61" s="2501"/>
      <c r="O61" s="2502"/>
      <c r="P61" s="1366"/>
      <c r="Q61" s="1363"/>
    </row>
    <row r="62" spans="1:19" s="1314" customFormat="1" ht="13.5" customHeight="1" x14ac:dyDescent="0.2">
      <c r="A62" s="1363"/>
      <c r="B62" s="1364"/>
      <c r="C62" s="1364"/>
      <c r="D62" s="1364"/>
      <c r="E62" s="1364"/>
      <c r="F62" s="1365"/>
      <c r="G62" s="1365"/>
      <c r="H62" s="1365"/>
      <c r="I62" s="1365"/>
      <c r="J62" s="1365"/>
      <c r="K62" s="1365"/>
      <c r="L62" s="2500" t="s">
        <v>435</v>
      </c>
      <c r="M62" s="2501"/>
      <c r="N62" s="2501"/>
      <c r="O62" s="2502"/>
      <c r="P62" s="1366"/>
      <c r="Q62" s="1363"/>
    </row>
    <row r="63" spans="1:19" s="1314" customFormat="1" ht="13.9" customHeight="1" x14ac:dyDescent="0.2">
      <c r="A63" s="1363"/>
      <c r="B63" s="1364"/>
      <c r="C63" s="1364"/>
      <c r="D63" s="1364"/>
      <c r="E63" s="1364"/>
      <c r="F63" s="1364"/>
      <c r="G63" s="1364"/>
      <c r="H63" s="1364"/>
      <c r="I63" s="1364"/>
      <c r="J63" s="1364"/>
      <c r="K63" s="1364"/>
      <c r="L63" s="2500" t="s">
        <v>435</v>
      </c>
      <c r="M63" s="2501"/>
      <c r="N63" s="2501"/>
      <c r="O63" s="2502"/>
      <c r="P63" s="1368"/>
      <c r="Q63" s="1363"/>
    </row>
    <row r="64" spans="1:19" s="1314" customFormat="1" ht="13.5" customHeight="1" x14ac:dyDescent="0.2">
      <c r="A64" s="1363"/>
      <c r="B64" s="1364"/>
      <c r="C64" s="1364"/>
      <c r="D64" s="1364"/>
      <c r="E64" s="1365"/>
      <c r="F64" s="1364"/>
      <c r="G64" s="1364"/>
      <c r="H64" s="1364"/>
      <c r="I64" s="1364"/>
      <c r="J64" s="1364"/>
      <c r="K64" s="1364"/>
      <c r="L64" s="2500" t="s">
        <v>435</v>
      </c>
      <c r="M64" s="2501"/>
      <c r="N64" s="2501"/>
      <c r="O64" s="2502"/>
      <c r="P64" s="1368"/>
      <c r="Q64" s="1363"/>
    </row>
    <row r="65" spans="1:19" s="1314" customFormat="1" ht="13.5" customHeight="1" x14ac:dyDescent="0.2">
      <c r="A65" s="1363"/>
      <c r="B65" s="1364"/>
      <c r="C65" s="1364"/>
      <c r="D65" s="1369"/>
      <c r="E65" s="1364"/>
      <c r="F65" s="1364"/>
      <c r="G65" s="1364"/>
      <c r="H65" s="1364"/>
      <c r="I65" s="1364"/>
      <c r="J65" s="1364"/>
      <c r="K65" s="1364"/>
      <c r="L65" s="2500" t="s">
        <v>435</v>
      </c>
      <c r="M65" s="2501"/>
      <c r="N65" s="2501"/>
      <c r="O65" s="2502"/>
      <c r="P65" s="1368"/>
      <c r="Q65" s="1363"/>
    </row>
    <row r="66" spans="1:19" s="1314" customFormat="1" ht="13.5" customHeight="1" x14ac:dyDescent="0.2">
      <c r="A66" s="1363"/>
      <c r="B66" s="1364"/>
      <c r="C66" s="1369"/>
      <c r="D66" s="1369"/>
      <c r="E66" s="1364"/>
      <c r="F66" s="1364"/>
      <c r="G66" s="1364"/>
      <c r="H66" s="1370"/>
      <c r="I66" s="1370"/>
      <c r="J66" s="1370"/>
      <c r="K66" s="1370"/>
      <c r="L66" s="2500" t="s">
        <v>435</v>
      </c>
      <c r="M66" s="2501"/>
      <c r="N66" s="2501"/>
      <c r="O66" s="2502"/>
      <c r="P66" s="1368"/>
      <c r="Q66" s="1363"/>
    </row>
    <row r="67" spans="1:19" s="1314" customFormat="1" ht="13.5" customHeight="1" x14ac:dyDescent="0.2">
      <c r="A67" s="1363"/>
      <c r="B67" s="1364"/>
      <c r="C67" s="1369"/>
      <c r="D67" s="1369"/>
      <c r="E67" s="1364"/>
      <c r="F67" s="1364"/>
      <c r="G67" s="1364"/>
      <c r="H67" s="1370"/>
      <c r="I67" s="1370"/>
      <c r="J67" s="1370"/>
      <c r="K67" s="1370"/>
      <c r="L67" s="2500" t="s">
        <v>435</v>
      </c>
      <c r="M67" s="2501"/>
      <c r="N67" s="2501"/>
      <c r="O67" s="2502"/>
      <c r="P67" s="1368"/>
      <c r="Q67" s="1363"/>
    </row>
    <row r="68" spans="1:19" s="1314" customFormat="1" ht="13.5" customHeight="1" x14ac:dyDescent="0.2">
      <c r="A68" s="1371"/>
      <c r="B68" s="1372"/>
      <c r="C68" s="1372"/>
      <c r="D68" s="1372"/>
      <c r="E68" s="1373"/>
      <c r="F68" s="1373"/>
      <c r="G68" s="1373"/>
      <c r="H68" s="1374"/>
      <c r="I68" s="1374"/>
      <c r="J68" s="1374"/>
      <c r="K68" s="1374"/>
      <c r="L68" s="2500" t="s">
        <v>435</v>
      </c>
      <c r="M68" s="2501"/>
      <c r="N68" s="2501"/>
      <c r="O68" s="2502"/>
      <c r="P68" s="1375"/>
      <c r="Q68" s="1371"/>
    </row>
    <row r="69" spans="1:19" s="1314" customFormat="1" ht="17.25" customHeight="1" x14ac:dyDescent="0.25">
      <c r="A69" s="1376" t="s">
        <v>33</v>
      </c>
      <c r="B69" s="1377">
        <f t="shared" ref="B69:K69" si="7">SUM(B54:B68)</f>
        <v>0</v>
      </c>
      <c r="C69" s="1377">
        <f t="shared" si="7"/>
        <v>0</v>
      </c>
      <c r="D69" s="1377">
        <f t="shared" si="7"/>
        <v>0</v>
      </c>
      <c r="E69" s="1377">
        <f t="shared" si="7"/>
        <v>0</v>
      </c>
      <c r="F69" s="1377">
        <f t="shared" si="7"/>
        <v>0</v>
      </c>
      <c r="G69" s="1377">
        <f t="shared" si="7"/>
        <v>0</v>
      </c>
      <c r="H69" s="1377">
        <f t="shared" si="7"/>
        <v>0</v>
      </c>
      <c r="I69" s="1377">
        <f t="shared" si="7"/>
        <v>0</v>
      </c>
      <c r="J69" s="1377">
        <f t="shared" si="7"/>
        <v>0</v>
      </c>
      <c r="K69" s="1377">
        <f t="shared" si="7"/>
        <v>0</v>
      </c>
      <c r="L69" s="2503"/>
      <c r="M69" s="2504"/>
      <c r="N69" s="2504"/>
      <c r="O69" s="2505"/>
      <c r="P69" s="1378"/>
      <c r="Q69" s="1379"/>
    </row>
    <row r="70" spans="1:19" s="1314" customFormat="1" ht="17.25" customHeight="1" x14ac:dyDescent="0.2">
      <c r="A70" s="1380" t="s">
        <v>448</v>
      </c>
      <c r="B70" s="1381"/>
      <c r="C70" s="1382"/>
      <c r="D70" s="1383"/>
      <c r="E70" s="1383"/>
      <c r="F70" s="1383"/>
      <c r="G70" s="1383"/>
      <c r="H70" s="1384"/>
      <c r="I70" s="1384"/>
      <c r="J70" s="1384"/>
      <c r="Q70" s="1380"/>
    </row>
    <row r="71" spans="1:19" s="1314" customFormat="1" ht="20.25" customHeight="1" x14ac:dyDescent="0.2">
      <c r="A71" s="1352"/>
      <c r="B71" s="1352"/>
      <c r="C71" s="1353"/>
      <c r="D71" s="1353"/>
      <c r="E71" s="1385"/>
      <c r="F71" s="1385"/>
      <c r="G71" s="1385"/>
      <c r="H71" s="1385"/>
      <c r="I71" s="1386"/>
      <c r="J71" s="1386"/>
      <c r="K71" s="1386"/>
      <c r="L71" s="1386"/>
      <c r="M71" s="1387" t="s">
        <v>449</v>
      </c>
      <c r="N71" s="1388"/>
      <c r="O71" s="1389"/>
      <c r="P71" s="1390">
        <f>P12</f>
        <v>0</v>
      </c>
    </row>
    <row r="72" spans="1:19" s="1314" customFormat="1" ht="20.25" customHeight="1" x14ac:dyDescent="0.2">
      <c r="A72" s="1391" t="s">
        <v>394</v>
      </c>
      <c r="B72" s="1392"/>
      <c r="C72" s="1393"/>
      <c r="D72" s="1393"/>
      <c r="E72" s="1394"/>
      <c r="F72" s="1395"/>
      <c r="G72" s="1385"/>
      <c r="H72" s="1385"/>
      <c r="I72" s="1386"/>
      <c r="J72" s="1386"/>
      <c r="K72" s="1386"/>
      <c r="L72" s="1386"/>
      <c r="M72" s="1387" t="s">
        <v>450</v>
      </c>
      <c r="N72" s="1388"/>
      <c r="O72" s="1389"/>
      <c r="P72" s="1390">
        <f>P45</f>
        <v>0</v>
      </c>
    </row>
    <row r="73" spans="1:19" s="1314" customFormat="1" ht="18.75" customHeight="1" x14ac:dyDescent="0.25">
      <c r="A73" s="1396" t="s">
        <v>395</v>
      </c>
      <c r="B73" s="1397" t="s">
        <v>30</v>
      </c>
      <c r="C73" s="1397" t="s">
        <v>34</v>
      </c>
      <c r="D73" s="1398" t="s">
        <v>451</v>
      </c>
      <c r="E73" s="1399" t="s">
        <v>452</v>
      </c>
      <c r="G73" s="1385"/>
      <c r="H73" s="1385"/>
      <c r="I73" s="1386"/>
      <c r="J73" s="1386"/>
      <c r="K73" s="1386"/>
      <c r="L73" s="1386"/>
      <c r="M73" s="1387" t="s">
        <v>453</v>
      </c>
      <c r="N73" s="1388"/>
      <c r="O73" s="1389"/>
      <c r="P73" s="1400">
        <f>P71-P72</f>
        <v>0</v>
      </c>
      <c r="Q73" s="1386"/>
      <c r="R73" s="1386"/>
      <c r="S73" s="1386"/>
    </row>
    <row r="74" spans="1:19" s="1314" customFormat="1" ht="13.15" customHeight="1" x14ac:dyDescent="0.2">
      <c r="A74" s="1401"/>
      <c r="B74" s="1401"/>
      <c r="C74" s="1402"/>
      <c r="D74" s="1403"/>
      <c r="E74" s="1404" t="e">
        <f>(1/D74)*2</f>
        <v>#DIV/0!</v>
      </c>
      <c r="G74" s="1385"/>
      <c r="H74" s="1385"/>
      <c r="I74" s="1352"/>
      <c r="J74" s="1352"/>
      <c r="K74" s="1352"/>
      <c r="L74" s="1352"/>
      <c r="M74" s="1352"/>
      <c r="N74" s="1386"/>
      <c r="O74" s="1386"/>
      <c r="P74" s="1386"/>
      <c r="Q74" s="2499"/>
      <c r="R74" s="2499"/>
    </row>
    <row r="75" spans="1:19" s="1314" customFormat="1" ht="12.75" customHeight="1" x14ac:dyDescent="0.2">
      <c r="A75" s="1401"/>
      <c r="B75" s="1401"/>
      <c r="C75" s="1406"/>
      <c r="D75" s="1403"/>
      <c r="E75" s="1404" t="e">
        <f t="shared" ref="E75:E80" si="8">(1/D75)*2</f>
        <v>#DIV/0!</v>
      </c>
      <c r="G75" s="1385"/>
      <c r="H75" s="1385"/>
      <c r="I75" s="1386"/>
      <c r="K75" s="1386"/>
      <c r="M75" s="1387" t="s">
        <v>454</v>
      </c>
      <c r="N75" s="1389"/>
      <c r="O75" s="1391" t="s">
        <v>455</v>
      </c>
      <c r="P75" s="1407" t="s">
        <v>19</v>
      </c>
      <c r="Q75" s="1405"/>
      <c r="R75" s="1405"/>
    </row>
    <row r="76" spans="1:19" s="1314" customFormat="1" ht="13.5" customHeight="1" x14ac:dyDescent="0.2">
      <c r="A76" s="1401"/>
      <c r="B76" s="1401"/>
      <c r="C76" s="1402"/>
      <c r="D76" s="1403"/>
      <c r="E76" s="1404" t="e">
        <f t="shared" si="8"/>
        <v>#DIV/0!</v>
      </c>
      <c r="G76" s="1385"/>
      <c r="H76" s="1385"/>
      <c r="I76" s="1386"/>
      <c r="M76" s="2506"/>
      <c r="N76" s="2507"/>
      <c r="O76" s="1409"/>
      <c r="P76" s="1410">
        <f>O76*P73</f>
        <v>0</v>
      </c>
      <c r="Q76" s="1405"/>
      <c r="R76" s="1405"/>
    </row>
    <row r="77" spans="1:19" s="1314" customFormat="1" ht="13.5" customHeight="1" x14ac:dyDescent="0.2">
      <c r="A77" s="1401"/>
      <c r="B77" s="1401"/>
      <c r="C77" s="1402"/>
      <c r="D77" s="1403"/>
      <c r="E77" s="1404" t="e">
        <f t="shared" si="8"/>
        <v>#DIV/0!</v>
      </c>
      <c r="G77" s="1385"/>
      <c r="H77" s="1385"/>
      <c r="I77" s="1386"/>
      <c r="J77" s="1386"/>
      <c r="K77" s="1386"/>
      <c r="L77" s="1386"/>
      <c r="M77" s="2508"/>
      <c r="N77" s="2509"/>
      <c r="O77" s="1411"/>
      <c r="P77" s="1412">
        <f>O77*P73</f>
        <v>0</v>
      </c>
      <c r="R77" s="1405"/>
    </row>
    <row r="78" spans="1:19" s="1314" customFormat="1" ht="13.5" customHeight="1" x14ac:dyDescent="0.2">
      <c r="A78" s="1401"/>
      <c r="B78" s="1401"/>
      <c r="C78" s="1402"/>
      <c r="D78" s="1403"/>
      <c r="E78" s="1404" t="e">
        <f t="shared" si="8"/>
        <v>#DIV/0!</v>
      </c>
      <c r="G78" s="1385"/>
      <c r="H78" s="1385"/>
      <c r="I78" s="1386"/>
      <c r="J78" s="1386"/>
      <c r="M78" s="2510"/>
      <c r="N78" s="2511"/>
      <c r="O78" s="1413"/>
      <c r="P78" s="1414">
        <f>O78*P73</f>
        <v>0</v>
      </c>
      <c r="R78" s="1405"/>
    </row>
    <row r="79" spans="1:19" s="1314" customFormat="1" ht="13.5" customHeight="1" x14ac:dyDescent="0.2">
      <c r="A79" s="1401"/>
      <c r="B79" s="1401"/>
      <c r="C79" s="1402"/>
      <c r="D79" s="1403"/>
      <c r="E79" s="1404" t="e">
        <f t="shared" si="8"/>
        <v>#DIV/0!</v>
      </c>
      <c r="G79" s="1385"/>
      <c r="H79" s="1385"/>
      <c r="I79" s="1386"/>
      <c r="J79" s="1386"/>
      <c r="R79" s="1405"/>
    </row>
    <row r="80" spans="1:19" s="1314" customFormat="1" ht="13.5" customHeight="1" x14ac:dyDescent="0.2">
      <c r="A80" s="1401"/>
      <c r="B80" s="1401"/>
      <c r="C80" s="1402"/>
      <c r="D80" s="1403"/>
      <c r="E80" s="1404" t="e">
        <f t="shared" si="8"/>
        <v>#DIV/0!</v>
      </c>
      <c r="G80" s="1385"/>
      <c r="H80" s="1385"/>
      <c r="I80" s="1386"/>
      <c r="J80" s="1386"/>
      <c r="R80" s="1405"/>
    </row>
    <row r="81" spans="1:18" s="1314" customFormat="1" ht="13.5" customHeight="1" x14ac:dyDescent="0.2">
      <c r="A81" s="1385"/>
      <c r="B81" s="1385"/>
      <c r="C81" s="1415">
        <f>SUM(C74:C80)</f>
        <v>0</v>
      </c>
      <c r="D81" s="1385"/>
      <c r="E81" s="1385"/>
      <c r="G81" s="1385"/>
      <c r="H81" s="1385"/>
      <c r="I81" s="1386"/>
      <c r="J81" s="1386"/>
      <c r="R81" s="1405"/>
    </row>
    <row r="82" spans="1:18" s="1314" customFormat="1" ht="13.5" customHeight="1" x14ac:dyDescent="0.2">
      <c r="G82" s="1385"/>
      <c r="H82" s="1385"/>
      <c r="I82" s="1352"/>
      <c r="J82" s="1352"/>
      <c r="K82" s="1352"/>
      <c r="L82" s="1352"/>
      <c r="M82" s="1352"/>
      <c r="N82" s="1352"/>
      <c r="O82" s="1352"/>
      <c r="Q82" s="2499"/>
      <c r="R82" s="2499"/>
    </row>
    <row r="83" spans="1:18" s="1314" customFormat="1" ht="13.5" customHeight="1" x14ac:dyDescent="0.2">
      <c r="A83" s="1352"/>
      <c r="B83" s="1352"/>
      <c r="C83" s="1408" t="s">
        <v>456</v>
      </c>
      <c r="D83" s="1416"/>
      <c r="E83" s="1416"/>
      <c r="F83" s="1416"/>
      <c r="G83" s="1416"/>
      <c r="H83" s="1416"/>
      <c r="I83" s="1416"/>
      <c r="J83" s="1416"/>
      <c r="K83" s="1416"/>
      <c r="L83" s="1416"/>
      <c r="M83" s="1416"/>
      <c r="N83" s="1417"/>
      <c r="O83" s="1352"/>
      <c r="P83" s="1352"/>
      <c r="Q83" s="2499"/>
      <c r="R83" s="2499"/>
    </row>
    <row r="84" spans="1:18" s="1314" customFormat="1" ht="13.5" customHeight="1" x14ac:dyDescent="0.2">
      <c r="A84" s="1352"/>
      <c r="B84" s="1352"/>
      <c r="C84" s="1418"/>
      <c r="D84" s="1419"/>
      <c r="E84" s="1419"/>
      <c r="F84" s="1419"/>
      <c r="G84" s="1419"/>
      <c r="H84" s="1419"/>
      <c r="I84" s="1419"/>
      <c r="J84" s="1419"/>
      <c r="K84" s="1419"/>
      <c r="L84" s="1419"/>
      <c r="M84" s="1419"/>
      <c r="N84" s="1420"/>
      <c r="O84" s="1352"/>
      <c r="P84" s="1352"/>
      <c r="Q84" s="2499"/>
      <c r="R84" s="2499"/>
    </row>
  </sheetData>
  <sheetProtection formatCells="0" formatColumns="0" formatRows="0" insertRows="0" insertHyperlinks="0" sort="0"/>
  <mergeCells count="57">
    <mergeCell ref="A1:D1"/>
    <mergeCell ref="B3:D3"/>
    <mergeCell ref="B4:D4"/>
    <mergeCell ref="B5:D5"/>
    <mergeCell ref="A7:A8"/>
    <mergeCell ref="B7:B8"/>
    <mergeCell ref="C7:C8"/>
    <mergeCell ref="D7:D8"/>
    <mergeCell ref="P7:P8"/>
    <mergeCell ref="E7:E8"/>
    <mergeCell ref="F7:F8"/>
    <mergeCell ref="G7:G8"/>
    <mergeCell ref="H7:H8"/>
    <mergeCell ref="I7:I8"/>
    <mergeCell ref="J7:J8"/>
    <mergeCell ref="L55:O55"/>
    <mergeCell ref="Q7:Q8"/>
    <mergeCell ref="A52:A53"/>
    <mergeCell ref="B52:B53"/>
    <mergeCell ref="C52:C53"/>
    <mergeCell ref="D52:D53"/>
    <mergeCell ref="E52:E53"/>
    <mergeCell ref="F52:F53"/>
    <mergeCell ref="G52:G53"/>
    <mergeCell ref="H52:H53"/>
    <mergeCell ref="I52:I53"/>
    <mergeCell ref="K7:K8"/>
    <mergeCell ref="L7:L8"/>
    <mergeCell ref="M7:M8"/>
    <mergeCell ref="N7:N8"/>
    <mergeCell ref="O7:O8"/>
    <mergeCell ref="J52:J53"/>
    <mergeCell ref="K52:K53"/>
    <mergeCell ref="L52:O53"/>
    <mergeCell ref="P52:P53"/>
    <mergeCell ref="L54:O54"/>
    <mergeCell ref="L67:O67"/>
    <mergeCell ref="L56:O56"/>
    <mergeCell ref="L57:O57"/>
    <mergeCell ref="L58:O58"/>
    <mergeCell ref="L59:P59"/>
    <mergeCell ref="L60:O60"/>
    <mergeCell ref="L61:O61"/>
    <mergeCell ref="L62:O62"/>
    <mergeCell ref="L63:O63"/>
    <mergeCell ref="L64:O64"/>
    <mergeCell ref="L65:O65"/>
    <mergeCell ref="L66:O66"/>
    <mergeCell ref="Q82:R82"/>
    <mergeCell ref="Q83:R83"/>
    <mergeCell ref="Q84:R84"/>
    <mergeCell ref="L68:O68"/>
    <mergeCell ref="L69:O69"/>
    <mergeCell ref="Q74:R74"/>
    <mergeCell ref="M76:N76"/>
    <mergeCell ref="M77:N77"/>
    <mergeCell ref="M78:N78"/>
  </mergeCells>
  <hyperlinks>
    <hyperlink ref="A1" location="'Index and Structure'!A1" display="The Macro Group" xr:uid="{00000000-0004-0000-2000-000000000000}"/>
  </hyperlinks>
  <pageMargins left="0.43307086614173229" right="0.43307086614173229" top="0.70866141732283472" bottom="0.15748031496062992" header="0.23622047244094491" footer="0.15748031496062992"/>
  <pageSetup paperSize="9" scale="46" orientation="landscape" r:id="rId1"/>
  <headerFooter alignWithMargins="0">
    <oddFooter>&amp;LPrinted:&amp;T on &amp;D</oddFooter>
  </headerFooter>
  <legacyDrawing r:id="rId2"/>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163">
    <pageSetUpPr fitToPage="1"/>
  </sheetPr>
  <dimension ref="A1:S84"/>
  <sheetViews>
    <sheetView showGridLines="0" view="pageBreakPreview" topLeftCell="A41" zoomScaleNormal="50" zoomScaleSheetLayoutView="100" workbookViewId="0">
      <selection activeCell="R2" sqref="R2"/>
    </sheetView>
  </sheetViews>
  <sheetFormatPr defaultColWidth="9.140625" defaultRowHeight="15" x14ac:dyDescent="0.25"/>
  <cols>
    <col min="1" max="1" width="26.7109375" style="1304" bestFit="1" customWidth="1"/>
    <col min="2" max="2" width="9.5703125" style="1304" bestFit="1" customWidth="1"/>
    <col min="3" max="4" width="10.5703125" style="1304" customWidth="1"/>
    <col min="5" max="5" width="10.42578125" style="1304" customWidth="1"/>
    <col min="6" max="6" width="11.42578125" style="1304" customWidth="1"/>
    <col min="7" max="13" width="9.5703125" style="1304" bestFit="1" customWidth="1"/>
    <col min="14" max="14" width="10.85546875" style="1304" customWidth="1"/>
    <col min="15" max="15" width="12.5703125" style="1304" customWidth="1"/>
    <col min="16" max="16" width="10" style="1304" customWidth="1"/>
    <col min="17" max="17" width="10.85546875" style="1304" customWidth="1"/>
    <col min="18" max="16384" width="9.140625" style="1304"/>
  </cols>
  <sheetData>
    <row r="1" spans="1:18" ht="19.899999999999999" customHeight="1" thickBot="1" x14ac:dyDescent="0.4">
      <c r="A1" s="2533" t="s">
        <v>44</v>
      </c>
      <c r="B1" s="2534"/>
      <c r="C1" s="2534"/>
      <c r="D1" s="2535"/>
      <c r="E1" s="1299"/>
      <c r="F1" s="1300" t="s">
        <v>40</v>
      </c>
      <c r="G1" s="1300" t="str">
        <f>'Index and Structure'!B2</f>
        <v>Nicolo Superannuation fund</v>
      </c>
      <c r="H1" s="1302"/>
      <c r="I1" s="1303"/>
      <c r="K1" s="1305" t="s">
        <v>38</v>
      </c>
      <c r="L1" s="1302" t="str">
        <f>'Index and Structure'!B5</f>
        <v>NICO0024</v>
      </c>
      <c r="O1" s="1308" t="str">
        <f>'Index and Structure'!A4</f>
        <v>Year :</v>
      </c>
      <c r="P1" s="1931">
        <f>'Index and Structure'!D4</f>
        <v>2022</v>
      </c>
      <c r="R1" s="1306" t="s">
        <v>1008</v>
      </c>
    </row>
    <row r="2" spans="1:18" ht="14.45" customHeight="1" x14ac:dyDescent="0.25">
      <c r="A2" s="1307"/>
      <c r="B2" s="1307"/>
      <c r="F2" s="1300" t="s">
        <v>45</v>
      </c>
      <c r="G2" s="1301" t="s">
        <v>47</v>
      </c>
      <c r="H2" s="1302"/>
      <c r="I2" s="1303"/>
      <c r="K2" s="1308" t="s">
        <v>41</v>
      </c>
      <c r="L2" s="1302" t="str">
        <f>'Index and Structure'!B6</f>
        <v>Liam Aubin</v>
      </c>
      <c r="O2" s="1302" t="s">
        <v>42</v>
      </c>
      <c r="P2" s="1309"/>
    </row>
    <row r="3" spans="1:18" ht="16.149999999999999" customHeight="1" x14ac:dyDescent="0.25">
      <c r="A3" s="1310" t="s">
        <v>390</v>
      </c>
      <c r="B3" s="2536" t="s">
        <v>397</v>
      </c>
      <c r="C3" s="2536"/>
      <c r="D3" s="2536"/>
      <c r="F3" s="1300" t="s">
        <v>46</v>
      </c>
      <c r="G3" s="1902" t="str">
        <f>'Index and Structure'!B4</f>
        <v>30 June 2022</v>
      </c>
      <c r="H3" s="1302"/>
      <c r="I3" s="1303"/>
      <c r="K3" s="1308" t="s">
        <v>43</v>
      </c>
      <c r="L3" s="1302" t="str">
        <f>'Index and Structure'!B7</f>
        <v>Nicole Bryant</v>
      </c>
      <c r="O3" s="1302" t="s">
        <v>42</v>
      </c>
      <c r="P3" s="1311"/>
    </row>
    <row r="4" spans="1:18" ht="18" customHeight="1" x14ac:dyDescent="0.25">
      <c r="A4" s="1310"/>
      <c r="B4" s="2536" t="s">
        <v>398</v>
      </c>
      <c r="C4" s="2536"/>
      <c r="D4" s="2536"/>
      <c r="F4" s="1454" t="s">
        <v>488</v>
      </c>
    </row>
    <row r="5" spans="1:18" ht="18" customHeight="1" x14ac:dyDescent="0.25">
      <c r="A5" s="1310"/>
      <c r="B5" s="2536" t="s">
        <v>399</v>
      </c>
      <c r="C5" s="2536"/>
      <c r="D5" s="2536"/>
      <c r="F5" s="1312" t="s">
        <v>400</v>
      </c>
      <c r="G5" s="1313"/>
      <c r="H5" s="1313"/>
      <c r="I5" s="1313"/>
      <c r="J5" s="1313"/>
      <c r="K5" s="1313"/>
      <c r="L5" s="1313"/>
      <c r="M5" s="1313"/>
      <c r="N5" s="1313"/>
      <c r="O5" s="1313"/>
    </row>
    <row r="6" spans="1:18" s="1314" customFormat="1" ht="13.5" customHeight="1" x14ac:dyDescent="0.25">
      <c r="C6" s="1315"/>
      <c r="D6" s="1315"/>
      <c r="E6" s="1315"/>
      <c r="F6" s="1316" t="s">
        <v>401</v>
      </c>
      <c r="G6" s="1316"/>
      <c r="H6" s="1316"/>
      <c r="I6" s="1316"/>
      <c r="J6" s="1316"/>
      <c r="K6" s="1316"/>
      <c r="L6" s="1316"/>
      <c r="M6" s="1316"/>
      <c r="N6" s="1316"/>
      <c r="O6" s="1312"/>
      <c r="P6" s="1317"/>
      <c r="Q6" s="1317"/>
      <c r="R6" s="1317"/>
    </row>
    <row r="7" spans="1:18" s="1314" customFormat="1" ht="13.5" customHeight="1" x14ac:dyDescent="0.25">
      <c r="A7" s="2537" t="s">
        <v>402</v>
      </c>
      <c r="B7" s="2520" t="s">
        <v>6</v>
      </c>
      <c r="C7" s="2520" t="s">
        <v>7</v>
      </c>
      <c r="D7" s="2520" t="s">
        <v>8</v>
      </c>
      <c r="E7" s="2520" t="s">
        <v>9</v>
      </c>
      <c r="F7" s="2520" t="s">
        <v>10</v>
      </c>
      <c r="G7" s="2520" t="s">
        <v>11</v>
      </c>
      <c r="H7" s="2520" t="s">
        <v>12</v>
      </c>
      <c r="I7" s="2520" t="s">
        <v>13</v>
      </c>
      <c r="J7" s="2520" t="s">
        <v>14</v>
      </c>
      <c r="K7" s="2520" t="s">
        <v>15</v>
      </c>
      <c r="L7" s="2520" t="s">
        <v>16</v>
      </c>
      <c r="M7" s="2520" t="s">
        <v>17</v>
      </c>
      <c r="N7" s="2518" t="s">
        <v>403</v>
      </c>
      <c r="O7" s="2518" t="s">
        <v>404</v>
      </c>
      <c r="P7" s="2520" t="s">
        <v>33</v>
      </c>
      <c r="Q7" s="2520" t="s">
        <v>405</v>
      </c>
      <c r="R7" s="1317"/>
    </row>
    <row r="8" spans="1:18" s="1314" customFormat="1" ht="13.5" customHeight="1" x14ac:dyDescent="0.25">
      <c r="A8" s="2538"/>
      <c r="B8" s="2521"/>
      <c r="C8" s="2521"/>
      <c r="D8" s="2521"/>
      <c r="E8" s="2521"/>
      <c r="F8" s="2521"/>
      <c r="G8" s="2521"/>
      <c r="H8" s="2521"/>
      <c r="I8" s="2521"/>
      <c r="J8" s="2521"/>
      <c r="K8" s="2521"/>
      <c r="L8" s="2521"/>
      <c r="M8" s="2521"/>
      <c r="N8" s="2519"/>
      <c r="O8" s="2519"/>
      <c r="P8" s="2521"/>
      <c r="Q8" s="2521"/>
      <c r="R8" s="1317"/>
    </row>
    <row r="9" spans="1:18" s="1314" customFormat="1" ht="13.5" customHeight="1" x14ac:dyDescent="0.25">
      <c r="A9" s="1318" t="s">
        <v>406</v>
      </c>
      <c r="B9" s="1319"/>
      <c r="C9" s="1319"/>
      <c r="D9" s="1319"/>
      <c r="E9" s="1319"/>
      <c r="F9" s="1319"/>
      <c r="G9" s="1319"/>
      <c r="H9" s="1319"/>
      <c r="I9" s="1319"/>
      <c r="J9" s="1319"/>
      <c r="K9" s="1319"/>
      <c r="L9" s="1319"/>
      <c r="M9" s="1319"/>
      <c r="N9" s="1320"/>
      <c r="O9" s="1320"/>
      <c r="P9" s="1319"/>
      <c r="Q9" s="1321"/>
      <c r="R9" s="1317"/>
    </row>
    <row r="10" spans="1:18" s="1314" customFormat="1" ht="13.5" customHeight="1" x14ac:dyDescent="0.25">
      <c r="A10" s="1322" t="s">
        <v>407</v>
      </c>
      <c r="B10" s="1323"/>
      <c r="C10" s="1323"/>
      <c r="D10" s="1323"/>
      <c r="E10" s="1323"/>
      <c r="F10" s="1323"/>
      <c r="G10" s="1323"/>
      <c r="H10" s="1323"/>
      <c r="I10" s="1323"/>
      <c r="J10" s="1323"/>
      <c r="K10" s="1323"/>
      <c r="L10" s="1323"/>
      <c r="M10" s="1323"/>
      <c r="N10" s="1323"/>
      <c r="O10" s="1323"/>
      <c r="P10" s="1324">
        <f>SUM(B10:O10)</f>
        <v>0</v>
      </c>
      <c r="Q10" s="1325" t="s">
        <v>151</v>
      </c>
      <c r="R10" s="1317"/>
    </row>
    <row r="11" spans="1:18" s="1314" customFormat="1" ht="13.5" customHeight="1" x14ac:dyDescent="0.25">
      <c r="A11" s="1326" t="s">
        <v>408</v>
      </c>
      <c r="B11" s="1327"/>
      <c r="C11" s="1327"/>
      <c r="D11" s="1327"/>
      <c r="E11" s="1327"/>
      <c r="F11" s="1327"/>
      <c r="G11" s="1327"/>
      <c r="H11" s="1327"/>
      <c r="I11" s="1327"/>
      <c r="J11" s="1327"/>
      <c r="K11" s="1327"/>
      <c r="L11" s="1327"/>
      <c r="M11" s="1327"/>
      <c r="N11" s="1327"/>
      <c r="O11" s="1327"/>
      <c r="P11" s="1324">
        <f t="shared" ref="P11:P44" si="0">SUM(B11:O11)</f>
        <v>0</v>
      </c>
      <c r="Q11" s="1328" t="s">
        <v>151</v>
      </c>
      <c r="R11" s="1317"/>
    </row>
    <row r="12" spans="1:18" s="1314" customFormat="1" ht="13.5" customHeight="1" x14ac:dyDescent="0.25">
      <c r="A12" s="1326" t="s">
        <v>409</v>
      </c>
      <c r="B12" s="1329">
        <f>SUM(B10:B11)</f>
        <v>0</v>
      </c>
      <c r="C12" s="1329">
        <f t="shared" ref="C12:P12" si="1">SUM(C10:C11)</f>
        <v>0</v>
      </c>
      <c r="D12" s="1329">
        <f t="shared" si="1"/>
        <v>0</v>
      </c>
      <c r="E12" s="1329">
        <f t="shared" si="1"/>
        <v>0</v>
      </c>
      <c r="F12" s="1329">
        <f t="shared" si="1"/>
        <v>0</v>
      </c>
      <c r="G12" s="1329">
        <f t="shared" si="1"/>
        <v>0</v>
      </c>
      <c r="H12" s="1329">
        <f t="shared" si="1"/>
        <v>0</v>
      </c>
      <c r="I12" s="1329">
        <f t="shared" si="1"/>
        <v>0</v>
      </c>
      <c r="J12" s="1329">
        <f t="shared" si="1"/>
        <v>0</v>
      </c>
      <c r="K12" s="1329">
        <f t="shared" si="1"/>
        <v>0</v>
      </c>
      <c r="L12" s="1329">
        <f t="shared" si="1"/>
        <v>0</v>
      </c>
      <c r="M12" s="1329">
        <f t="shared" si="1"/>
        <v>0</v>
      </c>
      <c r="N12" s="1329">
        <f t="shared" si="1"/>
        <v>0</v>
      </c>
      <c r="O12" s="1329">
        <f t="shared" si="1"/>
        <v>0</v>
      </c>
      <c r="P12" s="1329">
        <f t="shared" si="1"/>
        <v>0</v>
      </c>
      <c r="Q12" s="1328"/>
      <c r="R12" s="1317"/>
    </row>
    <row r="13" spans="1:18" s="1314" customFormat="1" ht="13.5" customHeight="1" x14ac:dyDescent="0.25">
      <c r="A13" s="1330"/>
      <c r="B13" s="1331"/>
      <c r="C13" s="1331"/>
      <c r="D13" s="1331"/>
      <c r="E13" s="1331"/>
      <c r="F13" s="1331"/>
      <c r="G13" s="1331"/>
      <c r="H13" s="1331"/>
      <c r="I13" s="1331"/>
      <c r="J13" s="1331"/>
      <c r="K13" s="1331"/>
      <c r="L13" s="1331"/>
      <c r="M13" s="1331"/>
      <c r="N13" s="1331"/>
      <c r="O13" s="1331"/>
      <c r="P13" s="1332"/>
      <c r="Q13" s="1333"/>
      <c r="R13" s="1317"/>
    </row>
    <row r="14" spans="1:18" s="1314" customFormat="1" ht="13.5" customHeight="1" x14ac:dyDescent="0.25">
      <c r="A14" s="1318" t="s">
        <v>410</v>
      </c>
      <c r="B14" s="1319"/>
      <c r="C14" s="1319"/>
      <c r="D14" s="1319"/>
      <c r="E14" s="1319"/>
      <c r="F14" s="1319"/>
      <c r="G14" s="1319"/>
      <c r="H14" s="1319"/>
      <c r="I14" s="1319"/>
      <c r="J14" s="1319"/>
      <c r="K14" s="1319"/>
      <c r="L14" s="1319"/>
      <c r="M14" s="1319"/>
      <c r="N14" s="1320"/>
      <c r="O14" s="1320"/>
      <c r="P14" s="1319"/>
      <c r="Q14" s="1321"/>
      <c r="R14" s="1317"/>
    </row>
    <row r="15" spans="1:18" s="1314" customFormat="1" ht="13.5" customHeight="1" x14ac:dyDescent="0.25">
      <c r="A15" s="1326" t="s">
        <v>411</v>
      </c>
      <c r="B15" s="1327"/>
      <c r="C15" s="1327"/>
      <c r="D15" s="1327"/>
      <c r="E15" s="1327"/>
      <c r="F15" s="1327"/>
      <c r="G15" s="1327"/>
      <c r="H15" s="1327"/>
      <c r="I15" s="1327"/>
      <c r="J15" s="1327"/>
      <c r="K15" s="1327"/>
      <c r="L15" s="1327"/>
      <c r="M15" s="1327"/>
      <c r="N15" s="1327"/>
      <c r="O15" s="1327"/>
      <c r="P15" s="1324">
        <f>SUM(B15:O15)</f>
        <v>0</v>
      </c>
      <c r="Q15" s="1328" t="s">
        <v>412</v>
      </c>
      <c r="R15" s="1317"/>
    </row>
    <row r="16" spans="1:18" s="1314" customFormat="1" ht="13.5" customHeight="1" x14ac:dyDescent="0.25">
      <c r="A16" s="1334" t="s">
        <v>413</v>
      </c>
      <c r="B16" s="1335"/>
      <c r="C16" s="1335"/>
      <c r="D16" s="1335"/>
      <c r="E16" s="1335"/>
      <c r="F16" s="1335"/>
      <c r="G16" s="1335"/>
      <c r="H16" s="1335"/>
      <c r="I16" s="1335"/>
      <c r="J16" s="1335"/>
      <c r="K16" s="1335"/>
      <c r="L16" s="1335"/>
      <c r="M16" s="1335"/>
      <c r="N16" s="1335"/>
      <c r="O16" s="1335"/>
      <c r="P16" s="1336">
        <f>SUM(B16:O16)</f>
        <v>0</v>
      </c>
      <c r="Q16" s="1337" t="s">
        <v>412</v>
      </c>
      <c r="R16" s="1317"/>
    </row>
    <row r="17" spans="1:18" s="1314" customFormat="1" ht="13.5" customHeight="1" x14ac:dyDescent="0.25">
      <c r="A17" s="1338" t="s">
        <v>414</v>
      </c>
      <c r="B17" s="1339"/>
      <c r="C17" s="1339"/>
      <c r="D17" s="1339"/>
      <c r="E17" s="1339"/>
      <c r="F17" s="1339"/>
      <c r="G17" s="1339"/>
      <c r="H17" s="1339"/>
      <c r="I17" s="1339"/>
      <c r="J17" s="1339"/>
      <c r="K17" s="1339"/>
      <c r="L17" s="1339"/>
      <c r="M17" s="1339"/>
      <c r="N17" s="1339"/>
      <c r="O17" s="1339"/>
      <c r="P17" s="1340"/>
      <c r="Q17" s="1341"/>
      <c r="R17" s="1317"/>
    </row>
    <row r="18" spans="1:18" s="1314" customFormat="1" ht="13.5" customHeight="1" x14ac:dyDescent="0.25">
      <c r="A18" s="1342"/>
      <c r="B18" s="1332"/>
      <c r="C18" s="1332"/>
      <c r="D18" s="1332"/>
      <c r="E18" s="1332"/>
      <c r="F18" s="1332"/>
      <c r="G18" s="1332"/>
      <c r="H18" s="1332"/>
      <c r="I18" s="1332"/>
      <c r="J18" s="1332"/>
      <c r="K18" s="1332"/>
      <c r="L18" s="1332"/>
      <c r="M18" s="1332"/>
      <c r="N18" s="1332"/>
      <c r="O18" s="1332"/>
      <c r="P18" s="1332"/>
      <c r="Q18" s="1343"/>
      <c r="R18" s="1317"/>
    </row>
    <row r="19" spans="1:18" s="1314" customFormat="1" ht="13.5" customHeight="1" x14ac:dyDescent="0.25">
      <c r="A19" s="1344" t="s">
        <v>415</v>
      </c>
      <c r="B19" s="1345"/>
      <c r="C19" s="1345"/>
      <c r="D19" s="1345"/>
      <c r="E19" s="1345"/>
      <c r="F19" s="1345"/>
      <c r="G19" s="1345"/>
      <c r="H19" s="1345"/>
      <c r="I19" s="1345"/>
      <c r="J19" s="1345"/>
      <c r="K19" s="1345"/>
      <c r="L19" s="1345"/>
      <c r="M19" s="1345"/>
      <c r="N19" s="1345"/>
      <c r="O19" s="1345"/>
      <c r="P19" s="1345"/>
      <c r="Q19" s="1346"/>
      <c r="R19" s="1317"/>
    </row>
    <row r="20" spans="1:18" s="1314" customFormat="1" ht="13.5" customHeight="1" x14ac:dyDescent="0.25">
      <c r="A20" s="1326" t="s">
        <v>279</v>
      </c>
      <c r="B20" s="1327"/>
      <c r="C20" s="1327"/>
      <c r="D20" s="1327"/>
      <c r="E20" s="1327"/>
      <c r="F20" s="1327"/>
      <c r="G20" s="1327"/>
      <c r="H20" s="1327"/>
      <c r="I20" s="1327"/>
      <c r="J20" s="1327"/>
      <c r="K20" s="1327"/>
      <c r="L20" s="1327"/>
      <c r="M20" s="1327"/>
      <c r="N20" s="1327"/>
      <c r="O20" s="1327"/>
      <c r="P20" s="1324">
        <f t="shared" si="0"/>
        <v>0</v>
      </c>
      <c r="Q20" s="1328" t="s">
        <v>320</v>
      </c>
      <c r="R20" s="1317"/>
    </row>
    <row r="21" spans="1:18" s="1314" customFormat="1" ht="13.5" customHeight="1" x14ac:dyDescent="0.25">
      <c r="A21" s="1326" t="s">
        <v>416</v>
      </c>
      <c r="B21" s="1327"/>
      <c r="C21" s="1327"/>
      <c r="D21" s="1327"/>
      <c r="E21" s="1327"/>
      <c r="F21" s="1327"/>
      <c r="G21" s="1327"/>
      <c r="H21" s="1327"/>
      <c r="I21" s="1327"/>
      <c r="J21" s="1327"/>
      <c r="K21" s="1327"/>
      <c r="L21" s="1327"/>
      <c r="M21" s="1327"/>
      <c r="N21" s="1327"/>
      <c r="O21" s="1329">
        <f>B69</f>
        <v>0</v>
      </c>
      <c r="P21" s="1324">
        <f t="shared" si="0"/>
        <v>0</v>
      </c>
      <c r="Q21" s="1328" t="s">
        <v>323</v>
      </c>
      <c r="R21" s="1317"/>
    </row>
    <row r="22" spans="1:18" s="1314" customFormat="1" ht="13.5" customHeight="1" x14ac:dyDescent="0.25">
      <c r="A22" s="1326" t="s">
        <v>417</v>
      </c>
      <c r="B22" s="1327"/>
      <c r="C22" s="1327"/>
      <c r="D22" s="1327"/>
      <c r="E22" s="1327"/>
      <c r="F22" s="1327"/>
      <c r="G22" s="1327"/>
      <c r="H22" s="1327"/>
      <c r="I22" s="1327"/>
      <c r="J22" s="1327"/>
      <c r="K22" s="1327"/>
      <c r="L22" s="1327"/>
      <c r="M22" s="1327"/>
      <c r="N22" s="1327"/>
      <c r="O22" s="1329">
        <f>K54</f>
        <v>0</v>
      </c>
      <c r="P22" s="1324">
        <f t="shared" si="0"/>
        <v>0</v>
      </c>
      <c r="Q22" s="1328" t="s">
        <v>325</v>
      </c>
      <c r="R22" s="1317"/>
    </row>
    <row r="23" spans="1:18" s="1314" customFormat="1" ht="13.5" customHeight="1" x14ac:dyDescent="0.25">
      <c r="A23" s="1326" t="s">
        <v>26</v>
      </c>
      <c r="B23" s="1327"/>
      <c r="C23" s="1327"/>
      <c r="D23" s="1327"/>
      <c r="E23" s="1327"/>
      <c r="F23" s="1327"/>
      <c r="G23" s="1327"/>
      <c r="H23" s="1327"/>
      <c r="I23" s="1327"/>
      <c r="J23" s="1327"/>
      <c r="K23" s="1327"/>
      <c r="L23" s="1327"/>
      <c r="M23" s="1327"/>
      <c r="N23" s="1327"/>
      <c r="O23" s="1327"/>
      <c r="P23" s="1324">
        <f t="shared" si="0"/>
        <v>0</v>
      </c>
      <c r="Q23" s="1328" t="s">
        <v>328</v>
      </c>
      <c r="R23" s="1317"/>
    </row>
    <row r="24" spans="1:18" s="1314" customFormat="1" ht="13.5" customHeight="1" x14ac:dyDescent="0.25">
      <c r="A24" s="1326" t="s">
        <v>418</v>
      </c>
      <c r="B24" s="1327"/>
      <c r="C24" s="1327"/>
      <c r="D24" s="1327"/>
      <c r="E24" s="1327"/>
      <c r="F24" s="1327"/>
      <c r="G24" s="1327"/>
      <c r="H24" s="1327"/>
      <c r="I24" s="1327"/>
      <c r="J24" s="1327"/>
      <c r="K24" s="1327"/>
      <c r="L24" s="1327"/>
      <c r="M24" s="1327"/>
      <c r="N24" s="1327"/>
      <c r="O24" s="1329">
        <f>C69</f>
        <v>0</v>
      </c>
      <c r="P24" s="1324">
        <f t="shared" si="0"/>
        <v>0</v>
      </c>
      <c r="Q24" s="1328" t="s">
        <v>330</v>
      </c>
      <c r="R24" s="1317"/>
    </row>
    <row r="25" spans="1:18" s="1314" customFormat="1" ht="13.5" customHeight="1" x14ac:dyDescent="0.25">
      <c r="A25" s="1326" t="s">
        <v>419</v>
      </c>
      <c r="B25" s="1327"/>
      <c r="C25" s="1327"/>
      <c r="D25" s="1327"/>
      <c r="E25" s="1327"/>
      <c r="F25" s="1327"/>
      <c r="G25" s="1327"/>
      <c r="H25" s="1327"/>
      <c r="I25" s="1327"/>
      <c r="J25" s="1327"/>
      <c r="K25" s="1327"/>
      <c r="L25" s="1327"/>
      <c r="M25" s="1327"/>
      <c r="N25" s="1327"/>
      <c r="O25" s="1329">
        <f>K55+K57</f>
        <v>0</v>
      </c>
      <c r="P25" s="1324">
        <f t="shared" si="0"/>
        <v>0</v>
      </c>
      <c r="Q25" s="1328" t="s">
        <v>333</v>
      </c>
      <c r="R25" s="1317"/>
    </row>
    <row r="26" spans="1:18" s="1314" customFormat="1" ht="13.5" customHeight="1" x14ac:dyDescent="0.25">
      <c r="A26" s="1326" t="s">
        <v>420</v>
      </c>
      <c r="B26" s="1327"/>
      <c r="C26" s="1327"/>
      <c r="D26" s="1327"/>
      <c r="E26" s="1327"/>
      <c r="F26" s="1327"/>
      <c r="G26" s="1327"/>
      <c r="H26" s="1327"/>
      <c r="I26" s="1327"/>
      <c r="J26" s="1327"/>
      <c r="K26" s="1327"/>
      <c r="L26" s="1327"/>
      <c r="M26" s="1327"/>
      <c r="N26" s="1327"/>
      <c r="O26" s="1327"/>
      <c r="P26" s="1324">
        <f t="shared" si="0"/>
        <v>0</v>
      </c>
      <c r="Q26" s="1328" t="s">
        <v>335</v>
      </c>
      <c r="R26" s="1317"/>
    </row>
    <row r="27" spans="1:18" s="1314" customFormat="1" ht="13.5" customHeight="1" x14ac:dyDescent="0.25">
      <c r="A27" s="1326" t="s">
        <v>27</v>
      </c>
      <c r="B27" s="1327"/>
      <c r="C27" s="1327"/>
      <c r="D27" s="1327"/>
      <c r="E27" s="1327"/>
      <c r="F27" s="1327"/>
      <c r="G27" s="1327"/>
      <c r="H27" s="1327"/>
      <c r="I27" s="1327"/>
      <c r="J27" s="1327"/>
      <c r="K27" s="1327"/>
      <c r="L27" s="1327"/>
      <c r="M27" s="1327"/>
      <c r="N27" s="1327"/>
      <c r="O27" s="1329">
        <f>D69</f>
        <v>0</v>
      </c>
      <c r="P27" s="1324">
        <f t="shared" si="0"/>
        <v>0</v>
      </c>
      <c r="Q27" s="1328" t="s">
        <v>338</v>
      </c>
      <c r="R27" s="1317"/>
    </row>
    <row r="28" spans="1:18" s="1314" customFormat="1" ht="13.5" customHeight="1" x14ac:dyDescent="0.25">
      <c r="A28" s="1326" t="s">
        <v>5</v>
      </c>
      <c r="B28" s="1327"/>
      <c r="C28" s="1327"/>
      <c r="D28" s="1327"/>
      <c r="E28" s="1327"/>
      <c r="F28" s="1327"/>
      <c r="G28" s="1327"/>
      <c r="H28" s="1327"/>
      <c r="I28" s="1327"/>
      <c r="J28" s="1327"/>
      <c r="K28" s="1327"/>
      <c r="L28" s="1327"/>
      <c r="M28" s="1327"/>
      <c r="N28" s="1327"/>
      <c r="O28" s="1329">
        <f>E69</f>
        <v>0</v>
      </c>
      <c r="P28" s="1324">
        <f t="shared" si="0"/>
        <v>0</v>
      </c>
      <c r="Q28" s="1328" t="s">
        <v>340</v>
      </c>
      <c r="R28" s="1317"/>
    </row>
    <row r="29" spans="1:18" s="1314" customFormat="1" ht="13.5" customHeight="1" x14ac:dyDescent="0.25">
      <c r="A29" s="1326" t="s">
        <v>421</v>
      </c>
      <c r="B29" s="1327"/>
      <c r="C29" s="1327"/>
      <c r="D29" s="1327"/>
      <c r="E29" s="1327"/>
      <c r="F29" s="1327"/>
      <c r="G29" s="1327"/>
      <c r="H29" s="1327"/>
      <c r="I29" s="1327"/>
      <c r="J29" s="1327"/>
      <c r="K29" s="1327"/>
      <c r="L29" s="1327"/>
      <c r="M29" s="1327"/>
      <c r="N29" s="1327"/>
      <c r="O29" s="1329">
        <f>F69</f>
        <v>0</v>
      </c>
      <c r="P29" s="1324">
        <f t="shared" si="0"/>
        <v>0</v>
      </c>
      <c r="Q29" s="1328" t="s">
        <v>342</v>
      </c>
      <c r="R29" s="1317"/>
    </row>
    <row r="30" spans="1:18" s="1314" customFormat="1" ht="13.5" customHeight="1" x14ac:dyDescent="0.25">
      <c r="A30" s="1326" t="s">
        <v>159</v>
      </c>
      <c r="B30" s="1327"/>
      <c r="C30" s="1327"/>
      <c r="D30" s="1327"/>
      <c r="E30" s="1327"/>
      <c r="F30" s="1327"/>
      <c r="G30" s="1327"/>
      <c r="H30" s="1327"/>
      <c r="I30" s="1327"/>
      <c r="J30" s="1327"/>
      <c r="K30" s="1327"/>
      <c r="L30" s="1327"/>
      <c r="M30" s="1327"/>
      <c r="N30" s="1327"/>
      <c r="O30" s="1329">
        <f>G69</f>
        <v>0</v>
      </c>
      <c r="P30" s="1324">
        <f t="shared" si="0"/>
        <v>0</v>
      </c>
      <c r="Q30" s="1328" t="s">
        <v>344</v>
      </c>
      <c r="R30" s="1317"/>
    </row>
    <row r="31" spans="1:18" s="1314" customFormat="1" ht="13.5" customHeight="1" x14ac:dyDescent="0.25">
      <c r="A31" s="1326" t="s">
        <v>422</v>
      </c>
      <c r="B31" s="1327"/>
      <c r="C31" s="1327"/>
      <c r="D31" s="1327"/>
      <c r="E31" s="1327"/>
      <c r="F31" s="1327"/>
      <c r="G31" s="1327"/>
      <c r="H31" s="1327"/>
      <c r="I31" s="1327"/>
      <c r="J31" s="1327"/>
      <c r="K31" s="1327"/>
      <c r="L31" s="1327"/>
      <c r="M31" s="1327"/>
      <c r="N31" s="1327"/>
      <c r="O31" s="1327"/>
      <c r="P31" s="1324">
        <f t="shared" si="0"/>
        <v>0</v>
      </c>
      <c r="Q31" s="1328" t="s">
        <v>346</v>
      </c>
      <c r="R31" s="1317"/>
    </row>
    <row r="32" spans="1:18" s="1314" customFormat="1" ht="13.5" customHeight="1" x14ac:dyDescent="0.25">
      <c r="A32" s="1326" t="s">
        <v>423</v>
      </c>
      <c r="B32" s="1329">
        <f>SUBTOTAL(9,B33:B35)</f>
        <v>0</v>
      </c>
      <c r="C32" s="1329">
        <f t="shared" ref="C32:N32" si="2">SUBTOTAL(9,C33:C35)</f>
        <v>0</v>
      </c>
      <c r="D32" s="1329">
        <f t="shared" si="2"/>
        <v>0</v>
      </c>
      <c r="E32" s="1329">
        <f t="shared" si="2"/>
        <v>0</v>
      </c>
      <c r="F32" s="1329">
        <f t="shared" si="2"/>
        <v>0</v>
      </c>
      <c r="G32" s="1329">
        <f t="shared" si="2"/>
        <v>0</v>
      </c>
      <c r="H32" s="1329">
        <f t="shared" si="2"/>
        <v>0</v>
      </c>
      <c r="I32" s="1329">
        <f t="shared" si="2"/>
        <v>0</v>
      </c>
      <c r="J32" s="1329">
        <f t="shared" si="2"/>
        <v>0</v>
      </c>
      <c r="K32" s="1329">
        <f t="shared" si="2"/>
        <v>0</v>
      </c>
      <c r="L32" s="1329">
        <f t="shared" si="2"/>
        <v>0</v>
      </c>
      <c r="M32" s="1329">
        <f t="shared" si="2"/>
        <v>0</v>
      </c>
      <c r="N32" s="1329">
        <f t="shared" si="2"/>
        <v>0</v>
      </c>
      <c r="O32" s="1329">
        <f>SUBTOTAL(9,O33:O35)</f>
        <v>0</v>
      </c>
      <c r="P32" s="1329">
        <f>SUBTOTAL(9,P33:P35)</f>
        <v>0</v>
      </c>
      <c r="Q32" s="1328" t="s">
        <v>348</v>
      </c>
      <c r="R32" s="1317"/>
    </row>
    <row r="33" spans="1:18" s="1314" customFormat="1" ht="13.5" customHeight="1" x14ac:dyDescent="0.25">
      <c r="A33" s="1347" t="s">
        <v>424</v>
      </c>
      <c r="B33" s="1327"/>
      <c r="C33" s="1327"/>
      <c r="D33" s="1327"/>
      <c r="E33" s="1327"/>
      <c r="F33" s="1327"/>
      <c r="G33" s="1327"/>
      <c r="H33" s="1327"/>
      <c r="I33" s="1327"/>
      <c r="J33" s="1327"/>
      <c r="K33" s="1327"/>
      <c r="L33" s="1327"/>
      <c r="M33" s="1327"/>
      <c r="N33" s="1327"/>
      <c r="O33" s="1327"/>
      <c r="P33" s="1348">
        <f t="shared" si="0"/>
        <v>0</v>
      </c>
      <c r="Q33" s="1328" t="s">
        <v>412</v>
      </c>
      <c r="R33" s="1317"/>
    </row>
    <row r="34" spans="1:18" s="1314" customFormat="1" ht="13.5" customHeight="1" x14ac:dyDescent="0.25">
      <c r="A34" s="1347" t="s">
        <v>425</v>
      </c>
      <c r="B34" s="1327"/>
      <c r="C34" s="1327"/>
      <c r="D34" s="1327"/>
      <c r="E34" s="1327"/>
      <c r="F34" s="1327"/>
      <c r="G34" s="1327"/>
      <c r="H34" s="1327"/>
      <c r="I34" s="1327"/>
      <c r="J34" s="1327"/>
      <c r="K34" s="1327"/>
      <c r="L34" s="1327"/>
      <c r="M34" s="1327"/>
      <c r="N34" s="1327"/>
      <c r="O34" s="1327"/>
      <c r="P34" s="1348">
        <f t="shared" si="0"/>
        <v>0</v>
      </c>
      <c r="Q34" s="1328" t="s">
        <v>412</v>
      </c>
      <c r="R34" s="1317"/>
    </row>
    <row r="35" spans="1:18" s="1314" customFormat="1" ht="13.5" customHeight="1" x14ac:dyDescent="0.25">
      <c r="A35" s="1347" t="s">
        <v>426</v>
      </c>
      <c r="B35" s="1327"/>
      <c r="C35" s="1327"/>
      <c r="D35" s="1327"/>
      <c r="E35" s="1327"/>
      <c r="F35" s="1327"/>
      <c r="G35" s="1327"/>
      <c r="H35" s="1327"/>
      <c r="I35" s="1327"/>
      <c r="J35" s="1327"/>
      <c r="K35" s="1327"/>
      <c r="L35" s="1327"/>
      <c r="M35" s="1327"/>
      <c r="N35" s="1327"/>
      <c r="O35" s="1327"/>
      <c r="P35" s="1348">
        <f t="shared" si="0"/>
        <v>0</v>
      </c>
      <c r="Q35" s="1328" t="s">
        <v>412</v>
      </c>
      <c r="R35" s="1317"/>
    </row>
    <row r="36" spans="1:18" s="1314" customFormat="1" ht="13.5" customHeight="1" x14ac:dyDescent="0.25">
      <c r="A36" s="1326" t="s">
        <v>25</v>
      </c>
      <c r="B36" s="1327"/>
      <c r="C36" s="1327"/>
      <c r="D36" s="1327"/>
      <c r="E36" s="1327"/>
      <c r="F36" s="1327"/>
      <c r="G36" s="1327"/>
      <c r="H36" s="1327"/>
      <c r="I36" s="1327"/>
      <c r="J36" s="1327"/>
      <c r="K36" s="1327"/>
      <c r="L36" s="1327"/>
      <c r="M36" s="1327"/>
      <c r="N36" s="1327"/>
      <c r="O36" s="1329">
        <f>H69</f>
        <v>0</v>
      </c>
      <c r="P36" s="1324">
        <f t="shared" si="0"/>
        <v>0</v>
      </c>
      <c r="Q36" s="1328" t="s">
        <v>349</v>
      </c>
      <c r="R36" s="1317"/>
    </row>
    <row r="37" spans="1:18" s="1314" customFormat="1" ht="13.5" customHeight="1" x14ac:dyDescent="0.25">
      <c r="A37" s="1326" t="s">
        <v>427</v>
      </c>
      <c r="B37" s="1327"/>
      <c r="C37" s="1327"/>
      <c r="D37" s="1327"/>
      <c r="E37" s="1327"/>
      <c r="F37" s="1327"/>
      <c r="G37" s="1327"/>
      <c r="H37" s="1327"/>
      <c r="I37" s="1327"/>
      <c r="J37" s="1327"/>
      <c r="K37" s="1327"/>
      <c r="L37" s="1327"/>
      <c r="M37" s="1327"/>
      <c r="N37" s="1327"/>
      <c r="O37" s="1329">
        <f>K58+K56</f>
        <v>0</v>
      </c>
      <c r="P37" s="1324">
        <f t="shared" si="0"/>
        <v>0</v>
      </c>
      <c r="Q37" s="1328" t="s">
        <v>351</v>
      </c>
      <c r="R37" s="1317"/>
    </row>
    <row r="38" spans="1:18" s="1314" customFormat="1" ht="13.5" customHeight="1" x14ac:dyDescent="0.25">
      <c r="A38" s="1326" t="s">
        <v>428</v>
      </c>
      <c r="B38" s="1327"/>
      <c r="C38" s="1327"/>
      <c r="D38" s="1327"/>
      <c r="E38" s="1327"/>
      <c r="F38" s="1327"/>
      <c r="G38" s="1327"/>
      <c r="H38" s="1327"/>
      <c r="I38" s="1327"/>
      <c r="J38" s="1327"/>
      <c r="K38" s="1327"/>
      <c r="L38" s="1327"/>
      <c r="M38" s="1327"/>
      <c r="N38" s="1327"/>
      <c r="O38" s="1327"/>
      <c r="P38" s="1324">
        <f t="shared" si="0"/>
        <v>0</v>
      </c>
      <c r="Q38" s="1328" t="s">
        <v>353</v>
      </c>
      <c r="R38" s="1317"/>
    </row>
    <row r="39" spans="1:18" s="1314" customFormat="1" ht="13.5" customHeight="1" x14ac:dyDescent="0.25">
      <c r="A39" s="1326" t="s">
        <v>429</v>
      </c>
      <c r="B39" s="1327"/>
      <c r="C39" s="1327"/>
      <c r="D39" s="1327"/>
      <c r="E39" s="1327"/>
      <c r="F39" s="1327"/>
      <c r="G39" s="1327"/>
      <c r="H39" s="1327"/>
      <c r="I39" s="1327"/>
      <c r="J39" s="1327"/>
      <c r="K39" s="1327"/>
      <c r="L39" s="1327"/>
      <c r="M39" s="1327"/>
      <c r="N39" s="1327"/>
      <c r="O39" s="1329">
        <f>I69</f>
        <v>0</v>
      </c>
      <c r="P39" s="1324">
        <f t="shared" si="0"/>
        <v>0</v>
      </c>
      <c r="Q39" s="1328" t="s">
        <v>430</v>
      </c>
      <c r="R39" s="1317"/>
    </row>
    <row r="40" spans="1:18" s="1314" customFormat="1" ht="13.5" customHeight="1" x14ac:dyDescent="0.25">
      <c r="A40" s="1326" t="s">
        <v>431</v>
      </c>
      <c r="B40" s="1327"/>
      <c r="C40" s="1327"/>
      <c r="D40" s="1327"/>
      <c r="E40" s="1327"/>
      <c r="F40" s="1327"/>
      <c r="G40" s="1327"/>
      <c r="H40" s="1327"/>
      <c r="I40" s="1327"/>
      <c r="J40" s="1327"/>
      <c r="K40" s="1327"/>
      <c r="L40" s="1327"/>
      <c r="M40" s="1327"/>
      <c r="N40" s="1327"/>
      <c r="O40" s="1329">
        <f>J69</f>
        <v>0</v>
      </c>
      <c r="P40" s="1324">
        <f t="shared" si="0"/>
        <v>0</v>
      </c>
      <c r="Q40" s="1328" t="s">
        <v>432</v>
      </c>
      <c r="R40" s="1317"/>
    </row>
    <row r="41" spans="1:18" s="1314" customFormat="1" ht="13.5" customHeight="1" x14ac:dyDescent="0.25">
      <c r="A41" s="1326" t="s">
        <v>433</v>
      </c>
      <c r="B41" s="1329">
        <f>SUBTOTAL(9,B42:B44)</f>
        <v>0</v>
      </c>
      <c r="C41" s="1329">
        <f t="shared" ref="C41:P41" si="3">SUBTOTAL(9,C42:C44)</f>
        <v>0</v>
      </c>
      <c r="D41" s="1329">
        <f t="shared" si="3"/>
        <v>0</v>
      </c>
      <c r="E41" s="1329">
        <f t="shared" si="3"/>
        <v>0</v>
      </c>
      <c r="F41" s="1329">
        <f t="shared" si="3"/>
        <v>0</v>
      </c>
      <c r="G41" s="1329">
        <f t="shared" si="3"/>
        <v>0</v>
      </c>
      <c r="H41" s="1329">
        <f t="shared" si="3"/>
        <v>0</v>
      </c>
      <c r="I41" s="1329">
        <f t="shared" si="3"/>
        <v>0</v>
      </c>
      <c r="J41" s="1329">
        <f t="shared" si="3"/>
        <v>0</v>
      </c>
      <c r="K41" s="1329">
        <f t="shared" si="3"/>
        <v>0</v>
      </c>
      <c r="L41" s="1329">
        <f t="shared" si="3"/>
        <v>0</v>
      </c>
      <c r="M41" s="1329">
        <f t="shared" si="3"/>
        <v>0</v>
      </c>
      <c r="N41" s="1329">
        <f t="shared" si="3"/>
        <v>0</v>
      </c>
      <c r="O41" s="1329">
        <f>SUBTOTAL(9,O42:O44)</f>
        <v>0</v>
      </c>
      <c r="P41" s="1329">
        <f t="shared" si="3"/>
        <v>0</v>
      </c>
      <c r="Q41" s="1328" t="s">
        <v>434</v>
      </c>
      <c r="R41" s="1317"/>
    </row>
    <row r="42" spans="1:18" s="1314" customFormat="1" ht="13.5" customHeight="1" x14ac:dyDescent="0.25">
      <c r="A42" s="1347" t="s">
        <v>435</v>
      </c>
      <c r="B42" s="1327"/>
      <c r="C42" s="1327"/>
      <c r="D42" s="1327"/>
      <c r="E42" s="1327"/>
      <c r="F42" s="1327"/>
      <c r="G42" s="1327"/>
      <c r="H42" s="1327"/>
      <c r="I42" s="1327"/>
      <c r="J42" s="1327"/>
      <c r="K42" s="1327"/>
      <c r="L42" s="1327"/>
      <c r="M42" s="1327"/>
      <c r="N42" s="1327"/>
      <c r="O42" s="1327"/>
      <c r="P42" s="1348">
        <f t="shared" si="0"/>
        <v>0</v>
      </c>
      <c r="Q42" s="1328" t="s">
        <v>412</v>
      </c>
      <c r="R42" s="1317"/>
    </row>
    <row r="43" spans="1:18" s="1314" customFormat="1" ht="13.5" customHeight="1" x14ac:dyDescent="0.25">
      <c r="A43" s="1347" t="s">
        <v>435</v>
      </c>
      <c r="B43" s="1327"/>
      <c r="C43" s="1327"/>
      <c r="D43" s="1327"/>
      <c r="E43" s="1327"/>
      <c r="F43" s="1327"/>
      <c r="G43" s="1327"/>
      <c r="H43" s="1327"/>
      <c r="I43" s="1327"/>
      <c r="J43" s="1327"/>
      <c r="K43" s="1327"/>
      <c r="L43" s="1327"/>
      <c r="M43" s="1327"/>
      <c r="N43" s="1327"/>
      <c r="O43" s="1327"/>
      <c r="P43" s="1348">
        <f t="shared" si="0"/>
        <v>0</v>
      </c>
      <c r="Q43" s="1328" t="s">
        <v>412</v>
      </c>
      <c r="R43" s="1317"/>
    </row>
    <row r="44" spans="1:18" s="1314" customFormat="1" ht="13.5" customHeight="1" x14ac:dyDescent="0.25">
      <c r="A44" s="1347" t="s">
        <v>435</v>
      </c>
      <c r="B44" s="1327"/>
      <c r="C44" s="1327"/>
      <c r="D44" s="1327"/>
      <c r="E44" s="1327"/>
      <c r="F44" s="1327"/>
      <c r="G44" s="1327"/>
      <c r="H44" s="1327"/>
      <c r="I44" s="1327"/>
      <c r="J44" s="1327"/>
      <c r="K44" s="1327"/>
      <c r="L44" s="1327"/>
      <c r="M44" s="1327"/>
      <c r="N44" s="1327"/>
      <c r="O44" s="1327"/>
      <c r="P44" s="1348">
        <f t="shared" si="0"/>
        <v>0</v>
      </c>
      <c r="Q44" s="1328" t="s">
        <v>412</v>
      </c>
      <c r="R44" s="1317"/>
    </row>
    <row r="45" spans="1:18" s="1314" customFormat="1" ht="13.5" customHeight="1" x14ac:dyDescent="0.25">
      <c r="A45" s="1349" t="s">
        <v>436</v>
      </c>
      <c r="B45" s="1329">
        <f>SUBTOTAL(9,B20:B44)</f>
        <v>0</v>
      </c>
      <c r="C45" s="1329">
        <f t="shared" ref="C45:P45" si="4">SUBTOTAL(9,C20:C44)</f>
        <v>0</v>
      </c>
      <c r="D45" s="1329">
        <f t="shared" si="4"/>
        <v>0</v>
      </c>
      <c r="E45" s="1329">
        <f t="shared" si="4"/>
        <v>0</v>
      </c>
      <c r="F45" s="1329">
        <f t="shared" si="4"/>
        <v>0</v>
      </c>
      <c r="G45" s="1329">
        <f t="shared" si="4"/>
        <v>0</v>
      </c>
      <c r="H45" s="1329">
        <f t="shared" si="4"/>
        <v>0</v>
      </c>
      <c r="I45" s="1329">
        <f t="shared" si="4"/>
        <v>0</v>
      </c>
      <c r="J45" s="1329">
        <f t="shared" si="4"/>
        <v>0</v>
      </c>
      <c r="K45" s="1329">
        <f t="shared" si="4"/>
        <v>0</v>
      </c>
      <c r="L45" s="1329">
        <f t="shared" si="4"/>
        <v>0</v>
      </c>
      <c r="M45" s="1329">
        <f t="shared" si="4"/>
        <v>0</v>
      </c>
      <c r="N45" s="1329">
        <f t="shared" si="4"/>
        <v>0</v>
      </c>
      <c r="O45" s="1329">
        <f>SUBTOTAL(9,O20:O44)</f>
        <v>0</v>
      </c>
      <c r="P45" s="1329">
        <f t="shared" si="4"/>
        <v>0</v>
      </c>
      <c r="Q45" s="1326"/>
      <c r="R45" s="1317"/>
    </row>
    <row r="46" spans="1:18" s="1314" customFormat="1" ht="13.5" customHeight="1" x14ac:dyDescent="0.25">
      <c r="A46" s="1349" t="s">
        <v>437</v>
      </c>
      <c r="B46" s="1329">
        <f>B12+B15-B16-B45</f>
        <v>0</v>
      </c>
      <c r="C46" s="1329">
        <f t="shared" ref="C46:P46" si="5">C12+C15-C16-C45</f>
        <v>0</v>
      </c>
      <c r="D46" s="1329">
        <f t="shared" si="5"/>
        <v>0</v>
      </c>
      <c r="E46" s="1329">
        <f t="shared" si="5"/>
        <v>0</v>
      </c>
      <c r="F46" s="1329">
        <f t="shared" si="5"/>
        <v>0</v>
      </c>
      <c r="G46" s="1329">
        <f t="shared" si="5"/>
        <v>0</v>
      </c>
      <c r="H46" s="1329">
        <f t="shared" si="5"/>
        <v>0</v>
      </c>
      <c r="I46" s="1329">
        <f t="shared" si="5"/>
        <v>0</v>
      </c>
      <c r="J46" s="1329">
        <f t="shared" si="5"/>
        <v>0</v>
      </c>
      <c r="K46" s="1329">
        <f t="shared" si="5"/>
        <v>0</v>
      </c>
      <c r="L46" s="1329">
        <f t="shared" si="5"/>
        <v>0</v>
      </c>
      <c r="M46" s="1329">
        <f t="shared" si="5"/>
        <v>0</v>
      </c>
      <c r="N46" s="1329">
        <f t="shared" si="5"/>
        <v>0</v>
      </c>
      <c r="O46" s="1329">
        <f>O12+O15-O16-O45</f>
        <v>0</v>
      </c>
      <c r="P46" s="1329">
        <f t="shared" si="5"/>
        <v>0</v>
      </c>
      <c r="Q46" s="1326"/>
      <c r="R46" s="1317"/>
    </row>
    <row r="47" spans="1:18" s="1314" customFormat="1" ht="13.5" customHeight="1" x14ac:dyDescent="0.25">
      <c r="A47" s="1349" t="s">
        <v>438</v>
      </c>
      <c r="B47" s="1327"/>
      <c r="C47" s="1327"/>
      <c r="D47" s="1327"/>
      <c r="E47" s="1327"/>
      <c r="F47" s="1327"/>
      <c r="G47" s="1327"/>
      <c r="H47" s="1327"/>
      <c r="I47" s="1327"/>
      <c r="J47" s="1327"/>
      <c r="K47" s="1327"/>
      <c r="L47" s="1327"/>
      <c r="M47" s="1327"/>
      <c r="N47" s="1327"/>
      <c r="O47" s="1327"/>
      <c r="P47" s="1348">
        <f>SUM(B47:O47)</f>
        <v>0</v>
      </c>
      <c r="Q47" s="1326"/>
      <c r="R47" s="1317"/>
    </row>
    <row r="48" spans="1:18" s="1314" customFormat="1" ht="13.5" customHeight="1" x14ac:dyDescent="0.25">
      <c r="A48" s="1349" t="s">
        <v>29</v>
      </c>
      <c r="B48" s="1350">
        <f>B46-B47</f>
        <v>0</v>
      </c>
      <c r="C48" s="1350">
        <f t="shared" ref="C48:N48" si="6">C46-C47</f>
        <v>0</v>
      </c>
      <c r="D48" s="1350">
        <f t="shared" si="6"/>
        <v>0</v>
      </c>
      <c r="E48" s="1350">
        <f t="shared" si="6"/>
        <v>0</v>
      </c>
      <c r="F48" s="1350">
        <f t="shared" si="6"/>
        <v>0</v>
      </c>
      <c r="G48" s="1350">
        <f t="shared" si="6"/>
        <v>0</v>
      </c>
      <c r="H48" s="1350">
        <f t="shared" si="6"/>
        <v>0</v>
      </c>
      <c r="I48" s="1350">
        <f t="shared" si="6"/>
        <v>0</v>
      </c>
      <c r="J48" s="1350">
        <f t="shared" si="6"/>
        <v>0</v>
      </c>
      <c r="K48" s="1350">
        <f t="shared" si="6"/>
        <v>0</v>
      </c>
      <c r="L48" s="1350">
        <f t="shared" si="6"/>
        <v>0</v>
      </c>
      <c r="M48" s="1350">
        <f t="shared" si="6"/>
        <v>0</v>
      </c>
      <c r="N48" s="1350">
        <f t="shared" si="6"/>
        <v>0</v>
      </c>
      <c r="O48" s="1350"/>
      <c r="P48" s="1351">
        <f>P46-P47-O46</f>
        <v>0</v>
      </c>
      <c r="Q48" s="1326"/>
      <c r="R48" s="1317"/>
    </row>
    <row r="49" spans="1:19" s="1314" customFormat="1" ht="13.5" customHeight="1" x14ac:dyDescent="0.25">
      <c r="A49" s="1349" t="s">
        <v>49</v>
      </c>
      <c r="B49" s="1327"/>
      <c r="C49" s="1327"/>
      <c r="D49" s="1327"/>
      <c r="E49" s="1327"/>
      <c r="F49" s="1327"/>
      <c r="G49" s="1327"/>
      <c r="H49" s="1327"/>
      <c r="I49" s="1327"/>
      <c r="J49" s="1327"/>
      <c r="K49" s="1327"/>
      <c r="L49" s="1327"/>
      <c r="M49" s="1327"/>
      <c r="N49" s="1327"/>
      <c r="O49" s="1327"/>
      <c r="P49" s="1327"/>
      <c r="Q49" s="1326"/>
      <c r="R49" s="1317"/>
      <c r="S49" s="1352"/>
    </row>
    <row r="50" spans="1:19" s="1314" customFormat="1" ht="13.5" customHeight="1" x14ac:dyDescent="0.2">
      <c r="B50" s="1353"/>
      <c r="C50" s="1352"/>
      <c r="D50" s="1352"/>
      <c r="E50" s="1352"/>
      <c r="F50" s="1352"/>
      <c r="G50" s="1352"/>
      <c r="H50" s="1352"/>
      <c r="I50" s="1352"/>
      <c r="K50" s="1354"/>
      <c r="L50" s="1355"/>
      <c r="M50" s="1355"/>
      <c r="N50" s="1355" t="s">
        <v>439</v>
      </c>
      <c r="O50" s="1356">
        <f>O21+O22+O24+O25+O27+O28+O29+O30+O36+O37+O39+O40+O41-SUM(B69:K69)</f>
        <v>0</v>
      </c>
    </row>
    <row r="51" spans="1:19" s="1314" customFormat="1" ht="13.5" customHeight="1" x14ac:dyDescent="0.2">
      <c r="B51" s="1353"/>
      <c r="C51" s="1352"/>
      <c r="D51" s="1352"/>
      <c r="E51" s="1352"/>
      <c r="F51" s="1352"/>
      <c r="G51" s="1352"/>
      <c r="H51" s="1352"/>
      <c r="I51" s="1352"/>
      <c r="J51" s="1352"/>
      <c r="K51" s="1352"/>
      <c r="L51" s="1352"/>
      <c r="M51" s="1352"/>
      <c r="N51" s="1352"/>
      <c r="O51" s="1352"/>
    </row>
    <row r="52" spans="1:19" s="1314" customFormat="1" ht="13.5" customHeight="1" x14ac:dyDescent="0.2">
      <c r="A52" s="2522" t="s">
        <v>440</v>
      </c>
      <c r="B52" s="2520" t="s">
        <v>441</v>
      </c>
      <c r="C52" s="2520" t="s">
        <v>28</v>
      </c>
      <c r="D52" s="2520" t="s">
        <v>27</v>
      </c>
      <c r="E52" s="2520" t="s">
        <v>5</v>
      </c>
      <c r="F52" s="2520" t="s">
        <v>421</v>
      </c>
      <c r="G52" s="2520" t="s">
        <v>159</v>
      </c>
      <c r="H52" s="2520" t="s">
        <v>25</v>
      </c>
      <c r="I52" s="2520" t="s">
        <v>91</v>
      </c>
      <c r="J52" s="2520" t="s">
        <v>282</v>
      </c>
      <c r="K52" s="2520" t="s">
        <v>3</v>
      </c>
      <c r="L52" s="2525" t="s">
        <v>48</v>
      </c>
      <c r="M52" s="2526"/>
      <c r="N52" s="2526"/>
      <c r="O52" s="2527"/>
      <c r="P52" s="2531" t="s">
        <v>49</v>
      </c>
      <c r="Q52" s="1357"/>
    </row>
    <row r="53" spans="1:19" s="1314" customFormat="1" ht="13.5" customHeight="1" x14ac:dyDescent="0.2">
      <c r="A53" s="2523"/>
      <c r="B53" s="2524"/>
      <c r="C53" s="2524"/>
      <c r="D53" s="2524"/>
      <c r="E53" s="2524"/>
      <c r="F53" s="2524"/>
      <c r="G53" s="2524"/>
      <c r="H53" s="2524"/>
      <c r="I53" s="2524"/>
      <c r="J53" s="2524"/>
      <c r="K53" s="2524"/>
      <c r="L53" s="2528"/>
      <c r="M53" s="2529"/>
      <c r="N53" s="2529"/>
      <c r="O53" s="2530"/>
      <c r="P53" s="2532"/>
      <c r="Q53" s="1358"/>
    </row>
    <row r="54" spans="1:19" s="1314" customFormat="1" ht="13.5" customHeight="1" x14ac:dyDescent="0.2">
      <c r="A54" s="1359"/>
      <c r="B54" s="1360"/>
      <c r="C54" s="1360"/>
      <c r="D54" s="1360"/>
      <c r="E54" s="1360"/>
      <c r="F54" s="1360"/>
      <c r="G54" s="1360"/>
      <c r="H54" s="1360"/>
      <c r="I54" s="1360"/>
      <c r="J54" s="1361"/>
      <c r="K54" s="1360"/>
      <c r="L54" s="2515" t="s">
        <v>442</v>
      </c>
      <c r="M54" s="2516"/>
      <c r="N54" s="2516"/>
      <c r="O54" s="2517"/>
      <c r="P54" s="1362"/>
      <c r="Q54" s="1359"/>
    </row>
    <row r="55" spans="1:19" s="1314" customFormat="1" ht="13.5" customHeight="1" x14ac:dyDescent="0.2">
      <c r="A55" s="1363"/>
      <c r="B55" s="1364"/>
      <c r="C55" s="1364"/>
      <c r="D55" s="1364"/>
      <c r="E55" s="1364"/>
      <c r="F55" s="1365"/>
      <c r="G55" s="1365"/>
      <c r="H55" s="1365"/>
      <c r="I55" s="1365"/>
      <c r="J55" s="1365"/>
      <c r="K55" s="1365"/>
      <c r="L55" s="2515" t="s">
        <v>443</v>
      </c>
      <c r="M55" s="2516"/>
      <c r="N55" s="2516"/>
      <c r="O55" s="2517"/>
      <c r="P55" s="1366"/>
      <c r="Q55" s="1363"/>
    </row>
    <row r="56" spans="1:19" s="1314" customFormat="1" ht="13.5" customHeight="1" x14ac:dyDescent="0.2">
      <c r="A56" s="1363"/>
      <c r="B56" s="1364"/>
      <c r="C56" s="1364"/>
      <c r="D56" s="1364"/>
      <c r="E56" s="1364"/>
      <c r="F56" s="1365"/>
      <c r="G56" s="1365"/>
      <c r="H56" s="1365"/>
      <c r="I56" s="1365"/>
      <c r="J56" s="1365"/>
      <c r="K56" s="1365"/>
      <c r="L56" s="2515" t="s">
        <v>444</v>
      </c>
      <c r="M56" s="2516"/>
      <c r="N56" s="2516"/>
      <c r="O56" s="2517"/>
      <c r="P56" s="1366"/>
      <c r="Q56" s="1363"/>
    </row>
    <row r="57" spans="1:19" s="1314" customFormat="1" ht="13.5" customHeight="1" x14ac:dyDescent="0.2">
      <c r="A57" s="1363"/>
      <c r="B57" s="1364"/>
      <c r="C57" s="1364"/>
      <c r="D57" s="1364"/>
      <c r="E57" s="1364"/>
      <c r="F57" s="1365"/>
      <c r="G57" s="1365"/>
      <c r="H57" s="1365"/>
      <c r="I57" s="1365"/>
      <c r="J57" s="1365"/>
      <c r="K57" s="1365"/>
      <c r="L57" s="2515" t="s">
        <v>445</v>
      </c>
      <c r="M57" s="2516"/>
      <c r="N57" s="2516"/>
      <c r="O57" s="2517"/>
      <c r="P57" s="1366"/>
      <c r="Q57" s="1363"/>
    </row>
    <row r="58" spans="1:19" s="1314" customFormat="1" ht="13.5" customHeight="1" x14ac:dyDescent="0.2">
      <c r="A58" s="1363"/>
      <c r="B58" s="1364"/>
      <c r="C58" s="1364"/>
      <c r="D58" s="1364"/>
      <c r="E58" s="1364"/>
      <c r="F58" s="1365"/>
      <c r="G58" s="1365"/>
      <c r="H58" s="1365"/>
      <c r="I58" s="1365"/>
      <c r="J58" s="1365"/>
      <c r="K58" s="1365"/>
      <c r="L58" s="2515" t="s">
        <v>446</v>
      </c>
      <c r="M58" s="2516"/>
      <c r="N58" s="2516"/>
      <c r="O58" s="2517"/>
      <c r="P58" s="1366"/>
      <c r="Q58" s="1363"/>
    </row>
    <row r="59" spans="1:19" s="1314" customFormat="1" ht="13.5" customHeight="1" x14ac:dyDescent="0.2">
      <c r="A59" s="1363"/>
      <c r="B59" s="1364"/>
      <c r="C59" s="1364"/>
      <c r="D59" s="1364"/>
      <c r="E59" s="1364"/>
      <c r="F59" s="1365"/>
      <c r="G59" s="1365"/>
      <c r="H59" s="1367"/>
      <c r="I59" s="1365"/>
      <c r="J59" s="1365"/>
      <c r="K59" s="1365"/>
      <c r="L59" s="2512" t="s">
        <v>447</v>
      </c>
      <c r="M59" s="2513"/>
      <c r="N59" s="2513"/>
      <c r="O59" s="2513"/>
      <c r="P59" s="2514"/>
      <c r="Q59" s="1363"/>
    </row>
    <row r="60" spans="1:19" s="1314" customFormat="1" ht="13.5" customHeight="1" x14ac:dyDescent="0.2">
      <c r="A60" s="1363"/>
      <c r="B60" s="1364"/>
      <c r="C60" s="1364"/>
      <c r="D60" s="1364"/>
      <c r="E60" s="1364"/>
      <c r="F60" s="1365"/>
      <c r="G60" s="1365"/>
      <c r="H60" s="1365"/>
      <c r="I60" s="1365"/>
      <c r="J60" s="1365"/>
      <c r="K60" s="1365"/>
      <c r="L60" s="2500" t="s">
        <v>435</v>
      </c>
      <c r="M60" s="2501"/>
      <c r="N60" s="2501"/>
      <c r="O60" s="2502"/>
      <c r="P60" s="1366"/>
      <c r="Q60" s="1363"/>
    </row>
    <row r="61" spans="1:19" s="1314" customFormat="1" ht="13.5" customHeight="1" x14ac:dyDescent="0.2">
      <c r="A61" s="1363"/>
      <c r="B61" s="1364"/>
      <c r="C61" s="1364"/>
      <c r="D61" s="1364"/>
      <c r="E61" s="1364"/>
      <c r="F61" s="1365"/>
      <c r="G61" s="1365"/>
      <c r="H61" s="1365"/>
      <c r="I61" s="1365"/>
      <c r="J61" s="1365"/>
      <c r="K61" s="1365"/>
      <c r="L61" s="2500" t="s">
        <v>435</v>
      </c>
      <c r="M61" s="2501"/>
      <c r="N61" s="2501"/>
      <c r="O61" s="2502"/>
      <c r="P61" s="1366"/>
      <c r="Q61" s="1363"/>
    </row>
    <row r="62" spans="1:19" s="1314" customFormat="1" ht="13.5" customHeight="1" x14ac:dyDescent="0.2">
      <c r="A62" s="1363"/>
      <c r="B62" s="1364"/>
      <c r="C62" s="1364"/>
      <c r="D62" s="1364"/>
      <c r="E62" s="1364"/>
      <c r="F62" s="1365"/>
      <c r="G62" s="1365"/>
      <c r="H62" s="1365"/>
      <c r="I62" s="1365"/>
      <c r="J62" s="1365"/>
      <c r="K62" s="1365"/>
      <c r="L62" s="2500" t="s">
        <v>435</v>
      </c>
      <c r="M62" s="2501"/>
      <c r="N62" s="2501"/>
      <c r="O62" s="2502"/>
      <c r="P62" s="1366"/>
      <c r="Q62" s="1363"/>
    </row>
    <row r="63" spans="1:19" s="1314" customFormat="1" ht="13.9" customHeight="1" x14ac:dyDescent="0.2">
      <c r="A63" s="1363"/>
      <c r="B63" s="1364"/>
      <c r="C63" s="1364"/>
      <c r="D63" s="1364"/>
      <c r="E63" s="1364"/>
      <c r="F63" s="1364"/>
      <c r="G63" s="1364"/>
      <c r="H63" s="1364"/>
      <c r="I63" s="1364"/>
      <c r="J63" s="1364"/>
      <c r="K63" s="1364"/>
      <c r="L63" s="2500" t="s">
        <v>435</v>
      </c>
      <c r="M63" s="2501"/>
      <c r="N63" s="2501"/>
      <c r="O63" s="2502"/>
      <c r="P63" s="1368"/>
      <c r="Q63" s="1363"/>
    </row>
    <row r="64" spans="1:19" s="1314" customFormat="1" ht="13.5" customHeight="1" x14ac:dyDescent="0.2">
      <c r="A64" s="1363"/>
      <c r="B64" s="1364"/>
      <c r="C64" s="1364"/>
      <c r="D64" s="1364"/>
      <c r="E64" s="1365"/>
      <c r="F64" s="1364"/>
      <c r="G64" s="1364"/>
      <c r="H64" s="1364"/>
      <c r="I64" s="1364"/>
      <c r="J64" s="1364"/>
      <c r="K64" s="1364"/>
      <c r="L64" s="2500" t="s">
        <v>435</v>
      </c>
      <c r="M64" s="2501"/>
      <c r="N64" s="2501"/>
      <c r="O64" s="2502"/>
      <c r="P64" s="1368"/>
      <c r="Q64" s="1363"/>
    </row>
    <row r="65" spans="1:19" s="1314" customFormat="1" ht="13.5" customHeight="1" x14ac:dyDescent="0.2">
      <c r="A65" s="1363"/>
      <c r="B65" s="1364"/>
      <c r="C65" s="1364"/>
      <c r="D65" s="1369"/>
      <c r="E65" s="1364"/>
      <c r="F65" s="1364"/>
      <c r="G65" s="1364"/>
      <c r="H65" s="1364"/>
      <c r="I65" s="1364"/>
      <c r="J65" s="1364"/>
      <c r="K65" s="1364"/>
      <c r="L65" s="2500" t="s">
        <v>435</v>
      </c>
      <c r="M65" s="2501"/>
      <c r="N65" s="2501"/>
      <c r="O65" s="2502"/>
      <c r="P65" s="1368"/>
      <c r="Q65" s="1363"/>
    </row>
    <row r="66" spans="1:19" s="1314" customFormat="1" ht="13.5" customHeight="1" x14ac:dyDescent="0.2">
      <c r="A66" s="1363"/>
      <c r="B66" s="1364"/>
      <c r="C66" s="1369"/>
      <c r="D66" s="1369"/>
      <c r="E66" s="1364"/>
      <c r="F66" s="1364"/>
      <c r="G66" s="1364"/>
      <c r="H66" s="1370"/>
      <c r="I66" s="1370"/>
      <c r="J66" s="1370"/>
      <c r="K66" s="1370"/>
      <c r="L66" s="2500" t="s">
        <v>435</v>
      </c>
      <c r="M66" s="2501"/>
      <c r="N66" s="2501"/>
      <c r="O66" s="2502"/>
      <c r="P66" s="1368"/>
      <c r="Q66" s="1363"/>
    </row>
    <row r="67" spans="1:19" s="1314" customFormat="1" ht="13.5" customHeight="1" x14ac:dyDescent="0.2">
      <c r="A67" s="1363"/>
      <c r="B67" s="1364"/>
      <c r="C67" s="1369"/>
      <c r="D67" s="1369"/>
      <c r="E67" s="1364"/>
      <c r="F67" s="1364"/>
      <c r="G67" s="1364"/>
      <c r="H67" s="1370"/>
      <c r="I67" s="1370"/>
      <c r="J67" s="1370"/>
      <c r="K67" s="1370"/>
      <c r="L67" s="2500" t="s">
        <v>435</v>
      </c>
      <c r="M67" s="2501"/>
      <c r="N67" s="2501"/>
      <c r="O67" s="2502"/>
      <c r="P67" s="1368"/>
      <c r="Q67" s="1363"/>
    </row>
    <row r="68" spans="1:19" s="1314" customFormat="1" ht="13.5" customHeight="1" x14ac:dyDescent="0.2">
      <c r="A68" s="1371"/>
      <c r="B68" s="1372"/>
      <c r="C68" s="1372"/>
      <c r="D68" s="1372"/>
      <c r="E68" s="1373"/>
      <c r="F68" s="1373"/>
      <c r="G68" s="1373"/>
      <c r="H68" s="1374"/>
      <c r="I68" s="1374"/>
      <c r="J68" s="1374"/>
      <c r="K68" s="1374"/>
      <c r="L68" s="2500" t="s">
        <v>435</v>
      </c>
      <c r="M68" s="2501"/>
      <c r="N68" s="2501"/>
      <c r="O68" s="2502"/>
      <c r="P68" s="1375"/>
      <c r="Q68" s="1371"/>
    </row>
    <row r="69" spans="1:19" s="1314" customFormat="1" ht="17.25" customHeight="1" x14ac:dyDescent="0.25">
      <c r="A69" s="1376" t="s">
        <v>33</v>
      </c>
      <c r="B69" s="1377">
        <f t="shared" ref="B69:K69" si="7">SUM(B54:B68)</f>
        <v>0</v>
      </c>
      <c r="C69" s="1377">
        <f t="shared" si="7"/>
        <v>0</v>
      </c>
      <c r="D69" s="1377">
        <f t="shared" si="7"/>
        <v>0</v>
      </c>
      <c r="E69" s="1377">
        <f t="shared" si="7"/>
        <v>0</v>
      </c>
      <c r="F69" s="1377">
        <f t="shared" si="7"/>
        <v>0</v>
      </c>
      <c r="G69" s="1377">
        <f t="shared" si="7"/>
        <v>0</v>
      </c>
      <c r="H69" s="1377">
        <f t="shared" si="7"/>
        <v>0</v>
      </c>
      <c r="I69" s="1377">
        <f t="shared" si="7"/>
        <v>0</v>
      </c>
      <c r="J69" s="1377">
        <f t="shared" si="7"/>
        <v>0</v>
      </c>
      <c r="K69" s="1377">
        <f t="shared" si="7"/>
        <v>0</v>
      </c>
      <c r="L69" s="2503"/>
      <c r="M69" s="2504"/>
      <c r="N69" s="2504"/>
      <c r="O69" s="2505"/>
      <c r="P69" s="1378"/>
      <c r="Q69" s="1379"/>
    </row>
    <row r="70" spans="1:19" s="1314" customFormat="1" ht="17.25" customHeight="1" x14ac:dyDescent="0.2">
      <c r="A70" s="1380" t="s">
        <v>448</v>
      </c>
      <c r="B70" s="1381"/>
      <c r="C70" s="1382"/>
      <c r="D70" s="1383"/>
      <c r="E70" s="1383"/>
      <c r="F70" s="1383"/>
      <c r="G70" s="1383"/>
      <c r="H70" s="1384"/>
      <c r="I70" s="1384"/>
      <c r="J70" s="1384"/>
      <c r="Q70" s="1380"/>
    </row>
    <row r="71" spans="1:19" s="1314" customFormat="1" ht="20.25" customHeight="1" x14ac:dyDescent="0.2">
      <c r="A71" s="1352"/>
      <c r="B71" s="1352"/>
      <c r="C71" s="1353"/>
      <c r="D71" s="1353"/>
      <c r="E71" s="1385"/>
      <c r="F71" s="1385"/>
      <c r="G71" s="1385"/>
      <c r="H71" s="1385"/>
      <c r="I71" s="1386"/>
      <c r="J71" s="1386"/>
      <c r="K71" s="1386"/>
      <c r="L71" s="1386"/>
      <c r="M71" s="1387" t="s">
        <v>449</v>
      </c>
      <c r="N71" s="1388"/>
      <c r="O71" s="1389"/>
      <c r="P71" s="1390">
        <f>P12</f>
        <v>0</v>
      </c>
    </row>
    <row r="72" spans="1:19" s="1314" customFormat="1" ht="20.25" customHeight="1" x14ac:dyDescent="0.2">
      <c r="A72" s="1391" t="s">
        <v>394</v>
      </c>
      <c r="B72" s="1392"/>
      <c r="C72" s="1393"/>
      <c r="D72" s="1393"/>
      <c r="E72" s="1394"/>
      <c r="F72" s="1395"/>
      <c r="G72" s="1385"/>
      <c r="H72" s="1385"/>
      <c r="I72" s="1386"/>
      <c r="J72" s="1386"/>
      <c r="K72" s="1386"/>
      <c r="L72" s="1386"/>
      <c r="M72" s="1387" t="s">
        <v>450</v>
      </c>
      <c r="N72" s="1388"/>
      <c r="O72" s="1389"/>
      <c r="P72" s="1390">
        <f>P45</f>
        <v>0</v>
      </c>
    </row>
    <row r="73" spans="1:19" s="1314" customFormat="1" ht="18.75" customHeight="1" x14ac:dyDescent="0.25">
      <c r="A73" s="1396" t="s">
        <v>395</v>
      </c>
      <c r="B73" s="1397" t="s">
        <v>30</v>
      </c>
      <c r="C73" s="1397" t="s">
        <v>34</v>
      </c>
      <c r="D73" s="1398" t="s">
        <v>451</v>
      </c>
      <c r="E73" s="1399" t="s">
        <v>452</v>
      </c>
      <c r="G73" s="1385"/>
      <c r="H73" s="1385"/>
      <c r="I73" s="1386"/>
      <c r="J73" s="1386"/>
      <c r="K73" s="1386"/>
      <c r="L73" s="1386"/>
      <c r="M73" s="1387" t="s">
        <v>453</v>
      </c>
      <c r="N73" s="1388"/>
      <c r="O73" s="1389"/>
      <c r="P73" s="1400">
        <f>P71-P72</f>
        <v>0</v>
      </c>
      <c r="Q73" s="1386"/>
      <c r="R73" s="1386"/>
      <c r="S73" s="1386"/>
    </row>
    <row r="74" spans="1:19" s="1314" customFormat="1" ht="13.15" customHeight="1" x14ac:dyDescent="0.2">
      <c r="A74" s="1401"/>
      <c r="B74" s="1401"/>
      <c r="C74" s="1402"/>
      <c r="D74" s="1403"/>
      <c r="E74" s="1404" t="e">
        <f>(1/D74)*2</f>
        <v>#DIV/0!</v>
      </c>
      <c r="G74" s="1385"/>
      <c r="H74" s="1385"/>
      <c r="I74" s="1352"/>
      <c r="J74" s="1352"/>
      <c r="K74" s="1352"/>
      <c r="L74" s="1352"/>
      <c r="M74" s="1352"/>
      <c r="N74" s="1386"/>
      <c r="O74" s="1386"/>
      <c r="P74" s="1386"/>
      <c r="Q74" s="2499"/>
      <c r="R74" s="2499"/>
    </row>
    <row r="75" spans="1:19" s="1314" customFormat="1" ht="12.75" customHeight="1" x14ac:dyDescent="0.2">
      <c r="A75" s="1401"/>
      <c r="B75" s="1401"/>
      <c r="C75" s="1406"/>
      <c r="D75" s="1403"/>
      <c r="E75" s="1404" t="e">
        <f t="shared" ref="E75:E80" si="8">(1/D75)*2</f>
        <v>#DIV/0!</v>
      </c>
      <c r="G75" s="1385"/>
      <c r="H75" s="1385"/>
      <c r="I75" s="1386"/>
      <c r="K75" s="1386"/>
      <c r="M75" s="1387" t="s">
        <v>454</v>
      </c>
      <c r="N75" s="1389"/>
      <c r="O75" s="1391" t="s">
        <v>455</v>
      </c>
      <c r="P75" s="1407" t="s">
        <v>19</v>
      </c>
      <c r="Q75" s="1405"/>
      <c r="R75" s="1405"/>
    </row>
    <row r="76" spans="1:19" s="1314" customFormat="1" ht="13.5" customHeight="1" x14ac:dyDescent="0.2">
      <c r="A76" s="1401"/>
      <c r="B76" s="1401"/>
      <c r="C76" s="1402"/>
      <c r="D76" s="1403"/>
      <c r="E76" s="1404" t="e">
        <f t="shared" si="8"/>
        <v>#DIV/0!</v>
      </c>
      <c r="G76" s="1385"/>
      <c r="H76" s="1385"/>
      <c r="I76" s="1386"/>
      <c r="M76" s="2506"/>
      <c r="N76" s="2507"/>
      <c r="O76" s="1409"/>
      <c r="P76" s="1410">
        <f>O76*P73</f>
        <v>0</v>
      </c>
      <c r="Q76" s="1405"/>
      <c r="R76" s="1405"/>
    </row>
    <row r="77" spans="1:19" s="1314" customFormat="1" ht="13.5" customHeight="1" x14ac:dyDescent="0.2">
      <c r="A77" s="1401"/>
      <c r="B77" s="1401"/>
      <c r="C77" s="1402"/>
      <c r="D77" s="1403"/>
      <c r="E77" s="1404" t="e">
        <f t="shared" si="8"/>
        <v>#DIV/0!</v>
      </c>
      <c r="G77" s="1385"/>
      <c r="H77" s="1385"/>
      <c r="I77" s="1386"/>
      <c r="J77" s="1386"/>
      <c r="K77" s="1386"/>
      <c r="L77" s="1386"/>
      <c r="M77" s="2508"/>
      <c r="N77" s="2509"/>
      <c r="O77" s="1411"/>
      <c r="P77" s="1412">
        <f>O77*P73</f>
        <v>0</v>
      </c>
      <c r="R77" s="1405"/>
    </row>
    <row r="78" spans="1:19" s="1314" customFormat="1" ht="13.5" customHeight="1" x14ac:dyDescent="0.2">
      <c r="A78" s="1401"/>
      <c r="B78" s="1401"/>
      <c r="C78" s="1402"/>
      <c r="D78" s="1403"/>
      <c r="E78" s="1404" t="e">
        <f t="shared" si="8"/>
        <v>#DIV/0!</v>
      </c>
      <c r="G78" s="1385"/>
      <c r="H78" s="1385"/>
      <c r="I78" s="1386"/>
      <c r="J78" s="1386"/>
      <c r="M78" s="2510"/>
      <c r="N78" s="2511"/>
      <c r="O78" s="1413"/>
      <c r="P78" s="1414">
        <f>O78*P73</f>
        <v>0</v>
      </c>
      <c r="R78" s="1405"/>
    </row>
    <row r="79" spans="1:19" s="1314" customFormat="1" ht="13.5" customHeight="1" x14ac:dyDescent="0.2">
      <c r="A79" s="1401"/>
      <c r="B79" s="1401"/>
      <c r="C79" s="1402"/>
      <c r="D79" s="1403"/>
      <c r="E79" s="1404" t="e">
        <f t="shared" si="8"/>
        <v>#DIV/0!</v>
      </c>
      <c r="G79" s="1385"/>
      <c r="H79" s="1385"/>
      <c r="I79" s="1386"/>
      <c r="J79" s="1386"/>
      <c r="R79" s="1405"/>
    </row>
    <row r="80" spans="1:19" s="1314" customFormat="1" ht="13.5" customHeight="1" x14ac:dyDescent="0.2">
      <c r="A80" s="1401"/>
      <c r="B80" s="1401"/>
      <c r="C80" s="1402"/>
      <c r="D80" s="1403"/>
      <c r="E80" s="1404" t="e">
        <f t="shared" si="8"/>
        <v>#DIV/0!</v>
      </c>
      <c r="G80" s="1385"/>
      <c r="H80" s="1385"/>
      <c r="I80" s="1386"/>
      <c r="J80" s="1386"/>
      <c r="R80" s="1405"/>
    </row>
    <row r="81" spans="1:18" s="1314" customFormat="1" ht="13.5" customHeight="1" x14ac:dyDescent="0.2">
      <c r="A81" s="1385"/>
      <c r="B81" s="1385"/>
      <c r="C81" s="1415">
        <f>SUM(C74:C80)</f>
        <v>0</v>
      </c>
      <c r="D81" s="1385"/>
      <c r="E81" s="1385"/>
      <c r="G81" s="1385"/>
      <c r="H81" s="1385"/>
      <c r="I81" s="1386"/>
      <c r="J81" s="1386"/>
      <c r="R81" s="1405"/>
    </row>
    <row r="82" spans="1:18" s="1314" customFormat="1" ht="13.5" customHeight="1" x14ac:dyDescent="0.2">
      <c r="G82" s="1385"/>
      <c r="H82" s="1385"/>
      <c r="I82" s="1352"/>
      <c r="J82" s="1352"/>
      <c r="K82" s="1352"/>
      <c r="L82" s="1352"/>
      <c r="M82" s="1352"/>
      <c r="N82" s="1352"/>
      <c r="O82" s="1352"/>
      <c r="Q82" s="2499"/>
      <c r="R82" s="2499"/>
    </row>
    <row r="83" spans="1:18" s="1314" customFormat="1" ht="13.5" customHeight="1" x14ac:dyDescent="0.2">
      <c r="A83" s="1352"/>
      <c r="B83" s="1352"/>
      <c r="C83" s="1408" t="s">
        <v>456</v>
      </c>
      <c r="D83" s="1416"/>
      <c r="E83" s="1416"/>
      <c r="F83" s="1416"/>
      <c r="G83" s="1416"/>
      <c r="H83" s="1416"/>
      <c r="I83" s="1416"/>
      <c r="J83" s="1416"/>
      <c r="K83" s="1416"/>
      <c r="L83" s="1416"/>
      <c r="M83" s="1416"/>
      <c r="N83" s="1417"/>
      <c r="O83" s="1352"/>
      <c r="P83" s="1352"/>
      <c r="Q83" s="2499"/>
      <c r="R83" s="2499"/>
    </row>
    <row r="84" spans="1:18" s="1314" customFormat="1" ht="13.5" customHeight="1" x14ac:dyDescent="0.2">
      <c r="A84" s="1352"/>
      <c r="B84" s="1352"/>
      <c r="C84" s="1418"/>
      <c r="D84" s="1419"/>
      <c r="E84" s="1419"/>
      <c r="F84" s="1419"/>
      <c r="G84" s="1419"/>
      <c r="H84" s="1419"/>
      <c r="I84" s="1419"/>
      <c r="J84" s="1419"/>
      <c r="K84" s="1419"/>
      <c r="L84" s="1419"/>
      <c r="M84" s="1419"/>
      <c r="N84" s="1420"/>
      <c r="O84" s="1352"/>
      <c r="P84" s="1352"/>
      <c r="Q84" s="2499"/>
      <c r="R84" s="2499"/>
    </row>
  </sheetData>
  <sheetProtection formatCells="0" formatColumns="0" formatRows="0" insertRows="0" insertHyperlinks="0" sort="0"/>
  <mergeCells count="57">
    <mergeCell ref="A1:D1"/>
    <mergeCell ref="B3:D3"/>
    <mergeCell ref="B4:D4"/>
    <mergeCell ref="B5:D5"/>
    <mergeCell ref="A7:A8"/>
    <mergeCell ref="B7:B8"/>
    <mergeCell ref="C7:C8"/>
    <mergeCell ref="D7:D8"/>
    <mergeCell ref="P7:P8"/>
    <mergeCell ref="E7:E8"/>
    <mergeCell ref="F7:F8"/>
    <mergeCell ref="G7:G8"/>
    <mergeCell ref="H7:H8"/>
    <mergeCell ref="I7:I8"/>
    <mergeCell ref="J7:J8"/>
    <mergeCell ref="L55:O55"/>
    <mergeCell ref="Q7:Q8"/>
    <mergeCell ref="A52:A53"/>
    <mergeCell ref="B52:B53"/>
    <mergeCell ref="C52:C53"/>
    <mergeCell ref="D52:D53"/>
    <mergeCell ref="E52:E53"/>
    <mergeCell ref="F52:F53"/>
    <mergeCell ref="G52:G53"/>
    <mergeCell ref="H52:H53"/>
    <mergeCell ref="I52:I53"/>
    <mergeCell ref="K7:K8"/>
    <mergeCell ref="L7:L8"/>
    <mergeCell ref="M7:M8"/>
    <mergeCell ref="N7:N8"/>
    <mergeCell ref="O7:O8"/>
    <mergeCell ref="J52:J53"/>
    <mergeCell ref="K52:K53"/>
    <mergeCell ref="L52:O53"/>
    <mergeCell ref="P52:P53"/>
    <mergeCell ref="L54:O54"/>
    <mergeCell ref="L67:O67"/>
    <mergeCell ref="L56:O56"/>
    <mergeCell ref="L57:O57"/>
    <mergeCell ref="L58:O58"/>
    <mergeCell ref="L59:P59"/>
    <mergeCell ref="L60:O60"/>
    <mergeCell ref="L61:O61"/>
    <mergeCell ref="L62:O62"/>
    <mergeCell ref="L63:O63"/>
    <mergeCell ref="L64:O64"/>
    <mergeCell ref="L65:O65"/>
    <mergeCell ref="L66:O66"/>
    <mergeCell ref="Q82:R82"/>
    <mergeCell ref="Q83:R83"/>
    <mergeCell ref="Q84:R84"/>
    <mergeCell ref="L68:O68"/>
    <mergeCell ref="L69:O69"/>
    <mergeCell ref="Q74:R74"/>
    <mergeCell ref="M76:N76"/>
    <mergeCell ref="M77:N77"/>
    <mergeCell ref="M78:N78"/>
  </mergeCells>
  <hyperlinks>
    <hyperlink ref="A1" location="'Index and Structure'!A1" display="The Macro Group" xr:uid="{00000000-0004-0000-2100-000000000000}"/>
  </hyperlinks>
  <pageMargins left="0.43307086614173229" right="0.43307086614173229" top="0.70866141732283472" bottom="0.15748031496062992" header="0.23622047244094491" footer="0.15748031496062992"/>
  <pageSetup paperSize="9" scale="46" orientation="landscape" r:id="rId1"/>
  <headerFooter alignWithMargins="0">
    <oddFooter>&amp;LPrinted:&amp;T on &amp;D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6172">
    <pageSetUpPr fitToPage="1"/>
  </sheetPr>
  <dimension ref="A1:J116"/>
  <sheetViews>
    <sheetView showGridLines="0" view="pageBreakPreview" zoomScaleNormal="100" zoomScaleSheetLayoutView="100" workbookViewId="0">
      <selection activeCell="H19" sqref="H19"/>
    </sheetView>
  </sheetViews>
  <sheetFormatPr defaultColWidth="9.140625" defaultRowHeight="15" x14ac:dyDescent="0.25"/>
  <cols>
    <col min="1" max="1" width="11.5703125" style="19" customWidth="1"/>
    <col min="2" max="2" width="11.42578125" style="19" customWidth="1"/>
    <col min="3" max="3" width="27.7109375" style="19" customWidth="1"/>
    <col min="4" max="4" width="10.7109375" style="19" customWidth="1"/>
    <col min="5" max="5" width="13.7109375" style="19" customWidth="1"/>
    <col min="6" max="7" width="15.7109375" style="92" customWidth="1"/>
    <col min="8" max="8" width="13.7109375" style="19" customWidth="1"/>
    <col min="9" max="9" width="20.7109375" style="19" customWidth="1"/>
    <col min="10" max="11" width="10.7109375" style="19" customWidth="1"/>
    <col min="12" max="12" width="18.85546875" style="19" customWidth="1"/>
    <col min="13" max="13" width="12.140625" style="19" customWidth="1"/>
    <col min="14" max="14" width="10.7109375" style="19" customWidth="1"/>
    <col min="15" max="16384" width="9.140625" style="19"/>
  </cols>
  <sheetData>
    <row r="1" spans="1:8" ht="5.25" customHeight="1" thickBot="1" x14ac:dyDescent="0.3"/>
    <row r="2" spans="1:8" ht="19.899999999999999" customHeight="1" thickBot="1" x14ac:dyDescent="0.35">
      <c r="A2" s="2269" t="s">
        <v>44</v>
      </c>
      <c r="B2" s="2301"/>
      <c r="C2" s="2270"/>
      <c r="D2" s="21"/>
      <c r="E2" s="21"/>
      <c r="F2" s="93"/>
      <c r="G2" s="93"/>
      <c r="H2" s="20"/>
    </row>
    <row r="3" spans="1:8" ht="27" customHeight="1" x14ac:dyDescent="0.25">
      <c r="A3" s="22"/>
    </row>
    <row r="4" spans="1:8" ht="19.5" customHeight="1" x14ac:dyDescent="0.25">
      <c r="A4" s="21"/>
    </row>
    <row r="5" spans="1:8" ht="5.25" customHeight="1" x14ac:dyDescent="0.25">
      <c r="A5" s="23"/>
      <c r="B5" s="24"/>
      <c r="C5" s="25"/>
      <c r="E5" s="23"/>
      <c r="F5" s="94"/>
      <c r="G5" s="94"/>
      <c r="H5" s="25"/>
    </row>
    <row r="6" spans="1:8" ht="14.25" customHeight="1" x14ac:dyDescent="0.25">
      <c r="A6" s="77" t="s">
        <v>40</v>
      </c>
      <c r="B6" s="28" t="str">
        <f>'Index and Structure'!B2</f>
        <v>Nicolo Superannuation fund</v>
      </c>
      <c r="C6" s="29"/>
      <c r="D6" s="30"/>
      <c r="E6" s="77" t="s">
        <v>38</v>
      </c>
      <c r="F6" s="95" t="str">
        <f>'Index and Structure'!B5</f>
        <v>NICO0024</v>
      </c>
      <c r="G6" s="96"/>
      <c r="H6" s="33"/>
    </row>
    <row r="7" spans="1:8" ht="14.25" customHeight="1" x14ac:dyDescent="0.25">
      <c r="A7" s="77" t="s">
        <v>45</v>
      </c>
      <c r="B7" s="28" t="str">
        <f>'Index and Structure'!A11</f>
        <v>Tax Reconciliation - Company</v>
      </c>
      <c r="C7" s="29"/>
      <c r="D7" s="30"/>
      <c r="E7" s="89" t="s">
        <v>41</v>
      </c>
      <c r="F7" s="97" t="str">
        <f>'Index and Structure'!B6</f>
        <v>Liam Aubin</v>
      </c>
      <c r="G7" s="1862" t="s">
        <v>42</v>
      </c>
      <c r="H7" s="35"/>
    </row>
    <row r="8" spans="1:8" ht="14.25" customHeight="1" x14ac:dyDescent="0.25">
      <c r="A8" s="79" t="s">
        <v>46</v>
      </c>
      <c r="B8" s="37" t="str">
        <f>'Index and Structure'!B4</f>
        <v>30 June 2022</v>
      </c>
      <c r="C8" s="38"/>
      <c r="D8" s="30"/>
      <c r="E8" s="90" t="s">
        <v>43</v>
      </c>
      <c r="F8" s="98" t="str">
        <f>'Index and Structure'!B7</f>
        <v>Nicole Bryant</v>
      </c>
      <c r="G8" s="1863" t="s">
        <v>42</v>
      </c>
      <c r="H8" s="41"/>
    </row>
    <row r="9" spans="1:8" ht="15" customHeight="1" x14ac:dyDescent="0.25"/>
    <row r="10" spans="1:8" ht="30" customHeight="1" x14ac:dyDescent="0.25">
      <c r="A10" s="42"/>
      <c r="B10" s="43"/>
      <c r="C10" s="43"/>
      <c r="D10" s="43"/>
      <c r="E10" s="43"/>
      <c r="F10" s="99"/>
      <c r="G10" s="99"/>
      <c r="H10" s="44"/>
    </row>
    <row r="11" spans="1:8" s="45" customFormat="1" ht="13.5" customHeight="1" x14ac:dyDescent="0.2">
      <c r="A11" s="100"/>
      <c r="B11" s="101"/>
      <c r="C11" s="101"/>
      <c r="D11" s="101"/>
      <c r="E11" s="102"/>
      <c r="F11" s="103"/>
      <c r="G11" s="104"/>
      <c r="H11" s="105"/>
    </row>
    <row r="12" spans="1:8" s="45" customFormat="1" ht="13.5" customHeight="1" x14ac:dyDescent="0.2">
      <c r="A12" s="445" t="str">
        <f>B7</f>
        <v>Tax Reconciliation - Company</v>
      </c>
      <c r="C12" s="48"/>
      <c r="D12" s="48"/>
      <c r="E12" s="48"/>
      <c r="F12" s="58"/>
      <c r="G12" s="58"/>
      <c r="H12" s="71"/>
    </row>
    <row r="13" spans="1:8" s="45" customFormat="1" ht="13.5" customHeight="1" x14ac:dyDescent="0.2">
      <c r="A13" s="106"/>
      <c r="B13" s="1689" t="s">
        <v>458</v>
      </c>
      <c r="C13" s="1689"/>
      <c r="D13" s="48"/>
      <c r="E13" s="48"/>
      <c r="F13" s="107"/>
      <c r="G13" s="58"/>
      <c r="H13" s="71"/>
    </row>
    <row r="14" spans="1:8" s="45" customFormat="1" ht="13.5" customHeight="1" x14ac:dyDescent="0.2">
      <c r="A14" s="106"/>
      <c r="B14" s="1690" t="s">
        <v>646</v>
      </c>
      <c r="C14" s="1690"/>
      <c r="D14" s="49"/>
      <c r="E14" s="63"/>
      <c r="F14" s="129"/>
      <c r="G14" s="72"/>
      <c r="H14" s="108"/>
    </row>
    <row r="15" spans="1:8" s="45" customFormat="1" ht="13.5" customHeight="1" x14ac:dyDescent="0.2">
      <c r="A15" s="106"/>
      <c r="B15" s="1690"/>
      <c r="C15" s="1690"/>
      <c r="D15" s="49"/>
      <c r="E15" s="1718"/>
      <c r="F15" s="2156" t="str">
        <f>B8</f>
        <v>30 June 2022</v>
      </c>
      <c r="G15" s="2156">
        <f>EOMONTH(F15,-12)</f>
        <v>44377</v>
      </c>
      <c r="H15" s="108"/>
    </row>
    <row r="16" spans="1:8" s="45" customFormat="1" ht="36" customHeight="1" x14ac:dyDescent="0.2">
      <c r="A16" s="106"/>
      <c r="B16" s="1690"/>
      <c r="C16" s="1690"/>
      <c r="D16" s="49"/>
      <c r="E16" s="1718"/>
      <c r="F16" s="1720" t="s">
        <v>935</v>
      </c>
      <c r="G16" s="1719" t="s">
        <v>936</v>
      </c>
      <c r="H16" s="108"/>
    </row>
    <row r="17" spans="1:10" s="45" customFormat="1" ht="13.5" customHeight="1" x14ac:dyDescent="0.2">
      <c r="A17" s="1691" t="s">
        <v>789</v>
      </c>
      <c r="B17" s="110"/>
      <c r="C17" s="111"/>
      <c r="D17" s="112"/>
      <c r="E17" s="113" t="s">
        <v>50</v>
      </c>
      <c r="F17" s="2108"/>
      <c r="G17" s="2108"/>
      <c r="H17" s="115" t="s">
        <v>457</v>
      </c>
    </row>
    <row r="18" spans="1:10" s="45" customFormat="1" ht="13.5" customHeight="1" x14ac:dyDescent="0.2">
      <c r="A18" s="116"/>
      <c r="B18" s="110"/>
      <c r="C18" s="111"/>
      <c r="D18" s="112"/>
      <c r="E18" s="142"/>
      <c r="F18" s="107"/>
      <c r="G18" s="107"/>
      <c r="H18" s="117"/>
      <c r="J18" s="2154"/>
    </row>
    <row r="19" spans="1:10" s="45" customFormat="1" ht="13.5" customHeight="1" x14ac:dyDescent="0.2">
      <c r="A19" s="118" t="s">
        <v>155</v>
      </c>
      <c r="B19" s="119" t="s">
        <v>951</v>
      </c>
      <c r="C19" s="120"/>
      <c r="D19" s="112"/>
      <c r="E19" s="142"/>
      <c r="F19" s="107"/>
      <c r="G19" s="107"/>
      <c r="H19" s="117"/>
    </row>
    <row r="20" spans="1:10" s="45" customFormat="1" ht="13.5" customHeight="1" x14ac:dyDescent="0.2">
      <c r="A20" s="116"/>
      <c r="B20" s="110" t="s">
        <v>156</v>
      </c>
      <c r="C20" s="111"/>
      <c r="D20" s="112"/>
      <c r="E20" s="121"/>
      <c r="F20" s="122"/>
      <c r="G20" s="122"/>
      <c r="H20" s="117"/>
    </row>
    <row r="21" spans="1:10" s="45" customFormat="1" ht="13.5" customHeight="1" x14ac:dyDescent="0.2">
      <c r="A21" s="116"/>
      <c r="B21" s="110" t="s">
        <v>157</v>
      </c>
      <c r="C21" s="111"/>
      <c r="D21" s="112"/>
      <c r="E21" s="121"/>
      <c r="F21" s="122"/>
      <c r="G21" s="122"/>
      <c r="H21" s="117"/>
    </row>
    <row r="22" spans="1:10" s="45" customFormat="1" ht="13.5" customHeight="1" x14ac:dyDescent="0.2">
      <c r="A22" s="116"/>
      <c r="B22" s="110" t="s">
        <v>31</v>
      </c>
      <c r="C22" s="111"/>
      <c r="D22" s="112"/>
      <c r="E22" s="121"/>
      <c r="F22" s="122"/>
      <c r="G22" s="122"/>
      <c r="H22" s="117"/>
    </row>
    <row r="23" spans="1:10" s="45" customFormat="1" ht="13.5" customHeight="1" x14ac:dyDescent="0.2">
      <c r="A23" s="116"/>
      <c r="B23" s="110" t="s">
        <v>89</v>
      </c>
      <c r="C23" s="111"/>
      <c r="D23" s="112"/>
      <c r="E23" s="121"/>
      <c r="F23" s="122"/>
      <c r="G23" s="122"/>
      <c r="H23" s="117"/>
    </row>
    <row r="24" spans="1:10" s="45" customFormat="1" ht="13.5" customHeight="1" x14ac:dyDescent="0.2">
      <c r="A24" s="116"/>
      <c r="B24" s="110" t="s">
        <v>158</v>
      </c>
      <c r="C24" s="111"/>
      <c r="D24" s="112"/>
      <c r="E24" s="121"/>
      <c r="F24" s="122"/>
      <c r="G24" s="122"/>
      <c r="H24" s="117"/>
    </row>
    <row r="25" spans="1:10" s="45" customFormat="1" ht="13.5" customHeight="1" x14ac:dyDescent="0.2">
      <c r="A25" s="116"/>
      <c r="B25" s="110" t="s">
        <v>986</v>
      </c>
      <c r="C25" s="111"/>
      <c r="D25" s="112"/>
      <c r="E25" s="121"/>
      <c r="F25" s="122"/>
      <c r="G25" s="122"/>
      <c r="H25" s="117"/>
    </row>
    <row r="26" spans="1:10" s="45" customFormat="1" ht="13.5" customHeight="1" x14ac:dyDescent="0.2">
      <c r="A26" s="116"/>
      <c r="B26" s="110" t="s">
        <v>985</v>
      </c>
      <c r="C26" s="111"/>
      <c r="D26" s="112"/>
      <c r="E26" s="121"/>
      <c r="F26" s="122"/>
      <c r="G26" s="122"/>
      <c r="H26" s="117"/>
    </row>
    <row r="27" spans="1:10" s="45" customFormat="1" ht="13.5" customHeight="1" x14ac:dyDescent="0.2">
      <c r="A27" s="116"/>
      <c r="B27" s="110" t="s">
        <v>990</v>
      </c>
      <c r="C27" s="111"/>
      <c r="D27" s="112"/>
      <c r="E27" s="121"/>
      <c r="F27" s="122"/>
      <c r="G27" s="122"/>
      <c r="H27" s="117"/>
    </row>
    <row r="28" spans="1:10" s="45" customFormat="1" ht="13.5" customHeight="1" x14ac:dyDescent="0.2">
      <c r="A28" s="116"/>
      <c r="B28" s="110" t="s">
        <v>952</v>
      </c>
      <c r="C28" s="111"/>
      <c r="D28" s="112"/>
      <c r="E28" s="121"/>
      <c r="F28" s="122"/>
      <c r="G28" s="122"/>
      <c r="H28" s="117"/>
    </row>
    <row r="29" spans="1:10" s="45" customFormat="1" ht="13.5" customHeight="1" x14ac:dyDescent="0.2">
      <c r="A29" s="116"/>
      <c r="B29" s="110" t="s">
        <v>953</v>
      </c>
      <c r="C29" s="111"/>
      <c r="D29" s="112"/>
      <c r="E29" s="121"/>
      <c r="F29" s="122"/>
      <c r="G29" s="122"/>
      <c r="H29" s="117"/>
    </row>
    <row r="30" spans="1:10" s="45" customFormat="1" ht="13.5" customHeight="1" x14ac:dyDescent="0.2">
      <c r="A30" s="116"/>
      <c r="B30" s="2095" t="s">
        <v>943</v>
      </c>
      <c r="C30" s="111"/>
      <c r="D30" s="112"/>
      <c r="E30" s="121"/>
      <c r="F30" s="122"/>
      <c r="G30" s="122"/>
      <c r="H30" s="117"/>
    </row>
    <row r="31" spans="1:10" s="45" customFormat="1" ht="13.5" customHeight="1" x14ac:dyDescent="0.2">
      <c r="A31" s="116"/>
      <c r="B31" s="110" t="s">
        <v>955</v>
      </c>
      <c r="C31" s="111"/>
      <c r="D31" s="112"/>
      <c r="E31" s="121"/>
      <c r="F31" s="122"/>
      <c r="G31" s="122"/>
      <c r="H31" s="117"/>
    </row>
    <row r="32" spans="1:10" s="45" customFormat="1" ht="13.5" customHeight="1" x14ac:dyDescent="0.2">
      <c r="A32" s="116"/>
      <c r="B32" s="2095" t="s">
        <v>956</v>
      </c>
      <c r="C32" s="111"/>
      <c r="D32" s="112"/>
      <c r="E32" s="121"/>
      <c r="F32" s="122"/>
      <c r="G32" s="122"/>
      <c r="H32" s="117"/>
    </row>
    <row r="33" spans="1:8" s="45" customFormat="1" ht="13.5" customHeight="1" x14ac:dyDescent="0.2">
      <c r="A33" s="116"/>
      <c r="B33" s="110" t="s">
        <v>976</v>
      </c>
      <c r="C33" s="111"/>
      <c r="D33" s="112"/>
      <c r="E33" s="121"/>
      <c r="F33" s="122"/>
      <c r="G33" s="122"/>
      <c r="H33" s="117"/>
    </row>
    <row r="34" spans="1:8" s="45" customFormat="1" ht="13.5" customHeight="1" x14ac:dyDescent="0.2">
      <c r="A34" s="116"/>
      <c r="B34" s="110" t="s">
        <v>977</v>
      </c>
      <c r="C34" s="111"/>
      <c r="D34" s="112"/>
      <c r="E34" s="121"/>
      <c r="F34" s="122"/>
      <c r="G34" s="122"/>
      <c r="H34" s="117"/>
    </row>
    <row r="35" spans="1:8" s="45" customFormat="1" ht="13.5" customHeight="1" x14ac:dyDescent="0.2">
      <c r="A35" s="116"/>
      <c r="B35" s="110" t="s">
        <v>980</v>
      </c>
      <c r="C35" s="111"/>
      <c r="D35" s="112"/>
      <c r="E35" s="121"/>
      <c r="F35" s="122"/>
      <c r="G35" s="122"/>
      <c r="H35" s="117"/>
    </row>
    <row r="36" spans="1:8" s="45" customFormat="1" ht="13.5" customHeight="1" x14ac:dyDescent="0.2">
      <c r="A36" s="116"/>
      <c r="B36" s="110" t="s">
        <v>163</v>
      </c>
      <c r="C36" s="111"/>
      <c r="D36" s="112"/>
      <c r="E36" s="121"/>
      <c r="F36" s="122"/>
      <c r="G36" s="122"/>
      <c r="H36" s="117"/>
    </row>
    <row r="37" spans="1:8" s="45" customFormat="1" ht="13.5" customHeight="1" x14ac:dyDescent="0.2">
      <c r="A37" s="116"/>
      <c r="B37" s="929" t="s">
        <v>975</v>
      </c>
      <c r="C37" s="111"/>
      <c r="D37" s="112"/>
      <c r="E37" s="121"/>
      <c r="F37" s="122"/>
      <c r="G37" s="122"/>
      <c r="H37" s="117"/>
    </row>
    <row r="38" spans="1:8" s="45" customFormat="1" ht="13.5" customHeight="1" x14ac:dyDescent="0.2">
      <c r="A38" s="116"/>
      <c r="B38" s="110" t="s">
        <v>1009</v>
      </c>
      <c r="C38" s="111"/>
      <c r="D38" s="112"/>
      <c r="E38" s="121"/>
      <c r="F38" s="122"/>
      <c r="G38" s="122"/>
      <c r="H38" s="117"/>
    </row>
    <row r="39" spans="1:8" s="45" customFormat="1" ht="13.5" customHeight="1" x14ac:dyDescent="0.2">
      <c r="A39" s="116"/>
      <c r="B39" s="110" t="s">
        <v>988</v>
      </c>
      <c r="C39" s="111"/>
      <c r="D39" s="112"/>
      <c r="E39" s="121"/>
      <c r="F39" s="2107"/>
      <c r="G39" s="2107"/>
      <c r="H39" s="117"/>
    </row>
    <row r="40" spans="1:8" s="45" customFormat="1" ht="13.5" customHeight="1" x14ac:dyDescent="0.2">
      <c r="A40" s="116"/>
      <c r="B40" s="110"/>
      <c r="C40" s="111"/>
      <c r="D40" s="112"/>
      <c r="E40" s="142"/>
      <c r="F40" s="123">
        <f>SUM(F20:F39)</f>
        <v>0</v>
      </c>
      <c r="G40" s="123">
        <f>SUM(G20:G39)</f>
        <v>0</v>
      </c>
      <c r="H40" s="117"/>
    </row>
    <row r="41" spans="1:8" s="45" customFormat="1" ht="13.5" customHeight="1" x14ac:dyDescent="0.2">
      <c r="A41" s="116"/>
      <c r="B41" s="119" t="s">
        <v>949</v>
      </c>
      <c r="C41" s="111"/>
      <c r="D41" s="112"/>
      <c r="E41" s="142"/>
      <c r="F41" s="107"/>
      <c r="G41" s="107"/>
      <c r="H41" s="117"/>
    </row>
    <row r="42" spans="1:8" s="45" customFormat="1" ht="13.5" customHeight="1" x14ac:dyDescent="0.2">
      <c r="A42" s="116"/>
      <c r="B42" s="110" t="s">
        <v>1013</v>
      </c>
      <c r="C42" s="111"/>
      <c r="D42" s="112"/>
      <c r="E42" s="121"/>
      <c r="F42" s="122"/>
      <c r="G42" s="122"/>
      <c r="H42" s="117"/>
    </row>
    <row r="43" spans="1:8" s="45" customFormat="1" ht="13.5" customHeight="1" x14ac:dyDescent="0.2">
      <c r="A43" s="116"/>
      <c r="B43" s="110" t="s">
        <v>972</v>
      </c>
      <c r="C43" s="111"/>
      <c r="D43" s="112"/>
      <c r="E43" s="121"/>
      <c r="F43" s="122"/>
      <c r="G43" s="122"/>
      <c r="H43" s="117"/>
    </row>
    <row r="44" spans="1:8" s="45" customFormat="1" ht="13.5" customHeight="1" x14ac:dyDescent="0.2">
      <c r="A44" s="116"/>
      <c r="B44" s="110" t="s">
        <v>950</v>
      </c>
      <c r="C44" s="111"/>
      <c r="D44" s="112"/>
      <c r="E44" s="121"/>
      <c r="F44" s="122"/>
      <c r="G44" s="122"/>
      <c r="H44" s="117"/>
    </row>
    <row r="45" spans="1:8" s="45" customFormat="1" ht="13.5" customHeight="1" x14ac:dyDescent="0.2">
      <c r="A45" s="116"/>
      <c r="B45" s="2095" t="s">
        <v>943</v>
      </c>
      <c r="C45" s="111"/>
      <c r="D45" s="112"/>
      <c r="E45" s="121"/>
      <c r="F45" s="122"/>
      <c r="G45" s="122"/>
      <c r="H45" s="117"/>
    </row>
    <row r="46" spans="1:8" s="45" customFormat="1" ht="13.5" customHeight="1" x14ac:dyDescent="0.2">
      <c r="A46" s="116"/>
      <c r="B46" s="110" t="s">
        <v>164</v>
      </c>
      <c r="C46" s="111"/>
      <c r="D46" s="112"/>
      <c r="E46" s="121"/>
      <c r="F46" s="122"/>
      <c r="G46" s="122"/>
      <c r="H46" s="117"/>
    </row>
    <row r="47" spans="1:8" s="45" customFormat="1" ht="13.5" customHeight="1" x14ac:dyDescent="0.2">
      <c r="A47" s="116"/>
      <c r="B47" s="110" t="s">
        <v>165</v>
      </c>
      <c r="C47" s="111"/>
      <c r="D47" s="112"/>
      <c r="E47" s="121"/>
      <c r="F47" s="122"/>
      <c r="G47" s="122"/>
      <c r="H47" s="117"/>
    </row>
    <row r="48" spans="1:8" s="45" customFormat="1" ht="13.5" customHeight="1" x14ac:dyDescent="0.2">
      <c r="A48" s="116"/>
      <c r="B48" s="110" t="s">
        <v>166</v>
      </c>
      <c r="C48" s="111"/>
      <c r="D48" s="112"/>
      <c r="E48" s="121"/>
      <c r="F48" s="122"/>
      <c r="G48" s="122"/>
      <c r="H48" s="117"/>
    </row>
    <row r="49" spans="1:8" s="45" customFormat="1" ht="13.5" customHeight="1" x14ac:dyDescent="0.2">
      <c r="A49" s="116"/>
      <c r="B49" s="110" t="s">
        <v>1014</v>
      </c>
      <c r="C49" s="111"/>
      <c r="D49" s="112"/>
      <c r="E49" s="121"/>
      <c r="F49" s="122"/>
      <c r="G49" s="122"/>
      <c r="H49" s="117"/>
    </row>
    <row r="50" spans="1:8" s="45" customFormat="1" ht="13.5" customHeight="1" x14ac:dyDescent="0.2">
      <c r="A50" s="116"/>
      <c r="B50" s="110" t="s">
        <v>1009</v>
      </c>
      <c r="C50" s="111"/>
      <c r="D50" s="112"/>
      <c r="E50" s="121"/>
      <c r="F50" s="122"/>
      <c r="G50" s="122"/>
      <c r="H50" s="117"/>
    </row>
    <row r="51" spans="1:8" s="45" customFormat="1" ht="13.5" customHeight="1" x14ac:dyDescent="0.2">
      <c r="A51" s="116"/>
      <c r="B51" s="110" t="s">
        <v>988</v>
      </c>
      <c r="C51" s="111"/>
      <c r="D51" s="112"/>
      <c r="E51" s="121"/>
      <c r="F51" s="122"/>
      <c r="G51" s="122"/>
      <c r="H51" s="117"/>
    </row>
    <row r="52" spans="1:8" s="45" customFormat="1" ht="13.5" customHeight="1" x14ac:dyDescent="0.2">
      <c r="A52" s="116"/>
      <c r="B52" s="110"/>
      <c r="C52" s="111"/>
      <c r="D52" s="112"/>
      <c r="E52" s="142"/>
      <c r="F52" s="123">
        <f>SUM(F42:F51)</f>
        <v>0</v>
      </c>
      <c r="G52" s="123">
        <f>SUM(G42:G51)</f>
        <v>0</v>
      </c>
      <c r="H52" s="117"/>
    </row>
    <row r="53" spans="1:8" s="45" customFormat="1" ht="13.5" customHeight="1" x14ac:dyDescent="0.2">
      <c r="A53" s="118" t="s">
        <v>152</v>
      </c>
      <c r="B53" s="119" t="s">
        <v>942</v>
      </c>
      <c r="C53" s="111"/>
      <c r="D53" s="112"/>
      <c r="E53" s="142"/>
      <c r="F53" s="107"/>
      <c r="G53" s="107"/>
      <c r="H53" s="117"/>
    </row>
    <row r="54" spans="1:8" s="45" customFormat="1" ht="13.5" customHeight="1" x14ac:dyDescent="0.2">
      <c r="A54" s="116"/>
      <c r="B54" s="110" t="s">
        <v>167</v>
      </c>
      <c r="C54" s="111"/>
      <c r="D54" s="112"/>
      <c r="E54" s="121"/>
      <c r="F54" s="122"/>
      <c r="G54" s="122"/>
      <c r="H54" s="117"/>
    </row>
    <row r="55" spans="1:8" s="45" customFormat="1" ht="13.5" customHeight="1" x14ac:dyDescent="0.2">
      <c r="A55" s="116"/>
      <c r="B55" s="110" t="s">
        <v>954</v>
      </c>
      <c r="C55" s="111"/>
      <c r="D55" s="112"/>
      <c r="E55" s="121"/>
      <c r="F55" s="122"/>
      <c r="G55" s="122"/>
      <c r="H55" s="117"/>
    </row>
    <row r="56" spans="1:8" s="45" customFormat="1" ht="13.5" customHeight="1" x14ac:dyDescent="0.2">
      <c r="A56" s="116"/>
      <c r="B56" s="2095" t="s">
        <v>943</v>
      </c>
      <c r="C56" s="111"/>
      <c r="D56" s="112"/>
      <c r="E56" s="121"/>
      <c r="F56" s="122"/>
      <c r="G56" s="122"/>
      <c r="H56" s="117"/>
    </row>
    <row r="57" spans="1:8" s="45" customFormat="1" ht="13.5" customHeight="1" x14ac:dyDescent="0.2">
      <c r="A57" s="116"/>
      <c r="B57" s="110" t="s">
        <v>957</v>
      </c>
      <c r="C57" s="111"/>
      <c r="D57" s="112"/>
      <c r="E57" s="121"/>
      <c r="F57" s="122"/>
      <c r="G57" s="122"/>
      <c r="H57" s="117"/>
    </row>
    <row r="58" spans="1:8" s="45" customFormat="1" ht="13.5" customHeight="1" x14ac:dyDescent="0.2">
      <c r="A58" s="116"/>
      <c r="B58" s="2095" t="s">
        <v>1012</v>
      </c>
      <c r="C58" s="111"/>
      <c r="D58" s="112"/>
      <c r="E58" s="121"/>
      <c r="F58" s="122"/>
      <c r="G58" s="122"/>
      <c r="H58" s="117"/>
    </row>
    <row r="59" spans="1:8" s="45" customFormat="1" ht="13.5" customHeight="1" x14ac:dyDescent="0.2">
      <c r="A59" s="116"/>
      <c r="B59" s="110" t="s">
        <v>978</v>
      </c>
      <c r="C59" s="111"/>
      <c r="D59" s="112"/>
      <c r="E59" s="121"/>
      <c r="F59" s="122"/>
      <c r="G59" s="122"/>
      <c r="H59" s="117"/>
    </row>
    <row r="60" spans="1:8" s="45" customFormat="1" ht="13.5" customHeight="1" x14ac:dyDescent="0.2">
      <c r="A60" s="116"/>
      <c r="B60" s="110" t="s">
        <v>979</v>
      </c>
      <c r="C60" s="111"/>
      <c r="D60" s="112"/>
      <c r="E60" s="121"/>
      <c r="F60" s="122"/>
      <c r="G60" s="122"/>
      <c r="H60" s="117"/>
    </row>
    <row r="61" spans="1:8" s="45" customFormat="1" ht="13.5" customHeight="1" x14ac:dyDescent="0.2">
      <c r="A61" s="116"/>
      <c r="B61" s="110" t="s">
        <v>981</v>
      </c>
      <c r="C61" s="111"/>
      <c r="D61" s="112"/>
      <c r="E61" s="121"/>
      <c r="F61" s="122"/>
      <c r="G61" s="122"/>
      <c r="H61" s="117"/>
    </row>
    <row r="62" spans="1:8" s="45" customFormat="1" ht="13.5" customHeight="1" x14ac:dyDescent="0.2">
      <c r="A62" s="116"/>
      <c r="B62" s="110" t="s">
        <v>941</v>
      </c>
      <c r="C62" s="111"/>
      <c r="D62" s="112"/>
      <c r="E62" s="121"/>
      <c r="F62" s="122"/>
      <c r="G62" s="122"/>
      <c r="H62" s="117"/>
    </row>
    <row r="63" spans="1:8" s="45" customFormat="1" ht="13.5" customHeight="1" x14ac:dyDescent="0.2">
      <c r="A63" s="116"/>
      <c r="B63" s="110" t="s">
        <v>1010</v>
      </c>
      <c r="C63" s="111"/>
      <c r="D63" s="112"/>
      <c r="E63" s="121"/>
      <c r="F63" s="122"/>
      <c r="G63" s="122"/>
      <c r="H63" s="117"/>
    </row>
    <row r="64" spans="1:8" s="45" customFormat="1" ht="13.5" customHeight="1" x14ac:dyDescent="0.2">
      <c r="A64" s="116"/>
      <c r="B64" s="110" t="s">
        <v>1011</v>
      </c>
      <c r="C64" s="111"/>
      <c r="D64" s="112"/>
      <c r="E64" s="121"/>
      <c r="F64" s="122"/>
      <c r="G64" s="122"/>
      <c r="H64" s="117"/>
    </row>
    <row r="65" spans="1:8" s="45" customFormat="1" ht="13.5" customHeight="1" x14ac:dyDescent="0.2">
      <c r="A65" s="116"/>
      <c r="B65" s="110" t="s">
        <v>1009</v>
      </c>
      <c r="C65" s="111"/>
      <c r="D65" s="112"/>
      <c r="E65" s="121"/>
      <c r="F65" s="122"/>
      <c r="G65" s="122"/>
      <c r="H65" s="117"/>
    </row>
    <row r="66" spans="1:8" s="45" customFormat="1" ht="13.5" customHeight="1" x14ac:dyDescent="0.2">
      <c r="A66" s="116"/>
      <c r="B66" s="110" t="s">
        <v>988</v>
      </c>
      <c r="C66" s="111"/>
      <c r="D66" s="112"/>
      <c r="E66" s="121"/>
      <c r="F66" s="2107"/>
      <c r="G66" s="2107"/>
      <c r="H66" s="117"/>
    </row>
    <row r="67" spans="1:8" s="45" customFormat="1" ht="13.5" customHeight="1" x14ac:dyDescent="0.2">
      <c r="A67" s="116"/>
      <c r="B67" s="110"/>
      <c r="C67" s="111"/>
      <c r="D67" s="112"/>
      <c r="E67" s="142"/>
      <c r="F67" s="123">
        <f>-SUM(F54:F66)</f>
        <v>0</v>
      </c>
      <c r="G67" s="123">
        <f>-SUM(G54:G66)</f>
        <v>0</v>
      </c>
      <c r="H67" s="117"/>
    </row>
    <row r="68" spans="1:8" s="45" customFormat="1" ht="13.5" customHeight="1" x14ac:dyDescent="0.2">
      <c r="A68" s="116"/>
      <c r="B68" s="119" t="s">
        <v>948</v>
      </c>
      <c r="C68" s="124"/>
      <c r="D68" s="112"/>
      <c r="E68" s="142"/>
      <c r="F68" s="58"/>
      <c r="G68" s="58"/>
      <c r="H68" s="125"/>
    </row>
    <row r="69" spans="1:8" s="45" customFormat="1" ht="13.5" customHeight="1" x14ac:dyDescent="0.2">
      <c r="A69" s="116"/>
      <c r="B69" s="110" t="s">
        <v>944</v>
      </c>
      <c r="C69" s="110"/>
      <c r="D69" s="112"/>
      <c r="E69" s="143"/>
      <c r="F69" s="114"/>
      <c r="G69" s="114"/>
      <c r="H69" s="125"/>
    </row>
    <row r="70" spans="1:8" s="45" customFormat="1" ht="13.5" customHeight="1" x14ac:dyDescent="0.2">
      <c r="A70" s="116"/>
      <c r="B70" s="2095" t="s">
        <v>943</v>
      </c>
      <c r="C70" s="110"/>
      <c r="D70" s="112"/>
      <c r="E70" s="1904"/>
      <c r="F70" s="114"/>
      <c r="G70" s="114"/>
      <c r="H70" s="125"/>
    </row>
    <row r="71" spans="1:8" s="45" customFormat="1" ht="13.5" customHeight="1" x14ac:dyDescent="0.2">
      <c r="A71" s="116"/>
      <c r="B71" s="110" t="s">
        <v>803</v>
      </c>
      <c r="C71" s="110"/>
      <c r="D71" s="112"/>
      <c r="E71" s="1904"/>
      <c r="F71" s="114"/>
      <c r="G71" s="114"/>
      <c r="H71" s="125"/>
    </row>
    <row r="72" spans="1:8" s="45" customFormat="1" ht="13.5" customHeight="1" x14ac:dyDescent="0.2">
      <c r="A72" s="116"/>
      <c r="B72" s="110" t="s">
        <v>983</v>
      </c>
      <c r="C72" s="110"/>
      <c r="D72" s="112"/>
      <c r="E72" s="1904"/>
      <c r="F72" s="114"/>
      <c r="G72" s="114"/>
      <c r="H72" s="125"/>
    </row>
    <row r="73" spans="1:8" s="45" customFormat="1" ht="13.5" customHeight="1" x14ac:dyDescent="0.2">
      <c r="A73" s="116"/>
      <c r="B73" s="2095" t="s">
        <v>984</v>
      </c>
      <c r="C73" s="110"/>
      <c r="D73" s="112"/>
      <c r="E73" s="1904"/>
      <c r="F73" s="114"/>
      <c r="G73" s="114"/>
      <c r="H73" s="125"/>
    </row>
    <row r="74" spans="1:8" s="45" customFormat="1" ht="13.5" customHeight="1" x14ac:dyDescent="0.2">
      <c r="A74" s="116"/>
      <c r="B74" s="124" t="s">
        <v>937</v>
      </c>
      <c r="C74" s="111"/>
      <c r="D74" s="112"/>
      <c r="E74" s="144"/>
      <c r="F74" s="114"/>
      <c r="G74" s="114"/>
      <c r="H74" s="125"/>
    </row>
    <row r="75" spans="1:8" s="45" customFormat="1" ht="13.5" customHeight="1" x14ac:dyDescent="0.2">
      <c r="A75" s="116"/>
      <c r="B75" s="124" t="s">
        <v>964</v>
      </c>
      <c r="C75" s="111"/>
      <c r="D75" s="112"/>
      <c r="E75" s="144"/>
      <c r="F75" s="114"/>
      <c r="G75" s="114"/>
      <c r="H75" s="2146" t="s">
        <v>982</v>
      </c>
    </row>
    <row r="76" spans="1:8" s="45" customFormat="1" ht="13.5" customHeight="1" x14ac:dyDescent="0.2">
      <c r="A76" s="116"/>
      <c r="B76" s="110" t="s">
        <v>938</v>
      </c>
      <c r="C76" s="110"/>
      <c r="D76" s="126"/>
      <c r="E76" s="142"/>
      <c r="F76" s="114"/>
      <c r="G76" s="114"/>
      <c r="H76" s="125"/>
    </row>
    <row r="77" spans="1:8" s="45" customFormat="1" ht="13.5" customHeight="1" x14ac:dyDescent="0.2">
      <c r="A77" s="116"/>
      <c r="B77" s="124" t="s">
        <v>939</v>
      </c>
      <c r="C77" s="124"/>
      <c r="D77" s="126"/>
      <c r="E77" s="142"/>
      <c r="F77" s="114"/>
      <c r="G77" s="114"/>
      <c r="H77" s="125"/>
    </row>
    <row r="78" spans="1:8" s="45" customFormat="1" ht="13.5" customHeight="1" x14ac:dyDescent="0.2">
      <c r="A78" s="116"/>
      <c r="B78" s="110" t="s">
        <v>940</v>
      </c>
      <c r="C78" s="124"/>
      <c r="D78" s="126"/>
      <c r="E78" s="121"/>
      <c r="F78" s="114"/>
      <c r="G78" s="114"/>
      <c r="H78" s="125"/>
    </row>
    <row r="79" spans="1:8" s="45" customFormat="1" ht="13.5" customHeight="1" x14ac:dyDescent="0.2">
      <c r="A79" s="59"/>
      <c r="B79" s="110" t="s">
        <v>1009</v>
      </c>
      <c r="C79" s="124"/>
      <c r="D79" s="126"/>
      <c r="E79" s="142"/>
      <c r="F79" s="114"/>
      <c r="G79" s="114"/>
      <c r="H79" s="125"/>
    </row>
    <row r="80" spans="1:8" s="45" customFormat="1" ht="13.5" customHeight="1" x14ac:dyDescent="0.2">
      <c r="A80" s="59"/>
      <c r="B80" s="110" t="s">
        <v>988</v>
      </c>
      <c r="C80" s="124"/>
      <c r="D80" s="126"/>
      <c r="E80" s="143"/>
      <c r="F80" s="2145"/>
      <c r="G80" s="2145"/>
      <c r="H80" s="125"/>
    </row>
    <row r="81" spans="1:8" s="45" customFormat="1" ht="13.5" customHeight="1" x14ac:dyDescent="0.2">
      <c r="A81" s="59"/>
      <c r="B81" s="110"/>
      <c r="C81" s="124"/>
      <c r="D81" s="126"/>
      <c r="E81" s="143"/>
      <c r="F81" s="127">
        <f>-SUM(F69:F80)</f>
        <v>0</v>
      </c>
      <c r="G81" s="127">
        <f>-SUM(G69:G80)</f>
        <v>0</v>
      </c>
      <c r="H81" s="125"/>
    </row>
    <row r="82" spans="1:8" s="45" customFormat="1" ht="13.5" customHeight="1" x14ac:dyDescent="0.2">
      <c r="A82" s="1691" t="s">
        <v>168</v>
      </c>
      <c r="B82" s="110"/>
      <c r="C82" s="124"/>
      <c r="D82" s="126"/>
      <c r="E82" s="143"/>
      <c r="F82" s="128">
        <f>F17+F40+F52+F67+F81</f>
        <v>0</v>
      </c>
      <c r="G82" s="128">
        <f>G17+G40+G52+G67+G81</f>
        <v>0</v>
      </c>
      <c r="H82" s="125"/>
    </row>
    <row r="83" spans="1:8" s="45" customFormat="1" ht="13.5" customHeight="1" x14ac:dyDescent="0.2">
      <c r="A83" s="59"/>
      <c r="B83" s="110"/>
      <c r="C83" s="124"/>
      <c r="D83" s="126"/>
      <c r="E83" s="143"/>
      <c r="F83" s="129"/>
      <c r="G83" s="129"/>
      <c r="H83" s="125"/>
    </row>
    <row r="84" spans="1:8" s="45" customFormat="1" ht="13.5" customHeight="1" x14ac:dyDescent="0.2">
      <c r="A84" s="2094" t="s">
        <v>152</v>
      </c>
      <c r="B84" s="110" t="s">
        <v>932</v>
      </c>
      <c r="C84" s="124"/>
      <c r="D84" s="126"/>
      <c r="E84" s="143"/>
      <c r="F84" s="130"/>
      <c r="G84" s="130"/>
      <c r="H84" s="125"/>
    </row>
    <row r="85" spans="1:8" s="45" customFormat="1" ht="13.5" customHeight="1" x14ac:dyDescent="0.2">
      <c r="A85" s="59"/>
      <c r="B85" s="110"/>
      <c r="C85" s="124"/>
      <c r="D85" s="126"/>
      <c r="E85" s="143"/>
      <c r="F85" s="129"/>
      <c r="G85" s="129"/>
      <c r="H85" s="125"/>
    </row>
    <row r="86" spans="1:8" s="45" customFormat="1" ht="13.5" customHeight="1" x14ac:dyDescent="0.2">
      <c r="A86" s="1691" t="s">
        <v>160</v>
      </c>
      <c r="B86" s="110"/>
      <c r="C86" s="124"/>
      <c r="D86" s="126"/>
      <c r="E86" s="143"/>
      <c r="F86" s="128">
        <f>SUM(F82:F85)</f>
        <v>0</v>
      </c>
      <c r="G86" s="128">
        <f>SUM(G82:G85)</f>
        <v>0</v>
      </c>
      <c r="H86" s="125"/>
    </row>
    <row r="87" spans="1:8" s="45" customFormat="1" ht="13.5" customHeight="1" x14ac:dyDescent="0.2">
      <c r="A87" s="59"/>
      <c r="B87" s="110"/>
      <c r="C87" s="124"/>
      <c r="D87" s="126"/>
      <c r="E87" s="112"/>
      <c r="F87" s="72"/>
      <c r="G87" s="72"/>
      <c r="H87" s="125"/>
    </row>
    <row r="88" spans="1:8" s="45" customFormat="1" ht="13.5" customHeight="1" x14ac:dyDescent="0.2">
      <c r="A88" s="59"/>
      <c r="B88" s="134" t="s">
        <v>161</v>
      </c>
      <c r="C88" s="124"/>
      <c r="D88" s="1688" t="s">
        <v>1017</v>
      </c>
      <c r="E88" s="1923">
        <v>0.25</v>
      </c>
      <c r="F88" s="128">
        <f>IF(F86&gt;0,E88*F86,0)</f>
        <v>0</v>
      </c>
      <c r="G88" s="128">
        <f>IF(G86&gt;0,E89*G86,0)</f>
        <v>0</v>
      </c>
      <c r="H88" s="125"/>
    </row>
    <row r="89" spans="1:8" s="45" customFormat="1" ht="13.5" customHeight="1" x14ac:dyDescent="0.2">
      <c r="A89" s="59"/>
      <c r="B89" s="134"/>
      <c r="C89" s="2165"/>
      <c r="D89" s="1688" t="s">
        <v>1018</v>
      </c>
      <c r="E89" s="1923">
        <v>0.26</v>
      </c>
      <c r="F89" s="2166"/>
      <c r="G89" s="2166"/>
      <c r="H89" s="125"/>
    </row>
    <row r="90" spans="1:8" s="45" customFormat="1" ht="13.5" customHeight="1" x14ac:dyDescent="0.2">
      <c r="A90" s="59"/>
      <c r="B90" s="134"/>
      <c r="C90" s="124"/>
      <c r="D90" s="1688"/>
      <c r="E90" s="1916" t="s">
        <v>812</v>
      </c>
      <c r="F90" s="1915"/>
      <c r="G90" s="1915"/>
      <c r="H90" s="125"/>
    </row>
    <row r="91" spans="1:8" s="45" customFormat="1" ht="13.5" customHeight="1" x14ac:dyDescent="0.2">
      <c r="A91" s="2094" t="s">
        <v>152</v>
      </c>
      <c r="B91" s="110" t="s">
        <v>989</v>
      </c>
      <c r="C91" s="124"/>
      <c r="D91" s="126"/>
      <c r="E91" s="131"/>
      <c r="F91" s="130"/>
      <c r="G91" s="130"/>
      <c r="H91" s="125"/>
    </row>
    <row r="92" spans="1:8" s="45" customFormat="1" ht="13.5" customHeight="1" x14ac:dyDescent="0.2">
      <c r="A92" s="2094" t="s">
        <v>152</v>
      </c>
      <c r="B92" s="110" t="s">
        <v>972</v>
      </c>
      <c r="C92" s="124"/>
      <c r="D92" s="126"/>
      <c r="E92" s="2093"/>
      <c r="F92" s="130"/>
      <c r="G92" s="130"/>
      <c r="H92" s="125"/>
    </row>
    <row r="93" spans="1:8" s="45" customFormat="1" ht="13.5" customHeight="1" x14ac:dyDescent="0.2">
      <c r="A93" s="2094" t="s">
        <v>152</v>
      </c>
      <c r="B93" s="110" t="s">
        <v>973</v>
      </c>
      <c r="C93" s="124"/>
      <c r="D93" s="126"/>
      <c r="E93" s="2093"/>
      <c r="F93" s="130"/>
      <c r="G93" s="130"/>
      <c r="H93" s="125"/>
    </row>
    <row r="94" spans="1:8" s="45" customFormat="1" ht="13.5" customHeight="1" x14ac:dyDescent="0.2">
      <c r="A94" s="2094" t="s">
        <v>152</v>
      </c>
      <c r="B94" s="110" t="s">
        <v>974</v>
      </c>
      <c r="C94" s="124"/>
      <c r="D94" s="126"/>
      <c r="E94" s="2093"/>
      <c r="F94" s="130"/>
      <c r="G94" s="130"/>
      <c r="H94" s="125"/>
    </row>
    <row r="95" spans="1:8" s="45" customFormat="1" ht="13.5" customHeight="1" x14ac:dyDescent="0.2">
      <c r="A95" s="2094" t="s">
        <v>152</v>
      </c>
      <c r="B95" s="110" t="s">
        <v>934</v>
      </c>
      <c r="C95" s="124"/>
      <c r="D95" s="126"/>
      <c r="E95" s="2093"/>
      <c r="F95" s="130">
        <f>SUM('Loss Carry Back Tax Offset '!E59:G59)</f>
        <v>0</v>
      </c>
      <c r="G95" s="130"/>
      <c r="H95" s="125"/>
    </row>
    <row r="96" spans="1:8" s="45" customFormat="1" ht="13.5" customHeight="1" x14ac:dyDescent="0.2">
      <c r="A96" s="59"/>
      <c r="B96" s="134" t="s">
        <v>788</v>
      </c>
      <c r="C96" s="124"/>
      <c r="D96" s="126"/>
      <c r="E96" s="136" t="s">
        <v>963</v>
      </c>
      <c r="F96" s="128">
        <f>F88-SUM(F91:F95)</f>
        <v>0</v>
      </c>
      <c r="G96" s="128">
        <f>G88-SUM(G91:G95)</f>
        <v>0</v>
      </c>
      <c r="H96" s="125"/>
    </row>
    <row r="97" spans="1:8" s="45" customFormat="1" ht="13.5" customHeight="1" x14ac:dyDescent="0.2">
      <c r="A97" s="59"/>
      <c r="B97" s="110"/>
      <c r="C97" s="124"/>
      <c r="D97" s="126"/>
      <c r="E97" s="131"/>
      <c r="F97" s="1421"/>
      <c r="G97" s="1421"/>
      <c r="H97" s="125"/>
    </row>
    <row r="98" spans="1:8" s="45" customFormat="1" ht="13.5" customHeight="1" x14ac:dyDescent="0.2">
      <c r="A98" s="2094" t="s">
        <v>152</v>
      </c>
      <c r="B98" s="110" t="s">
        <v>933</v>
      </c>
      <c r="C98" s="124"/>
      <c r="D98" s="126"/>
      <c r="E98" s="131"/>
      <c r="F98" s="130"/>
      <c r="G98" s="130"/>
      <c r="H98" s="125"/>
    </row>
    <row r="99" spans="1:8" s="45" customFormat="1" ht="13.5" customHeight="1" x14ac:dyDescent="0.2">
      <c r="A99" s="59"/>
      <c r="B99" s="124"/>
      <c r="C99" s="110"/>
      <c r="D99" s="126"/>
      <c r="E99" s="131"/>
      <c r="F99" s="132"/>
      <c r="G99" s="132"/>
      <c r="H99" s="125"/>
    </row>
    <row r="100" spans="1:8" s="45" customFormat="1" ht="13.5" customHeight="1" x14ac:dyDescent="0.2">
      <c r="A100" s="59"/>
      <c r="B100" s="110"/>
      <c r="C100" s="110"/>
      <c r="D100" s="126"/>
      <c r="E100" s="126"/>
      <c r="F100" s="133"/>
      <c r="G100" s="133"/>
      <c r="H100" s="125"/>
    </row>
    <row r="101" spans="1:8" s="45" customFormat="1" ht="13.5" customHeight="1" x14ac:dyDescent="0.2">
      <c r="A101" s="59"/>
      <c r="B101" s="134" t="s">
        <v>162</v>
      </c>
      <c r="C101" s="134"/>
      <c r="D101" s="126"/>
      <c r="E101" s="126"/>
      <c r="F101" s="1914">
        <f>SUM(F96:F98)</f>
        <v>0</v>
      </c>
      <c r="G101" s="1914">
        <f>SUM(G96:G98)</f>
        <v>0</v>
      </c>
      <c r="H101" s="125"/>
    </row>
    <row r="102" spans="1:8" s="45" customFormat="1" ht="13.5" customHeight="1" x14ac:dyDescent="0.2">
      <c r="A102" s="59"/>
      <c r="B102" s="110"/>
      <c r="C102" s="110"/>
      <c r="D102" s="126"/>
      <c r="E102" s="126"/>
      <c r="F102" s="133"/>
      <c r="G102" s="133"/>
      <c r="H102" s="125"/>
    </row>
    <row r="103" spans="1:8" s="45" customFormat="1" ht="13.5" customHeight="1" x14ac:dyDescent="0.2">
      <c r="A103" s="59"/>
      <c r="B103" s="2142"/>
      <c r="C103" s="2142"/>
      <c r="D103" s="170"/>
      <c r="E103" s="170"/>
      <c r="F103" s="135"/>
      <c r="G103" s="133"/>
      <c r="H103" s="125"/>
    </row>
    <row r="104" spans="1:8" s="45" customFormat="1" ht="13.5" customHeight="1" x14ac:dyDescent="0.2">
      <c r="A104" s="1691" t="s">
        <v>965</v>
      </c>
      <c r="B104" s="2142"/>
      <c r="C104" s="2142"/>
      <c r="D104" s="170"/>
      <c r="E104" s="170"/>
      <c r="F104" s="135"/>
      <c r="G104" s="133"/>
      <c r="H104" s="125"/>
    </row>
    <row r="105" spans="1:8" s="45" customFormat="1" ht="13.5" customHeight="1" x14ac:dyDescent="0.2">
      <c r="A105" s="59"/>
      <c r="B105" s="2142"/>
      <c r="C105" s="2143" t="s">
        <v>966</v>
      </c>
      <c r="D105" s="170"/>
      <c r="E105" s="170"/>
      <c r="F105" s="114"/>
      <c r="G105" s="133"/>
      <c r="H105" s="125"/>
    </row>
    <row r="106" spans="1:8" s="45" customFormat="1" ht="13.5" customHeight="1" x14ac:dyDescent="0.2">
      <c r="A106" s="59"/>
      <c r="B106" s="2144" t="s">
        <v>65</v>
      </c>
      <c r="C106" s="2142" t="s">
        <v>967</v>
      </c>
      <c r="D106" s="170"/>
      <c r="E106" s="170"/>
      <c r="F106" s="114">
        <f>IF(F82&gt;0,0,-F82)</f>
        <v>0</v>
      </c>
      <c r="G106" s="133"/>
      <c r="H106" s="125"/>
    </row>
    <row r="107" spans="1:8" s="45" customFormat="1" ht="48" customHeight="1" x14ac:dyDescent="0.2">
      <c r="A107" s="59"/>
      <c r="B107" s="2144" t="s">
        <v>65</v>
      </c>
      <c r="C107" s="2324" t="s">
        <v>968</v>
      </c>
      <c r="D107" s="2325"/>
      <c r="E107" s="2326"/>
      <c r="F107" s="114"/>
      <c r="G107" s="133"/>
      <c r="H107" s="125"/>
    </row>
    <row r="108" spans="1:8" s="45" customFormat="1" ht="13.5" customHeight="1" x14ac:dyDescent="0.2">
      <c r="A108" s="59"/>
      <c r="B108" s="2144" t="s">
        <v>51</v>
      </c>
      <c r="C108" s="2142" t="s">
        <v>969</v>
      </c>
      <c r="D108" s="170"/>
      <c r="E108" s="170"/>
      <c r="F108" s="114">
        <f>F84</f>
        <v>0</v>
      </c>
      <c r="G108" s="133"/>
      <c r="H108" s="125"/>
    </row>
    <row r="109" spans="1:8" s="45" customFormat="1" ht="13.5" customHeight="1" x14ac:dyDescent="0.2">
      <c r="A109" s="59"/>
      <c r="B109" s="2144" t="s">
        <v>51</v>
      </c>
      <c r="C109" s="2142" t="s">
        <v>970</v>
      </c>
      <c r="D109" s="170"/>
      <c r="E109" s="170"/>
      <c r="F109" s="114">
        <f>'Loss Carry Back Tax Offset '!E59/'Loss Carry Back Tax Offset '!E56+'Loss Carry Back Tax Offset '!F59/'Loss Carry Back Tax Offset '!F56</f>
        <v>0</v>
      </c>
      <c r="G109" s="133"/>
      <c r="H109" s="125"/>
    </row>
    <row r="110" spans="1:8" s="45" customFormat="1" ht="13.5" customHeight="1" x14ac:dyDescent="0.2">
      <c r="A110" s="59"/>
      <c r="B110" s="2144"/>
      <c r="C110" s="2143" t="s">
        <v>971</v>
      </c>
      <c r="D110" s="170"/>
      <c r="E110" s="170"/>
      <c r="F110" s="1914">
        <f>SUM(F105:F107)-SUM(F108:F109)</f>
        <v>0</v>
      </c>
      <c r="G110" s="133"/>
      <c r="H110" s="125"/>
    </row>
    <row r="111" spans="1:8" s="45" customFormat="1" ht="13.5" customHeight="1" x14ac:dyDescent="0.2">
      <c r="A111" s="59"/>
      <c r="B111" s="2142"/>
      <c r="C111" s="2142"/>
      <c r="D111" s="170"/>
      <c r="E111" s="170"/>
      <c r="F111" s="135"/>
      <c r="G111" s="133"/>
      <c r="H111" s="125"/>
    </row>
    <row r="112" spans="1:8" s="45" customFormat="1" ht="13.5" customHeight="1" x14ac:dyDescent="0.2">
      <c r="A112" s="106"/>
      <c r="B112" s="63"/>
      <c r="C112" s="60"/>
      <c r="D112" s="63"/>
      <c r="E112" s="63"/>
      <c r="F112" s="135"/>
      <c r="G112" s="58"/>
      <c r="H112" s="55"/>
    </row>
    <row r="113" spans="1:8" s="45" customFormat="1" ht="13.5" customHeight="1" x14ac:dyDescent="0.2">
      <c r="A113" s="106"/>
      <c r="B113" s="2318" t="s">
        <v>387</v>
      </c>
      <c r="C113" s="2319"/>
      <c r="D113" s="2319"/>
      <c r="E113" s="2319"/>
      <c r="F113" s="2319"/>
      <c r="G113" s="2320"/>
      <c r="H113" s="55"/>
    </row>
    <row r="114" spans="1:8" s="45" customFormat="1" ht="13.5" customHeight="1" x14ac:dyDescent="0.2">
      <c r="A114" s="106"/>
      <c r="B114" s="2321"/>
      <c r="C114" s="2322"/>
      <c r="D114" s="2322"/>
      <c r="E114" s="2322"/>
      <c r="F114" s="2322"/>
      <c r="G114" s="2323"/>
      <c r="H114" s="55"/>
    </row>
    <row r="115" spans="1:8" s="45" customFormat="1" ht="13.5" customHeight="1" x14ac:dyDescent="0.2">
      <c r="A115" s="138"/>
      <c r="B115" s="139"/>
      <c r="C115" s="139"/>
      <c r="D115" s="139"/>
      <c r="E115" s="139"/>
      <c r="F115" s="140"/>
      <c r="G115" s="140"/>
      <c r="H115" s="54"/>
    </row>
    <row r="116" spans="1:8" x14ac:dyDescent="0.25">
      <c r="A116" s="79"/>
      <c r="B116" s="81"/>
      <c r="C116" s="81"/>
      <c r="D116" s="81"/>
      <c r="E116" s="81"/>
      <c r="F116" s="141"/>
      <c r="G116" s="141"/>
      <c r="H116" s="84"/>
    </row>
  </sheetData>
  <dataConsolidate/>
  <customSheetViews>
    <customSheetView guid="{F72FE543-F911-423C-A34B-9CA018DFE603}" showPageBreaks="1" showGridLines="0" fitToPage="1" printArea="1" view="pageBreakPreview" topLeftCell="A31">
      <selection activeCell="F67" sqref="F67"/>
      <rowBreaks count="1" manualBreakCount="1">
        <brk id="72" max="7" man="1"/>
      </rowBreaks>
      <pageMargins left="0.74803149606299213" right="0.39370078740157483" top="0.55118110236220474" bottom="0.62992125984251968" header="0.51181102362204722" footer="0.47244094488188981"/>
      <pageSetup paperSize="9" scale="60" orientation="portrait" r:id="rId1"/>
      <headerFooter alignWithMargins="0">
        <oddFooter>&amp;LPrinted:&amp;T on &amp;D</oddFooter>
      </headerFooter>
    </customSheetView>
  </customSheetViews>
  <mergeCells count="3">
    <mergeCell ref="A2:C2"/>
    <mergeCell ref="B113:G114"/>
    <mergeCell ref="C107:E107"/>
  </mergeCells>
  <dataValidations disablePrompts="1" count="2">
    <dataValidation type="list" allowBlank="1" showInputMessage="1" showErrorMessage="1" sqref="E88" xr:uid="{00000000-0002-0000-0100-000000000000}">
      <formula1>"25%,30%"</formula1>
    </dataValidation>
    <dataValidation type="list" allowBlank="1" showInputMessage="1" showErrorMessage="1" sqref="E89" xr:uid="{2934611B-1F74-449A-927C-F4CB7657F4FA}">
      <formula1>"26%,30%"</formula1>
    </dataValidation>
  </dataValidations>
  <hyperlinks>
    <hyperlink ref="A2" location="'Index and Structure'!A1" display="The Macro Group" xr:uid="{00000000-0004-0000-0100-000000000000}"/>
    <hyperlink ref="H75" r:id="rId2" xr:uid="{EA63BA9C-9591-4588-8613-4491BE1812CC}"/>
  </hyperlinks>
  <pageMargins left="0.74803149606299213" right="0.39370078740157483" top="0.55118110236220474" bottom="0.62992125984251968" header="0.51181102362204722" footer="0.47244094488188981"/>
  <pageSetup paperSize="9" scale="35" orientation="portrait" r:id="rId3"/>
  <headerFooter alignWithMargins="0">
    <oddFooter>&amp;LPrinted:&amp;T on &amp;D</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139"/>
  <dimension ref="A1:H48"/>
  <sheetViews>
    <sheetView showGridLines="0" view="pageBreakPreview" zoomScaleNormal="100" zoomScaleSheetLayoutView="100" workbookViewId="0">
      <selection activeCell="P13" sqref="P13"/>
    </sheetView>
  </sheetViews>
  <sheetFormatPr defaultColWidth="9.140625" defaultRowHeight="15" x14ac:dyDescent="0.25"/>
  <cols>
    <col min="1" max="1" width="13.140625" style="19" customWidth="1"/>
    <col min="2" max="3" width="11.42578125" style="19" customWidth="1"/>
    <col min="4" max="4" width="7.28515625" style="19" customWidth="1"/>
    <col min="5" max="5" width="15.5703125" style="19" customWidth="1"/>
    <col min="6" max="6" width="19.140625" style="19" customWidth="1"/>
    <col min="7" max="7" width="14" style="28" customWidth="1"/>
    <col min="8" max="8" width="13.14062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E2" s="21"/>
      <c r="F2" s="21"/>
      <c r="G2" s="520"/>
      <c r="H2" s="20"/>
    </row>
    <row r="3" spans="1:8" ht="27" customHeight="1" x14ac:dyDescent="0.25">
      <c r="A3" s="22"/>
    </row>
    <row r="4" spans="1:8" ht="19.5" customHeight="1" x14ac:dyDescent="0.25">
      <c r="A4" s="21"/>
    </row>
    <row r="5" spans="1:8" ht="5.25" customHeight="1" x14ac:dyDescent="0.25">
      <c r="A5" s="23"/>
      <c r="B5" s="24"/>
      <c r="C5" s="25"/>
      <c r="E5" s="23"/>
      <c r="F5" s="24"/>
      <c r="G5" s="74"/>
      <c r="H5" s="25"/>
    </row>
    <row r="6" spans="1:8" ht="14.25" customHeight="1" x14ac:dyDescent="0.25">
      <c r="A6" s="26" t="s">
        <v>40</v>
      </c>
      <c r="B6" s="28" t="str">
        <f>'Index and Structure'!B2</f>
        <v>Nicolo Superannuation fund</v>
      </c>
      <c r="C6" s="29"/>
      <c r="D6" s="30"/>
      <c r="E6" s="31" t="s">
        <v>38</v>
      </c>
      <c r="F6" s="32" t="str">
        <f>'Index and Structure'!B5</f>
        <v>NICO0024</v>
      </c>
      <c r="H6" s="33"/>
    </row>
    <row r="7" spans="1:8" ht="14.25" customHeight="1" x14ac:dyDescent="0.25">
      <c r="A7" s="26" t="s">
        <v>45</v>
      </c>
      <c r="B7" s="28" t="str">
        <f>'Index and Structure'!A38</f>
        <v>Other Income</v>
      </c>
      <c r="C7" s="29"/>
      <c r="D7" s="30"/>
      <c r="E7" s="34" t="s">
        <v>41</v>
      </c>
      <c r="F7" s="28" t="str">
        <f>'Index and Structure'!B6</f>
        <v>Liam Aubin</v>
      </c>
      <c r="G7" s="490" t="s">
        <v>42</v>
      </c>
      <c r="H7" s="35"/>
    </row>
    <row r="8" spans="1:8" ht="14.25" customHeight="1" x14ac:dyDescent="0.25">
      <c r="A8" s="36" t="s">
        <v>46</v>
      </c>
      <c r="B8" s="37" t="str">
        <f>'Index and Structure'!B4</f>
        <v>30 June 2022</v>
      </c>
      <c r="C8" s="38"/>
      <c r="D8" s="30"/>
      <c r="E8" s="39" t="s">
        <v>43</v>
      </c>
      <c r="F8" s="40" t="str">
        <f>'Index and Structure'!B7</f>
        <v>Nicole Bryant</v>
      </c>
      <c r="G8" s="491" t="s">
        <v>42</v>
      </c>
      <c r="H8" s="41"/>
    </row>
    <row r="9" spans="1:8" ht="9.75" customHeight="1" x14ac:dyDescent="0.25"/>
    <row r="10" spans="1:8" ht="30" customHeight="1" x14ac:dyDescent="0.25">
      <c r="A10" s="42"/>
      <c r="B10" s="43"/>
      <c r="C10" s="43"/>
      <c r="D10" s="43"/>
      <c r="E10" s="43"/>
      <c r="F10" s="342">
        <f>'Index and Structure'!D4</f>
        <v>2022</v>
      </c>
      <c r="G10" s="492"/>
      <c r="H10" s="44"/>
    </row>
    <row r="11" spans="1:8" s="45" customFormat="1" ht="13.5" customHeight="1" x14ac:dyDescent="0.2">
      <c r="A11" s="100"/>
      <c r="B11" s="101"/>
      <c r="C11" s="101"/>
      <c r="D11" s="101"/>
      <c r="E11" s="102"/>
      <c r="F11" s="101"/>
      <c r="G11" s="710"/>
      <c r="H11" s="105"/>
    </row>
    <row r="12" spans="1:8" s="45" customFormat="1" ht="13.5" customHeight="1" thickBot="1" x14ac:dyDescent="0.25">
      <c r="A12" s="1266" t="str">
        <f>B7</f>
        <v>Other Income</v>
      </c>
      <c r="B12" s="1263"/>
      <c r="C12" s="165"/>
      <c r="D12" s="165"/>
      <c r="E12" s="165"/>
      <c r="F12" s="198">
        <f>F32</f>
        <v>0</v>
      </c>
      <c r="G12" s="240"/>
      <c r="H12" s="196"/>
    </row>
    <row r="13" spans="1:8" s="45" customFormat="1" ht="13.5" customHeight="1" thickTop="1" x14ac:dyDescent="0.2">
      <c r="A13" s="197"/>
      <c r="B13" s="165"/>
      <c r="C13" s="165"/>
      <c r="D13" s="165"/>
      <c r="E13" s="165"/>
      <c r="F13" s="200"/>
      <c r="G13" s="240"/>
      <c r="H13" s="196"/>
    </row>
    <row r="14" spans="1:8" s="45" customFormat="1" ht="13.5" customHeight="1" x14ac:dyDescent="0.2">
      <c r="A14" s="197"/>
      <c r="B14" s="165"/>
      <c r="C14" s="201"/>
      <c r="D14" s="202"/>
      <c r="E14" s="165"/>
      <c r="F14" s="199"/>
      <c r="G14" s="240"/>
      <c r="H14" s="86"/>
    </row>
    <row r="15" spans="1:8" s="45" customFormat="1" ht="13.5" customHeight="1" x14ac:dyDescent="0.2">
      <c r="A15" s="197"/>
      <c r="C15" s="165"/>
      <c r="D15" s="202"/>
      <c r="E15" s="202"/>
      <c r="F15" s="199"/>
      <c r="G15" s="240"/>
      <c r="H15" s="86"/>
    </row>
    <row r="16" spans="1:8" s="45" customFormat="1" ht="13.5" customHeight="1" x14ac:dyDescent="0.2">
      <c r="A16" s="197"/>
      <c r="B16" s="165"/>
      <c r="C16" s="165"/>
      <c r="D16" s="202"/>
      <c r="E16" s="186"/>
      <c r="F16" s="199"/>
      <c r="G16" s="498" t="s">
        <v>50</v>
      </c>
      <c r="H16" s="86"/>
    </row>
    <row r="17" spans="1:8" s="45" customFormat="1" ht="13.5" customHeight="1" x14ac:dyDescent="0.2">
      <c r="A17" s="717"/>
      <c r="B17" s="712"/>
      <c r="C17" s="712"/>
      <c r="D17" s="718"/>
      <c r="E17" s="719"/>
      <c r="F17" s="1544"/>
      <c r="G17" s="498"/>
      <c r="H17" s="86"/>
    </row>
    <row r="18" spans="1:8" s="45" customFormat="1" ht="13.5" customHeight="1" x14ac:dyDescent="0.2">
      <c r="A18" s="720"/>
      <c r="B18" s="712"/>
      <c r="C18" s="712"/>
      <c r="D18" s="712"/>
      <c r="E18" s="712"/>
      <c r="F18" s="1544"/>
      <c r="G18" s="498"/>
      <c r="H18" s="86"/>
    </row>
    <row r="19" spans="1:8" s="45" customFormat="1" ht="13.5" customHeight="1" x14ac:dyDescent="0.2">
      <c r="A19" s="721"/>
      <c r="B19" s="712"/>
      <c r="C19" s="712"/>
      <c r="D19" s="712"/>
      <c r="E19" s="712"/>
      <c r="F19" s="1544"/>
      <c r="G19" s="498"/>
      <c r="H19" s="86"/>
    </row>
    <row r="20" spans="1:8" s="45" customFormat="1" ht="13.5" customHeight="1" x14ac:dyDescent="0.2">
      <c r="A20" s="721"/>
      <c r="B20" s="712"/>
      <c r="C20" s="712"/>
      <c r="D20" s="712"/>
      <c r="E20" s="712"/>
      <c r="F20" s="1544"/>
      <c r="G20" s="498"/>
      <c r="H20" s="86"/>
    </row>
    <row r="21" spans="1:8" s="45" customFormat="1" ht="13.5" customHeight="1" x14ac:dyDescent="0.2">
      <c r="A21" s="721"/>
      <c r="B21" s="712"/>
      <c r="C21" s="712"/>
      <c r="D21" s="712"/>
      <c r="E21" s="712"/>
      <c r="F21" s="1544"/>
      <c r="G21" s="498"/>
      <c r="H21" s="86"/>
    </row>
    <row r="22" spans="1:8" s="45" customFormat="1" ht="13.5" customHeight="1" x14ac:dyDescent="0.2">
      <c r="A22" s="721"/>
      <c r="B22" s="712"/>
      <c r="C22" s="712"/>
      <c r="D22" s="712"/>
      <c r="E22" s="712"/>
      <c r="F22" s="1544"/>
      <c r="G22" s="498"/>
      <c r="H22" s="86"/>
    </row>
    <row r="23" spans="1:8" s="45" customFormat="1" ht="13.5" customHeight="1" x14ac:dyDescent="0.2">
      <c r="A23" s="721"/>
      <c r="B23" s="712"/>
      <c r="C23" s="712"/>
      <c r="D23" s="712"/>
      <c r="E23" s="712"/>
      <c r="F23" s="1544"/>
      <c r="G23" s="498"/>
      <c r="H23" s="86"/>
    </row>
    <row r="24" spans="1:8" s="45" customFormat="1" ht="13.5" customHeight="1" x14ac:dyDescent="0.2">
      <c r="A24" s="721"/>
      <c r="B24" s="712"/>
      <c r="C24" s="712"/>
      <c r="D24" s="712"/>
      <c r="E24" s="712"/>
      <c r="F24" s="1544"/>
      <c r="G24" s="498"/>
      <c r="H24" s="86"/>
    </row>
    <row r="25" spans="1:8" s="45" customFormat="1" ht="13.5" customHeight="1" x14ac:dyDescent="0.2">
      <c r="A25" s="945"/>
      <c r="B25" s="712"/>
      <c r="C25" s="722"/>
      <c r="D25" s="722"/>
      <c r="E25" s="722"/>
      <c r="F25" s="1544"/>
      <c r="G25" s="946"/>
      <c r="H25" s="346"/>
    </row>
    <row r="26" spans="1:8" s="45" customFormat="1" ht="13.5" customHeight="1" x14ac:dyDescent="0.2">
      <c r="A26" s="717"/>
      <c r="B26" s="712"/>
      <c r="C26" s="722"/>
      <c r="D26" s="722"/>
      <c r="E26" s="722"/>
      <c r="F26" s="1545"/>
      <c r="G26" s="498"/>
      <c r="H26" s="346"/>
    </row>
    <row r="27" spans="1:8" s="45" customFormat="1" ht="13.5" customHeight="1" x14ac:dyDescent="0.2">
      <c r="A27" s="717"/>
      <c r="B27" s="712"/>
      <c r="C27" s="722"/>
      <c r="D27" s="722"/>
      <c r="E27" s="722"/>
      <c r="F27" s="1545"/>
      <c r="G27" s="498"/>
      <c r="H27" s="346"/>
    </row>
    <row r="28" spans="1:8" s="45" customFormat="1" ht="13.5" customHeight="1" x14ac:dyDescent="0.2">
      <c r="A28" s="717"/>
      <c r="B28" s="712"/>
      <c r="C28" s="722"/>
      <c r="D28" s="722"/>
      <c r="E28" s="722"/>
      <c r="F28" s="1545"/>
      <c r="G28" s="498"/>
      <c r="H28" s="346"/>
    </row>
    <row r="29" spans="1:8" s="45" customFormat="1" ht="13.5" customHeight="1" x14ac:dyDescent="0.2">
      <c r="A29" s="717"/>
      <c r="B29" s="712"/>
      <c r="C29" s="722"/>
      <c r="D29" s="722"/>
      <c r="E29" s="722"/>
      <c r="F29" s="1545"/>
      <c r="G29" s="498"/>
      <c r="H29" s="346"/>
    </row>
    <row r="30" spans="1:8" s="45" customFormat="1" ht="12.75" customHeight="1" x14ac:dyDescent="0.2">
      <c r="A30" s="717"/>
      <c r="B30" s="712"/>
      <c r="C30" s="722"/>
      <c r="D30" s="722"/>
      <c r="E30" s="722"/>
      <c r="F30" s="1545"/>
      <c r="G30" s="498"/>
      <c r="H30" s="346"/>
    </row>
    <row r="31" spans="1:8" s="45" customFormat="1" ht="12.75" customHeight="1" x14ac:dyDescent="0.2">
      <c r="A31" s="197"/>
      <c r="B31" s="165"/>
      <c r="C31" s="165"/>
      <c r="D31" s="165"/>
      <c r="E31" s="186"/>
      <c r="F31" s="215"/>
      <c r="G31" s="498"/>
      <c r="H31" s="346"/>
    </row>
    <row r="32" spans="1:8" s="45" customFormat="1" ht="13.5" customHeight="1" thickBot="1" x14ac:dyDescent="0.25">
      <c r="A32" s="197"/>
      <c r="B32" s="165"/>
      <c r="C32" s="165"/>
      <c r="D32" s="165"/>
      <c r="E32" s="186"/>
      <c r="F32" s="216">
        <f>SUM(F17:F30)</f>
        <v>0</v>
      </c>
      <c r="G32" s="498"/>
      <c r="H32" s="86"/>
    </row>
    <row r="33" spans="1:8" s="45" customFormat="1" ht="13.5" customHeight="1" thickTop="1" x14ac:dyDescent="0.2">
      <c r="A33" s="197"/>
      <c r="B33" s="165"/>
      <c r="C33" s="165"/>
      <c r="D33" s="165"/>
      <c r="E33" s="165"/>
      <c r="F33" s="204"/>
      <c r="G33" s="240"/>
      <c r="H33" s="86"/>
    </row>
    <row r="34" spans="1:8" s="45" customFormat="1" ht="13.5" customHeight="1" x14ac:dyDescent="0.2">
      <c r="A34" s="197"/>
      <c r="B34" s="165"/>
      <c r="C34" s="165"/>
      <c r="D34" s="165"/>
      <c r="E34" s="165"/>
      <c r="F34" s="204"/>
      <c r="G34" s="240"/>
      <c r="H34" s="86"/>
    </row>
    <row r="35" spans="1:8" s="45" customFormat="1" ht="13.5" customHeight="1" x14ac:dyDescent="0.2">
      <c r="A35" s="197"/>
      <c r="B35" s="165"/>
      <c r="C35" s="165"/>
      <c r="D35" s="165"/>
      <c r="E35" s="165"/>
      <c r="F35" s="204"/>
      <c r="G35" s="240"/>
      <c r="H35" s="217"/>
    </row>
    <row r="36" spans="1:8" s="45" customFormat="1" ht="13.5" customHeight="1" x14ac:dyDescent="0.2">
      <c r="A36" s="197"/>
      <c r="B36" s="168"/>
      <c r="C36" s="168"/>
      <c r="D36" s="168"/>
      <c r="E36" s="168"/>
      <c r="F36" s="218"/>
      <c r="G36" s="240"/>
      <c r="H36" s="217"/>
    </row>
    <row r="37" spans="1:8" s="45" customFormat="1" ht="13.5" customHeight="1" x14ac:dyDescent="0.2">
      <c r="A37" s="197"/>
      <c r="B37" s="168"/>
      <c r="C37" s="168"/>
      <c r="D37" s="168"/>
      <c r="E37" s="168"/>
      <c r="F37" s="218"/>
      <c r="G37" s="240"/>
      <c r="H37" s="217"/>
    </row>
    <row r="38" spans="1:8" s="45" customFormat="1" ht="13.5" customHeight="1" x14ac:dyDescent="0.2">
      <c r="A38" s="197"/>
      <c r="B38" s="168"/>
      <c r="C38" s="168"/>
      <c r="D38" s="168"/>
      <c r="E38" s="168"/>
      <c r="F38" s="218"/>
      <c r="G38" s="240"/>
      <c r="H38" s="217"/>
    </row>
    <row r="39" spans="1:8" s="45" customFormat="1" ht="13.5" customHeight="1" x14ac:dyDescent="0.2">
      <c r="A39" s="197"/>
      <c r="B39" s="168"/>
      <c r="C39" s="168"/>
      <c r="D39" s="168"/>
      <c r="E39" s="168"/>
      <c r="F39" s="218"/>
      <c r="G39" s="240"/>
      <c r="H39" s="217"/>
    </row>
    <row r="40" spans="1:8" s="45" customFormat="1" ht="13.5" customHeight="1" x14ac:dyDescent="0.2">
      <c r="A40" s="197"/>
      <c r="B40" s="168"/>
      <c r="C40" s="168"/>
      <c r="D40" s="168"/>
      <c r="E40" s="168"/>
      <c r="F40" s="218"/>
      <c r="G40" s="240"/>
      <c r="H40" s="217"/>
    </row>
    <row r="41" spans="1:8" s="45" customFormat="1" ht="13.5" customHeight="1" x14ac:dyDescent="0.2">
      <c r="A41" s="197"/>
      <c r="B41" s="168"/>
      <c r="C41" s="168"/>
      <c r="D41" s="168"/>
      <c r="E41" s="168"/>
      <c r="F41" s="218"/>
      <c r="G41" s="240"/>
      <c r="H41" s="217"/>
    </row>
    <row r="42" spans="1:8" s="45" customFormat="1" ht="13.5" customHeight="1" x14ac:dyDescent="0.2">
      <c r="A42" s="197"/>
      <c r="B42" s="168"/>
      <c r="C42" s="168"/>
      <c r="D42" s="168"/>
      <c r="E42" s="168"/>
      <c r="F42" s="218"/>
      <c r="G42" s="240"/>
      <c r="H42" s="217"/>
    </row>
    <row r="43" spans="1:8" s="45" customFormat="1" ht="13.5" customHeight="1" x14ac:dyDescent="0.2">
      <c r="A43" s="197"/>
      <c r="B43" s="168"/>
      <c r="C43" s="168"/>
      <c r="D43" s="168"/>
      <c r="E43" s="168"/>
      <c r="F43" s="218"/>
      <c r="G43" s="240"/>
      <c r="H43" s="217"/>
    </row>
    <row r="44" spans="1:8" s="45" customFormat="1" ht="13.5" customHeight="1" x14ac:dyDescent="0.2">
      <c r="A44" s="197"/>
      <c r="B44" s="168"/>
      <c r="C44" s="168"/>
      <c r="D44" s="168"/>
      <c r="E44" s="168"/>
      <c r="F44" s="218"/>
      <c r="G44" s="240"/>
      <c r="H44" s="217"/>
    </row>
    <row r="45" spans="1:8" s="45" customFormat="1" ht="13.5" customHeight="1" x14ac:dyDescent="0.2">
      <c r="A45" s="197"/>
      <c r="B45" s="168"/>
      <c r="C45" s="168"/>
      <c r="D45" s="168"/>
      <c r="E45" s="168"/>
      <c r="F45" s="218"/>
      <c r="G45" s="240"/>
      <c r="H45" s="217"/>
    </row>
    <row r="46" spans="1:8" s="45" customFormat="1" ht="13.5" customHeight="1" x14ac:dyDescent="0.2">
      <c r="A46" s="197"/>
      <c r="B46" s="168"/>
      <c r="C46" s="168"/>
      <c r="D46" s="168"/>
      <c r="E46" s="168"/>
      <c r="F46" s="218"/>
      <c r="G46" s="167"/>
      <c r="H46" s="217"/>
    </row>
    <row r="47" spans="1:8" s="45" customFormat="1" ht="13.5" customHeight="1" x14ac:dyDescent="0.2">
      <c r="A47" s="197"/>
      <c r="B47" s="168"/>
      <c r="C47" s="168"/>
      <c r="D47" s="168"/>
      <c r="E47" s="168"/>
      <c r="F47" s="218"/>
      <c r="G47" s="167"/>
      <c r="H47" s="217"/>
    </row>
    <row r="48" spans="1:8" s="45" customFormat="1" ht="13.5" customHeight="1" x14ac:dyDescent="0.2">
      <c r="A48" s="138"/>
      <c r="B48" s="66"/>
      <c r="C48" s="67"/>
      <c r="D48" s="66"/>
      <c r="E48" s="66"/>
      <c r="F48" s="68"/>
      <c r="G48" s="711"/>
      <c r="H48" s="54"/>
    </row>
  </sheetData>
  <mergeCells count="1">
    <mergeCell ref="A2:C2"/>
  </mergeCells>
  <hyperlinks>
    <hyperlink ref="A2" location="'Index and Structure'!A1" display="The Macro Group" xr:uid="{00000000-0004-0000-2200-000000000000}"/>
  </hyperlinks>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151"/>
  <dimension ref="A1:P34"/>
  <sheetViews>
    <sheetView showGridLines="0" view="pageBreakPreview" zoomScaleNormal="100" zoomScaleSheetLayoutView="100" workbookViewId="0">
      <selection activeCell="B34" sqref="B34"/>
    </sheetView>
  </sheetViews>
  <sheetFormatPr defaultColWidth="9.140625" defaultRowHeight="15" x14ac:dyDescent="0.25"/>
  <cols>
    <col min="1" max="1" width="11.85546875" style="250" customWidth="1"/>
    <col min="2" max="2" width="32" style="250" customWidth="1"/>
    <col min="3" max="3" width="15" style="250" customWidth="1"/>
    <col min="4" max="4" width="15.140625" style="250" customWidth="1"/>
    <col min="5" max="5" width="11.7109375" style="250" customWidth="1"/>
    <col min="6" max="6" width="10.7109375" style="250" customWidth="1"/>
    <col min="7" max="7" width="15.5703125" style="250" customWidth="1"/>
    <col min="8" max="8" width="12.7109375" style="258" customWidth="1"/>
    <col min="9" max="9" width="13.140625" style="250" customWidth="1"/>
    <col min="10" max="11" width="10.42578125" style="250" customWidth="1"/>
    <col min="12" max="12" width="9.140625" style="250"/>
    <col min="13" max="13" width="19.140625" style="250" customWidth="1"/>
    <col min="14" max="16384" width="9.140625" style="250"/>
  </cols>
  <sheetData>
    <row r="1" spans="1:16" ht="5.25" customHeight="1" thickBot="1" x14ac:dyDescent="0.3"/>
    <row r="2" spans="1:16" ht="19.899999999999999" customHeight="1" thickBot="1" x14ac:dyDescent="0.35">
      <c r="A2" s="2336" t="s">
        <v>44</v>
      </c>
      <c r="B2" s="2337"/>
      <c r="C2" s="2338"/>
      <c r="D2" s="251"/>
      <c r="E2" s="251"/>
      <c r="F2" s="251"/>
      <c r="G2" s="251"/>
      <c r="H2" s="955"/>
      <c r="I2" s="252"/>
    </row>
    <row r="3" spans="1:16" ht="27" customHeight="1" x14ac:dyDescent="0.25">
      <c r="A3" s="253"/>
    </row>
    <row r="4" spans="1:16" ht="19.5" customHeight="1" x14ac:dyDescent="0.25">
      <c r="A4" s="251"/>
    </row>
    <row r="5" spans="1:16" ht="5.25" customHeight="1" x14ac:dyDescent="0.25">
      <c r="A5" s="254"/>
      <c r="B5" s="956"/>
      <c r="C5" s="964"/>
      <c r="D5" s="258"/>
      <c r="E5" s="965"/>
      <c r="F5" s="956"/>
      <c r="G5" s="956"/>
      <c r="H5" s="956"/>
      <c r="I5" s="256"/>
    </row>
    <row r="6" spans="1:16" ht="14.25" customHeight="1" x14ac:dyDescent="0.25">
      <c r="A6" s="257" t="s">
        <v>40</v>
      </c>
      <c r="B6" s="258" t="str">
        <f>'Index and Structure'!B2</f>
        <v>Nicolo Superannuation fund</v>
      </c>
      <c r="C6" s="966"/>
      <c r="D6" s="967"/>
      <c r="E6" s="968" t="s">
        <v>38</v>
      </c>
      <c r="F6" s="1423"/>
      <c r="G6" s="261" t="str">
        <f>'Index and Structure'!B5</f>
        <v>NICO0024</v>
      </c>
      <c r="I6" s="262"/>
    </row>
    <row r="7" spans="1:16" ht="14.25" customHeight="1" x14ac:dyDescent="0.25">
      <c r="A7" s="257" t="s">
        <v>45</v>
      </c>
      <c r="B7" s="258" t="str">
        <f>'Index and Structure'!F32</f>
        <v>Goods For Own Use</v>
      </c>
      <c r="C7" s="966"/>
      <c r="D7" s="967"/>
      <c r="E7" s="969" t="s">
        <v>41</v>
      </c>
      <c r="F7" s="1424"/>
      <c r="G7" s="258" t="str">
        <f>'Index and Structure'!B6</f>
        <v>Liam Aubin</v>
      </c>
      <c r="H7" s="1878" t="s">
        <v>42</v>
      </c>
      <c r="I7" s="264"/>
    </row>
    <row r="8" spans="1:16" ht="14.25" customHeight="1" x14ac:dyDescent="0.25">
      <c r="A8" s="265" t="s">
        <v>46</v>
      </c>
      <c r="B8" s="970" t="str">
        <f>'Index and Structure'!B4</f>
        <v>30 June 2022</v>
      </c>
      <c r="C8" s="971"/>
      <c r="D8" s="967"/>
      <c r="E8" s="972" t="s">
        <v>43</v>
      </c>
      <c r="F8" s="1425"/>
      <c r="G8" s="268" t="str">
        <f>'Index and Structure'!B7</f>
        <v>Nicole Bryant</v>
      </c>
      <c r="H8" s="1879" t="s">
        <v>42</v>
      </c>
      <c r="I8" s="270"/>
    </row>
    <row r="9" spans="1:16" ht="15" customHeight="1" x14ac:dyDescent="0.25">
      <c r="B9" s="258"/>
      <c r="C9" s="258"/>
      <c r="D9" s="258"/>
      <c r="E9" s="258"/>
      <c r="F9" s="258"/>
      <c r="G9" s="258"/>
    </row>
    <row r="10" spans="1:16" ht="30" customHeight="1" x14ac:dyDescent="0.25">
      <c r="A10" s="271"/>
      <c r="B10" s="272"/>
      <c r="C10" s="272"/>
      <c r="D10" s="272"/>
      <c r="E10" s="272"/>
      <c r="F10" s="272"/>
      <c r="G10" s="273">
        <f>'Index and Structure'!D4</f>
        <v>2022</v>
      </c>
      <c r="H10" s="957"/>
      <c r="I10" s="274"/>
    </row>
    <row r="11" spans="1:16" s="91" customFormat="1" ht="13.5" customHeight="1" x14ac:dyDescent="0.2">
      <c r="A11" s="1266"/>
      <c r="B11" s="1263"/>
      <c r="C11" s="276"/>
      <c r="D11" s="276"/>
      <c r="E11" s="277"/>
      <c r="F11" s="277"/>
      <c r="G11" s="276"/>
      <c r="H11" s="958"/>
      <c r="I11" s="279"/>
    </row>
    <row r="12" spans="1:16" s="91" customFormat="1" ht="13.5" customHeight="1" thickBot="1" x14ac:dyDescent="0.25">
      <c r="A12" s="1266" t="str">
        <f>B7</f>
        <v>Goods For Own Use</v>
      </c>
      <c r="B12" s="1263"/>
      <c r="C12" s="280"/>
      <c r="D12" s="280"/>
      <c r="E12" s="280"/>
      <c r="F12" s="280"/>
      <c r="G12" s="281">
        <f>G28</f>
        <v>0</v>
      </c>
      <c r="H12" s="959"/>
      <c r="I12" s="282"/>
    </row>
    <row r="13" spans="1:16" s="91" customFormat="1" ht="13.5" customHeight="1" thickTop="1" x14ac:dyDescent="0.2">
      <c r="A13" s="283"/>
      <c r="B13" s="280"/>
      <c r="C13" s="280"/>
      <c r="D13" s="280"/>
      <c r="E13" s="280"/>
      <c r="F13" s="280"/>
      <c r="G13" s="284"/>
      <c r="H13" s="959"/>
      <c r="I13" s="282"/>
    </row>
    <row r="14" spans="1:16" s="91" customFormat="1" ht="13.5" customHeight="1" x14ac:dyDescent="0.2">
      <c r="A14" s="283"/>
      <c r="B14" s="280"/>
      <c r="C14" s="285"/>
      <c r="D14" s="286"/>
      <c r="E14" s="280"/>
      <c r="F14" s="280"/>
      <c r="G14" s="287"/>
      <c r="H14" s="959"/>
      <c r="I14" s="288"/>
    </row>
    <row r="15" spans="1:16" s="91" customFormat="1" ht="13.5" customHeight="1" x14ac:dyDescent="0.2">
      <c r="A15" s="283"/>
      <c r="C15" s="280"/>
      <c r="D15" s="286"/>
      <c r="E15" s="286"/>
      <c r="F15" s="286"/>
      <c r="G15" s="1427"/>
      <c r="H15" s="959"/>
      <c r="I15" s="288"/>
    </row>
    <row r="16" spans="1:16" s="91" customFormat="1" ht="13.5" customHeight="1" x14ac:dyDescent="0.2">
      <c r="A16" s="283"/>
      <c r="B16" s="1908" t="s">
        <v>805</v>
      </c>
      <c r="C16" s="329"/>
      <c r="D16" s="1905"/>
      <c r="E16" s="1906"/>
      <c r="F16" s="1906"/>
      <c r="G16" s="1446"/>
      <c r="H16" s="960" t="s">
        <v>50</v>
      </c>
      <c r="I16" s="288"/>
      <c r="L16"/>
      <c r="M16"/>
      <c r="N16"/>
      <c r="O16"/>
      <c r="P16"/>
    </row>
    <row r="17" spans="1:16" s="91" customFormat="1" ht="27.75" customHeight="1" x14ac:dyDescent="0.2">
      <c r="A17" s="1439"/>
      <c r="B17" s="1907" t="s">
        <v>459</v>
      </c>
      <c r="C17" s="1909" t="s">
        <v>806</v>
      </c>
      <c r="D17" s="1909" t="s">
        <v>807</v>
      </c>
      <c r="E17" s="1910" t="s">
        <v>808</v>
      </c>
      <c r="F17" s="1910" t="s">
        <v>809</v>
      </c>
      <c r="G17" s="1447" t="s">
        <v>33</v>
      </c>
      <c r="H17" s="1443"/>
      <c r="I17" s="288"/>
      <c r="L17"/>
      <c r="M17"/>
      <c r="N17"/>
      <c r="O17"/>
      <c r="P17"/>
    </row>
    <row r="18" spans="1:16" s="91" customFormat="1" ht="13.5" customHeight="1" x14ac:dyDescent="0.2">
      <c r="A18" s="1440"/>
      <c r="B18" s="1448" t="s">
        <v>460</v>
      </c>
      <c r="C18" s="1929">
        <v>1350</v>
      </c>
      <c r="D18" s="1929">
        <v>675</v>
      </c>
      <c r="E18" s="1429"/>
      <c r="F18" s="1429"/>
      <c r="G18" s="1449">
        <f>C18*E18+D18*F18</f>
        <v>0</v>
      </c>
      <c r="H18" s="1443"/>
      <c r="I18" s="288"/>
      <c r="L18"/>
      <c r="M18"/>
      <c r="N18"/>
      <c r="O18"/>
      <c r="P18"/>
    </row>
    <row r="19" spans="1:16" s="91" customFormat="1" ht="13.5" customHeight="1" x14ac:dyDescent="0.2">
      <c r="A19" s="1441"/>
      <c r="B19" s="1448" t="s">
        <v>461</v>
      </c>
      <c r="C19" s="1929">
        <v>900</v>
      </c>
      <c r="D19" s="1929">
        <v>450</v>
      </c>
      <c r="E19" s="1429"/>
      <c r="F19" s="1429"/>
      <c r="G19" s="1449">
        <f t="shared" ref="G19:G26" si="0">C19*E19+D19*F19</f>
        <v>0</v>
      </c>
      <c r="H19" s="1443"/>
      <c r="I19" s="288"/>
      <c r="L19"/>
      <c r="M19"/>
      <c r="N19"/>
      <c r="O19"/>
      <c r="P19"/>
    </row>
    <row r="20" spans="1:16" s="91" customFormat="1" ht="13.5" customHeight="1" x14ac:dyDescent="0.2">
      <c r="A20" s="1441"/>
      <c r="B20" s="1448" t="s">
        <v>462</v>
      </c>
      <c r="C20" s="1929">
        <v>4640</v>
      </c>
      <c r="D20" s="1929">
        <v>1810</v>
      </c>
      <c r="E20" s="1429"/>
      <c r="F20" s="1429"/>
      <c r="G20" s="1449">
        <f t="shared" si="0"/>
        <v>0</v>
      </c>
      <c r="H20" s="1443"/>
      <c r="I20" s="288"/>
      <c r="L20"/>
      <c r="M20"/>
      <c r="N20"/>
      <c r="O20"/>
      <c r="P20"/>
    </row>
    <row r="21" spans="1:16" s="91" customFormat="1" ht="13.5" customHeight="1" x14ac:dyDescent="0.2">
      <c r="A21" s="1441"/>
      <c r="B21" s="1448" t="s">
        <v>463</v>
      </c>
      <c r="C21" s="1929">
        <v>3620</v>
      </c>
      <c r="D21" s="1929">
        <v>1810</v>
      </c>
      <c r="E21" s="1429"/>
      <c r="F21" s="1429"/>
      <c r="G21" s="1449">
        <f t="shared" si="0"/>
        <v>0</v>
      </c>
      <c r="H21" s="1443"/>
      <c r="I21" s="288"/>
      <c r="L21"/>
      <c r="M21"/>
      <c r="N21"/>
      <c r="O21"/>
      <c r="P21"/>
    </row>
    <row r="22" spans="1:16" s="91" customFormat="1" ht="13.5" customHeight="1" x14ac:dyDescent="0.2">
      <c r="A22" s="1441"/>
      <c r="B22" s="1448" t="s">
        <v>464</v>
      </c>
      <c r="C22" s="1929">
        <v>3830</v>
      </c>
      <c r="D22" s="1929">
        <v>1915</v>
      </c>
      <c r="E22" s="1429"/>
      <c r="F22" s="1429"/>
      <c r="G22" s="1449">
        <f t="shared" si="0"/>
        <v>0</v>
      </c>
      <c r="H22" s="1444"/>
      <c r="I22" s="288"/>
      <c r="L22"/>
      <c r="M22"/>
      <c r="N22"/>
      <c r="O22"/>
      <c r="P22"/>
    </row>
    <row r="23" spans="1:16" s="91" customFormat="1" ht="13.5" customHeight="1" x14ac:dyDescent="0.2">
      <c r="A23" s="1441"/>
      <c r="B23" s="1448" t="s">
        <v>465</v>
      </c>
      <c r="C23" s="1929">
        <v>3620</v>
      </c>
      <c r="D23" s="1929">
        <v>1810</v>
      </c>
      <c r="E23" s="1429"/>
      <c r="F23" s="1429"/>
      <c r="G23" s="1449">
        <f t="shared" si="0"/>
        <v>0</v>
      </c>
      <c r="H23" s="1444"/>
      <c r="I23" s="288"/>
      <c r="L23"/>
      <c r="M23"/>
      <c r="N23"/>
      <c r="O23"/>
      <c r="P23"/>
    </row>
    <row r="24" spans="1:16" s="91" customFormat="1" ht="13.5" customHeight="1" x14ac:dyDescent="0.2">
      <c r="A24" s="1441"/>
      <c r="B24" s="1448" t="s">
        <v>466</v>
      </c>
      <c r="C24" s="1929">
        <v>930</v>
      </c>
      <c r="D24" s="1929">
        <v>465</v>
      </c>
      <c r="E24" s="1429"/>
      <c r="F24" s="1429"/>
      <c r="G24" s="1449">
        <f t="shared" si="0"/>
        <v>0</v>
      </c>
      <c r="H24" s="1444"/>
      <c r="I24" s="288"/>
      <c r="L24"/>
      <c r="M24"/>
      <c r="N24"/>
      <c r="O24"/>
      <c r="P24"/>
    </row>
    <row r="25" spans="1:16" s="91" customFormat="1" ht="13.5" customHeight="1" x14ac:dyDescent="0.2">
      <c r="A25" s="1442"/>
      <c r="B25" s="1448" t="s">
        <v>467</v>
      </c>
      <c r="C25" s="1929">
        <v>3670</v>
      </c>
      <c r="D25" s="1929">
        <v>1835</v>
      </c>
      <c r="E25" s="1430"/>
      <c r="F25" s="1430"/>
      <c r="G25" s="1449">
        <f t="shared" si="0"/>
        <v>0</v>
      </c>
      <c r="H25" s="1445"/>
      <c r="I25" s="326"/>
      <c r="L25"/>
      <c r="M25"/>
      <c r="N25"/>
      <c r="O25"/>
      <c r="P25"/>
    </row>
    <row r="26" spans="1:16" s="91" customFormat="1" ht="45" x14ac:dyDescent="0.2">
      <c r="A26" s="1439"/>
      <c r="B26" s="1450" t="s">
        <v>468</v>
      </c>
      <c r="C26" s="1930">
        <v>4460</v>
      </c>
      <c r="D26" s="1930">
        <v>2230</v>
      </c>
      <c r="E26" s="1451"/>
      <c r="F26" s="1452"/>
      <c r="G26" s="1453">
        <f t="shared" si="0"/>
        <v>0</v>
      </c>
      <c r="H26" s="1443"/>
      <c r="I26" s="326"/>
      <c r="L26"/>
      <c r="M26"/>
      <c r="N26"/>
      <c r="O26"/>
      <c r="P26"/>
    </row>
    <row r="27" spans="1:16" s="91" customFormat="1" ht="12.75" customHeight="1" x14ac:dyDescent="0.2">
      <c r="A27" s="283"/>
      <c r="B27" s="304"/>
      <c r="C27" s="304"/>
      <c r="D27" s="304"/>
      <c r="E27" s="1012"/>
      <c r="F27" s="304"/>
      <c r="G27" s="327"/>
      <c r="H27" s="960"/>
      <c r="I27" s="326"/>
    </row>
    <row r="28" spans="1:16" s="91" customFormat="1" ht="13.5" customHeight="1" thickBot="1" x14ac:dyDescent="0.25">
      <c r="A28" s="283"/>
      <c r="B28" s="323"/>
      <c r="C28" s="280"/>
      <c r="D28" s="280"/>
      <c r="E28" s="302"/>
      <c r="F28" s="280"/>
      <c r="G28" s="328">
        <f>SUM(G17:G23)-SUM(G26:G26)</f>
        <v>0</v>
      </c>
      <c r="H28" s="960"/>
      <c r="I28" s="288"/>
    </row>
    <row r="29" spans="1:16" s="91" customFormat="1" ht="13.5" customHeight="1" thickTop="1" x14ac:dyDescent="0.2">
      <c r="A29" s="283"/>
      <c r="B29" s="280"/>
      <c r="C29" s="280"/>
      <c r="D29" s="280"/>
      <c r="E29" s="280"/>
      <c r="F29" s="286"/>
      <c r="G29" s="290"/>
      <c r="H29" s="959"/>
      <c r="I29" s="288"/>
    </row>
    <row r="30" spans="1:16" s="91" customFormat="1" ht="13.5" customHeight="1" x14ac:dyDescent="0.2">
      <c r="A30" s="283"/>
      <c r="B30" s="1927" t="s">
        <v>814</v>
      </c>
      <c r="C30" s="1928"/>
      <c r="D30" s="1928"/>
      <c r="E30" s="280"/>
      <c r="F30" s="286"/>
      <c r="G30" s="290"/>
      <c r="H30" s="959"/>
      <c r="I30" s="288"/>
    </row>
    <row r="31" spans="1:16" s="91" customFormat="1" ht="13.5" customHeight="1" x14ac:dyDescent="0.2">
      <c r="A31" s="331"/>
      <c r="B31" s="332"/>
      <c r="C31" s="333"/>
      <c r="D31" s="332"/>
      <c r="E31" s="332"/>
      <c r="F31" s="1104"/>
      <c r="G31" s="334"/>
      <c r="H31" s="961"/>
      <c r="I31" s="336"/>
    </row>
    <row r="32" spans="1:16" s="91" customFormat="1" ht="13.5" customHeight="1" x14ac:dyDescent="0.2">
      <c r="A32" s="337"/>
      <c r="B32" s="2330" t="s">
        <v>1016</v>
      </c>
      <c r="C32" s="2331"/>
      <c r="D32" s="2331"/>
      <c r="E32" s="2331"/>
      <c r="F32" s="2331"/>
      <c r="G32" s="2331"/>
      <c r="H32" s="2332"/>
      <c r="I32" s="338"/>
    </row>
    <row r="33" spans="1:9" s="91" customFormat="1" ht="19.899999999999999" customHeight="1" x14ac:dyDescent="0.2">
      <c r="A33" s="337"/>
      <c r="B33" s="2333"/>
      <c r="C33" s="2334"/>
      <c r="D33" s="2334"/>
      <c r="E33" s="2334"/>
      <c r="F33" s="2334"/>
      <c r="G33" s="2334"/>
      <c r="H33" s="2335"/>
      <c r="I33" s="338"/>
    </row>
    <row r="34" spans="1:9" s="91" customFormat="1" ht="13.5" customHeight="1" x14ac:dyDescent="0.2">
      <c r="A34" s="339"/>
      <c r="B34" s="340"/>
      <c r="C34" s="340"/>
      <c r="D34" s="340"/>
      <c r="E34" s="340"/>
      <c r="F34" s="340"/>
      <c r="G34" s="340"/>
      <c r="H34" s="962"/>
      <c r="I34" s="341"/>
    </row>
  </sheetData>
  <mergeCells count="2">
    <mergeCell ref="A2:C2"/>
    <mergeCell ref="B32:H33"/>
  </mergeCells>
  <hyperlinks>
    <hyperlink ref="A2" location="'Index and Structure'!A1" display="The Macro Group" xr:uid="{00000000-0004-0000-2300-000000000000}"/>
    <hyperlink ref="B30" r:id="rId1" xr:uid="{34E974F2-2D09-4F5C-8B5B-C52A5CD3BC7B}"/>
  </hyperlinks>
  <pageMargins left="0.74803149606299213" right="0.39370078740157483" top="0.55118110236220474" bottom="0.62992125984251968" header="0.51181102362204722" footer="0.47244094488188981"/>
  <pageSetup paperSize="9" scale="85" orientation="landscape" r:id="rId2"/>
  <headerFooter alignWithMargins="0">
    <oddFooter>&amp;LPrinted:&amp;T on &amp;D</oddFooter>
  </headerFooter>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6152"/>
  <dimension ref="A1:I34"/>
  <sheetViews>
    <sheetView showGridLines="0" view="pageBreakPreview" zoomScaleNormal="100" zoomScaleSheetLayoutView="100" workbookViewId="0">
      <selection activeCell="P13" sqref="P13"/>
    </sheetView>
  </sheetViews>
  <sheetFormatPr defaultColWidth="9.140625" defaultRowHeight="15" x14ac:dyDescent="0.25"/>
  <cols>
    <col min="1" max="1" width="13.140625" style="250" customWidth="1"/>
    <col min="2" max="2" width="17.7109375" style="250" customWidth="1"/>
    <col min="3" max="3" width="16.28515625" style="250" customWidth="1"/>
    <col min="4" max="5" width="13.140625" style="250" customWidth="1"/>
    <col min="6" max="6" width="17.140625" style="250" bestFit="1" customWidth="1"/>
    <col min="7" max="7" width="15.28515625" style="250" customWidth="1"/>
    <col min="8" max="8" width="13.140625" style="250" customWidth="1"/>
    <col min="9" max="9" width="9.140625" style="250" customWidth="1"/>
    <col min="10" max="11" width="10.42578125" style="250" customWidth="1"/>
    <col min="12" max="16384" width="9.140625" style="250"/>
  </cols>
  <sheetData>
    <row r="1" spans="1:9" ht="5.25" customHeight="1" thickBot="1" x14ac:dyDescent="0.3"/>
    <row r="2" spans="1:9" ht="19.899999999999999" customHeight="1" thickBot="1" x14ac:dyDescent="0.35">
      <c r="A2" s="2336" t="s">
        <v>44</v>
      </c>
      <c r="B2" s="2337"/>
      <c r="C2" s="2338"/>
      <c r="D2" s="251"/>
      <c r="E2" s="251"/>
      <c r="F2" s="251"/>
      <c r="G2" s="251"/>
      <c r="H2" s="251"/>
      <c r="I2" s="252"/>
    </row>
    <row r="3" spans="1:9" ht="27" customHeight="1" x14ac:dyDescent="0.25">
      <c r="A3" s="253"/>
    </row>
    <row r="4" spans="1:9" ht="19.5" customHeight="1" x14ac:dyDescent="0.25">
      <c r="A4" s="251"/>
    </row>
    <row r="5" spans="1:9" ht="14.25" customHeight="1" x14ac:dyDescent="0.25">
      <c r="A5" s="254" t="s">
        <v>40</v>
      </c>
      <c r="B5" s="956" t="str">
        <f>'Index and Structure'!B2</f>
        <v>Nicolo Superannuation fund</v>
      </c>
      <c r="C5" s="982"/>
      <c r="D5" s="967"/>
      <c r="E5" s="983" t="s">
        <v>38</v>
      </c>
      <c r="F5" s="984" t="str">
        <f>'Index and Structure'!B5</f>
        <v>NICO0024</v>
      </c>
      <c r="G5" s="984"/>
      <c r="H5" s="255"/>
      <c r="I5" s="256"/>
    </row>
    <row r="6" spans="1:9" ht="14.25" customHeight="1" x14ac:dyDescent="0.25">
      <c r="A6" s="436" t="s">
        <v>45</v>
      </c>
      <c r="B6" s="258" t="str">
        <f>'Index and Structure'!F33</f>
        <v>Insurance</v>
      </c>
      <c r="C6" s="966"/>
      <c r="D6" s="967"/>
      <c r="E6" s="980" t="s">
        <v>41</v>
      </c>
      <c r="F6" s="258" t="str">
        <f>'Index and Structure'!B6</f>
        <v>Liam Aubin</v>
      </c>
      <c r="G6" s="258"/>
      <c r="H6" s="250" t="s">
        <v>42</v>
      </c>
      <c r="I6" s="264"/>
    </row>
    <row r="7" spans="1:9" ht="14.25" customHeight="1" x14ac:dyDescent="0.25">
      <c r="A7" s="439" t="s">
        <v>46</v>
      </c>
      <c r="B7" s="970" t="str">
        <f>'Index and Structure'!B4</f>
        <v>30 June 2022</v>
      </c>
      <c r="C7" s="971"/>
      <c r="D7" s="967"/>
      <c r="E7" s="981" t="s">
        <v>43</v>
      </c>
      <c r="F7" s="268" t="str">
        <f>'Index and Structure'!B7</f>
        <v>Nicole Bryant</v>
      </c>
      <c r="G7" s="268"/>
      <c r="H7" s="441" t="s">
        <v>42</v>
      </c>
      <c r="I7" s="270"/>
    </row>
    <row r="8" spans="1:9" ht="9.75" customHeight="1" x14ac:dyDescent="0.25"/>
    <row r="9" spans="1:9" ht="30" customHeight="1" x14ac:dyDescent="0.25">
      <c r="A9" s="271"/>
      <c r="B9" s="272"/>
      <c r="C9" s="272"/>
      <c r="D9" s="272"/>
      <c r="E9" s="272"/>
      <c r="F9" s="273">
        <f>'Index and Structure'!D4</f>
        <v>2022</v>
      </c>
      <c r="G9" s="990"/>
      <c r="H9" s="272"/>
      <c r="I9" s="274"/>
    </row>
    <row r="10" spans="1:9" s="91" customFormat="1" ht="13.5" customHeight="1" x14ac:dyDescent="0.2">
      <c r="A10" s="275"/>
      <c r="B10" s="276"/>
      <c r="C10" s="276"/>
      <c r="D10" s="276"/>
      <c r="E10" s="277"/>
      <c r="F10" s="276"/>
      <c r="G10" s="278"/>
      <c r="H10" s="278"/>
      <c r="I10" s="279"/>
    </row>
    <row r="11" spans="1:9" s="91" customFormat="1" ht="13.5" customHeight="1" thickBot="1" x14ac:dyDescent="0.25">
      <c r="A11" s="1266" t="str">
        <f>B6</f>
        <v>Insurance</v>
      </c>
      <c r="B11" s="1263"/>
      <c r="C11" s="280"/>
      <c r="D11" s="280"/>
      <c r="E11" s="280"/>
      <c r="F11" s="963"/>
      <c r="G11" s="287"/>
      <c r="H11" s="287"/>
      <c r="I11" s="282"/>
    </row>
    <row r="12" spans="1:9" s="91" customFormat="1" ht="13.5" customHeight="1" thickTop="1" x14ac:dyDescent="0.2">
      <c r="A12" s="283"/>
      <c r="B12" s="280"/>
      <c r="C12" s="280"/>
      <c r="D12" s="280"/>
      <c r="E12" s="280"/>
      <c r="F12" s="284"/>
      <c r="G12" s="284"/>
      <c r="H12" s="287"/>
      <c r="I12" s="282"/>
    </row>
    <row r="13" spans="1:9" s="91" customFormat="1" ht="13.5" customHeight="1" x14ac:dyDescent="0.2">
      <c r="A13" s="283"/>
      <c r="B13" s="280"/>
      <c r="C13" s="285"/>
      <c r="D13" s="286"/>
      <c r="E13" s="280"/>
      <c r="F13" s="287"/>
      <c r="G13" s="287"/>
      <c r="H13" s="287"/>
      <c r="I13" s="288"/>
    </row>
    <row r="14" spans="1:9" s="91" customFormat="1" ht="13.5" customHeight="1" x14ac:dyDescent="0.2">
      <c r="A14" s="283"/>
      <c r="C14" s="280"/>
      <c r="D14" s="286"/>
      <c r="E14" s="286"/>
      <c r="F14" s="287"/>
      <c r="G14" s="287"/>
      <c r="H14" s="287"/>
      <c r="I14" s="288"/>
    </row>
    <row r="15" spans="1:9" s="91" customFormat="1" ht="13.5" customHeight="1" x14ac:dyDescent="0.2">
      <c r="A15" s="978" t="s">
        <v>376</v>
      </c>
      <c r="B15" s="280"/>
      <c r="C15" s="280"/>
      <c r="D15" s="280"/>
      <c r="E15" s="280"/>
      <c r="F15" s="280"/>
      <c r="G15" s="280"/>
      <c r="H15" s="280"/>
      <c r="I15" s="280"/>
    </row>
    <row r="16" spans="1:9" s="91" customFormat="1" ht="13.5" customHeight="1" x14ac:dyDescent="0.2">
      <c r="A16" s="991"/>
      <c r="B16" s="992"/>
      <c r="C16" s="329"/>
      <c r="D16" s="329"/>
      <c r="E16" s="329"/>
      <c r="F16" s="993"/>
      <c r="G16" s="993"/>
      <c r="H16" s="994"/>
      <c r="I16" s="288"/>
    </row>
    <row r="17" spans="1:9" s="91" customFormat="1" ht="13.5" customHeight="1" x14ac:dyDescent="0.2">
      <c r="A17" s="995" t="s">
        <v>30</v>
      </c>
      <c r="B17" s="996" t="s">
        <v>295</v>
      </c>
      <c r="C17" s="997" t="s">
        <v>296</v>
      </c>
      <c r="D17" s="997" t="s">
        <v>174</v>
      </c>
      <c r="E17" s="997" t="s">
        <v>297</v>
      </c>
      <c r="F17" s="998" t="s">
        <v>228</v>
      </c>
      <c r="G17" s="999" t="s">
        <v>371</v>
      </c>
      <c r="H17" s="1000" t="s">
        <v>29</v>
      </c>
      <c r="I17" s="288"/>
    </row>
    <row r="18" spans="1:9" s="91" customFormat="1" ht="13.5" customHeight="1" x14ac:dyDescent="0.2">
      <c r="A18" s="283"/>
      <c r="B18" s="280"/>
      <c r="C18" s="280"/>
      <c r="D18" s="280"/>
      <c r="E18" s="280"/>
      <c r="F18" s="293"/>
      <c r="G18" s="1695" t="s">
        <v>372</v>
      </c>
      <c r="H18" s="288"/>
      <c r="I18" s="288"/>
    </row>
    <row r="19" spans="1:9" s="91" customFormat="1" ht="13.5" customHeight="1" x14ac:dyDescent="0.2">
      <c r="A19" s="1540"/>
      <c r="B19" s="1541"/>
      <c r="C19" s="1008">
        <f>E19-D19</f>
        <v>0</v>
      </c>
      <c r="D19" s="1008">
        <f>E19/11</f>
        <v>0</v>
      </c>
      <c r="E19" s="1008">
        <f>B19-F19</f>
        <v>0</v>
      </c>
      <c r="F19" s="1009">
        <f>IF(G19="Class 1",((-B19/1.075)+B19),IF(G19="Class 2",((-B19/1.05)+B19),0))</f>
        <v>0</v>
      </c>
      <c r="G19" s="1543"/>
      <c r="H19" s="1010">
        <f>B19-SUM(C19:D19)-F19</f>
        <v>0</v>
      </c>
      <c r="I19" s="288"/>
    </row>
    <row r="20" spans="1:9" s="91" customFormat="1" ht="13.5" customHeight="1" x14ac:dyDescent="0.2">
      <c r="A20" s="1540"/>
      <c r="B20" s="1541"/>
      <c r="C20" s="1008">
        <f>E20-D20</f>
        <v>0</v>
      </c>
      <c r="D20" s="1008">
        <f>E20/11</f>
        <v>0</v>
      </c>
      <c r="E20" s="1008">
        <f>B20-F20</f>
        <v>0</v>
      </c>
      <c r="F20" s="1009">
        <f>IF(G20="Class 1",((-B20/1.075)+B20),IF(G20="Class 2",((-B20/1.05)+B20),0))</f>
        <v>0</v>
      </c>
      <c r="G20" s="1543"/>
      <c r="H20" s="1010">
        <f>B20-SUM(C20:D20)-F20</f>
        <v>0</v>
      </c>
      <c r="I20" s="288"/>
    </row>
    <row r="21" spans="1:9" s="91" customFormat="1" ht="13.5" customHeight="1" x14ac:dyDescent="0.2">
      <c r="A21" s="1540"/>
      <c r="B21" s="1541"/>
      <c r="C21" s="1008">
        <f>E21-D21</f>
        <v>0</v>
      </c>
      <c r="D21" s="1008">
        <f>E21/11</f>
        <v>0</v>
      </c>
      <c r="E21" s="1008">
        <f>B21-F21</f>
        <v>0</v>
      </c>
      <c r="F21" s="1009">
        <f>IF(G21="Class 1",((-B21/1.075)+B21),IF(G21="Class 2",((-B21/1.05)+B21),0))</f>
        <v>0</v>
      </c>
      <c r="G21" s="1543"/>
      <c r="H21" s="1010">
        <f>B21-SUM(C21:D21)-F21</f>
        <v>0</v>
      </c>
      <c r="I21" s="288"/>
    </row>
    <row r="22" spans="1:9" s="91" customFormat="1" ht="13.5" customHeight="1" x14ac:dyDescent="0.2">
      <c r="A22" s="1540"/>
      <c r="B22" s="1541"/>
      <c r="C22" s="1008">
        <f>E22-D22</f>
        <v>0</v>
      </c>
      <c r="D22" s="1008">
        <f>E22/11</f>
        <v>0</v>
      </c>
      <c r="E22" s="1008">
        <f>B22-F22</f>
        <v>0</v>
      </c>
      <c r="F22" s="1009">
        <f>IF(G22="Class 1",((-B22/1.075)+B22),IF(G22="Class 2",((-B22/1.05)+B22),0))</f>
        <v>0</v>
      </c>
      <c r="G22" s="1543"/>
      <c r="H22" s="1010">
        <f>B22-SUM(C22:D22)-F22</f>
        <v>0</v>
      </c>
      <c r="I22" s="288"/>
    </row>
    <row r="23" spans="1:9" s="91" customFormat="1" ht="13.5" customHeight="1" x14ac:dyDescent="0.2">
      <c r="A23" s="1542"/>
      <c r="B23" s="1541"/>
      <c r="C23" s="1008">
        <f>E23-D23</f>
        <v>0</v>
      </c>
      <c r="D23" s="1008">
        <f>E23/11</f>
        <v>0</v>
      </c>
      <c r="E23" s="1008">
        <f>B23-F23</f>
        <v>0</v>
      </c>
      <c r="F23" s="1009">
        <f>IF(G23="Class 1",((-B23/1.075)+B23),IF(G23="Class 2",((-B23/1.05)+B23),0))</f>
        <v>0</v>
      </c>
      <c r="G23" s="1543"/>
      <c r="H23" s="1010">
        <f>B23-SUM(C23:D23)-F23</f>
        <v>0</v>
      </c>
      <c r="I23" s="288"/>
    </row>
    <row r="24" spans="1:9" s="91" customFormat="1" ht="13.5" customHeight="1" thickBot="1" x14ac:dyDescent="0.25">
      <c r="A24" s="1001"/>
      <c r="B24" s="1002">
        <f t="shared" ref="B24:H24" si="0">SUM(B19:B23)</f>
        <v>0</v>
      </c>
      <c r="C24" s="1002">
        <f t="shared" si="0"/>
        <v>0</v>
      </c>
      <c r="D24" s="1002">
        <f t="shared" si="0"/>
        <v>0</v>
      </c>
      <c r="E24" s="1002">
        <f t="shared" si="0"/>
        <v>0</v>
      </c>
      <c r="F24" s="1002">
        <f t="shared" si="0"/>
        <v>0</v>
      </c>
      <c r="H24" s="1002">
        <f t="shared" si="0"/>
        <v>0</v>
      </c>
      <c r="I24" s="288"/>
    </row>
    <row r="25" spans="1:9" s="91" customFormat="1" ht="13.5" customHeight="1" thickTop="1" x14ac:dyDescent="0.2">
      <c r="A25" s="283"/>
      <c r="B25" s="329"/>
      <c r="C25" s="329"/>
      <c r="D25" s="329"/>
      <c r="E25" s="329"/>
      <c r="F25" s="330"/>
      <c r="G25" s="330"/>
      <c r="H25" s="287"/>
      <c r="I25" s="295"/>
    </row>
    <row r="26" spans="1:9" s="91" customFormat="1" ht="13.5" customHeight="1" x14ac:dyDescent="0.2">
      <c r="A26" s="286"/>
      <c r="B26" s="330"/>
      <c r="C26" s="330"/>
      <c r="D26" s="1003"/>
      <c r="E26" s="329"/>
      <c r="F26" s="330"/>
      <c r="G26" s="330"/>
      <c r="H26" s="1003"/>
      <c r="I26" s="295"/>
    </row>
    <row r="27" spans="1:9" s="91" customFormat="1" ht="13.5" customHeight="1" x14ac:dyDescent="0.2">
      <c r="A27" s="286"/>
      <c r="B27" s="330"/>
      <c r="C27" s="330"/>
      <c r="D27" s="1003"/>
      <c r="E27" s="329"/>
      <c r="F27" s="330"/>
      <c r="G27" s="330"/>
      <c r="H27" s="1003"/>
      <c r="I27" s="295"/>
    </row>
    <row r="28" spans="1:9" s="91" customFormat="1" ht="13.5" customHeight="1" x14ac:dyDescent="0.2">
      <c r="A28" s="286"/>
      <c r="B28" s="330"/>
      <c r="C28" s="330"/>
      <c r="D28" s="1003"/>
      <c r="E28" s="329"/>
      <c r="F28" s="330"/>
      <c r="G28" s="330"/>
      <c r="H28" s="1003"/>
      <c r="I28" s="295"/>
    </row>
    <row r="29" spans="1:9" s="91" customFormat="1" ht="13.5" customHeight="1" x14ac:dyDescent="0.2">
      <c r="A29" s="286"/>
      <c r="B29" s="1004" t="s">
        <v>377</v>
      </c>
      <c r="C29" s="1004" t="s">
        <v>374</v>
      </c>
      <c r="D29" s="994"/>
      <c r="E29" s="1005"/>
      <c r="F29" s="1006"/>
      <c r="G29" s="1006"/>
      <c r="H29" s="994"/>
      <c r="I29" s="1007"/>
    </row>
    <row r="30" spans="1:9" s="91" customFormat="1" ht="13.5" customHeight="1" x14ac:dyDescent="0.2">
      <c r="A30" s="286"/>
      <c r="B30" s="1004"/>
      <c r="C30" s="1004"/>
      <c r="D30" s="994"/>
      <c r="E30" s="1005"/>
      <c r="F30" s="1006"/>
      <c r="G30" s="1006"/>
      <c r="H30" s="994"/>
      <c r="I30" s="1007"/>
    </row>
    <row r="31" spans="1:9" s="91" customFormat="1" ht="13.5" customHeight="1" x14ac:dyDescent="0.2">
      <c r="A31" s="286"/>
      <c r="B31" s="1004" t="s">
        <v>373</v>
      </c>
      <c r="C31" s="1004" t="s">
        <v>378</v>
      </c>
      <c r="D31" s="994"/>
      <c r="E31" s="1005"/>
      <c r="F31" s="1006"/>
      <c r="G31" s="1006"/>
      <c r="H31" s="994"/>
      <c r="I31" s="1007"/>
    </row>
    <row r="32" spans="1:9" s="91" customFormat="1" ht="13.5" customHeight="1" x14ac:dyDescent="0.2">
      <c r="A32" s="283"/>
      <c r="B32" s="1006"/>
      <c r="C32" s="1006" t="s">
        <v>375</v>
      </c>
      <c r="D32" s="994"/>
      <c r="E32" s="1005"/>
      <c r="F32" s="1006"/>
      <c r="G32" s="1006"/>
      <c r="H32" s="994"/>
      <c r="I32" s="1007"/>
    </row>
    <row r="33" spans="1:9" s="91" customFormat="1" ht="13.5" customHeight="1" x14ac:dyDescent="0.2">
      <c r="A33" s="283"/>
      <c r="B33" s="332"/>
      <c r="C33" s="332"/>
      <c r="D33" s="332"/>
      <c r="E33" s="329"/>
      <c r="F33" s="330"/>
      <c r="G33" s="330"/>
      <c r="H33" s="1003"/>
      <c r="I33" s="295"/>
    </row>
    <row r="34" spans="1:9" s="91" customFormat="1" ht="13.5" customHeight="1" x14ac:dyDescent="0.2">
      <c r="A34" s="283"/>
      <c r="B34" s="332"/>
      <c r="C34" s="332"/>
      <c r="D34" s="332"/>
      <c r="E34" s="332"/>
      <c r="F34" s="332"/>
      <c r="G34" s="332"/>
      <c r="H34" s="332"/>
      <c r="I34" s="336"/>
    </row>
  </sheetData>
  <mergeCells count="1">
    <mergeCell ref="A2:C2"/>
  </mergeCells>
  <dataValidations count="1">
    <dataValidation type="list" allowBlank="1" showInputMessage="1" showErrorMessage="1" sqref="G19:G23" xr:uid="{00000000-0002-0000-2400-000000000000}">
      <formula1>"Class 1, Class 2"</formula1>
    </dataValidation>
  </dataValidations>
  <hyperlinks>
    <hyperlink ref="A2" location="'Index and Structure'!A1" display="The Macro Group" xr:uid="{00000000-0004-0000-2400-000000000000}"/>
  </hyperlinks>
  <pageMargins left="0.74803149606299213" right="0.39370078740157483" top="0.55118110236220474" bottom="0.62992125984251968" header="0.51181102362204722" footer="0.47244094488188981"/>
  <pageSetup paperSize="9" scale="69" orientation="portrait" r:id="rId1"/>
  <headerFooter alignWithMargins="0">
    <oddFooter>&amp;LPrinted:&amp;T on &amp;D</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6189"/>
  <dimension ref="A1:H55"/>
  <sheetViews>
    <sheetView showGridLines="0" view="pageBreakPreview" topLeftCell="A22" zoomScaleNormal="50" workbookViewId="0">
      <selection activeCell="P13" sqref="P13"/>
    </sheetView>
  </sheetViews>
  <sheetFormatPr defaultColWidth="9.140625" defaultRowHeight="15" x14ac:dyDescent="0.25"/>
  <cols>
    <col min="1" max="1" width="12.140625" style="250" customWidth="1"/>
    <col min="2" max="2" width="11.42578125" style="250" customWidth="1"/>
    <col min="3" max="3" width="14.5703125" style="250" customWidth="1"/>
    <col min="4" max="4" width="11.85546875" style="250" customWidth="1"/>
    <col min="5" max="5" width="13.140625" style="250" customWidth="1"/>
    <col min="6" max="6" width="14.42578125" style="250" customWidth="1"/>
    <col min="7" max="7" width="15.7109375" style="250" customWidth="1"/>
    <col min="8" max="8" width="16.42578125" style="250" customWidth="1"/>
    <col min="9" max="10" width="10.42578125" style="250" customWidth="1"/>
    <col min="11" max="16384" width="9.140625" style="250"/>
  </cols>
  <sheetData>
    <row r="1" spans="1:8" ht="5.25" customHeight="1" thickBot="1" x14ac:dyDescent="0.3"/>
    <row r="2" spans="1:8" ht="19.899999999999999" customHeight="1" thickBot="1" x14ac:dyDescent="0.35">
      <c r="A2" s="2336" t="s">
        <v>44</v>
      </c>
      <c r="B2" s="2337"/>
      <c r="C2" s="2338"/>
      <c r="D2" s="251"/>
      <c r="E2" s="251"/>
      <c r="F2" s="251"/>
      <c r="G2" s="251"/>
      <c r="H2" s="252"/>
    </row>
    <row r="3" spans="1:8" ht="27" customHeight="1" x14ac:dyDescent="0.25">
      <c r="A3" s="253"/>
    </row>
    <row r="4" spans="1:8" ht="19.5" customHeight="1" x14ac:dyDescent="0.25">
      <c r="A4" s="251"/>
    </row>
    <row r="5" spans="1:8" ht="14.25" customHeight="1" x14ac:dyDescent="0.25">
      <c r="A5" s="254" t="s">
        <v>40</v>
      </c>
      <c r="B5" s="956" t="str">
        <f>'Index and Structure'!B2</f>
        <v>Nicolo Superannuation fund</v>
      </c>
      <c r="C5" s="982"/>
      <c r="D5" s="967"/>
      <c r="E5" s="983" t="s">
        <v>38</v>
      </c>
      <c r="F5" s="984" t="str">
        <f>'Index and Structure'!B5</f>
        <v>NICO0024</v>
      </c>
      <c r="G5" s="255"/>
      <c r="H5" s="256"/>
    </row>
    <row r="6" spans="1:8" ht="14.25" customHeight="1" x14ac:dyDescent="0.25">
      <c r="A6" s="436" t="s">
        <v>45</v>
      </c>
      <c r="B6" s="258" t="str">
        <f>'Index and Structure'!F34</f>
        <v>Motor Vehicle</v>
      </c>
      <c r="C6" s="966"/>
      <c r="D6" s="967"/>
      <c r="E6" s="980" t="s">
        <v>41</v>
      </c>
      <c r="F6" s="258" t="str">
        <f>'Index and Structure'!B6</f>
        <v>Liam Aubin</v>
      </c>
      <c r="G6" s="250" t="s">
        <v>42</v>
      </c>
      <c r="H6" s="264"/>
    </row>
    <row r="7" spans="1:8" ht="14.25" customHeight="1" x14ac:dyDescent="0.25">
      <c r="A7" s="439" t="s">
        <v>46</v>
      </c>
      <c r="B7" s="970" t="str">
        <f>'Index and Structure'!B4</f>
        <v>30 June 2022</v>
      </c>
      <c r="C7" s="971"/>
      <c r="D7" s="967"/>
      <c r="E7" s="981" t="s">
        <v>43</v>
      </c>
      <c r="F7" s="268" t="str">
        <f>'Index and Structure'!B7</f>
        <v>Nicole Bryant</v>
      </c>
      <c r="G7" s="441" t="s">
        <v>42</v>
      </c>
      <c r="H7" s="270"/>
    </row>
    <row r="8" spans="1:8" ht="9.75" customHeight="1" x14ac:dyDescent="0.25"/>
    <row r="9" spans="1:8" ht="30" customHeight="1" x14ac:dyDescent="0.25">
      <c r="A9" s="271"/>
      <c r="B9" s="272"/>
      <c r="C9" s="272"/>
      <c r="D9" s="272"/>
      <c r="E9" s="272"/>
      <c r="F9" s="1011">
        <f>'Index and Structure'!D4</f>
        <v>2022</v>
      </c>
      <c r="G9" s="272"/>
      <c r="H9" s="274"/>
    </row>
    <row r="10" spans="1:8" s="91" customFormat="1" ht="13.5" customHeight="1" x14ac:dyDescent="0.2">
      <c r="A10" s="1080"/>
      <c r="B10" s="1081"/>
      <c r="C10" s="1081"/>
      <c r="D10" s="1081"/>
      <c r="E10" s="1082"/>
      <c r="F10" s="1083"/>
      <c r="G10" s="1083"/>
      <c r="H10" s="1084"/>
    </row>
    <row r="11" spans="1:8" s="91" customFormat="1" ht="13.5" customHeight="1" x14ac:dyDescent="0.2">
      <c r="A11" s="1266" t="str">
        <f>B6</f>
        <v>Motor Vehicle</v>
      </c>
      <c r="B11" s="1263"/>
      <c r="C11" s="280"/>
      <c r="D11" s="280"/>
      <c r="E11" s="280"/>
      <c r="F11" s="287"/>
      <c r="G11" s="287"/>
      <c r="H11" s="282"/>
    </row>
    <row r="12" spans="1:8" s="91" customFormat="1" ht="13.5" customHeight="1" x14ac:dyDescent="0.2">
      <c r="A12" s="283"/>
      <c r="B12" s="280"/>
      <c r="C12" s="280"/>
      <c r="D12" s="280"/>
      <c r="E12" s="280"/>
      <c r="F12" s="284"/>
      <c r="G12" s="284"/>
      <c r="H12" s="282"/>
    </row>
    <row r="13" spans="1:8" s="91" customFormat="1" ht="13.5" customHeight="1" x14ac:dyDescent="0.2">
      <c r="A13" s="283"/>
      <c r="B13" s="280"/>
      <c r="C13" s="285"/>
      <c r="D13" s="286"/>
      <c r="E13" s="280"/>
      <c r="F13" s="287"/>
      <c r="G13" s="284"/>
      <c r="H13" s="288"/>
    </row>
    <row r="14" spans="1:8" s="91" customFormat="1" ht="13.5" customHeight="1" x14ac:dyDescent="0.2">
      <c r="A14" s="283"/>
      <c r="B14" s="280"/>
      <c r="C14" s="280"/>
      <c r="D14" s="286"/>
      <c r="E14" s="280"/>
      <c r="F14" s="287"/>
      <c r="G14" s="1539" t="s">
        <v>50</v>
      </c>
      <c r="H14" s="288"/>
    </row>
    <row r="15" spans="1:8" s="91" customFormat="1" ht="13.5" customHeight="1" x14ac:dyDescent="0.2">
      <c r="A15" s="283"/>
      <c r="B15" s="285"/>
      <c r="C15" s="280"/>
      <c r="D15" s="286"/>
      <c r="E15" s="280"/>
      <c r="F15" s="287"/>
      <c r="G15" s="284"/>
      <c r="H15" s="288"/>
    </row>
    <row r="16" spans="1:8" s="91" customFormat="1" ht="13.5" customHeight="1" x14ac:dyDescent="0.2">
      <c r="A16" s="283"/>
      <c r="B16" s="285"/>
      <c r="C16" s="280"/>
      <c r="D16" s="286"/>
      <c r="E16" s="280"/>
      <c r="F16" s="287"/>
      <c r="G16" s="287"/>
      <c r="H16" s="288"/>
    </row>
    <row r="17" spans="1:8" s="91" customFormat="1" ht="13.5" customHeight="1" x14ac:dyDescent="0.2">
      <c r="A17" s="283"/>
      <c r="B17" s="285"/>
      <c r="C17" s="280"/>
      <c r="D17" s="286"/>
      <c r="E17" s="1012"/>
      <c r="F17" s="287"/>
      <c r="G17" s="287"/>
      <c r="H17" s="288"/>
    </row>
    <row r="18" spans="1:8" s="91" customFormat="1" ht="13.5" customHeight="1" x14ac:dyDescent="0.2">
      <c r="A18" s="283"/>
      <c r="B18" s="1013" t="s">
        <v>172</v>
      </c>
      <c r="C18" s="1533"/>
      <c r="D18" s="1534"/>
      <c r="E18" s="1537"/>
      <c r="F18" s="1538"/>
      <c r="G18" s="959"/>
      <c r="H18" s="1017"/>
    </row>
    <row r="19" spans="1:8" s="91" customFormat="1" ht="13.5" customHeight="1" x14ac:dyDescent="0.2">
      <c r="A19" s="283"/>
      <c r="B19" s="1018"/>
      <c r="C19" s="1014"/>
      <c r="D19" s="1015"/>
      <c r="E19" s="1016"/>
      <c r="F19" s="959"/>
      <c r="G19" s="959"/>
      <c r="H19" s="1017"/>
    </row>
    <row r="20" spans="1:8" s="91" customFormat="1" ht="13.5" customHeight="1" x14ac:dyDescent="0.2">
      <c r="A20" s="283"/>
      <c r="B20" s="1013" t="s">
        <v>173</v>
      </c>
      <c r="C20" s="1014"/>
      <c r="D20" s="1015"/>
      <c r="E20" s="1016"/>
      <c r="F20" s="1019"/>
      <c r="G20" s="287"/>
      <c r="H20" s="288"/>
    </row>
    <row r="21" spans="1:8" s="91" customFormat="1" ht="13.5" customHeight="1" x14ac:dyDescent="0.2">
      <c r="A21" s="283"/>
      <c r="B21" s="1018"/>
      <c r="C21" s="1014"/>
      <c r="D21" s="1020" t="s">
        <v>19</v>
      </c>
      <c r="E21" s="1021" t="s">
        <v>174</v>
      </c>
      <c r="F21" s="1022" t="s">
        <v>210</v>
      </c>
      <c r="G21" s="287"/>
      <c r="H21" s="288"/>
    </row>
    <row r="22" spans="1:8" s="91" customFormat="1" ht="13.5" customHeight="1" x14ac:dyDescent="0.2">
      <c r="A22" s="283"/>
      <c r="B22" s="1018" t="s">
        <v>153</v>
      </c>
      <c r="C22" s="1014"/>
      <c r="D22" s="1535">
        <v>0</v>
      </c>
      <c r="E22" s="1535">
        <v>0</v>
      </c>
      <c r="F22" s="1071">
        <f t="shared" ref="F22:F27" si="0">D22*$D$37</f>
        <v>0</v>
      </c>
      <c r="G22" s="287"/>
      <c r="H22" s="288"/>
    </row>
    <row r="23" spans="1:8" s="91" customFormat="1" ht="13.5" customHeight="1" x14ac:dyDescent="0.2">
      <c r="A23" s="283"/>
      <c r="B23" s="1018" t="s">
        <v>175</v>
      </c>
      <c r="C23" s="1014"/>
      <c r="D23" s="1536">
        <v>0</v>
      </c>
      <c r="E23" s="1536">
        <v>0</v>
      </c>
      <c r="F23" s="1071">
        <f t="shared" si="0"/>
        <v>0</v>
      </c>
      <c r="G23" s="287"/>
      <c r="H23" s="288"/>
    </row>
    <row r="24" spans="1:8" s="91" customFormat="1" ht="13.5" customHeight="1" x14ac:dyDescent="0.2">
      <c r="A24" s="283"/>
      <c r="B24" s="1018" t="s">
        <v>5</v>
      </c>
      <c r="C24" s="1014"/>
      <c r="D24" s="1536">
        <v>0</v>
      </c>
      <c r="E24" s="1536">
        <v>0</v>
      </c>
      <c r="F24" s="1071">
        <f t="shared" si="0"/>
        <v>0</v>
      </c>
      <c r="G24" s="287"/>
      <c r="H24" s="288"/>
    </row>
    <row r="25" spans="1:8" s="91" customFormat="1" ht="13.5" customHeight="1" x14ac:dyDescent="0.2">
      <c r="A25" s="283"/>
      <c r="B25" s="1018" t="s">
        <v>176</v>
      </c>
      <c r="C25" s="1014"/>
      <c r="D25" s="1536">
        <v>0</v>
      </c>
      <c r="E25" s="1536">
        <v>0</v>
      </c>
      <c r="F25" s="1071">
        <f t="shared" si="0"/>
        <v>0</v>
      </c>
      <c r="G25" s="287"/>
      <c r="H25" s="288"/>
    </row>
    <row r="26" spans="1:8" s="91" customFormat="1" ht="13.5" customHeight="1" x14ac:dyDescent="0.2">
      <c r="A26" s="283"/>
      <c r="B26" s="1018" t="s">
        <v>177</v>
      </c>
      <c r="C26" s="1014"/>
      <c r="D26" s="1536">
        <v>0</v>
      </c>
      <c r="E26" s="1536">
        <v>0</v>
      </c>
      <c r="F26" s="1071">
        <f t="shared" si="0"/>
        <v>0</v>
      </c>
      <c r="G26" s="287"/>
      <c r="H26" s="288"/>
    </row>
    <row r="27" spans="1:8" s="91" customFormat="1" ht="13.5" customHeight="1" x14ac:dyDescent="0.2">
      <c r="A27" s="283"/>
      <c r="B27" s="1018" t="s">
        <v>3</v>
      </c>
      <c r="C27" s="1014"/>
      <c r="D27" s="1536">
        <v>0</v>
      </c>
      <c r="E27" s="1536">
        <v>0</v>
      </c>
      <c r="F27" s="1071">
        <f t="shared" si="0"/>
        <v>0</v>
      </c>
      <c r="G27" s="287"/>
      <c r="H27" s="288"/>
    </row>
    <row r="28" spans="1:8" s="91" customFormat="1" ht="13.5" customHeight="1" thickBot="1" x14ac:dyDescent="0.25">
      <c r="A28" s="283"/>
      <c r="B28" s="1023" t="s">
        <v>178</v>
      </c>
      <c r="C28" s="1024"/>
      <c r="D28" s="1068">
        <f>SUM(D22:D27)</f>
        <v>0</v>
      </c>
      <c r="E28" s="1069">
        <f>SUM(E22:E27)</f>
        <v>0</v>
      </c>
      <c r="F28" s="1070">
        <f>SUM(F22:F27)</f>
        <v>0</v>
      </c>
      <c r="G28" s="287"/>
      <c r="H28" s="288"/>
    </row>
    <row r="29" spans="1:8" s="91" customFormat="1" ht="13.5" customHeight="1" thickTop="1" x14ac:dyDescent="0.2">
      <c r="A29" s="283"/>
      <c r="B29" s="1018"/>
      <c r="C29" s="1014"/>
      <c r="D29" s="1015"/>
      <c r="E29" s="1025"/>
      <c r="F29" s="959"/>
      <c r="G29" s="287"/>
      <c r="H29" s="288"/>
    </row>
    <row r="30" spans="1:8" s="91" customFormat="1" ht="13.5" customHeight="1" x14ac:dyDescent="0.2">
      <c r="A30" s="283"/>
      <c r="B30" s="1023" t="s">
        <v>179</v>
      </c>
      <c r="C30" s="1024"/>
      <c r="D30" s="1026"/>
      <c r="E30" s="1027"/>
      <c r="F30" s="985"/>
      <c r="G30" s="287"/>
      <c r="H30" s="288"/>
    </row>
    <row r="31" spans="1:8" s="91" customFormat="1" ht="13.5" customHeight="1" x14ac:dyDescent="0.2">
      <c r="A31" s="283"/>
      <c r="B31" s="1023" t="s">
        <v>180</v>
      </c>
      <c r="C31" s="1024"/>
      <c r="D31" s="1026"/>
      <c r="E31" s="1027"/>
      <c r="F31" s="985"/>
      <c r="G31" s="959"/>
      <c r="H31" s="1017"/>
    </row>
    <row r="32" spans="1:8" s="91" customFormat="1" ht="13.5" customHeight="1" x14ac:dyDescent="0.2">
      <c r="A32" s="283"/>
      <c r="B32" s="1018"/>
      <c r="C32" s="1014"/>
      <c r="D32" s="1015"/>
      <c r="E32" s="1025"/>
      <c r="F32" s="959"/>
      <c r="G32" s="959"/>
      <c r="H32" s="1017"/>
    </row>
    <row r="33" spans="1:8" s="91" customFormat="1" ht="13.5" customHeight="1" x14ac:dyDescent="0.2">
      <c r="A33" s="283"/>
      <c r="B33" s="1023" t="s">
        <v>181</v>
      </c>
      <c r="C33" s="1014"/>
      <c r="D33" s="1534">
        <v>50</v>
      </c>
      <c r="E33" s="1025"/>
      <c r="F33" s="959"/>
      <c r="G33" s="959"/>
      <c r="H33" s="1017"/>
    </row>
    <row r="34" spans="1:8" s="91" customFormat="1" ht="13.5" customHeight="1" x14ac:dyDescent="0.2">
      <c r="A34" s="283"/>
      <c r="B34" s="1018"/>
      <c r="C34" s="1014"/>
      <c r="D34" s="1015"/>
      <c r="E34" s="1025"/>
      <c r="F34" s="959"/>
      <c r="G34" s="959"/>
      <c r="H34" s="1017"/>
    </row>
    <row r="35" spans="1:8" s="91" customFormat="1" ht="13.5" customHeight="1" x14ac:dyDescent="0.2">
      <c r="A35" s="283"/>
      <c r="B35" s="1023" t="s">
        <v>182</v>
      </c>
      <c r="C35" s="1024"/>
      <c r="D35" s="1534">
        <v>100</v>
      </c>
      <c r="E35" s="1025"/>
      <c r="F35" s="959"/>
      <c r="G35" s="959"/>
      <c r="H35" s="1017"/>
    </row>
    <row r="36" spans="1:8" s="91" customFormat="1" ht="13.5" customHeight="1" x14ac:dyDescent="0.2">
      <c r="A36" s="283"/>
      <c r="B36" s="1023"/>
      <c r="C36" s="1024"/>
      <c r="D36" s="1015"/>
      <c r="E36" s="1025"/>
      <c r="F36" s="959"/>
      <c r="G36" s="959"/>
      <c r="H36" s="1017"/>
    </row>
    <row r="37" spans="1:8" s="91" customFormat="1" ht="13.5" customHeight="1" x14ac:dyDescent="0.2">
      <c r="A37" s="283"/>
      <c r="B37" s="1023" t="s">
        <v>183</v>
      </c>
      <c r="C37" s="1024"/>
      <c r="D37" s="1074">
        <f>D33/D35</f>
        <v>0.5</v>
      </c>
      <c r="E37" s="1025"/>
      <c r="F37" s="959"/>
      <c r="G37" s="959"/>
      <c r="H37" s="1017"/>
    </row>
    <row r="38" spans="1:8" s="91" customFormat="1" ht="13.5" customHeight="1" x14ac:dyDescent="0.2">
      <c r="A38" s="283"/>
      <c r="B38" s="1023"/>
      <c r="C38" s="1024"/>
      <c r="D38" s="1015"/>
      <c r="E38" s="1025"/>
      <c r="F38" s="959"/>
      <c r="G38" s="959"/>
      <c r="H38" s="1017"/>
    </row>
    <row r="39" spans="1:8" s="91" customFormat="1" ht="13.5" customHeight="1" x14ac:dyDescent="0.2">
      <c r="A39" s="283"/>
      <c r="B39" s="1023" t="s">
        <v>184</v>
      </c>
      <c r="C39" s="1024"/>
      <c r="D39" s="1075">
        <f>ROUND(D37*D28,2)</f>
        <v>0</v>
      </c>
      <c r="E39" s="1076">
        <f>ROUND(D37*E28,2)</f>
        <v>0</v>
      </c>
      <c r="F39" s="1028"/>
      <c r="G39" s="1028"/>
      <c r="H39" s="1017"/>
    </row>
    <row r="40" spans="1:8" s="91" customFormat="1" ht="13.5" customHeight="1" x14ac:dyDescent="0.2">
      <c r="A40" s="283"/>
      <c r="B40" s="1023"/>
      <c r="C40" s="1024"/>
      <c r="D40" s="1029"/>
      <c r="E40" s="1030"/>
      <c r="F40" s="959"/>
      <c r="G40" s="959"/>
      <c r="H40" s="1017"/>
    </row>
    <row r="41" spans="1:8" s="91" customFormat="1" ht="13.5" customHeight="1" x14ac:dyDescent="0.2">
      <c r="A41" s="283"/>
      <c r="B41" s="1023" t="s">
        <v>185</v>
      </c>
      <c r="C41" s="1024"/>
      <c r="D41" s="1072">
        <f>D28-D39</f>
        <v>0</v>
      </c>
      <c r="E41" s="1073">
        <f>E28-E39</f>
        <v>0</v>
      </c>
      <c r="F41" s="959"/>
      <c r="G41" s="959"/>
      <c r="H41" s="1017"/>
    </row>
    <row r="42" spans="1:8" s="91" customFormat="1" ht="13.5" customHeight="1" x14ac:dyDescent="0.2">
      <c r="A42" s="283"/>
      <c r="B42" s="1018"/>
      <c r="C42" s="1014"/>
      <c r="D42" s="1031"/>
      <c r="E42" s="1032"/>
      <c r="F42" s="1028"/>
      <c r="G42" s="1028"/>
      <c r="H42" s="1017"/>
    </row>
    <row r="43" spans="1:8" s="91" customFormat="1" ht="13.5" customHeight="1" x14ac:dyDescent="0.2">
      <c r="A43" s="283"/>
      <c r="B43" s="1018" t="s">
        <v>186</v>
      </c>
      <c r="C43" s="1014"/>
      <c r="D43" s="1033"/>
      <c r="E43" s="1034"/>
      <c r="F43" s="1028"/>
      <c r="G43" s="1028"/>
      <c r="H43" s="1017"/>
    </row>
    <row r="44" spans="1:8" s="91" customFormat="1" ht="13.5" customHeight="1" x14ac:dyDescent="0.2">
      <c r="A44" s="283"/>
      <c r="B44" s="1035"/>
      <c r="C44" s="1035"/>
      <c r="D44" s="1036"/>
      <c r="E44" s="1037"/>
      <c r="F44" s="1028"/>
      <c r="G44" s="1028"/>
      <c r="H44" s="1017"/>
    </row>
    <row r="45" spans="1:8" s="91" customFormat="1" ht="13.5" customHeight="1" thickBot="1" x14ac:dyDescent="0.25">
      <c r="A45" s="283"/>
      <c r="B45" s="1038" t="s">
        <v>136</v>
      </c>
      <c r="C45" s="1038"/>
      <c r="D45" s="1078">
        <f>D41-D43</f>
        <v>0</v>
      </c>
      <c r="E45" s="1079">
        <f>E41-E43</f>
        <v>0</v>
      </c>
      <c r="F45" s="1039" t="s">
        <v>33</v>
      </c>
      <c r="G45" s="1077">
        <f>D45+E45</f>
        <v>0</v>
      </c>
      <c r="H45" s="1017"/>
    </row>
    <row r="46" spans="1:8" s="91" customFormat="1" ht="13.5" customHeight="1" thickTop="1" x14ac:dyDescent="0.2">
      <c r="A46" s="283"/>
      <c r="B46" s="1025"/>
      <c r="C46" s="1040"/>
      <c r="D46" s="1041"/>
      <c r="E46" s="1042"/>
      <c r="F46" s="1039" t="s">
        <v>187</v>
      </c>
      <c r="G46" s="1077">
        <f>E45*11</f>
        <v>0</v>
      </c>
      <c r="H46" s="1017"/>
    </row>
    <row r="47" spans="1:8" s="91" customFormat="1" ht="13.5" customHeight="1" x14ac:dyDescent="0.2">
      <c r="A47" s="283"/>
      <c r="B47" s="1014"/>
      <c r="C47" s="1018"/>
      <c r="D47" s="1043"/>
      <c r="E47" s="1014"/>
      <c r="F47" s="1039" t="s">
        <v>188</v>
      </c>
      <c r="G47" s="1077">
        <f>G45-G46</f>
        <v>0</v>
      </c>
      <c r="H47" s="1017"/>
    </row>
    <row r="48" spans="1:8" s="91" customFormat="1" ht="13.5" customHeight="1" x14ac:dyDescent="0.2">
      <c r="A48" s="283"/>
      <c r="B48" s="1044" t="s">
        <v>189</v>
      </c>
      <c r="C48" s="1013"/>
      <c r="D48" s="1045"/>
      <c r="E48" s="1015"/>
      <c r="F48" s="959"/>
      <c r="G48" s="959"/>
      <c r="H48" s="1017"/>
    </row>
    <row r="49" spans="1:8" s="91" customFormat="1" ht="13.5" customHeight="1" x14ac:dyDescent="0.2">
      <c r="A49" s="283"/>
      <c r="B49" s="1046"/>
      <c r="C49" s="1047"/>
      <c r="D49" s="1048"/>
      <c r="E49" s="1015"/>
      <c r="F49" s="959"/>
      <c r="G49" s="959"/>
      <c r="H49" s="1017"/>
    </row>
    <row r="50" spans="1:8" s="91" customFormat="1" ht="13.5" customHeight="1" x14ac:dyDescent="0.2">
      <c r="A50" s="317"/>
      <c r="B50" s="1049" t="s">
        <v>190</v>
      </c>
      <c r="C50" s="1050" t="s">
        <v>191</v>
      </c>
      <c r="D50" s="1051" t="s">
        <v>192</v>
      </c>
      <c r="E50" s="1052"/>
      <c r="F50" s="959"/>
      <c r="G50" s="959"/>
      <c r="H50" s="1017"/>
    </row>
    <row r="51" spans="1:8" s="91" customFormat="1" ht="13.5" customHeight="1" x14ac:dyDescent="0.2">
      <c r="A51" s="317"/>
      <c r="B51" s="1053" t="s">
        <v>193</v>
      </c>
      <c r="C51" s="1054" t="s">
        <v>194</v>
      </c>
      <c r="D51" s="1055"/>
      <c r="E51" s="1052"/>
      <c r="F51" s="959"/>
      <c r="G51" s="959"/>
      <c r="H51" s="1017"/>
    </row>
    <row r="52" spans="1:8" s="91" customFormat="1" ht="13.5" customHeight="1" x14ac:dyDescent="0.2">
      <c r="A52" s="317"/>
      <c r="B52" s="1049"/>
      <c r="C52" s="1050"/>
      <c r="D52" s="1051"/>
      <c r="E52" s="1052"/>
      <c r="F52" s="959"/>
      <c r="G52" s="959"/>
      <c r="H52" s="1017"/>
    </row>
    <row r="53" spans="1:8" s="91" customFormat="1" ht="13.5" customHeight="1" x14ac:dyDescent="0.2">
      <c r="A53" s="317"/>
      <c r="B53" s="1056"/>
      <c r="C53" s="1057"/>
      <c r="D53" s="1058">
        <f>B53*C53</f>
        <v>0</v>
      </c>
      <c r="E53" s="1052"/>
      <c r="F53" s="959"/>
      <c r="G53" s="959"/>
      <c r="H53" s="1017"/>
    </row>
    <row r="54" spans="1:8" s="91" customFormat="1" ht="13.5" customHeight="1" x14ac:dyDescent="0.2">
      <c r="A54" s="317"/>
      <c r="B54" s="1059"/>
      <c r="C54" s="1060"/>
      <c r="D54" s="1061"/>
      <c r="E54" s="1052"/>
      <c r="F54" s="959"/>
      <c r="G54" s="959"/>
      <c r="H54" s="1017"/>
    </row>
    <row r="55" spans="1:8" s="91" customFormat="1" ht="13.5" customHeight="1" x14ac:dyDescent="0.2">
      <c r="A55" s="318"/>
      <c r="B55" s="1062"/>
      <c r="C55" s="1063"/>
      <c r="D55" s="1064"/>
      <c r="E55" s="1065"/>
      <c r="F55" s="1066"/>
      <c r="G55" s="1066"/>
      <c r="H55" s="1067"/>
    </row>
  </sheetData>
  <customSheetViews>
    <customSheetView guid="{F72FE543-F911-423C-A34B-9CA018DFE603}" showPageBreaks="1" showGridLines="0" printArea="1" view="pageBreakPreview" topLeftCell="A16">
      <selection activeCell="F53" sqref="F53"/>
      <pageMargins left="0.74803149606299213" right="0.39370078740157483" top="0.55118110236220474" bottom="0.62992125984251968" header="0.51181102362204722" footer="0.47244094488188981"/>
      <pageSetup paperSize="9" scale="94"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2500-000000000000}"/>
  </hyperlinks>
  <pageMargins left="0.74803149606299213" right="0.39370078740157483" top="0.55118110236220474" bottom="0.62992125984251968" header="0.51181102362204722" footer="0.47244094488188981"/>
  <pageSetup paperSize="9" scale="80" orientation="portrait" r:id="rId2"/>
  <headerFooter alignWithMargins="0">
    <oddFooter>&amp;LPrinted:&amp;T on &amp;D</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202"/>
  <dimension ref="A1:L71"/>
  <sheetViews>
    <sheetView showGridLines="0" view="pageBreakPreview" zoomScaleNormal="50" workbookViewId="0">
      <selection activeCell="H4" sqref="H4"/>
    </sheetView>
  </sheetViews>
  <sheetFormatPr defaultColWidth="9.140625" defaultRowHeight="15" x14ac:dyDescent="0.25"/>
  <cols>
    <col min="1" max="1" width="12.140625" style="250" customWidth="1"/>
    <col min="2" max="2" width="11.42578125" style="250" customWidth="1"/>
    <col min="3" max="3" width="15.42578125" style="250" customWidth="1"/>
    <col min="4" max="12" width="15.5703125" style="250" customWidth="1"/>
    <col min="13" max="16384" width="9.140625" style="250"/>
  </cols>
  <sheetData>
    <row r="1" spans="1:12" ht="5.25" customHeight="1" thickBot="1" x14ac:dyDescent="0.3"/>
    <row r="2" spans="1:12" ht="19.899999999999999" customHeight="1" thickBot="1" x14ac:dyDescent="0.35">
      <c r="A2" s="2336" t="s">
        <v>44</v>
      </c>
      <c r="B2" s="2337"/>
      <c r="C2" s="2338"/>
      <c r="D2" s="251"/>
      <c r="E2" s="251"/>
      <c r="F2" s="251"/>
      <c r="G2" s="251"/>
      <c r="H2" s="252"/>
    </row>
    <row r="3" spans="1:12" ht="27" customHeight="1" x14ac:dyDescent="0.25">
      <c r="A3" s="253"/>
    </row>
    <row r="4" spans="1:12" ht="19.5" customHeight="1" x14ac:dyDescent="0.25">
      <c r="A4" s="251"/>
    </row>
    <row r="5" spans="1:12" ht="14.25" customHeight="1" x14ac:dyDescent="0.25">
      <c r="A5" s="254" t="s">
        <v>40</v>
      </c>
      <c r="B5" s="956" t="str">
        <f>'Index and Structure'!B2</f>
        <v>Nicolo Superannuation fund</v>
      </c>
      <c r="C5" s="1258"/>
      <c r="D5" s="260"/>
      <c r="E5" s="1259" t="s">
        <v>38</v>
      </c>
      <c r="F5" s="984" t="str">
        <f>'Index and Structure'!B5</f>
        <v>NICO0024</v>
      </c>
      <c r="G5" s="255"/>
      <c r="H5" s="256"/>
    </row>
    <row r="6" spans="1:12" ht="14.25" customHeight="1" x14ac:dyDescent="0.25">
      <c r="A6" s="436" t="s">
        <v>45</v>
      </c>
      <c r="B6" s="258" t="s">
        <v>489</v>
      </c>
      <c r="C6" s="259"/>
      <c r="D6" s="260"/>
      <c r="E6" s="438" t="s">
        <v>41</v>
      </c>
      <c r="F6" s="258" t="str">
        <f>'Index and Structure'!B6</f>
        <v>Liam Aubin</v>
      </c>
      <c r="G6" s="250" t="s">
        <v>42</v>
      </c>
      <c r="H6" s="264"/>
    </row>
    <row r="7" spans="1:12" ht="14.25" customHeight="1" x14ac:dyDescent="0.25">
      <c r="A7" s="439" t="s">
        <v>46</v>
      </c>
      <c r="B7" s="970" t="str">
        <f>'Index and Structure'!B4</f>
        <v>30 June 2022</v>
      </c>
      <c r="C7" s="267"/>
      <c r="D7" s="260"/>
      <c r="E7" s="440" t="s">
        <v>43</v>
      </c>
      <c r="F7" s="268" t="str">
        <f>'Index and Structure'!B7</f>
        <v>Nicole Bryant</v>
      </c>
      <c r="G7" s="441" t="s">
        <v>42</v>
      </c>
      <c r="H7" s="270"/>
    </row>
    <row r="8" spans="1:12" ht="9.75" customHeight="1" x14ac:dyDescent="0.25"/>
    <row r="9" spans="1:12" ht="30" customHeight="1" x14ac:dyDescent="0.25">
      <c r="A9" s="271"/>
      <c r="B9" s="272"/>
      <c r="C9" s="272"/>
      <c r="D9" s="272"/>
      <c r="E9" s="272"/>
      <c r="F9" s="1011"/>
      <c r="G9" s="1085"/>
      <c r="H9" s="271"/>
      <c r="I9" s="1086"/>
      <c r="J9" s="1086"/>
      <c r="K9" s="1086"/>
      <c r="L9" s="1087"/>
    </row>
    <row r="10" spans="1:12" s="91" customFormat="1" ht="13.5" customHeight="1" x14ac:dyDescent="0.2">
      <c r="A10" s="275"/>
      <c r="B10" s="276"/>
      <c r="C10" s="276"/>
      <c r="D10" s="276"/>
      <c r="E10" s="277"/>
      <c r="F10" s="278"/>
      <c r="G10" s="278"/>
      <c r="H10" s="1088"/>
      <c r="I10" s="1089"/>
      <c r="J10" s="1090"/>
      <c r="K10" s="1090"/>
      <c r="L10" s="1091"/>
    </row>
    <row r="11" spans="1:12" s="91" customFormat="1" ht="13.5" customHeight="1" x14ac:dyDescent="0.2">
      <c r="A11" s="1266" t="str">
        <f>B6</f>
        <v>Multiple vehicles</v>
      </c>
      <c r="B11" s="1263"/>
      <c r="C11" s="1092"/>
      <c r="D11" s="335"/>
      <c r="E11" s="335"/>
      <c r="F11" s="335"/>
      <c r="G11" s="1092"/>
      <c r="H11" s="1088"/>
      <c r="I11" s="1093"/>
      <c r="J11" s="1094"/>
      <c r="K11" s="1094"/>
      <c r="L11" s="1095"/>
    </row>
    <row r="12" spans="1:12" s="91" customFormat="1" ht="13.5" customHeight="1" x14ac:dyDescent="0.2">
      <c r="A12" s="331"/>
      <c r="B12" s="325"/>
      <c r="C12" s="335"/>
      <c r="D12" s="335"/>
      <c r="E12" s="335"/>
      <c r="F12" s="1096"/>
      <c r="G12" s="1096"/>
      <c r="H12" s="1088"/>
      <c r="I12" s="1093"/>
      <c r="J12" s="1094"/>
      <c r="K12" s="1094"/>
      <c r="L12" s="1095"/>
    </row>
    <row r="13" spans="1:12" s="91" customFormat="1" ht="13.5" customHeight="1" x14ac:dyDescent="0.2">
      <c r="A13" s="331"/>
      <c r="B13" s="325"/>
      <c r="C13" s="1097"/>
      <c r="D13" s="1098"/>
      <c r="E13" s="335"/>
      <c r="F13" s="1092"/>
      <c r="G13" s="1092"/>
      <c r="H13" s="1099"/>
      <c r="I13" s="1093"/>
      <c r="J13" s="1094"/>
      <c r="K13" s="1100"/>
      <c r="L13" s="1095"/>
    </row>
    <row r="14" spans="1:12" s="91" customFormat="1" ht="13.5" customHeight="1" x14ac:dyDescent="0.2">
      <c r="A14" s="331"/>
      <c r="B14" s="325"/>
      <c r="C14" s="1101"/>
      <c r="D14" s="1098"/>
      <c r="E14" s="324"/>
      <c r="F14" s="1092"/>
      <c r="G14" s="1092"/>
      <c r="H14" s="1099"/>
      <c r="I14" s="1093"/>
      <c r="J14" s="1094"/>
      <c r="K14" s="1100"/>
      <c r="L14" s="1095"/>
    </row>
    <row r="15" spans="1:12" s="91" customFormat="1" ht="13.5" customHeight="1" x14ac:dyDescent="0.2">
      <c r="A15" s="331"/>
      <c r="B15" s="1097"/>
      <c r="C15" s="335"/>
      <c r="D15" s="1098"/>
      <c r="E15" s="1102"/>
      <c r="F15" s="1092"/>
      <c r="G15" s="1092"/>
      <c r="H15" s="1099"/>
      <c r="I15" s="1093"/>
      <c r="J15" s="1094"/>
      <c r="K15" s="1100"/>
      <c r="L15" s="1095"/>
    </row>
    <row r="16" spans="1:12" s="91" customFormat="1" ht="13.5" customHeight="1" x14ac:dyDescent="0.2">
      <c r="A16" s="331"/>
      <c r="B16" s="1097"/>
      <c r="C16" s="325"/>
      <c r="D16" s="1098"/>
      <c r="E16" s="1102"/>
      <c r="F16" s="1092"/>
      <c r="G16" s="1092"/>
      <c r="H16" s="1099"/>
      <c r="I16" s="1093"/>
      <c r="J16" s="1094"/>
      <c r="K16" s="1094"/>
      <c r="L16" s="1095"/>
    </row>
    <row r="17" spans="1:12" s="91" customFormat="1" ht="13.5" customHeight="1" x14ac:dyDescent="0.2">
      <c r="A17" s="331"/>
      <c r="B17" s="1097"/>
      <c r="C17" s="1103"/>
      <c r="D17" s="1104"/>
      <c r="E17" s="1105"/>
      <c r="F17" s="1106"/>
      <c r="G17" s="1106"/>
      <c r="H17" s="1107"/>
      <c r="I17" s="1108"/>
      <c r="J17" s="1109"/>
      <c r="K17" s="1109"/>
      <c r="L17" s="1110"/>
    </row>
    <row r="18" spans="1:12" s="91" customFormat="1" ht="13.5" customHeight="1" x14ac:dyDescent="0.2">
      <c r="A18" s="331"/>
      <c r="B18" s="1111" t="s">
        <v>172</v>
      </c>
      <c r="C18" s="2540" t="s">
        <v>283</v>
      </c>
      <c r="D18" s="2541"/>
      <c r="E18" s="2540" t="s">
        <v>283</v>
      </c>
      <c r="F18" s="2541"/>
      <c r="G18" s="2540" t="s">
        <v>283</v>
      </c>
      <c r="H18" s="2541"/>
      <c r="I18" s="2540" t="s">
        <v>283</v>
      </c>
      <c r="J18" s="2541"/>
      <c r="K18" s="2539" t="s">
        <v>147</v>
      </c>
      <c r="L18" s="2539"/>
    </row>
    <row r="19" spans="1:12" s="91" customFormat="1" ht="13.5" customHeight="1" x14ac:dyDescent="0.2">
      <c r="A19" s="1112" t="s">
        <v>173</v>
      </c>
      <c r="B19" s="1113"/>
      <c r="C19" s="1114" t="s">
        <v>19</v>
      </c>
      <c r="D19" s="1115" t="s">
        <v>174</v>
      </c>
      <c r="E19" s="1116" t="s">
        <v>19</v>
      </c>
      <c r="F19" s="1115" t="s">
        <v>174</v>
      </c>
      <c r="G19" s="1116" t="s">
        <v>19</v>
      </c>
      <c r="H19" s="1115" t="s">
        <v>174</v>
      </c>
      <c r="I19" s="1116" t="s">
        <v>19</v>
      </c>
      <c r="J19" s="1115" t="s">
        <v>174</v>
      </c>
      <c r="K19" s="1116" t="s">
        <v>19</v>
      </c>
      <c r="L19" s="1115" t="s">
        <v>174</v>
      </c>
    </row>
    <row r="20" spans="1:12" s="91" customFormat="1" ht="13.5" customHeight="1" x14ac:dyDescent="0.2">
      <c r="A20" s="1117"/>
      <c r="B20" s="1111"/>
      <c r="C20" s="1118"/>
      <c r="D20" s="1119"/>
      <c r="E20" s="1120"/>
      <c r="F20" s="1119"/>
      <c r="G20" s="1120"/>
      <c r="H20" s="1119"/>
      <c r="I20" s="1121"/>
      <c r="J20" s="1095"/>
      <c r="K20" s="1121"/>
      <c r="L20" s="1095"/>
    </row>
    <row r="21" spans="1:12" s="91" customFormat="1" ht="13.5" customHeight="1" x14ac:dyDescent="0.2">
      <c r="A21" s="1122" t="s">
        <v>153</v>
      </c>
      <c r="B21" s="1113"/>
      <c r="C21" s="1123"/>
      <c r="D21" s="1124"/>
      <c r="E21" s="1125"/>
      <c r="F21" s="1124"/>
      <c r="G21" s="1125"/>
      <c r="H21" s="1124"/>
      <c r="I21" s="1126"/>
      <c r="J21" s="1127"/>
      <c r="K21" s="1121">
        <f t="shared" ref="K21:L26" si="0">C21+E21+G21+I21</f>
        <v>0</v>
      </c>
      <c r="L21" s="1128">
        <f t="shared" si="0"/>
        <v>0</v>
      </c>
    </row>
    <row r="22" spans="1:12" s="91" customFormat="1" ht="13.5" customHeight="1" x14ac:dyDescent="0.2">
      <c r="A22" s="1122" t="s">
        <v>175</v>
      </c>
      <c r="B22" s="1129"/>
      <c r="C22" s="1123"/>
      <c r="D22" s="1124"/>
      <c r="E22" s="1125"/>
      <c r="F22" s="1124"/>
      <c r="G22" s="1125"/>
      <c r="H22" s="1124"/>
      <c r="I22" s="1130"/>
      <c r="J22" s="1124"/>
      <c r="K22" s="1121">
        <f t="shared" si="0"/>
        <v>0</v>
      </c>
      <c r="L22" s="1128">
        <f t="shared" si="0"/>
        <v>0</v>
      </c>
    </row>
    <row r="23" spans="1:12" s="91" customFormat="1" ht="13.5" customHeight="1" x14ac:dyDescent="0.2">
      <c r="A23" s="1122" t="s">
        <v>5</v>
      </c>
      <c r="B23" s="1129"/>
      <c r="C23" s="1123"/>
      <c r="D23" s="1124"/>
      <c r="E23" s="1125"/>
      <c r="F23" s="1124"/>
      <c r="G23" s="1125"/>
      <c r="H23" s="1124"/>
      <c r="I23" s="1126"/>
      <c r="J23" s="1127"/>
      <c r="K23" s="1121">
        <f t="shared" si="0"/>
        <v>0</v>
      </c>
      <c r="L23" s="1128">
        <f t="shared" si="0"/>
        <v>0</v>
      </c>
    </row>
    <row r="24" spans="1:12" s="91" customFormat="1" ht="13.5" customHeight="1" x14ac:dyDescent="0.2">
      <c r="A24" s="1122" t="s">
        <v>176</v>
      </c>
      <c r="B24" s="1129"/>
      <c r="C24" s="1123"/>
      <c r="D24" s="1124"/>
      <c r="E24" s="1125"/>
      <c r="F24" s="1124"/>
      <c r="G24" s="1125"/>
      <c r="H24" s="1124"/>
      <c r="I24" s="1126"/>
      <c r="J24" s="1127"/>
      <c r="K24" s="1121">
        <f t="shared" si="0"/>
        <v>0</v>
      </c>
      <c r="L24" s="1128">
        <f t="shared" si="0"/>
        <v>0</v>
      </c>
    </row>
    <row r="25" spans="1:12" s="91" customFormat="1" ht="13.5" customHeight="1" x14ac:dyDescent="0.2">
      <c r="A25" s="1122" t="s">
        <v>177</v>
      </c>
      <c r="B25" s="1129"/>
      <c r="C25" s="1123"/>
      <c r="D25" s="1124"/>
      <c r="E25" s="1125"/>
      <c r="F25" s="1124"/>
      <c r="G25" s="1125"/>
      <c r="H25" s="1124"/>
      <c r="I25" s="1126"/>
      <c r="J25" s="1127">
        <v>0</v>
      </c>
      <c r="K25" s="1121">
        <f t="shared" si="0"/>
        <v>0</v>
      </c>
      <c r="L25" s="1128">
        <f t="shared" si="0"/>
        <v>0</v>
      </c>
    </row>
    <row r="26" spans="1:12" s="91" customFormat="1" ht="13.5" customHeight="1" x14ac:dyDescent="0.2">
      <c r="A26" s="1122" t="s">
        <v>3</v>
      </c>
      <c r="B26" s="1129"/>
      <c r="C26" s="1131"/>
      <c r="D26" s="1132"/>
      <c r="E26" s="1133"/>
      <c r="F26" s="1132"/>
      <c r="G26" s="1133"/>
      <c r="H26" s="1132"/>
      <c r="I26" s="1126"/>
      <c r="J26" s="1127">
        <f>I26/10</f>
        <v>0</v>
      </c>
      <c r="K26" s="1121">
        <f t="shared" si="0"/>
        <v>0</v>
      </c>
      <c r="L26" s="1128">
        <f t="shared" si="0"/>
        <v>0</v>
      </c>
    </row>
    <row r="27" spans="1:12" s="91" customFormat="1" ht="13.5" customHeight="1" thickBot="1" x14ac:dyDescent="0.25">
      <c r="A27" s="1134" t="s">
        <v>178</v>
      </c>
      <c r="B27" s="1129"/>
      <c r="C27" s="1135">
        <f t="shared" ref="C27:J27" si="1">SUM(C20:C26)</f>
        <v>0</v>
      </c>
      <c r="D27" s="1136">
        <f t="shared" si="1"/>
        <v>0</v>
      </c>
      <c r="E27" s="1135">
        <f t="shared" si="1"/>
        <v>0</v>
      </c>
      <c r="F27" s="1136">
        <f t="shared" si="1"/>
        <v>0</v>
      </c>
      <c r="G27" s="1135">
        <f t="shared" si="1"/>
        <v>0</v>
      </c>
      <c r="H27" s="1136">
        <f t="shared" si="1"/>
        <v>0</v>
      </c>
      <c r="I27" s="1137">
        <f t="shared" si="1"/>
        <v>0</v>
      </c>
      <c r="J27" s="1136">
        <f t="shared" si="1"/>
        <v>0</v>
      </c>
      <c r="K27" s="1137">
        <f>SUM(K20:K26)</f>
        <v>0</v>
      </c>
      <c r="L27" s="1136">
        <f>SUM(L20:L26)</f>
        <v>0</v>
      </c>
    </row>
    <row r="28" spans="1:12" s="91" customFormat="1" ht="13.5" customHeight="1" thickTop="1" x14ac:dyDescent="0.2">
      <c r="A28" s="1138"/>
      <c r="B28" s="1023"/>
      <c r="C28" s="1139"/>
      <c r="D28" s="1140"/>
      <c r="E28" s="1140"/>
      <c r="F28" s="1140"/>
      <c r="G28" s="1140"/>
      <c r="H28" s="1140"/>
      <c r="I28" s="1094"/>
      <c r="J28" s="1093"/>
      <c r="K28" s="1090"/>
      <c r="L28" s="1091"/>
    </row>
    <row r="29" spans="1:12" s="91" customFormat="1" ht="13.5" customHeight="1" x14ac:dyDescent="0.2">
      <c r="A29" s="1138" t="s">
        <v>181</v>
      </c>
      <c r="B29" s="1141"/>
      <c r="C29" s="1142"/>
      <c r="D29" s="1143">
        <v>100</v>
      </c>
      <c r="E29" s="1142"/>
      <c r="F29" s="1143">
        <v>100</v>
      </c>
      <c r="G29" s="1142"/>
      <c r="H29" s="1144">
        <v>100</v>
      </c>
      <c r="I29" s="1094"/>
      <c r="J29" s="1144">
        <v>100</v>
      </c>
      <c r="K29" s="1094"/>
      <c r="L29" s="1095"/>
    </row>
    <row r="30" spans="1:12" s="91" customFormat="1" ht="13.5" customHeight="1" x14ac:dyDescent="0.2">
      <c r="A30" s="1117"/>
      <c r="B30" s="1141"/>
      <c r="C30" s="961"/>
      <c r="D30" s="1145"/>
      <c r="E30" s="1146"/>
      <c r="F30" s="1142"/>
      <c r="G30" s="1142"/>
      <c r="H30" s="1147"/>
      <c r="I30" s="1094"/>
      <c r="J30" s="1147"/>
      <c r="K30" s="1094"/>
      <c r="L30" s="1095"/>
    </row>
    <row r="31" spans="1:12" s="91" customFormat="1" ht="13.5" customHeight="1" x14ac:dyDescent="0.2">
      <c r="A31" s="1138" t="s">
        <v>182</v>
      </c>
      <c r="B31" s="1141"/>
      <c r="C31" s="961"/>
      <c r="D31" s="1148">
        <v>100</v>
      </c>
      <c r="E31" s="1146"/>
      <c r="F31" s="1143">
        <v>100</v>
      </c>
      <c r="G31" s="1142"/>
      <c r="H31" s="1144">
        <v>100</v>
      </c>
      <c r="I31" s="1094"/>
      <c r="J31" s="1144">
        <v>100</v>
      </c>
      <c r="K31" s="1094"/>
      <c r="L31" s="1095"/>
    </row>
    <row r="32" spans="1:12" s="91" customFormat="1" ht="13.5" customHeight="1" x14ac:dyDescent="0.2">
      <c r="A32" s="1138"/>
      <c r="B32" s="1141"/>
      <c r="C32" s="961"/>
      <c r="D32" s="1149"/>
      <c r="E32" s="1146"/>
      <c r="F32" s="1150"/>
      <c r="G32" s="1142"/>
      <c r="H32" s="1151"/>
      <c r="I32" s="1094"/>
      <c r="J32" s="1151"/>
      <c r="K32" s="1094"/>
      <c r="L32" s="1095"/>
    </row>
    <row r="33" spans="1:12" s="91" customFormat="1" ht="13.5" customHeight="1" thickBot="1" x14ac:dyDescent="0.25">
      <c r="A33" s="1138" t="s">
        <v>183</v>
      </c>
      <c r="B33" s="1141"/>
      <c r="C33" s="961"/>
      <c r="D33" s="1152">
        <f>D29/D31</f>
        <v>1</v>
      </c>
      <c r="E33" s="1153"/>
      <c r="F33" s="1152">
        <f>F29/F31</f>
        <v>1</v>
      </c>
      <c r="G33" s="1153"/>
      <c r="H33" s="1154">
        <f>H29/H31</f>
        <v>1</v>
      </c>
      <c r="I33" s="1094"/>
      <c r="J33" s="1155">
        <f>J29/J31</f>
        <v>1</v>
      </c>
      <c r="K33" s="1094"/>
      <c r="L33" s="1095"/>
    </row>
    <row r="34" spans="1:12" s="91" customFormat="1" ht="13.5" customHeight="1" x14ac:dyDescent="0.2">
      <c r="A34" s="1138"/>
      <c r="B34" s="1141"/>
      <c r="C34" s="1106"/>
      <c r="D34" s="1156"/>
      <c r="E34" s="1156"/>
      <c r="F34" s="1156"/>
      <c r="G34" s="1106"/>
      <c r="H34" s="1157"/>
      <c r="I34" s="1109"/>
      <c r="J34" s="1158"/>
      <c r="K34" s="1109"/>
      <c r="L34" s="1110"/>
    </row>
    <row r="35" spans="1:12" s="91" customFormat="1" ht="13.5" customHeight="1" x14ac:dyDescent="0.2">
      <c r="A35" s="1138" t="s">
        <v>184</v>
      </c>
      <c r="B35" s="1141"/>
      <c r="C35" s="1159">
        <f>ROUND(C27*$D$33,2)</f>
        <v>0</v>
      </c>
      <c r="D35" s="1159">
        <f>ROUND(D27*$D$33,2)</f>
        <v>0</v>
      </c>
      <c r="E35" s="1159">
        <f>ROUND(E27*$F$33,2)</f>
        <v>0</v>
      </c>
      <c r="F35" s="1159">
        <f>ROUND(F27*$F$33,2)</f>
        <v>0</v>
      </c>
      <c r="G35" s="1159">
        <f>ROUND(G27*$H$33,2)</f>
        <v>0</v>
      </c>
      <c r="H35" s="1159">
        <f>ROUND(H27*$H$33,2)</f>
        <v>0</v>
      </c>
      <c r="I35" s="1159">
        <f>ROUND(I27*$J$33,2)</f>
        <v>0</v>
      </c>
      <c r="J35" s="1159">
        <f>ROUND(J27*$J$33,2)</f>
        <v>0</v>
      </c>
      <c r="K35" s="1160">
        <f>C35+E35+G35+I35</f>
        <v>0</v>
      </c>
      <c r="L35" s="1161">
        <f>D35+F35+H35+J35</f>
        <v>0</v>
      </c>
    </row>
    <row r="36" spans="1:12" s="91" customFormat="1" ht="13.5" customHeight="1" x14ac:dyDescent="0.2">
      <c r="A36" s="1138"/>
      <c r="B36" s="1141"/>
      <c r="C36" s="1156"/>
      <c r="D36" s="1156"/>
      <c r="E36" s="1156"/>
      <c r="F36" s="1156"/>
      <c r="G36" s="1156"/>
      <c r="H36" s="1157"/>
      <c r="I36" s="1157"/>
      <c r="J36" s="1157"/>
      <c r="K36" s="1162"/>
      <c r="L36" s="1163"/>
    </row>
    <row r="37" spans="1:12" s="91" customFormat="1" ht="13.5" customHeight="1" x14ac:dyDescent="0.2">
      <c r="A37" s="1138" t="s">
        <v>185</v>
      </c>
      <c r="B37" s="1141"/>
      <c r="C37" s="1159">
        <f t="shared" ref="C37:J37" si="2">C27-C35</f>
        <v>0</v>
      </c>
      <c r="D37" s="1159">
        <f t="shared" si="2"/>
        <v>0</v>
      </c>
      <c r="E37" s="1159">
        <f t="shared" si="2"/>
        <v>0</v>
      </c>
      <c r="F37" s="1159">
        <f t="shared" si="2"/>
        <v>0</v>
      </c>
      <c r="G37" s="1159">
        <f t="shared" si="2"/>
        <v>0</v>
      </c>
      <c r="H37" s="1159">
        <f t="shared" si="2"/>
        <v>0</v>
      </c>
      <c r="I37" s="1159">
        <f t="shared" si="2"/>
        <v>0</v>
      </c>
      <c r="J37" s="1159">
        <f t="shared" si="2"/>
        <v>0</v>
      </c>
      <c r="K37" s="1164">
        <f>C37+E37+G37+I37</f>
        <v>0</v>
      </c>
      <c r="L37" s="1165">
        <f>D37+F37+H37+J37</f>
        <v>0</v>
      </c>
    </row>
    <row r="38" spans="1:12" s="91" customFormat="1" ht="13.5" customHeight="1" x14ac:dyDescent="0.2">
      <c r="A38" s="1138"/>
      <c r="B38" s="1141"/>
      <c r="C38" s="1096"/>
      <c r="D38" s="1166"/>
      <c r="E38" s="1096"/>
      <c r="F38" s="1096"/>
      <c r="G38" s="1096"/>
      <c r="H38" s="1167"/>
      <c r="I38" s="1094"/>
      <c r="J38" s="1094"/>
      <c r="K38" s="1090"/>
      <c r="L38" s="1091"/>
    </row>
    <row r="39" spans="1:12" s="91" customFormat="1" ht="13.5" customHeight="1" x14ac:dyDescent="0.2">
      <c r="A39" s="1138"/>
      <c r="B39" s="1168"/>
      <c r="C39" s="1092"/>
      <c r="D39" s="1169"/>
      <c r="E39" s="1096"/>
      <c r="F39" s="1092"/>
      <c r="G39" s="1092"/>
      <c r="H39" s="1170"/>
      <c r="I39" s="1168" t="s">
        <v>186</v>
      </c>
      <c r="J39" s="1094"/>
      <c r="K39" s="1171"/>
      <c r="L39" s="1172"/>
    </row>
    <row r="40" spans="1:12" s="91" customFormat="1" ht="13.5" customHeight="1" x14ac:dyDescent="0.2">
      <c r="A40" s="1138"/>
      <c r="B40" s="1173"/>
      <c r="C40" s="1174"/>
      <c r="D40" s="1175"/>
      <c r="E40" s="1176"/>
      <c r="F40" s="1106"/>
      <c r="G40" s="1106"/>
      <c r="H40" s="1177"/>
      <c r="I40" s="1109"/>
      <c r="J40" s="1109"/>
      <c r="K40" s="1109"/>
      <c r="L40" s="1110"/>
    </row>
    <row r="41" spans="1:12" s="91" customFormat="1" ht="13.5" customHeight="1" thickBot="1" x14ac:dyDescent="0.25">
      <c r="A41" s="1138"/>
      <c r="B41" s="1141"/>
      <c r="C41" s="1141"/>
      <c r="D41" s="1141"/>
      <c r="E41" s="1141"/>
      <c r="F41" s="1141"/>
      <c r="G41" s="1141"/>
      <c r="H41" s="1141"/>
      <c r="I41" s="1178" t="s">
        <v>136</v>
      </c>
      <c r="J41" s="1179"/>
      <c r="K41" s="1180">
        <f>K37-K39</f>
        <v>0</v>
      </c>
      <c r="L41" s="1181">
        <f>L37-L39</f>
        <v>0</v>
      </c>
    </row>
    <row r="42" spans="1:12" s="91" customFormat="1" ht="13.5" customHeight="1" thickTop="1" x14ac:dyDescent="0.2">
      <c r="A42" s="1138"/>
      <c r="B42" s="1174"/>
      <c r="C42" s="1174"/>
      <c r="D42" s="1174"/>
      <c r="E42" s="1174"/>
      <c r="F42" s="1174"/>
      <c r="G42" s="1174"/>
      <c r="H42" s="1174"/>
      <c r="I42" s="1174"/>
      <c r="J42" s="1174" t="s">
        <v>33</v>
      </c>
      <c r="K42" s="1171">
        <f>K41+L41</f>
        <v>0</v>
      </c>
      <c r="L42" s="1095"/>
    </row>
    <row r="43" spans="1:12" s="91" customFormat="1" ht="13.5" customHeight="1" x14ac:dyDescent="0.2">
      <c r="A43" s="1138"/>
      <c r="B43" s="1174"/>
      <c r="C43" s="1174"/>
      <c r="D43" s="1174"/>
      <c r="E43" s="1174"/>
      <c r="F43" s="1174"/>
      <c r="G43" s="1174"/>
      <c r="H43" s="1174"/>
      <c r="I43" s="1174"/>
      <c r="J43" s="1174" t="s">
        <v>187</v>
      </c>
      <c r="K43" s="1171">
        <f>L41*11</f>
        <v>0</v>
      </c>
      <c r="L43" s="1095"/>
    </row>
    <row r="44" spans="1:12" s="91" customFormat="1" ht="13.5" customHeight="1" x14ac:dyDescent="0.2">
      <c r="A44" s="1138"/>
      <c r="B44" s="1174"/>
      <c r="C44" s="1174"/>
      <c r="D44" s="1174"/>
      <c r="E44" s="1174"/>
      <c r="F44" s="1174"/>
      <c r="G44" s="1174"/>
      <c r="H44" s="1174"/>
      <c r="I44" s="1174"/>
      <c r="J44" s="1174" t="s">
        <v>188</v>
      </c>
      <c r="K44" s="1171">
        <f>K42-K43</f>
        <v>0</v>
      </c>
      <c r="L44" s="1095"/>
    </row>
    <row r="45" spans="1:12" s="91" customFormat="1" ht="13.5" customHeight="1" x14ac:dyDescent="0.2">
      <c r="A45" s="1182"/>
      <c r="B45" s="1294"/>
      <c r="C45" s="1294"/>
      <c r="D45" s="1294"/>
      <c r="E45" s="1294"/>
      <c r="F45" s="1294"/>
      <c r="G45" s="1294"/>
      <c r="H45" s="1294"/>
      <c r="I45" s="1294"/>
      <c r="J45" s="1294"/>
      <c r="K45" s="1182"/>
      <c r="L45" s="1182"/>
    </row>
    <row r="46" spans="1:12" s="91" customFormat="1" ht="13.5" customHeight="1" x14ac:dyDescent="0.2">
      <c r="A46" s="1183"/>
      <c r="B46" s="1183"/>
      <c r="C46" s="1184"/>
      <c r="D46" s="1184"/>
      <c r="E46" s="1184"/>
      <c r="F46" s="1185"/>
      <c r="G46" s="1185"/>
      <c r="H46" s="1185"/>
    </row>
    <row r="47" spans="1:12" s="91" customFormat="1" ht="13.5" customHeight="1" x14ac:dyDescent="0.2">
      <c r="A47" s="1183"/>
      <c r="B47" s="1183"/>
      <c r="C47" s="1183"/>
      <c r="D47" s="1183"/>
      <c r="E47" s="1183"/>
      <c r="F47" s="1186"/>
      <c r="G47" s="1186"/>
      <c r="H47" s="1183"/>
    </row>
    <row r="48" spans="1:12" s="91" customFormat="1" ht="13.5" customHeight="1" x14ac:dyDescent="0.2">
      <c r="A48" s="1187"/>
      <c r="B48" s="1188"/>
      <c r="C48" s="1189"/>
      <c r="D48" s="1189"/>
      <c r="E48" s="1189"/>
      <c r="F48" s="1190"/>
      <c r="G48" s="1190"/>
      <c r="H48" s="1190"/>
    </row>
    <row r="49" spans="1:8" s="91" customFormat="1" ht="13.5" customHeight="1" x14ac:dyDescent="0.2">
      <c r="A49" s="1187"/>
      <c r="B49" s="1188"/>
      <c r="C49" s="1189"/>
      <c r="D49" s="1189"/>
      <c r="E49" s="1189"/>
      <c r="F49" s="1190"/>
      <c r="G49" s="1190"/>
      <c r="H49" s="1190"/>
    </row>
    <row r="50" spans="1:8" s="91" customFormat="1" ht="13.5" customHeight="1" x14ac:dyDescent="0.2">
      <c r="A50" s="1187"/>
      <c r="B50" s="1188"/>
      <c r="C50" s="1189"/>
      <c r="D50" s="1189"/>
      <c r="E50" s="1189"/>
      <c r="F50" s="1190"/>
      <c r="G50" s="1190"/>
      <c r="H50" s="1190"/>
    </row>
    <row r="51" spans="1:8" s="91" customFormat="1" ht="13.5" customHeight="1" x14ac:dyDescent="0.2">
      <c r="A51" s="1187"/>
      <c r="B51" s="1188"/>
      <c r="C51" s="1183"/>
      <c r="D51" s="1189"/>
      <c r="E51" s="1189"/>
      <c r="F51" s="1190"/>
      <c r="G51" s="1190"/>
      <c r="H51" s="1190"/>
    </row>
    <row r="52" spans="1:8" s="91" customFormat="1" ht="13.5" customHeight="1" x14ac:dyDescent="0.2">
      <c r="A52" s="1187"/>
      <c r="B52" s="1188"/>
      <c r="C52" s="1183"/>
      <c r="D52" s="1189"/>
      <c r="E52" s="1189"/>
      <c r="F52" s="1190"/>
      <c r="G52" s="1190"/>
      <c r="H52" s="1190"/>
    </row>
    <row r="53" spans="1:8" s="91" customFormat="1" ht="13.5" customHeight="1" x14ac:dyDescent="0.2">
      <c r="A53" s="1187"/>
      <c r="B53" s="1188"/>
      <c r="C53" s="1183"/>
      <c r="D53" s="1191"/>
      <c r="E53" s="1189"/>
      <c r="F53" s="1190"/>
      <c r="G53" s="1190"/>
      <c r="H53" s="1190"/>
    </row>
    <row r="54" spans="1:8" s="91" customFormat="1" ht="13.5" customHeight="1" x14ac:dyDescent="0.2">
      <c r="A54" s="1187"/>
      <c r="B54" s="1188"/>
      <c r="C54" s="1183"/>
      <c r="D54" s="1189"/>
      <c r="E54" s="1189"/>
      <c r="F54" s="1192"/>
      <c r="G54" s="1192"/>
      <c r="H54" s="1192"/>
    </row>
    <row r="55" spans="1:8" s="91" customFormat="1" ht="13.5" customHeight="1" x14ac:dyDescent="0.2">
      <c r="A55" s="1187"/>
      <c r="B55" s="1188"/>
      <c r="C55" s="1183"/>
      <c r="D55" s="1193"/>
      <c r="E55" s="1193"/>
      <c r="F55" s="1194"/>
      <c r="G55" s="1194"/>
      <c r="H55" s="1189"/>
    </row>
    <row r="56" spans="1:8" s="91" customFormat="1" ht="13.5" customHeight="1" x14ac:dyDescent="0.2">
      <c r="A56" s="1187"/>
      <c r="B56" s="1188"/>
      <c r="C56" s="1183"/>
      <c r="D56" s="1193"/>
      <c r="E56" s="1193"/>
      <c r="F56" s="1195"/>
      <c r="G56" s="1195"/>
      <c r="H56" s="1189"/>
    </row>
    <row r="57" spans="1:8" s="91" customFormat="1" ht="13.5" customHeight="1" x14ac:dyDescent="0.2">
      <c r="A57" s="1187"/>
      <c r="B57" s="1188"/>
      <c r="C57" s="1183"/>
      <c r="D57" s="1196"/>
      <c r="E57" s="1196"/>
      <c r="F57" s="1195"/>
      <c r="G57" s="1195"/>
      <c r="H57" s="1189"/>
    </row>
    <row r="58" spans="1:8" s="91" customFormat="1" ht="13.5" customHeight="1" x14ac:dyDescent="0.2">
      <c r="A58" s="1187"/>
      <c r="B58" s="1188"/>
      <c r="C58" s="1189"/>
      <c r="D58" s="1193"/>
      <c r="E58" s="1193"/>
      <c r="F58" s="1194"/>
      <c r="G58" s="1194"/>
      <c r="H58" s="1189"/>
    </row>
    <row r="59" spans="1:8" s="91" customFormat="1" ht="13.5" customHeight="1" x14ac:dyDescent="0.2">
      <c r="A59" s="1187"/>
      <c r="B59" s="1188"/>
      <c r="C59" s="1189"/>
      <c r="D59" s="1193"/>
      <c r="E59" s="1193"/>
      <c r="F59" s="1194"/>
      <c r="G59" s="1194"/>
      <c r="H59" s="1189"/>
    </row>
    <row r="60" spans="1:8" s="91" customFormat="1" ht="13.5" customHeight="1" x14ac:dyDescent="0.2">
      <c r="A60" s="1187"/>
      <c r="B60" s="1188"/>
      <c r="C60" s="1197"/>
      <c r="D60" s="1198"/>
      <c r="E60" s="1193"/>
      <c r="F60" s="1194"/>
      <c r="G60" s="1194"/>
      <c r="H60" s="1189"/>
    </row>
    <row r="61" spans="1:8" s="91" customFormat="1" ht="13.5" customHeight="1" x14ac:dyDescent="0.2">
      <c r="A61" s="1187"/>
      <c r="B61" s="1188"/>
      <c r="C61" s="1188"/>
      <c r="D61" s="1199"/>
      <c r="E61" s="1196"/>
      <c r="F61" s="1200"/>
      <c r="G61" s="1201"/>
      <c r="H61" s="1189"/>
    </row>
    <row r="62" spans="1:8" s="91" customFormat="1" ht="13.5" customHeight="1" x14ac:dyDescent="0.2">
      <c r="A62" s="1187"/>
      <c r="B62" s="1188"/>
      <c r="C62" s="1202"/>
      <c r="D62" s="1198"/>
      <c r="E62" s="1203"/>
      <c r="F62" s="1200"/>
      <c r="G62" s="1201"/>
      <c r="H62" s="1189"/>
    </row>
    <row r="63" spans="1:8" s="91" customFormat="1" ht="13.5" customHeight="1" x14ac:dyDescent="0.2">
      <c r="A63" s="1204"/>
      <c r="B63" s="1197"/>
      <c r="C63" s="1202"/>
      <c r="D63" s="1205"/>
      <c r="E63" s="1189"/>
      <c r="F63" s="1200"/>
      <c r="G63" s="1206"/>
      <c r="H63" s="1189"/>
    </row>
    <row r="64" spans="1:8" s="91" customFormat="1" ht="13.5" customHeight="1" x14ac:dyDescent="0.2">
      <c r="A64" s="1204"/>
      <c r="B64" s="1207"/>
      <c r="C64" s="1208"/>
      <c r="D64" s="1209"/>
      <c r="E64" s="1189"/>
      <c r="F64" s="1195"/>
      <c r="G64" s="1195"/>
      <c r="H64" s="1189"/>
    </row>
    <row r="65" spans="1:8" s="91" customFormat="1" ht="13.5" customHeight="1" x14ac:dyDescent="0.2">
      <c r="A65" s="1204"/>
      <c r="B65" s="1210"/>
      <c r="C65" s="1188"/>
      <c r="D65" s="1211"/>
      <c r="E65" s="1189"/>
      <c r="F65" s="1195"/>
      <c r="G65" s="1195"/>
      <c r="H65" s="1189"/>
    </row>
    <row r="66" spans="1:8" s="91" customFormat="1" ht="13.5" customHeight="1" x14ac:dyDescent="0.2">
      <c r="A66" s="1204"/>
      <c r="B66" s="1210"/>
      <c r="C66" s="1188"/>
      <c r="D66" s="1188"/>
      <c r="E66" s="1189"/>
      <c r="F66" s="1195"/>
      <c r="G66" s="1195"/>
      <c r="H66" s="1189"/>
    </row>
    <row r="67" spans="1:8" s="91" customFormat="1" ht="13.5" customHeight="1" x14ac:dyDescent="0.2">
      <c r="A67" s="1204"/>
      <c r="B67" s="1210"/>
      <c r="C67" s="1188"/>
      <c r="D67" s="1188"/>
      <c r="E67" s="1189"/>
      <c r="F67" s="1195"/>
      <c r="G67" s="1195"/>
      <c r="H67" s="1189"/>
    </row>
    <row r="68" spans="1:8" s="91" customFormat="1" ht="13.5" customHeight="1" x14ac:dyDescent="0.2">
      <c r="A68" s="1204"/>
      <c r="B68" s="1210"/>
      <c r="C68" s="1188"/>
      <c r="D68" s="1211"/>
      <c r="E68" s="1189"/>
      <c r="F68" s="1195"/>
      <c r="G68" s="1195"/>
      <c r="H68" s="1189"/>
    </row>
    <row r="69" spans="1:8" s="91" customFormat="1" ht="13.5" customHeight="1" x14ac:dyDescent="0.2">
      <c r="A69" s="1204"/>
      <c r="B69" s="1210"/>
      <c r="C69" s="1188"/>
      <c r="D69" s="1211"/>
      <c r="E69" s="1189"/>
      <c r="F69" s="1195"/>
      <c r="G69" s="1195"/>
      <c r="H69" s="1189"/>
    </row>
    <row r="70" spans="1:8" s="91" customFormat="1" ht="13.5" customHeight="1" x14ac:dyDescent="0.2">
      <c r="A70" s="1204"/>
      <c r="B70" s="1197"/>
      <c r="C70" s="1202"/>
      <c r="D70" s="1205"/>
      <c r="E70" s="1189"/>
      <c r="F70" s="1195"/>
      <c r="G70" s="1195"/>
      <c r="H70" s="1189"/>
    </row>
    <row r="71" spans="1:8" s="91" customFormat="1" ht="13.5" customHeight="1" x14ac:dyDescent="0.2">
      <c r="A71" s="1204"/>
      <c r="B71" s="1197"/>
      <c r="C71" s="1202"/>
      <c r="D71" s="1205"/>
      <c r="E71" s="1189"/>
      <c r="F71" s="1195"/>
      <c r="G71" s="1195"/>
      <c r="H71" s="1189"/>
    </row>
  </sheetData>
  <mergeCells count="6">
    <mergeCell ref="K18:L18"/>
    <mergeCell ref="A2:C2"/>
    <mergeCell ref="C18:D18"/>
    <mergeCell ref="E18:F18"/>
    <mergeCell ref="G18:H18"/>
    <mergeCell ref="I18:J18"/>
  </mergeCells>
  <hyperlinks>
    <hyperlink ref="A2" location="'Index and Structure'!A1" display="The Macro Group" xr:uid="{00000000-0004-0000-2600-000000000000}"/>
  </hyperlinks>
  <pageMargins left="0.74803149606299213" right="0.39370078740157483" top="0.55118110236220474" bottom="0.62992125984251968" header="0.51181102362204722" footer="0.47244094488188981"/>
  <pageSetup paperSize="9" scale="72" orientation="landscape" r:id="rId1"/>
  <headerFooter alignWithMargins="0">
    <oddFooter>&amp;LPrinted:&amp;T on &amp;D</oddFooter>
  </headerFooter>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196"/>
  <dimension ref="A1:I91"/>
  <sheetViews>
    <sheetView showGridLines="0" view="pageBreakPreview" zoomScaleNormal="50" zoomScaleSheetLayoutView="100" workbookViewId="0">
      <selection activeCell="E24" sqref="E24"/>
    </sheetView>
  </sheetViews>
  <sheetFormatPr defaultColWidth="9.140625" defaultRowHeight="15" x14ac:dyDescent="0.25"/>
  <cols>
    <col min="1" max="1" width="13.140625" style="250" customWidth="1"/>
    <col min="2" max="2" width="22.7109375" style="250" customWidth="1"/>
    <col min="3" max="3" width="21.7109375" style="250" customWidth="1"/>
    <col min="4" max="4" width="12.5703125" style="250" customWidth="1"/>
    <col min="5" max="5" width="17.5703125" style="250" customWidth="1"/>
    <col min="6" max="6" width="17.42578125" style="250" customWidth="1"/>
    <col min="7" max="8" width="18.7109375" style="250" customWidth="1"/>
    <col min="9" max="9" width="9.140625" style="250" bestFit="1" customWidth="1"/>
    <col min="10" max="11" width="10.42578125" style="250" customWidth="1"/>
    <col min="12" max="16384" width="9.140625" style="250"/>
  </cols>
  <sheetData>
    <row r="1" spans="1:9" ht="5.25" customHeight="1" thickBot="1" x14ac:dyDescent="0.3"/>
    <row r="2" spans="1:9" ht="19.899999999999999" customHeight="1" thickBot="1" x14ac:dyDescent="0.35">
      <c r="A2" s="2336" t="s">
        <v>44</v>
      </c>
      <c r="B2" s="2337"/>
      <c r="C2" s="2338"/>
      <c r="D2" s="251"/>
      <c r="E2" s="251"/>
      <c r="F2" s="251"/>
      <c r="G2" s="251"/>
      <c r="H2" s="251"/>
      <c r="I2" s="252"/>
    </row>
    <row r="3" spans="1:9" ht="27" customHeight="1" x14ac:dyDescent="0.25">
      <c r="A3" s="253"/>
    </row>
    <row r="4" spans="1:9" ht="19.5" customHeight="1" x14ac:dyDescent="0.25">
      <c r="A4" s="251"/>
    </row>
    <row r="5" spans="1:9" ht="14.25" customHeight="1" x14ac:dyDescent="0.25">
      <c r="A5" s="254" t="s">
        <v>40</v>
      </c>
      <c r="B5" s="956" t="str">
        <f>'Index and Structure'!B2</f>
        <v>Nicolo Superannuation fund</v>
      </c>
      <c r="C5" s="1258"/>
      <c r="D5" s="260"/>
      <c r="E5" s="1259" t="s">
        <v>38</v>
      </c>
      <c r="F5" s="984" t="str">
        <f>'Index and Structure'!B5</f>
        <v>NICO0024</v>
      </c>
      <c r="G5" s="255"/>
      <c r="H5" s="256"/>
    </row>
    <row r="6" spans="1:9" ht="14.25" customHeight="1" x14ac:dyDescent="0.25">
      <c r="A6" s="436" t="s">
        <v>45</v>
      </c>
      <c r="B6" s="258" t="str">
        <f>'Index and Structure'!F36</f>
        <v>Car purchase worksheet</v>
      </c>
      <c r="C6" s="259"/>
      <c r="D6" s="260"/>
      <c r="E6" s="438" t="s">
        <v>41</v>
      </c>
      <c r="F6" s="258" t="str">
        <f>'Index and Structure'!B6</f>
        <v>Liam Aubin</v>
      </c>
      <c r="G6" s="1876" t="s">
        <v>42</v>
      </c>
      <c r="H6" s="264"/>
    </row>
    <row r="7" spans="1:9" ht="14.25" customHeight="1" x14ac:dyDescent="0.25">
      <c r="A7" s="439" t="s">
        <v>46</v>
      </c>
      <c r="B7" s="266" t="str">
        <f>'Index and Structure'!B4</f>
        <v>30 June 2022</v>
      </c>
      <c r="C7" s="267"/>
      <c r="D7" s="260"/>
      <c r="E7" s="440" t="s">
        <v>43</v>
      </c>
      <c r="F7" s="268" t="str">
        <f>'Index and Structure'!B7</f>
        <v>Nicole Bryant</v>
      </c>
      <c r="G7" s="1877" t="s">
        <v>42</v>
      </c>
      <c r="H7" s="270"/>
    </row>
    <row r="8" spans="1:9" ht="16.5" customHeight="1" x14ac:dyDescent="0.25"/>
    <row r="9" spans="1:9" ht="30" customHeight="1" x14ac:dyDescent="0.25">
      <c r="A9" s="271"/>
      <c r="B9" s="272"/>
      <c r="C9" s="272"/>
      <c r="D9" s="272"/>
      <c r="E9" s="1011">
        <f>'Index and Structure'!D4</f>
        <v>2022</v>
      </c>
      <c r="F9" s="272"/>
      <c r="G9" s="272"/>
      <c r="H9" s="272"/>
      <c r="I9" s="274"/>
    </row>
    <row r="10" spans="1:9" s="91" customFormat="1" ht="13.5" customHeight="1" x14ac:dyDescent="0.2">
      <c r="A10" s="275"/>
      <c r="B10" s="276"/>
      <c r="C10" s="276"/>
      <c r="D10" s="276"/>
      <c r="E10" s="278"/>
      <c r="F10" s="1218"/>
      <c r="G10" s="1218"/>
      <c r="H10" s="2122"/>
      <c r="I10" s="279"/>
    </row>
    <row r="11" spans="1:9" s="91" customFormat="1" ht="13.5" customHeight="1" x14ac:dyDescent="0.2">
      <c r="A11" s="1875" t="str">
        <f>B6</f>
        <v>Car purchase worksheet</v>
      </c>
      <c r="B11" s="276"/>
      <c r="C11" s="276"/>
      <c r="D11" s="276"/>
      <c r="E11" s="278"/>
      <c r="F11" s="1218"/>
      <c r="G11" s="1218"/>
      <c r="H11" s="2122"/>
      <c r="I11" s="279"/>
    </row>
    <row r="12" spans="1:9" s="91" customFormat="1" ht="13.5" customHeight="1" x14ac:dyDescent="0.2">
      <c r="A12" s="275"/>
      <c r="B12" s="276"/>
      <c r="C12" s="276"/>
      <c r="D12" s="276"/>
      <c r="E12" s="278"/>
      <c r="F12" s="1218"/>
      <c r="G12" s="1218"/>
      <c r="H12" s="2122"/>
      <c r="I12" s="279"/>
    </row>
    <row r="13" spans="1:9" s="91" customFormat="1" ht="13.5" customHeight="1" x14ac:dyDescent="0.2">
      <c r="A13" s="1266"/>
      <c r="B13" s="1263"/>
      <c r="C13" s="325" t="s">
        <v>639</v>
      </c>
      <c r="D13" s="335"/>
      <c r="E13" s="1687" t="s">
        <v>640</v>
      </c>
      <c r="F13" s="1218"/>
      <c r="G13" s="1218"/>
      <c r="H13" s="2122"/>
      <c r="I13" s="279"/>
    </row>
    <row r="14" spans="1:9" s="91" customFormat="1" ht="13.5" customHeight="1" x14ac:dyDescent="0.2">
      <c r="A14" s="1213" t="s">
        <v>212</v>
      </c>
      <c r="B14" s="1214"/>
      <c r="C14" s="1214"/>
      <c r="D14" s="1901">
        <f>'Index and Structure'!D4</f>
        <v>2022</v>
      </c>
      <c r="E14" s="1924">
        <f>H15</f>
        <v>60733</v>
      </c>
      <c r="F14" s="2124"/>
      <c r="G14" s="2542" t="s">
        <v>795</v>
      </c>
      <c r="H14" s="2543"/>
      <c r="I14" s="1255"/>
    </row>
    <row r="15" spans="1:9" s="91" customFormat="1" ht="13.5" customHeight="1" x14ac:dyDescent="0.2">
      <c r="A15" s="1213" t="s">
        <v>211</v>
      </c>
      <c r="B15" s="1214"/>
      <c r="C15" s="1141"/>
      <c r="D15" s="1215"/>
      <c r="E15" s="1925">
        <f>IF(E13="Yes",(E14/11),0)</f>
        <v>5521.181818181818</v>
      </c>
      <c r="F15" s="2124"/>
      <c r="G15" s="1514" t="s">
        <v>959</v>
      </c>
      <c r="H15" s="2134">
        <v>60733</v>
      </c>
      <c r="I15" s="1255"/>
    </row>
    <row r="16" spans="1:9" s="91" customFormat="1" ht="13.5" customHeight="1" x14ac:dyDescent="0.2">
      <c r="A16" s="275"/>
      <c r="B16" s="276"/>
      <c r="C16" s="276"/>
      <c r="D16" s="276"/>
      <c r="F16" s="2124"/>
      <c r="G16" s="1514" t="s">
        <v>801</v>
      </c>
      <c r="H16" s="2134">
        <v>59136</v>
      </c>
      <c r="I16" s="1255"/>
    </row>
    <row r="17" spans="1:9" s="91" customFormat="1" ht="13.5" customHeight="1" x14ac:dyDescent="0.2">
      <c r="A17" s="1257" t="s">
        <v>523</v>
      </c>
      <c r="B17" s="1214"/>
      <c r="C17" s="1219"/>
      <c r="D17" s="1215"/>
      <c r="E17" s="1516"/>
      <c r="F17" s="2124"/>
      <c r="G17" s="1514" t="s">
        <v>796</v>
      </c>
      <c r="H17" s="2134">
        <v>57581</v>
      </c>
      <c r="I17" s="1255"/>
    </row>
    <row r="18" spans="1:9" s="91" customFormat="1" ht="13.5" customHeight="1" x14ac:dyDescent="0.2">
      <c r="A18" s="1519" t="s">
        <v>525</v>
      </c>
      <c r="B18" s="1214"/>
      <c r="C18" s="1219"/>
      <c r="D18" s="1215"/>
      <c r="E18" s="1216"/>
      <c r="F18" s="2124"/>
      <c r="G18" s="1513" t="s">
        <v>515</v>
      </c>
      <c r="H18" s="2135">
        <v>57466</v>
      </c>
      <c r="I18" s="1255"/>
    </row>
    <row r="19" spans="1:9" s="91" customFormat="1" ht="13.5" customHeight="1" x14ac:dyDescent="0.2">
      <c r="A19" s="1213" t="s">
        <v>518</v>
      </c>
      <c r="B19" s="1214" t="s">
        <v>519</v>
      </c>
      <c r="C19" s="1141"/>
      <c r="D19" s="1215"/>
      <c r="E19" s="1516"/>
      <c r="F19" s="2124"/>
      <c r="G19" s="1513" t="s">
        <v>514</v>
      </c>
      <c r="H19" s="2135">
        <v>57180</v>
      </c>
      <c r="I19" s="1255"/>
    </row>
    <row r="20" spans="1:9" s="91" customFormat="1" ht="13.5" customHeight="1" x14ac:dyDescent="0.2">
      <c r="A20" s="1518" t="s">
        <v>520</v>
      </c>
      <c r="B20" s="1214" t="s">
        <v>521</v>
      </c>
      <c r="E20" s="1516"/>
      <c r="F20" s="2124"/>
      <c r="G20" s="1513" t="s">
        <v>513</v>
      </c>
      <c r="H20" s="2135">
        <v>57123</v>
      </c>
      <c r="I20" s="1255"/>
    </row>
    <row r="21" spans="1:9" s="91" customFormat="1" ht="13.5" customHeight="1" x14ac:dyDescent="0.2">
      <c r="A21" s="1213" t="s">
        <v>522</v>
      </c>
      <c r="B21" s="1214" t="s">
        <v>609</v>
      </c>
      <c r="C21" s="1219"/>
      <c r="D21" s="2140"/>
      <c r="E21" s="1516"/>
      <c r="F21" s="2124"/>
      <c r="G21" s="1513" t="s">
        <v>517</v>
      </c>
      <c r="H21" s="2135">
        <v>57009</v>
      </c>
      <c r="I21" s="1255"/>
    </row>
    <row r="22" spans="1:9" s="91" customFormat="1" ht="13.5" customHeight="1" x14ac:dyDescent="0.2">
      <c r="A22" s="1213"/>
      <c r="B22" s="1214" t="s">
        <v>610</v>
      </c>
      <c r="C22" s="1219"/>
      <c r="D22" s="1215"/>
      <c r="E22" s="1516"/>
      <c r="F22" s="2124"/>
      <c r="G22" s="1515" t="s">
        <v>516</v>
      </c>
      <c r="H22" s="2136">
        <v>55134</v>
      </c>
      <c r="I22" s="1255"/>
    </row>
    <row r="23" spans="1:9" s="91" customFormat="1" ht="13.5" customHeight="1" x14ac:dyDescent="0.2">
      <c r="A23" s="1213"/>
      <c r="B23" s="1214" t="s">
        <v>524</v>
      </c>
      <c r="C23" s="1219"/>
      <c r="D23" s="1215"/>
      <c r="E23" s="1517">
        <f>E17-SUM(E19:E22)</f>
        <v>0</v>
      </c>
      <c r="F23" s="1520" t="s">
        <v>526</v>
      </c>
      <c r="G23" s="1212"/>
      <c r="H23" s="2124"/>
      <c r="I23" s="279"/>
    </row>
    <row r="24" spans="1:9" s="91" customFormat="1" ht="13.5" customHeight="1" x14ac:dyDescent="0.2">
      <c r="A24" s="1213" t="s">
        <v>611</v>
      </c>
      <c r="B24" s="1214"/>
      <c r="C24" s="1219"/>
      <c r="D24" s="1215"/>
      <c r="E24" s="1517">
        <f>E19/11</f>
        <v>0</v>
      </c>
      <c r="F24" s="1520" t="s">
        <v>527</v>
      </c>
      <c r="G24" s="1212"/>
      <c r="H24" s="2124"/>
      <c r="I24" s="279"/>
    </row>
    <row r="25" spans="1:9" s="91" customFormat="1" ht="13.5" customHeight="1" x14ac:dyDescent="0.2">
      <c r="A25" s="1213"/>
      <c r="B25" s="1214"/>
      <c r="C25" s="1219"/>
      <c r="D25" s="1215"/>
      <c r="E25" s="1520"/>
      <c r="F25" s="1520"/>
      <c r="G25" s="1212"/>
      <c r="H25" s="2124"/>
      <c r="I25" s="279"/>
    </row>
    <row r="26" spans="1:9" s="91" customFormat="1" ht="13.5" customHeight="1" x14ac:dyDescent="0.2">
      <c r="A26" s="1213" t="s">
        <v>612</v>
      </c>
      <c r="B26" s="1214"/>
      <c r="C26" s="1219"/>
      <c r="D26" s="1215"/>
      <c r="E26" s="1675">
        <f>MIN(E24,E15)</f>
        <v>0</v>
      </c>
      <c r="F26" s="1520"/>
      <c r="G26" s="1212"/>
      <c r="H26" s="2124"/>
      <c r="I26" s="279"/>
    </row>
    <row r="27" spans="1:9" s="91" customFormat="1" ht="13.5" customHeight="1" x14ac:dyDescent="0.2">
      <c r="A27" s="1213"/>
      <c r="B27" s="1214"/>
      <c r="C27" s="1219"/>
      <c r="D27" s="1215"/>
      <c r="E27" s="1215"/>
      <c r="F27" s="1520"/>
      <c r="G27" s="1212"/>
      <c r="H27" s="2124"/>
      <c r="I27" s="279"/>
    </row>
    <row r="28" spans="1:9" s="91" customFormat="1" ht="13.5" customHeight="1" x14ac:dyDescent="0.2">
      <c r="A28" s="1213" t="s">
        <v>613</v>
      </c>
      <c r="B28" s="1214"/>
      <c r="C28" s="1219"/>
      <c r="D28" s="1215"/>
      <c r="E28" s="1516"/>
      <c r="F28" s="1520" t="s">
        <v>634</v>
      </c>
      <c r="G28" s="1212"/>
      <c r="H28" s="2124"/>
      <c r="I28" s="279"/>
    </row>
    <row r="29" spans="1:9" s="91" customFormat="1" ht="13.5" customHeight="1" x14ac:dyDescent="0.2">
      <c r="A29" s="1213"/>
      <c r="B29" s="1214"/>
      <c r="C29" s="1219"/>
      <c r="D29" s="1215"/>
      <c r="E29" s="1520"/>
      <c r="F29" s="1520"/>
      <c r="G29" s="1212"/>
      <c r="H29" s="2124"/>
      <c r="I29" s="279"/>
    </row>
    <row r="30" spans="1:9" s="91" customFormat="1" ht="13.5" customHeight="1" x14ac:dyDescent="0.2">
      <c r="A30" s="1213" t="s">
        <v>528</v>
      </c>
      <c r="B30" s="1214"/>
      <c r="C30" s="1219"/>
      <c r="D30" s="1215"/>
      <c r="E30" s="1517">
        <f>E19+E20-E26</f>
        <v>0</v>
      </c>
      <c r="F30" s="1212"/>
      <c r="G30" s="1212"/>
      <c r="H30" s="2124"/>
      <c r="I30" s="279"/>
    </row>
    <row r="31" spans="1:9" s="91" customFormat="1" ht="13.5" customHeight="1" x14ac:dyDescent="0.2">
      <c r="A31" s="1213" t="s">
        <v>529</v>
      </c>
      <c r="B31" s="1214"/>
      <c r="C31" s="1219"/>
      <c r="D31" s="1215"/>
      <c r="E31" s="1517">
        <f>IF(E30&gt;E14,E14,E30)</f>
        <v>0</v>
      </c>
      <c r="F31" s="1212"/>
      <c r="G31" s="1212"/>
      <c r="H31" s="2124"/>
      <c r="I31" s="279"/>
    </row>
    <row r="32" spans="1:9" s="91" customFormat="1" ht="13.5" customHeight="1" x14ac:dyDescent="0.2">
      <c r="A32" s="1213" t="s">
        <v>362</v>
      </c>
      <c r="B32" s="1214"/>
      <c r="C32" s="1219"/>
      <c r="D32" s="1215"/>
      <c r="E32" s="1517">
        <f>E30-E31</f>
        <v>0</v>
      </c>
      <c r="F32" s="1212"/>
      <c r="G32" s="1212"/>
      <c r="H32" s="2124"/>
      <c r="I32" s="279"/>
    </row>
    <row r="33" spans="1:9" s="91" customFormat="1" ht="13.5" customHeight="1" x14ac:dyDescent="0.2">
      <c r="A33" s="1213"/>
      <c r="B33" s="1214"/>
      <c r="C33" s="1219"/>
      <c r="D33" s="1215"/>
      <c r="E33" s="1215"/>
      <c r="F33" s="1212"/>
      <c r="G33" s="1212"/>
      <c r="H33" s="2124"/>
      <c r="I33" s="279"/>
    </row>
    <row r="34" spans="1:9" s="91" customFormat="1" ht="13.5" customHeight="1" x14ac:dyDescent="0.2">
      <c r="A34" s="1213" t="s">
        <v>626</v>
      </c>
      <c r="B34" s="1214"/>
      <c r="C34" s="1219"/>
      <c r="D34" s="1215"/>
      <c r="E34" s="1516"/>
      <c r="F34" s="1520" t="s">
        <v>633</v>
      </c>
      <c r="G34" s="1212"/>
      <c r="H34" s="2124"/>
      <c r="I34" s="279"/>
    </row>
    <row r="35" spans="1:9" s="91" customFormat="1" ht="13.5" customHeight="1" x14ac:dyDescent="0.2">
      <c r="A35" s="1213" t="s">
        <v>627</v>
      </c>
      <c r="B35" s="1214"/>
      <c r="C35" s="1219"/>
      <c r="D35" s="1215"/>
      <c r="E35" s="1516"/>
      <c r="F35" s="1212"/>
      <c r="G35" s="1212"/>
      <c r="H35" s="2124"/>
      <c r="I35" s="279"/>
    </row>
    <row r="36" spans="1:9" s="91" customFormat="1" ht="13.5" customHeight="1" x14ac:dyDescent="0.2">
      <c r="A36" s="1213" t="s">
        <v>617</v>
      </c>
      <c r="B36" s="1214"/>
      <c r="C36" s="1219"/>
      <c r="D36" s="1215"/>
      <c r="E36" s="1516"/>
      <c r="F36" s="1520" t="s">
        <v>632</v>
      </c>
      <c r="G36" s="1212"/>
      <c r="H36" s="2124"/>
      <c r="I36" s="279"/>
    </row>
    <row r="37" spans="1:9" s="91" customFormat="1" ht="13.5" customHeight="1" x14ac:dyDescent="0.2">
      <c r="A37" s="1213" t="s">
        <v>628</v>
      </c>
      <c r="B37" s="1214"/>
      <c r="C37" s="1219"/>
      <c r="D37" s="1215"/>
      <c r="E37" s="1516"/>
      <c r="F37" s="1212"/>
      <c r="G37" s="1212"/>
      <c r="H37" s="2124"/>
      <c r="I37" s="279"/>
    </row>
    <row r="38" spans="1:9" s="91" customFormat="1" ht="13.5" customHeight="1" x14ac:dyDescent="0.2">
      <c r="A38" s="1213" t="s">
        <v>641</v>
      </c>
      <c r="B38" s="1214"/>
      <c r="C38" s="1219"/>
      <c r="D38" s="1215"/>
      <c r="E38" s="1516"/>
      <c r="F38" s="1212"/>
      <c r="G38" s="1212"/>
      <c r="H38" s="2124"/>
      <c r="I38" s="279"/>
    </row>
    <row r="39" spans="1:9" s="91" customFormat="1" ht="13.5" customHeight="1" x14ac:dyDescent="0.2">
      <c r="A39" s="1213" t="s">
        <v>643</v>
      </c>
      <c r="B39" s="1214"/>
      <c r="C39" s="1219"/>
      <c r="D39" s="1215"/>
      <c r="E39" s="1516"/>
      <c r="F39" s="1212"/>
      <c r="G39" s="1212"/>
      <c r="H39" s="2124"/>
      <c r="I39" s="279"/>
    </row>
    <row r="40" spans="1:9" s="91" customFormat="1" ht="13.5" customHeight="1" x14ac:dyDescent="0.2">
      <c r="A40" s="1213" t="s">
        <v>619</v>
      </c>
      <c r="B40" s="1214"/>
      <c r="C40" s="1219"/>
      <c r="D40" s="1215"/>
      <c r="E40" s="1516"/>
      <c r="F40" s="1212"/>
      <c r="G40" s="1212"/>
      <c r="H40" s="2124"/>
      <c r="I40" s="279"/>
    </row>
    <row r="41" spans="1:9" s="91" customFormat="1" ht="13.5" customHeight="1" x14ac:dyDescent="0.2">
      <c r="A41" s="1213" t="s">
        <v>644</v>
      </c>
      <c r="B41" s="1214"/>
      <c r="C41" s="1219"/>
      <c r="D41" s="1215"/>
      <c r="E41" s="1516"/>
      <c r="F41" s="1212"/>
      <c r="G41" s="1212"/>
      <c r="H41" s="2124"/>
      <c r="I41" s="279"/>
    </row>
    <row r="42" spans="1:9" s="91" customFormat="1" ht="13.5" customHeight="1" x14ac:dyDescent="0.2">
      <c r="A42" s="1213" t="s">
        <v>615</v>
      </c>
      <c r="B42" s="1214"/>
      <c r="C42" s="1219"/>
      <c r="D42" s="1215"/>
      <c r="E42" s="1516"/>
      <c r="F42" s="1212"/>
      <c r="G42" s="1212"/>
      <c r="H42" s="2124"/>
      <c r="I42" s="279"/>
    </row>
    <row r="43" spans="1:9" s="91" customFormat="1" ht="13.5" customHeight="1" x14ac:dyDescent="0.2">
      <c r="A43" s="1213" t="s">
        <v>621</v>
      </c>
      <c r="B43" s="1214"/>
      <c r="C43" s="1219"/>
      <c r="D43" s="1215"/>
      <c r="E43" s="1516"/>
      <c r="F43" s="1212"/>
      <c r="G43" s="1212"/>
      <c r="H43" s="2124"/>
      <c r="I43" s="279"/>
    </row>
    <row r="44" spans="1:9" s="91" customFormat="1" ht="13.5" customHeight="1" x14ac:dyDescent="0.2">
      <c r="A44" s="1213" t="s">
        <v>622</v>
      </c>
      <c r="B44" s="1214"/>
      <c r="C44" s="1219"/>
      <c r="D44" s="1215"/>
      <c r="E44" s="1516"/>
      <c r="F44" s="1212"/>
      <c r="G44" s="1212"/>
      <c r="H44" s="2124"/>
      <c r="I44" s="279"/>
    </row>
    <row r="45" spans="1:9" s="91" customFormat="1" ht="13.5" customHeight="1" x14ac:dyDescent="0.2">
      <c r="A45" s="1213" t="s">
        <v>616</v>
      </c>
      <c r="B45" s="1214"/>
      <c r="C45" s="1219"/>
      <c r="D45" s="1215"/>
      <c r="E45" s="1516"/>
      <c r="F45" s="1520" t="s">
        <v>618</v>
      </c>
      <c r="G45" s="1212"/>
      <c r="H45" s="2124"/>
      <c r="I45" s="279"/>
    </row>
    <row r="46" spans="1:9" s="91" customFormat="1" ht="13.5" customHeight="1" x14ac:dyDescent="0.2">
      <c r="A46" s="1213"/>
      <c r="B46" s="1214"/>
      <c r="C46" s="1141"/>
      <c r="D46" s="1215"/>
      <c r="E46" s="1220"/>
      <c r="F46" s="1212"/>
      <c r="G46" s="1212"/>
      <c r="H46" s="2124"/>
      <c r="I46" s="279"/>
    </row>
    <row r="47" spans="1:9" s="91" customFormat="1" ht="13.5" customHeight="1" x14ac:dyDescent="0.2">
      <c r="A47" s="1221" t="s">
        <v>218</v>
      </c>
      <c r="B47" s="1222"/>
      <c r="C47" s="1223"/>
      <c r="D47" s="1224"/>
      <c r="E47" s="1225"/>
      <c r="F47" s="1226"/>
      <c r="G47" s="1226"/>
      <c r="H47" s="2125"/>
      <c r="I47" s="1227"/>
    </row>
    <row r="48" spans="1:9" s="91" customFormat="1" ht="14.25" customHeight="1" x14ac:dyDescent="0.2">
      <c r="A48" s="1228" t="s">
        <v>216</v>
      </c>
      <c r="B48" s="1229"/>
      <c r="C48" s="1229"/>
      <c r="D48" s="1230"/>
      <c r="E48" s="1682"/>
      <c r="F48" s="1684"/>
      <c r="G48" s="1684"/>
      <c r="H48" s="1684"/>
      <c r="I48" s="1531"/>
    </row>
    <row r="49" spans="1:9" s="91" customFormat="1" ht="14.25" customHeight="1" x14ac:dyDescent="0.2">
      <c r="A49" s="1676" t="s">
        <v>636</v>
      </c>
      <c r="B49" s="1677"/>
      <c r="C49" s="1680" t="s">
        <v>637</v>
      </c>
      <c r="D49" s="1678"/>
      <c r="E49" s="1679"/>
      <c r="F49" s="1681" t="s">
        <v>213</v>
      </c>
      <c r="G49" s="1681" t="s">
        <v>214</v>
      </c>
      <c r="H49" s="1681"/>
      <c r="I49" s="1683"/>
    </row>
    <row r="50" spans="1:9" s="91" customFormat="1" ht="14.25" customHeight="1" x14ac:dyDescent="0.2">
      <c r="A50" s="1231" t="s">
        <v>215</v>
      </c>
      <c r="B50" s="1232"/>
      <c r="C50" s="1232" t="s">
        <v>532</v>
      </c>
      <c r="D50" s="1232"/>
      <c r="E50" s="1233" t="str">
        <f>IF($E$13="Yes","CAP","FCA")</f>
        <v>CAP</v>
      </c>
      <c r="F50" s="1234">
        <f>IF(E13="Yes",(E26*11),E31)</f>
        <v>0</v>
      </c>
      <c r="G50" s="1217"/>
      <c r="H50" s="2126"/>
      <c r="I50" s="1532"/>
    </row>
    <row r="51" spans="1:9" s="91" customFormat="1" ht="14.25" customHeight="1" x14ac:dyDescent="0.2">
      <c r="A51" s="1231" t="s">
        <v>215</v>
      </c>
      <c r="B51" s="1232"/>
      <c r="C51" s="1214" t="s">
        <v>541</v>
      </c>
      <c r="D51" s="1232"/>
      <c r="E51" s="1235" t="s">
        <v>217</v>
      </c>
      <c r="F51" s="1234">
        <f>E26</f>
        <v>0</v>
      </c>
      <c r="G51" s="1217"/>
      <c r="H51" s="2123"/>
      <c r="I51" s="1523"/>
    </row>
    <row r="52" spans="1:9" s="91" customFormat="1" ht="14.25" customHeight="1" x14ac:dyDescent="0.2">
      <c r="A52" s="1231" t="s">
        <v>540</v>
      </c>
      <c r="B52" s="1232"/>
      <c r="C52" s="1232" t="s">
        <v>533</v>
      </c>
      <c r="D52" s="1232"/>
      <c r="E52" s="1235" t="s">
        <v>217</v>
      </c>
      <c r="F52" s="1236">
        <f>E19+E20-F50-F51</f>
        <v>0</v>
      </c>
      <c r="G52" s="1525"/>
      <c r="H52" s="2127"/>
      <c r="I52" s="338"/>
    </row>
    <row r="53" spans="1:9" s="91" customFormat="1" ht="14.25" customHeight="1" x14ac:dyDescent="0.2">
      <c r="A53" s="1231" t="s">
        <v>531</v>
      </c>
      <c r="B53" s="1232"/>
      <c r="C53" s="1232" t="s">
        <v>609</v>
      </c>
      <c r="D53" s="1232"/>
      <c r="E53" s="1521" t="s">
        <v>188</v>
      </c>
      <c r="F53" s="1522">
        <f>E21</f>
        <v>0</v>
      </c>
      <c r="G53" s="1525"/>
      <c r="H53" s="2128"/>
      <c r="I53" s="1512"/>
    </row>
    <row r="54" spans="1:9" s="91" customFormat="1" ht="14.25" customHeight="1" x14ac:dyDescent="0.2">
      <c r="A54" s="1231" t="s">
        <v>531</v>
      </c>
      <c r="B54" s="1232"/>
      <c r="C54" s="1232" t="s">
        <v>610</v>
      </c>
      <c r="D54" s="1232"/>
      <c r="E54" s="1521" t="str">
        <f>IF($E$13="Yes","INP","FOA")</f>
        <v>INP</v>
      </c>
      <c r="F54" s="1522">
        <f>IF($E$13="Yes",(E28*11),E22)</f>
        <v>0</v>
      </c>
      <c r="G54" s="1525"/>
      <c r="H54" s="2128"/>
      <c r="I54" s="1512"/>
    </row>
    <row r="55" spans="1:9" s="91" customFormat="1" ht="14.25" customHeight="1" x14ac:dyDescent="0.2">
      <c r="A55" s="1231" t="s">
        <v>531</v>
      </c>
      <c r="B55" s="1232"/>
      <c r="C55" s="1232" t="s">
        <v>610</v>
      </c>
      <c r="D55" s="1232"/>
      <c r="E55" s="1521" t="s">
        <v>188</v>
      </c>
      <c r="F55" s="1522">
        <f>E22-F54</f>
        <v>0</v>
      </c>
      <c r="G55" s="1525"/>
      <c r="H55" s="2128"/>
      <c r="I55" s="1512"/>
    </row>
    <row r="56" spans="1:9" s="91" customFormat="1" ht="14.25" customHeight="1" x14ac:dyDescent="0.2">
      <c r="A56" s="1231" t="s">
        <v>64</v>
      </c>
      <c r="B56" s="1232"/>
      <c r="C56" s="1232" t="s">
        <v>534</v>
      </c>
      <c r="D56" s="1232"/>
      <c r="E56" s="1521"/>
      <c r="F56" s="1522"/>
      <c r="G56" s="1525">
        <f>E34</f>
        <v>0</v>
      </c>
      <c r="H56" s="2128"/>
      <c r="I56" s="1512"/>
    </row>
    <row r="57" spans="1:9" s="91" customFormat="1" ht="14.25" customHeight="1" x14ac:dyDescent="0.2">
      <c r="A57" s="1231" t="s">
        <v>64</v>
      </c>
      <c r="B57" s="1232"/>
      <c r="C57" s="1232" t="s">
        <v>625</v>
      </c>
      <c r="D57" s="1232"/>
      <c r="E57" s="1521"/>
      <c r="F57" s="1522">
        <f>-E36</f>
        <v>0</v>
      </c>
      <c r="G57" s="1525"/>
      <c r="H57" s="2128"/>
      <c r="I57" s="1512"/>
    </row>
    <row r="58" spans="1:9" s="91" customFormat="1" ht="14.25" customHeight="1" x14ac:dyDescent="0.2">
      <c r="A58" s="1231" t="s">
        <v>629</v>
      </c>
      <c r="B58" s="1232"/>
      <c r="C58" s="1232" t="s">
        <v>630</v>
      </c>
      <c r="D58" s="1232"/>
      <c r="E58" s="1521"/>
      <c r="F58" s="1522"/>
      <c r="G58" s="1525">
        <f>E35</f>
        <v>0</v>
      </c>
      <c r="H58" s="2128"/>
      <c r="I58" s="1512"/>
    </row>
    <row r="59" spans="1:9" s="91" customFormat="1" ht="14.25" customHeight="1" x14ac:dyDescent="0.2">
      <c r="A59" s="1231" t="s">
        <v>629</v>
      </c>
      <c r="B59" s="1232"/>
      <c r="C59" s="1232" t="s">
        <v>631</v>
      </c>
      <c r="D59" s="1232"/>
      <c r="E59" s="1521"/>
      <c r="F59" s="1522">
        <f>-E37</f>
        <v>0</v>
      </c>
      <c r="G59" s="1525"/>
      <c r="H59" s="2128"/>
      <c r="I59" s="1512"/>
    </row>
    <row r="60" spans="1:9" s="91" customFormat="1" ht="14.25" customHeight="1" x14ac:dyDescent="0.2">
      <c r="A60" s="1231" t="s">
        <v>535</v>
      </c>
      <c r="B60" s="1232"/>
      <c r="C60" s="1232" t="s">
        <v>536</v>
      </c>
      <c r="D60" s="1232"/>
      <c r="E60" s="1521" t="str">
        <f>IF($E$13="Yes","GST","FRE")</f>
        <v>GST</v>
      </c>
      <c r="F60" s="1522"/>
      <c r="G60" s="1525">
        <f>E38</f>
        <v>0</v>
      </c>
      <c r="H60" s="2128"/>
      <c r="I60" s="1512"/>
    </row>
    <row r="61" spans="1:9" s="91" customFormat="1" ht="14.25" customHeight="1" x14ac:dyDescent="0.2">
      <c r="A61" s="1231" t="s">
        <v>629</v>
      </c>
      <c r="B61" s="1232"/>
      <c r="C61" s="1232" t="s">
        <v>642</v>
      </c>
      <c r="D61" s="1232"/>
      <c r="E61" s="1521"/>
      <c r="F61" s="1522"/>
      <c r="G61" s="1525">
        <f>E39</f>
        <v>0</v>
      </c>
      <c r="H61" s="2128"/>
      <c r="I61" s="1512"/>
    </row>
    <row r="62" spans="1:9" s="91" customFormat="1" ht="14.25" customHeight="1" x14ac:dyDescent="0.2">
      <c r="A62" s="1231" t="s">
        <v>219</v>
      </c>
      <c r="B62" s="1232"/>
      <c r="C62" s="1232" t="s">
        <v>620</v>
      </c>
      <c r="D62" s="1232"/>
      <c r="E62" s="1521"/>
      <c r="F62" s="1673">
        <f>-E40</f>
        <v>0</v>
      </c>
      <c r="G62" s="1525"/>
      <c r="H62" s="2128"/>
      <c r="I62" s="1512"/>
    </row>
    <row r="63" spans="1:9" s="91" customFormat="1" ht="14.25" customHeight="1" x14ac:dyDescent="0.2">
      <c r="A63" s="1231" t="s">
        <v>629</v>
      </c>
      <c r="B63" s="1232"/>
      <c r="C63" s="1232" t="s">
        <v>645</v>
      </c>
      <c r="D63" s="1232"/>
      <c r="E63" s="1521"/>
      <c r="F63" s="1522">
        <f>-E41</f>
        <v>0</v>
      </c>
      <c r="G63" s="1525"/>
      <c r="H63" s="2128"/>
      <c r="I63" s="1512"/>
    </row>
    <row r="64" spans="1:9" s="91" customFormat="1" ht="14.25" customHeight="1" x14ac:dyDescent="0.2">
      <c r="A64" s="1231" t="s">
        <v>538</v>
      </c>
      <c r="B64" s="1232"/>
      <c r="C64" s="1232" t="s">
        <v>623</v>
      </c>
      <c r="D64" s="1232"/>
      <c r="E64" s="1521" t="s">
        <v>217</v>
      </c>
      <c r="F64" s="1522">
        <f>E43</f>
        <v>0</v>
      </c>
      <c r="G64" s="1525"/>
      <c r="H64" s="2128"/>
      <c r="I64" s="1512"/>
    </row>
    <row r="65" spans="1:9" s="91" customFormat="1" ht="14.25" customHeight="1" x14ac:dyDescent="0.2">
      <c r="A65" s="1231" t="s">
        <v>538</v>
      </c>
      <c r="B65" s="1243"/>
      <c r="C65" s="1243" t="s">
        <v>624</v>
      </c>
      <c r="D65" s="1524"/>
      <c r="E65" s="1521" t="str">
        <f>IF($E$13="Yes","CAP","FCA")</f>
        <v>CAP</v>
      </c>
      <c r="F65" s="1522">
        <f>E44</f>
        <v>0</v>
      </c>
      <c r="G65" s="1674"/>
      <c r="H65" s="2128"/>
      <c r="I65" s="1686" t="s">
        <v>638</v>
      </c>
    </row>
    <row r="66" spans="1:9" s="91" customFormat="1" ht="14.25" customHeight="1" x14ac:dyDescent="0.2">
      <c r="A66" s="1237" t="s">
        <v>219</v>
      </c>
      <c r="B66" s="1238"/>
      <c r="C66" s="1238" t="s">
        <v>537</v>
      </c>
      <c r="D66" s="1239"/>
      <c r="E66" s="1240"/>
      <c r="F66" s="1241"/>
      <c r="G66" s="1527">
        <f>E45</f>
        <v>0</v>
      </c>
      <c r="H66" s="2129"/>
      <c r="I66" s="1685">
        <f>SUM(F50:F66)-SUM(G50:G66)</f>
        <v>0</v>
      </c>
    </row>
    <row r="67" spans="1:9" s="91" customFormat="1" ht="14.25" customHeight="1" x14ac:dyDescent="0.2">
      <c r="A67" s="1242"/>
      <c r="B67" s="1243"/>
      <c r="C67" s="1243"/>
      <c r="D67" s="1244"/>
      <c r="E67" s="1245"/>
      <c r="F67" s="1246"/>
      <c r="G67" s="1526"/>
      <c r="H67" s="2130"/>
      <c r="I67" s="1247"/>
    </row>
    <row r="68" spans="1:9" s="91" customFormat="1" ht="14.25" customHeight="1" x14ac:dyDescent="0.2">
      <c r="A68" s="1228" t="s">
        <v>539</v>
      </c>
      <c r="B68" s="1229"/>
      <c r="C68" s="1229"/>
      <c r="D68" s="1230"/>
      <c r="E68" s="1248"/>
      <c r="F68" s="1529"/>
      <c r="G68" s="1530"/>
      <c r="H68" s="2131"/>
      <c r="I68" s="1531"/>
    </row>
    <row r="69" spans="1:9" s="91" customFormat="1" ht="14.25" customHeight="1" x14ac:dyDescent="0.2">
      <c r="A69" s="1676" t="s">
        <v>636</v>
      </c>
      <c r="B69" s="1677"/>
      <c r="C69" s="1680" t="s">
        <v>637</v>
      </c>
      <c r="D69" s="1678"/>
      <c r="E69" s="1679"/>
      <c r="F69" s="1681" t="s">
        <v>213</v>
      </c>
      <c r="G69" s="1681" t="s">
        <v>214</v>
      </c>
      <c r="H69" s="1681"/>
      <c r="I69" s="1683"/>
    </row>
    <row r="70" spans="1:9" s="91" customFormat="1" ht="14.25" customHeight="1" x14ac:dyDescent="0.2">
      <c r="A70" s="1231" t="s">
        <v>530</v>
      </c>
      <c r="B70" s="1232"/>
      <c r="C70" s="1232" t="s">
        <v>532</v>
      </c>
      <c r="D70" s="1249"/>
      <c r="E70" s="1233" t="str">
        <f>IF($E$13="Yes","CAP","FCA")</f>
        <v>CAP</v>
      </c>
      <c r="F70" s="1528">
        <f>E14</f>
        <v>60733</v>
      </c>
      <c r="G70" s="1254"/>
      <c r="H70" s="2132"/>
      <c r="I70" s="1255"/>
    </row>
    <row r="71" spans="1:9" s="91" customFormat="1" ht="14.25" customHeight="1" x14ac:dyDescent="0.2">
      <c r="A71" s="1231" t="s">
        <v>530</v>
      </c>
      <c r="B71" s="1214"/>
      <c r="C71" s="1214" t="s">
        <v>541</v>
      </c>
      <c r="D71" s="1215"/>
      <c r="E71" s="1235" t="s">
        <v>217</v>
      </c>
      <c r="F71" s="1250">
        <f>E26</f>
        <v>0</v>
      </c>
      <c r="G71" s="1217"/>
      <c r="H71" s="2123"/>
      <c r="I71" s="338"/>
    </row>
    <row r="72" spans="1:9" s="91" customFormat="1" ht="14.25" customHeight="1" x14ac:dyDescent="0.2">
      <c r="A72" s="1231" t="s">
        <v>540</v>
      </c>
      <c r="B72" s="1214"/>
      <c r="C72" s="1214" t="s">
        <v>635</v>
      </c>
      <c r="D72" s="1215"/>
      <c r="E72" s="1235" t="s">
        <v>217</v>
      </c>
      <c r="F72" s="1236">
        <f>E19+E20-F70-F71</f>
        <v>-60733</v>
      </c>
      <c r="G72" s="1217"/>
      <c r="H72" s="2123"/>
      <c r="I72" s="338"/>
    </row>
    <row r="73" spans="1:9" s="91" customFormat="1" ht="14.25" customHeight="1" x14ac:dyDescent="0.2">
      <c r="A73" s="1231" t="s">
        <v>531</v>
      </c>
      <c r="B73" s="1232"/>
      <c r="C73" s="1232" t="s">
        <v>609</v>
      </c>
      <c r="D73" s="1232"/>
      <c r="E73" s="1521" t="s">
        <v>188</v>
      </c>
      <c r="F73" s="1522">
        <f>E21</f>
        <v>0</v>
      </c>
      <c r="G73" s="1525"/>
      <c r="H73" s="2128"/>
      <c r="I73" s="1512"/>
    </row>
    <row r="74" spans="1:9" s="91" customFormat="1" ht="14.25" customHeight="1" x14ac:dyDescent="0.2">
      <c r="A74" s="1231" t="s">
        <v>531</v>
      </c>
      <c r="B74" s="1232"/>
      <c r="C74" s="1232" t="s">
        <v>610</v>
      </c>
      <c r="D74" s="1232"/>
      <c r="E74" s="1521" t="str">
        <f>IF($E$13="Yes","INP","FOA")</f>
        <v>INP</v>
      </c>
      <c r="F74" s="1522">
        <f>IF($E$13="Yes",(E28*11),E22)</f>
        <v>0</v>
      </c>
      <c r="G74" s="1525"/>
      <c r="H74" s="2128"/>
      <c r="I74" s="1512"/>
    </row>
    <row r="75" spans="1:9" s="91" customFormat="1" ht="14.25" customHeight="1" x14ac:dyDescent="0.2">
      <c r="A75" s="1231" t="s">
        <v>531</v>
      </c>
      <c r="B75" s="1232"/>
      <c r="C75" s="1232" t="s">
        <v>610</v>
      </c>
      <c r="D75" s="1232"/>
      <c r="E75" s="1521" t="s">
        <v>188</v>
      </c>
      <c r="F75" s="1522">
        <f>E22-F74</f>
        <v>0</v>
      </c>
      <c r="G75" s="1525"/>
      <c r="H75" s="2128"/>
      <c r="I75" s="1512"/>
    </row>
    <row r="76" spans="1:9" s="91" customFormat="1" ht="14.25" customHeight="1" x14ac:dyDescent="0.2">
      <c r="A76" s="1231" t="s">
        <v>64</v>
      </c>
      <c r="B76" s="1232"/>
      <c r="C76" s="1232" t="s">
        <v>534</v>
      </c>
      <c r="D76" s="1232"/>
      <c r="E76" s="1521"/>
      <c r="F76" s="1522"/>
      <c r="G76" s="1525">
        <f>E34</f>
        <v>0</v>
      </c>
      <c r="H76" s="2128"/>
      <c r="I76" s="1512"/>
    </row>
    <row r="77" spans="1:9" s="91" customFormat="1" ht="14.25" customHeight="1" x14ac:dyDescent="0.2">
      <c r="A77" s="1231" t="s">
        <v>64</v>
      </c>
      <c r="B77" s="1232"/>
      <c r="C77" s="1232" t="s">
        <v>625</v>
      </c>
      <c r="D77" s="1232"/>
      <c r="E77" s="1521"/>
      <c r="F77" s="1522">
        <f>-E36</f>
        <v>0</v>
      </c>
      <c r="G77" s="1525"/>
      <c r="H77" s="2128"/>
      <c r="I77" s="1512"/>
    </row>
    <row r="78" spans="1:9" s="91" customFormat="1" ht="14.25" customHeight="1" x14ac:dyDescent="0.2">
      <c r="A78" s="1231" t="s">
        <v>629</v>
      </c>
      <c r="B78" s="1232"/>
      <c r="C78" s="1232" t="s">
        <v>630</v>
      </c>
      <c r="D78" s="1232"/>
      <c r="E78" s="1521"/>
      <c r="F78" s="1522"/>
      <c r="G78" s="1525">
        <f>E35</f>
        <v>0</v>
      </c>
      <c r="H78" s="2128"/>
      <c r="I78" s="1512"/>
    </row>
    <row r="79" spans="1:9" s="91" customFormat="1" ht="14.25" customHeight="1" x14ac:dyDescent="0.2">
      <c r="A79" s="1231" t="s">
        <v>629</v>
      </c>
      <c r="B79" s="1232"/>
      <c r="C79" s="1232" t="s">
        <v>631</v>
      </c>
      <c r="D79" s="1232"/>
      <c r="E79" s="1521"/>
      <c r="F79" s="1522">
        <f>-E37</f>
        <v>0</v>
      </c>
      <c r="G79" s="1525"/>
      <c r="H79" s="2128"/>
      <c r="I79" s="1512"/>
    </row>
    <row r="80" spans="1:9" s="91" customFormat="1" ht="14.25" customHeight="1" x14ac:dyDescent="0.2">
      <c r="A80" s="1231" t="s">
        <v>535</v>
      </c>
      <c r="B80" s="1214"/>
      <c r="C80" s="1214" t="s">
        <v>536</v>
      </c>
      <c r="D80" s="1232"/>
      <c r="E80" s="1521" t="str">
        <f>IF($E$13="Yes","GST","FRE")</f>
        <v>GST</v>
      </c>
      <c r="F80" s="1522"/>
      <c r="G80" s="1525">
        <f>E38</f>
        <v>0</v>
      </c>
      <c r="H80" s="2128"/>
      <c r="I80" s="1512"/>
    </row>
    <row r="81" spans="1:9" s="91" customFormat="1" ht="14.25" customHeight="1" x14ac:dyDescent="0.2">
      <c r="A81" s="1231" t="s">
        <v>629</v>
      </c>
      <c r="B81" s="1232"/>
      <c r="C81" s="1232" t="s">
        <v>642</v>
      </c>
      <c r="D81" s="1232"/>
      <c r="E81" s="1521"/>
      <c r="F81" s="1522"/>
      <c r="G81" s="1525">
        <f>E39</f>
        <v>0</v>
      </c>
      <c r="H81" s="2128"/>
      <c r="I81" s="1512"/>
    </row>
    <row r="82" spans="1:9" s="91" customFormat="1" ht="14.25" customHeight="1" x14ac:dyDescent="0.2">
      <c r="A82" s="1231" t="s">
        <v>219</v>
      </c>
      <c r="B82" s="1232"/>
      <c r="C82" s="1232" t="s">
        <v>620</v>
      </c>
      <c r="D82" s="1232"/>
      <c r="E82" s="1521"/>
      <c r="F82" s="1522">
        <f>-E40</f>
        <v>0</v>
      </c>
      <c r="G82" s="1525"/>
      <c r="H82" s="2128"/>
      <c r="I82" s="1512"/>
    </row>
    <row r="83" spans="1:9" s="91" customFormat="1" ht="14.25" customHeight="1" x14ac:dyDescent="0.2">
      <c r="A83" s="1231" t="s">
        <v>629</v>
      </c>
      <c r="B83" s="1232"/>
      <c r="C83" s="1232" t="s">
        <v>645</v>
      </c>
      <c r="D83" s="1232"/>
      <c r="E83" s="1521"/>
      <c r="F83" s="1522">
        <f>-E41</f>
        <v>0</v>
      </c>
      <c r="G83" s="1525"/>
      <c r="H83" s="2128"/>
      <c r="I83" s="1512"/>
    </row>
    <row r="84" spans="1:9" s="91" customFormat="1" ht="14.25" customHeight="1" x14ac:dyDescent="0.2">
      <c r="A84" s="1231" t="s">
        <v>538</v>
      </c>
      <c r="B84" s="1232"/>
      <c r="C84" s="1232" t="s">
        <v>623</v>
      </c>
      <c r="D84" s="1232"/>
      <c r="E84" s="1521" t="s">
        <v>217</v>
      </c>
      <c r="F84" s="1522">
        <f>E43</f>
        <v>0</v>
      </c>
      <c r="G84" s="1525"/>
      <c r="H84" s="2128"/>
      <c r="I84" s="1512"/>
    </row>
    <row r="85" spans="1:9" s="91" customFormat="1" ht="14.25" customHeight="1" x14ac:dyDescent="0.2">
      <c r="A85" s="1231" t="s">
        <v>538</v>
      </c>
      <c r="B85" s="1232"/>
      <c r="C85" s="1232" t="s">
        <v>624</v>
      </c>
      <c r="D85" s="1232"/>
      <c r="E85" s="1521" t="str">
        <f>IF($E$13="Yes","CAP","FCA")</f>
        <v>CAP</v>
      </c>
      <c r="F85" s="1522">
        <f>E44</f>
        <v>0</v>
      </c>
      <c r="G85" s="1674"/>
      <c r="H85" s="2128"/>
      <c r="I85" s="1686" t="s">
        <v>638</v>
      </c>
    </row>
    <row r="86" spans="1:9" s="91" customFormat="1" ht="14.25" customHeight="1" x14ac:dyDescent="0.2">
      <c r="A86" s="1237" t="s">
        <v>219</v>
      </c>
      <c r="B86" s="1238"/>
      <c r="C86" s="1238" t="s">
        <v>537</v>
      </c>
      <c r="D86" s="1239"/>
      <c r="E86" s="1240"/>
      <c r="F86" s="1241"/>
      <c r="G86" s="1527">
        <f>E45</f>
        <v>0</v>
      </c>
      <c r="H86" s="2129"/>
      <c r="I86" s="1685">
        <f>SUM(F70:F86)-SUM(G70:G86)</f>
        <v>0</v>
      </c>
    </row>
    <row r="87" spans="1:9" s="91" customFormat="1" ht="14.25" customHeight="1" x14ac:dyDescent="0.2">
      <c r="A87" s="1252"/>
      <c r="B87" s="1232"/>
      <c r="C87" s="1232"/>
      <c r="D87" s="1249"/>
      <c r="E87" s="1234"/>
      <c r="F87" s="1253"/>
      <c r="G87" s="1254"/>
      <c r="H87" s="2132"/>
      <c r="I87" s="1255"/>
    </row>
    <row r="88" spans="1:9" s="91" customFormat="1" ht="15" customHeight="1" x14ac:dyDescent="0.2">
      <c r="A88" s="1213"/>
      <c r="B88" s="1214"/>
      <c r="C88" s="1214"/>
      <c r="D88" s="1215"/>
      <c r="E88" s="1251"/>
      <c r="F88" s="1256"/>
      <c r="G88" s="1217"/>
      <c r="H88" s="2123"/>
      <c r="I88" s="338"/>
    </row>
    <row r="89" spans="1:9" s="91" customFormat="1" ht="13.5" customHeight="1" x14ac:dyDescent="0.2">
      <c r="A89" s="331"/>
      <c r="B89" s="2330" t="s">
        <v>304</v>
      </c>
      <c r="C89" s="2331"/>
      <c r="D89" s="2331"/>
      <c r="E89" s="2331"/>
      <c r="F89" s="2331"/>
      <c r="G89" s="2332"/>
      <c r="H89" s="2123"/>
      <c r="I89" s="336"/>
    </row>
    <row r="90" spans="1:9" s="91" customFormat="1" ht="13.5" customHeight="1" x14ac:dyDescent="0.2">
      <c r="A90" s="331"/>
      <c r="B90" s="2333"/>
      <c r="C90" s="2334"/>
      <c r="D90" s="2334"/>
      <c r="E90" s="2334"/>
      <c r="F90" s="2334"/>
      <c r="G90" s="2335"/>
      <c r="H90" s="2123"/>
      <c r="I90" s="336"/>
    </row>
    <row r="91" spans="1:9" s="91" customFormat="1" ht="13.5" customHeight="1" x14ac:dyDescent="0.2">
      <c r="A91" s="339"/>
      <c r="B91" s="340"/>
      <c r="C91" s="340"/>
      <c r="D91" s="340"/>
      <c r="E91" s="340"/>
      <c r="F91" s="340"/>
      <c r="G91" s="340"/>
      <c r="H91" s="2133"/>
      <c r="I91" s="341"/>
    </row>
  </sheetData>
  <customSheetViews>
    <customSheetView guid="{F72FE543-F911-423C-A34B-9CA018DFE603}" showPageBreaks="1" showGridLines="0" printArea="1" view="pageBreakPreview" topLeftCell="A19">
      <selection activeCell="A2" sqref="A2:C2"/>
      <pageMargins left="0.74803149606299213" right="0.39370078740157483" top="0.55118110236220474" bottom="0.62992125984251968" header="0.51181102362204722" footer="0.47244094488188981"/>
      <pageSetup paperSize="9" scale="83" orientation="portrait" r:id="rId1"/>
      <headerFooter alignWithMargins="0">
        <oddFooter>&amp;LPrinted:&amp;T on &amp;D</oddFooter>
      </headerFooter>
    </customSheetView>
  </customSheetViews>
  <mergeCells count="3">
    <mergeCell ref="A2:C2"/>
    <mergeCell ref="B89:G90"/>
    <mergeCell ref="G14:H14"/>
  </mergeCells>
  <dataValidations count="1">
    <dataValidation type="list" allowBlank="1" showInputMessage="1" showErrorMessage="1" sqref="E13" xr:uid="{00000000-0002-0000-2700-000000000000}">
      <formula1>"Yes,No"</formula1>
    </dataValidation>
  </dataValidations>
  <hyperlinks>
    <hyperlink ref="A2" location="'Index and Structure'!A1" display="The Macro Group" xr:uid="{00000000-0004-0000-2700-000000000000}"/>
  </hyperlinks>
  <pageMargins left="0.74803149606299213" right="0.39370078740157483" top="0.55118110236220474" bottom="0.62992125984251968" header="0.51181102362204722" footer="0.47244094488188981"/>
  <pageSetup paperSize="9" scale="57" orientation="portrait" r:id="rId2"/>
  <headerFooter alignWithMargins="0">
    <oddFooter>&amp;LPrinted:&amp;T on &amp;D</oddFooter>
  </headerFooter>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6200">
    <pageSetUpPr fitToPage="1"/>
  </sheetPr>
  <dimension ref="A1:H86"/>
  <sheetViews>
    <sheetView showGridLines="0" view="pageBreakPreview" topLeftCell="A37" zoomScaleNormal="50" workbookViewId="0">
      <selection activeCell="G81" sqref="G81"/>
    </sheetView>
  </sheetViews>
  <sheetFormatPr defaultColWidth="9.140625" defaultRowHeight="15" x14ac:dyDescent="0.25"/>
  <cols>
    <col min="1" max="1" width="11.5703125" style="19" customWidth="1"/>
    <col min="2" max="2" width="11.42578125" style="19" customWidth="1"/>
    <col min="3" max="3" width="31" style="19" customWidth="1"/>
    <col min="4" max="4" width="10.7109375" style="19" customWidth="1"/>
    <col min="5" max="5" width="13.7109375" style="145" customWidth="1"/>
    <col min="6" max="7" width="15.7109375" style="92" customWidth="1"/>
    <col min="8" max="8" width="13.710937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E2" s="20"/>
      <c r="F2" s="93"/>
      <c r="G2" s="93"/>
      <c r="H2" s="20"/>
    </row>
    <row r="3" spans="1:8" ht="27" customHeight="1" x14ac:dyDescent="0.25">
      <c r="A3" s="22"/>
    </row>
    <row r="4" spans="1:8" ht="19.5" customHeight="1" x14ac:dyDescent="0.25">
      <c r="A4" s="21"/>
    </row>
    <row r="5" spans="1:8" ht="5.25" customHeight="1" x14ac:dyDescent="0.25">
      <c r="A5" s="23"/>
      <c r="B5" s="24"/>
      <c r="C5" s="25"/>
      <c r="E5" s="146"/>
      <c r="F5" s="94"/>
      <c r="G5" s="94"/>
      <c r="H5" s="25"/>
    </row>
    <row r="6" spans="1:8" ht="14.25" customHeight="1" x14ac:dyDescent="0.25">
      <c r="A6" s="26" t="s">
        <v>40</v>
      </c>
      <c r="B6" s="28" t="str">
        <f>'Index and Structure'!B2</f>
        <v>Nicolo Superannuation fund</v>
      </c>
      <c r="C6" s="29"/>
      <c r="D6" s="30"/>
      <c r="E6" s="31" t="s">
        <v>38</v>
      </c>
      <c r="F6" s="159" t="str">
        <f>'Index and Structure'!B5</f>
        <v>NICO0024</v>
      </c>
      <c r="G6" s="96"/>
      <c r="H6" s="33"/>
    </row>
    <row r="7" spans="1:8" ht="14.25" customHeight="1" x14ac:dyDescent="0.25">
      <c r="A7" s="26" t="s">
        <v>45</v>
      </c>
      <c r="B7" s="28" t="str">
        <f>'Index and Structure'!A13</f>
        <v>Tax Reconciliation - Sole Trader</v>
      </c>
      <c r="C7" s="29"/>
      <c r="D7" s="30"/>
      <c r="E7" s="34" t="s">
        <v>41</v>
      </c>
      <c r="F7" s="160" t="str">
        <f>'Index and Structure'!B6</f>
        <v>Liam Aubin</v>
      </c>
      <c r="G7" s="1866" t="s">
        <v>42</v>
      </c>
      <c r="H7" s="35"/>
    </row>
    <row r="8" spans="1:8" ht="14.25" customHeight="1" x14ac:dyDescent="0.25">
      <c r="A8" s="36" t="s">
        <v>46</v>
      </c>
      <c r="B8" s="37" t="str">
        <f>'Index and Structure'!B4</f>
        <v>30 June 2022</v>
      </c>
      <c r="C8" s="38"/>
      <c r="D8" s="30"/>
      <c r="E8" s="39" t="s">
        <v>43</v>
      </c>
      <c r="F8" s="161" t="str">
        <f>'Index and Structure'!B7</f>
        <v>Nicole Bryant</v>
      </c>
      <c r="G8" s="1867" t="s">
        <v>42</v>
      </c>
      <c r="H8" s="41"/>
    </row>
    <row r="9" spans="1:8" ht="15" customHeight="1" x14ac:dyDescent="0.25"/>
    <row r="10" spans="1:8" ht="30" customHeight="1" x14ac:dyDescent="0.25">
      <c r="A10" s="42"/>
      <c r="B10" s="43"/>
      <c r="C10" s="43"/>
      <c r="D10" s="43"/>
      <c r="E10" s="43"/>
      <c r="F10" s="99"/>
      <c r="G10" s="99"/>
      <c r="H10" s="44"/>
    </row>
    <row r="11" spans="1:8" s="45" customFormat="1" ht="13.5" customHeight="1" x14ac:dyDescent="0.2">
      <c r="A11" s="100"/>
      <c r="B11" s="101"/>
      <c r="C11" s="101"/>
      <c r="D11" s="101"/>
      <c r="E11" s="147"/>
      <c r="F11" s="103"/>
      <c r="G11" s="104"/>
      <c r="H11" s="105"/>
    </row>
    <row r="12" spans="1:8" s="45" customFormat="1" ht="13.5" customHeight="1" x14ac:dyDescent="0.2">
      <c r="A12" s="445" t="str">
        <f>B7</f>
        <v>Tax Reconciliation - Sole Trader</v>
      </c>
      <c r="C12" s="48"/>
      <c r="D12" s="48"/>
      <c r="E12" s="148"/>
      <c r="F12" s="58"/>
      <c r="G12" s="58"/>
      <c r="H12" s="71"/>
    </row>
    <row r="13" spans="1:8" s="45" customFormat="1" ht="13.5" customHeight="1" x14ac:dyDescent="0.2">
      <c r="A13" s="106"/>
      <c r="B13" s="1689" t="s">
        <v>458</v>
      </c>
      <c r="C13" s="1689"/>
      <c r="D13" s="48"/>
      <c r="E13" s="148"/>
      <c r="F13" s="107"/>
      <c r="G13" s="58"/>
      <c r="H13" s="71"/>
    </row>
    <row r="14" spans="1:8" s="45" customFormat="1" ht="13.5" customHeight="1" x14ac:dyDescent="0.2">
      <c r="A14" s="106"/>
      <c r="B14" s="1690" t="s">
        <v>646</v>
      </c>
      <c r="C14" s="1690"/>
      <c r="D14" s="49"/>
      <c r="E14" s="148"/>
      <c r="F14" s="107"/>
      <c r="G14" s="58"/>
      <c r="H14" s="108"/>
    </row>
    <row r="15" spans="1:8" s="45" customFormat="1" ht="27" customHeight="1" x14ac:dyDescent="0.2">
      <c r="A15" s="106"/>
      <c r="B15" s="1690"/>
      <c r="C15" s="1690"/>
      <c r="D15" s="49"/>
      <c r="E15" s="1718"/>
      <c r="F15" s="1720" t="s">
        <v>935</v>
      </c>
      <c r="G15" s="1719" t="s">
        <v>936</v>
      </c>
      <c r="H15" s="108"/>
    </row>
    <row r="16" spans="1:8" s="45" customFormat="1" ht="13.5" customHeight="1" x14ac:dyDescent="0.2">
      <c r="A16" s="1691" t="s">
        <v>789</v>
      </c>
      <c r="B16" s="110"/>
      <c r="C16" s="111"/>
      <c r="D16" s="112"/>
      <c r="E16" s="113" t="s">
        <v>50</v>
      </c>
      <c r="F16" s="122"/>
      <c r="G16" s="122"/>
      <c r="H16" s="115" t="s">
        <v>457</v>
      </c>
    </row>
    <row r="17" spans="1:8" s="45" customFormat="1" ht="13.5" customHeight="1" x14ac:dyDescent="0.2">
      <c r="A17" s="116"/>
      <c r="B17" s="110"/>
      <c r="C17" s="111"/>
      <c r="D17" s="112"/>
      <c r="E17" s="142"/>
      <c r="F17" s="107"/>
      <c r="G17" s="107"/>
      <c r="H17" s="117"/>
    </row>
    <row r="18" spans="1:8" s="45" customFormat="1" ht="13.5" customHeight="1" x14ac:dyDescent="0.2">
      <c r="A18" s="118" t="s">
        <v>155</v>
      </c>
      <c r="B18" s="119" t="s">
        <v>951</v>
      </c>
      <c r="C18" s="120"/>
      <c r="D18" s="112"/>
      <c r="E18" s="142"/>
      <c r="F18" s="107"/>
      <c r="G18" s="107"/>
      <c r="H18" s="117"/>
    </row>
    <row r="19" spans="1:8" s="45" customFormat="1" ht="13.5" customHeight="1" x14ac:dyDescent="0.2">
      <c r="A19" s="116"/>
      <c r="B19" s="110" t="s">
        <v>156</v>
      </c>
      <c r="C19" s="111"/>
      <c r="D19" s="112"/>
      <c r="E19" s="121"/>
      <c r="F19" s="122"/>
      <c r="G19" s="122"/>
      <c r="H19" s="117"/>
    </row>
    <row r="20" spans="1:8" s="45" customFormat="1" ht="13.5" customHeight="1" x14ac:dyDescent="0.2">
      <c r="A20" s="116"/>
      <c r="B20" s="110" t="s">
        <v>157</v>
      </c>
      <c r="C20" s="111"/>
      <c r="D20" s="112"/>
      <c r="E20" s="121"/>
      <c r="F20" s="122"/>
      <c r="G20" s="122"/>
      <c r="H20" s="117"/>
    </row>
    <row r="21" spans="1:8" s="45" customFormat="1" ht="13.5" customHeight="1" x14ac:dyDescent="0.2">
      <c r="A21" s="116"/>
      <c r="B21" s="110" t="s">
        <v>31</v>
      </c>
      <c r="C21" s="111"/>
      <c r="D21" s="112"/>
      <c r="E21" s="121"/>
      <c r="F21" s="122"/>
      <c r="G21" s="122"/>
      <c r="H21" s="117"/>
    </row>
    <row r="22" spans="1:8" s="45" customFormat="1" ht="13.5" customHeight="1" x14ac:dyDescent="0.2">
      <c r="A22" s="116"/>
      <c r="B22" s="110" t="s">
        <v>89</v>
      </c>
      <c r="C22" s="111"/>
      <c r="D22" s="112"/>
      <c r="E22" s="121"/>
      <c r="F22" s="122"/>
      <c r="G22" s="122"/>
      <c r="H22" s="117"/>
    </row>
    <row r="23" spans="1:8" s="45" customFormat="1" ht="13.5" customHeight="1" x14ac:dyDescent="0.2">
      <c r="A23" s="116"/>
      <c r="B23" s="110" t="s">
        <v>158</v>
      </c>
      <c r="C23" s="111"/>
      <c r="D23" s="112"/>
      <c r="E23" s="121"/>
      <c r="F23" s="122"/>
      <c r="G23" s="122"/>
      <c r="H23" s="117"/>
    </row>
    <row r="24" spans="1:8" s="45" customFormat="1" ht="13.5" customHeight="1" x14ac:dyDescent="0.2">
      <c r="A24" s="116"/>
      <c r="B24" s="110" t="s">
        <v>985</v>
      </c>
      <c r="C24" s="111"/>
      <c r="D24" s="112"/>
      <c r="E24" s="121"/>
      <c r="F24" s="122"/>
      <c r="G24" s="122"/>
      <c r="H24" s="117"/>
    </row>
    <row r="25" spans="1:8" s="45" customFormat="1" ht="13.5" customHeight="1" x14ac:dyDescent="0.2">
      <c r="A25" s="116"/>
      <c r="B25" s="110" t="s">
        <v>990</v>
      </c>
      <c r="C25" s="111"/>
      <c r="D25" s="112"/>
      <c r="E25" s="121"/>
      <c r="F25" s="122"/>
      <c r="G25" s="122"/>
      <c r="H25" s="117"/>
    </row>
    <row r="26" spans="1:8" s="45" customFormat="1" ht="13.5" customHeight="1" x14ac:dyDescent="0.2">
      <c r="A26" s="116"/>
      <c r="B26" s="110" t="s">
        <v>952</v>
      </c>
      <c r="C26" s="111"/>
      <c r="D26" s="112"/>
      <c r="E26" s="121"/>
      <c r="F26" s="122"/>
      <c r="G26" s="122"/>
      <c r="H26" s="117"/>
    </row>
    <row r="27" spans="1:8" s="45" customFormat="1" ht="13.5" customHeight="1" x14ac:dyDescent="0.2">
      <c r="A27" s="116"/>
      <c r="B27" s="110" t="s">
        <v>953</v>
      </c>
      <c r="C27" s="111"/>
      <c r="D27" s="112"/>
      <c r="E27" s="121"/>
      <c r="F27" s="122"/>
      <c r="G27" s="122"/>
      <c r="H27" s="117"/>
    </row>
    <row r="28" spans="1:8" s="45" customFormat="1" ht="13.5" customHeight="1" x14ac:dyDescent="0.2">
      <c r="A28" s="116"/>
      <c r="B28" s="2095" t="s">
        <v>943</v>
      </c>
      <c r="C28" s="111"/>
      <c r="D28" s="112"/>
      <c r="E28" s="121"/>
      <c r="F28" s="122"/>
      <c r="G28" s="122"/>
      <c r="H28" s="117"/>
    </row>
    <row r="29" spans="1:8" s="45" customFormat="1" ht="13.5" customHeight="1" x14ac:dyDescent="0.2">
      <c r="A29" s="116"/>
      <c r="B29" s="110" t="s">
        <v>955</v>
      </c>
      <c r="C29" s="111"/>
      <c r="D29" s="112"/>
      <c r="E29" s="121"/>
      <c r="F29" s="122"/>
      <c r="G29" s="122"/>
      <c r="H29" s="117"/>
    </row>
    <row r="30" spans="1:8" s="45" customFormat="1" ht="13.5" customHeight="1" x14ac:dyDescent="0.2">
      <c r="A30" s="116"/>
      <c r="B30" s="2095" t="s">
        <v>956</v>
      </c>
      <c r="C30" s="111"/>
      <c r="D30" s="112"/>
      <c r="E30" s="121"/>
      <c r="F30" s="122"/>
      <c r="G30" s="122"/>
      <c r="H30" s="117"/>
    </row>
    <row r="31" spans="1:8" s="45" customFormat="1" ht="13.5" customHeight="1" x14ac:dyDescent="0.2">
      <c r="A31" s="116"/>
      <c r="B31" s="110" t="s">
        <v>976</v>
      </c>
      <c r="C31" s="111"/>
      <c r="D31" s="112"/>
      <c r="E31" s="121"/>
      <c r="F31" s="122"/>
      <c r="G31" s="122"/>
      <c r="H31" s="117"/>
    </row>
    <row r="32" spans="1:8" s="45" customFormat="1" ht="13.5" customHeight="1" x14ac:dyDescent="0.2">
      <c r="A32" s="116"/>
      <c r="B32" s="110" t="s">
        <v>977</v>
      </c>
      <c r="C32" s="111"/>
      <c r="D32" s="112"/>
      <c r="E32" s="121"/>
      <c r="F32" s="122"/>
      <c r="G32" s="122"/>
      <c r="H32" s="117"/>
    </row>
    <row r="33" spans="1:8" s="45" customFormat="1" ht="13.5" customHeight="1" x14ac:dyDescent="0.2">
      <c r="A33" s="116"/>
      <c r="B33" s="110" t="s">
        <v>980</v>
      </c>
      <c r="C33" s="111"/>
      <c r="D33" s="112"/>
      <c r="E33" s="121"/>
      <c r="F33" s="122"/>
      <c r="G33" s="122"/>
      <c r="H33" s="117"/>
    </row>
    <row r="34" spans="1:8" s="45" customFormat="1" ht="13.5" customHeight="1" x14ac:dyDescent="0.2">
      <c r="A34" s="116"/>
      <c r="B34" s="110" t="s">
        <v>163</v>
      </c>
      <c r="C34" s="111"/>
      <c r="D34" s="112"/>
      <c r="E34" s="121"/>
      <c r="F34" s="122"/>
      <c r="G34" s="122"/>
      <c r="H34" s="117"/>
    </row>
    <row r="35" spans="1:8" s="45" customFormat="1" ht="13.5" customHeight="1" x14ac:dyDescent="0.2">
      <c r="A35" s="116"/>
      <c r="B35" s="110" t="s">
        <v>1009</v>
      </c>
      <c r="C35" s="111"/>
      <c r="D35" s="112"/>
      <c r="E35" s="121"/>
      <c r="F35" s="122"/>
      <c r="G35" s="122"/>
      <c r="H35" s="117"/>
    </row>
    <row r="36" spans="1:8" s="45" customFormat="1" ht="13.5" customHeight="1" x14ac:dyDescent="0.2">
      <c r="A36" s="116"/>
      <c r="B36" s="110" t="s">
        <v>988</v>
      </c>
      <c r="C36" s="111"/>
      <c r="D36" s="112"/>
      <c r="E36" s="121"/>
      <c r="F36" s="2107"/>
      <c r="G36" s="2107"/>
      <c r="H36" s="117"/>
    </row>
    <row r="37" spans="1:8" s="45" customFormat="1" ht="13.5" customHeight="1" x14ac:dyDescent="0.2">
      <c r="A37" s="116"/>
      <c r="B37" s="110"/>
      <c r="C37" s="111"/>
      <c r="D37" s="112"/>
      <c r="E37" s="142"/>
      <c r="F37" s="123">
        <f>SUM(F19:F36)</f>
        <v>0</v>
      </c>
      <c r="G37" s="123">
        <f>SUM(G19:G36)</f>
        <v>0</v>
      </c>
      <c r="H37" s="117"/>
    </row>
    <row r="38" spans="1:8" s="45" customFormat="1" ht="13.5" customHeight="1" x14ac:dyDescent="0.2">
      <c r="A38" s="116"/>
      <c r="B38" s="119" t="s">
        <v>949</v>
      </c>
      <c r="C38" s="111"/>
      <c r="D38" s="112"/>
      <c r="E38" s="142"/>
      <c r="F38" s="107"/>
      <c r="G38" s="107"/>
      <c r="H38" s="117"/>
    </row>
    <row r="39" spans="1:8" s="45" customFormat="1" ht="13.5" customHeight="1" x14ac:dyDescent="0.2">
      <c r="A39" s="116"/>
      <c r="B39" s="110" t="s">
        <v>989</v>
      </c>
      <c r="C39" s="111"/>
      <c r="D39" s="112"/>
      <c r="E39" s="121"/>
      <c r="F39" s="122"/>
      <c r="G39" s="122"/>
      <c r="H39" s="117"/>
    </row>
    <row r="40" spans="1:8" s="45" customFormat="1" ht="13.5" customHeight="1" x14ac:dyDescent="0.2">
      <c r="A40" s="116"/>
      <c r="B40" s="110" t="s">
        <v>972</v>
      </c>
      <c r="C40" s="111"/>
      <c r="D40" s="112"/>
      <c r="E40" s="121"/>
      <c r="F40" s="122"/>
      <c r="G40" s="122"/>
      <c r="H40" s="117"/>
    </row>
    <row r="41" spans="1:8" s="45" customFormat="1" ht="13.5" customHeight="1" x14ac:dyDescent="0.2">
      <c r="A41" s="116"/>
      <c r="B41" s="110" t="s">
        <v>991</v>
      </c>
      <c r="C41" s="111"/>
      <c r="D41" s="112"/>
      <c r="E41" s="121"/>
      <c r="F41" s="122"/>
      <c r="G41" s="122"/>
      <c r="H41" s="117"/>
    </row>
    <row r="42" spans="1:8" s="45" customFormat="1" ht="13.5" customHeight="1" x14ac:dyDescent="0.2">
      <c r="A42" s="116"/>
      <c r="B42" s="110" t="s">
        <v>950</v>
      </c>
      <c r="C42" s="111"/>
      <c r="D42" s="112"/>
      <c r="E42" s="121"/>
      <c r="F42" s="122"/>
      <c r="G42" s="122"/>
      <c r="H42" s="117"/>
    </row>
    <row r="43" spans="1:8" s="45" customFormat="1" ht="13.5" customHeight="1" x14ac:dyDescent="0.2">
      <c r="A43" s="116"/>
      <c r="B43" s="2095" t="s">
        <v>943</v>
      </c>
      <c r="C43" s="111"/>
      <c r="D43" s="112"/>
      <c r="E43" s="121"/>
      <c r="F43" s="122"/>
      <c r="G43" s="122"/>
      <c r="H43" s="117"/>
    </row>
    <row r="44" spans="1:8" s="45" customFormat="1" ht="13.5" customHeight="1" x14ac:dyDescent="0.2">
      <c r="A44" s="116"/>
      <c r="B44" s="110" t="s">
        <v>992</v>
      </c>
      <c r="C44" s="111"/>
      <c r="D44" s="112"/>
      <c r="E44" s="121"/>
      <c r="F44" s="122"/>
      <c r="G44" s="122"/>
      <c r="H44" s="117"/>
    </row>
    <row r="45" spans="1:8" s="45" customFormat="1" ht="13.5" customHeight="1" x14ac:dyDescent="0.2">
      <c r="A45" s="116"/>
      <c r="B45" s="110" t="s">
        <v>993</v>
      </c>
      <c r="C45" s="111"/>
      <c r="D45" s="112"/>
      <c r="E45" s="121"/>
      <c r="F45" s="122"/>
      <c r="G45" s="122"/>
      <c r="H45" s="117"/>
    </row>
    <row r="46" spans="1:8" s="45" customFormat="1" ht="13.5" customHeight="1" x14ac:dyDescent="0.2">
      <c r="A46" s="116"/>
      <c r="B46" s="110" t="s">
        <v>994</v>
      </c>
      <c r="C46" s="111"/>
      <c r="D46" s="112"/>
      <c r="E46" s="121"/>
      <c r="F46" s="122"/>
      <c r="G46" s="122"/>
      <c r="H46" s="117"/>
    </row>
    <row r="47" spans="1:8" s="45" customFormat="1" ht="13.5" customHeight="1" x14ac:dyDescent="0.2">
      <c r="A47" s="116"/>
      <c r="B47" s="110" t="s">
        <v>958</v>
      </c>
      <c r="C47" s="111"/>
      <c r="D47" s="112"/>
      <c r="E47" s="121"/>
      <c r="F47" s="122"/>
      <c r="G47" s="122"/>
      <c r="H47" s="117"/>
    </row>
    <row r="48" spans="1:8" s="45" customFormat="1" ht="13.5" customHeight="1" x14ac:dyDescent="0.2">
      <c r="A48" s="116"/>
      <c r="B48" s="110" t="s">
        <v>1014</v>
      </c>
      <c r="C48" s="111"/>
      <c r="D48" s="112"/>
      <c r="E48" s="121"/>
      <c r="F48" s="122"/>
      <c r="G48" s="122"/>
      <c r="H48" s="117"/>
    </row>
    <row r="49" spans="1:8" s="45" customFormat="1" ht="13.5" customHeight="1" x14ac:dyDescent="0.2">
      <c r="A49" s="116"/>
      <c r="B49" s="110" t="s">
        <v>1009</v>
      </c>
      <c r="C49" s="111"/>
      <c r="D49" s="112"/>
      <c r="E49" s="121"/>
      <c r="F49" s="2107"/>
      <c r="G49" s="2107"/>
      <c r="H49" s="117"/>
    </row>
    <row r="50" spans="1:8" s="45" customFormat="1" ht="13.5" customHeight="1" x14ac:dyDescent="0.2">
      <c r="A50" s="116"/>
      <c r="B50" s="110" t="s">
        <v>988</v>
      </c>
      <c r="C50" s="111"/>
      <c r="D50" s="112"/>
      <c r="E50" s="121"/>
      <c r="F50" s="2107"/>
      <c r="G50" s="2107"/>
      <c r="H50" s="117"/>
    </row>
    <row r="51" spans="1:8" s="45" customFormat="1" ht="13.5" customHeight="1" x14ac:dyDescent="0.2">
      <c r="A51" s="116"/>
      <c r="B51" s="110"/>
      <c r="C51" s="111"/>
      <c r="D51" s="112"/>
      <c r="E51" s="142"/>
      <c r="F51" s="123">
        <f>SUM(F39:F50)</f>
        <v>0</v>
      </c>
      <c r="G51" s="123">
        <f>SUM(G39:G50)</f>
        <v>0</v>
      </c>
      <c r="H51" s="117"/>
    </row>
    <row r="52" spans="1:8" s="45" customFormat="1" ht="13.5" customHeight="1" x14ac:dyDescent="0.2">
      <c r="A52" s="118" t="s">
        <v>152</v>
      </c>
      <c r="B52" s="119" t="s">
        <v>942</v>
      </c>
      <c r="C52" s="111"/>
      <c r="D52" s="112"/>
      <c r="E52" s="142"/>
      <c r="F52" s="107"/>
      <c r="G52" s="107"/>
      <c r="H52" s="117"/>
    </row>
    <row r="53" spans="1:8" s="45" customFormat="1" ht="13.5" customHeight="1" x14ac:dyDescent="0.2">
      <c r="A53" s="116"/>
      <c r="B53" s="110" t="s">
        <v>167</v>
      </c>
      <c r="C53" s="111"/>
      <c r="D53" s="112"/>
      <c r="E53" s="121"/>
      <c r="F53" s="122"/>
      <c r="G53" s="122"/>
      <c r="H53" s="117"/>
    </row>
    <row r="54" spans="1:8" s="45" customFormat="1" ht="13.5" customHeight="1" x14ac:dyDescent="0.2">
      <c r="A54" s="116"/>
      <c r="B54" s="110" t="s">
        <v>954</v>
      </c>
      <c r="C54" s="111"/>
      <c r="D54" s="112"/>
      <c r="E54" s="121"/>
      <c r="F54" s="122"/>
      <c r="G54" s="122"/>
      <c r="H54" s="117"/>
    </row>
    <row r="55" spans="1:8" s="45" customFormat="1" ht="13.5" customHeight="1" x14ac:dyDescent="0.2">
      <c r="A55" s="116"/>
      <c r="B55" s="2095" t="s">
        <v>943</v>
      </c>
      <c r="C55" s="111"/>
      <c r="D55" s="112"/>
      <c r="E55" s="121"/>
      <c r="F55" s="122"/>
      <c r="G55" s="122"/>
      <c r="H55" s="117"/>
    </row>
    <row r="56" spans="1:8" s="45" customFormat="1" ht="13.5" customHeight="1" x14ac:dyDescent="0.2">
      <c r="A56" s="116"/>
      <c r="B56" s="110" t="s">
        <v>957</v>
      </c>
      <c r="C56" s="111"/>
      <c r="D56" s="112"/>
      <c r="E56" s="121"/>
      <c r="F56" s="122"/>
      <c r="G56" s="122"/>
      <c r="H56" s="117"/>
    </row>
    <row r="57" spans="1:8" s="45" customFormat="1" ht="13.5" customHeight="1" x14ac:dyDescent="0.2">
      <c r="A57" s="116"/>
      <c r="B57" s="2095" t="s">
        <v>995</v>
      </c>
      <c r="C57" s="111"/>
      <c r="D57" s="112"/>
      <c r="E57" s="121"/>
      <c r="F57" s="122"/>
      <c r="G57" s="122"/>
      <c r="H57" s="117"/>
    </row>
    <row r="58" spans="1:8" s="45" customFormat="1" ht="13.5" customHeight="1" x14ac:dyDescent="0.2">
      <c r="A58" s="116"/>
      <c r="B58" s="110" t="s">
        <v>978</v>
      </c>
      <c r="C58" s="111"/>
      <c r="D58" s="112"/>
      <c r="E58" s="121"/>
      <c r="F58" s="122"/>
      <c r="G58" s="122"/>
      <c r="H58" s="117"/>
    </row>
    <row r="59" spans="1:8" s="45" customFormat="1" ht="13.5" customHeight="1" x14ac:dyDescent="0.2">
      <c r="A59" s="116"/>
      <c r="B59" s="110" t="s">
        <v>979</v>
      </c>
      <c r="C59" s="111"/>
      <c r="D59" s="112"/>
      <c r="E59" s="121"/>
      <c r="F59" s="122"/>
      <c r="G59" s="122"/>
      <c r="H59" s="117"/>
    </row>
    <row r="60" spans="1:8" s="45" customFormat="1" ht="13.5" customHeight="1" x14ac:dyDescent="0.2">
      <c r="A60" s="116"/>
      <c r="B60" s="110" t="s">
        <v>981</v>
      </c>
      <c r="C60" s="111"/>
      <c r="D60" s="112"/>
      <c r="E60" s="121"/>
      <c r="F60" s="122"/>
      <c r="G60" s="122"/>
      <c r="H60" s="117"/>
    </row>
    <row r="61" spans="1:8" s="45" customFormat="1" ht="13.5" customHeight="1" x14ac:dyDescent="0.2">
      <c r="A61" s="116"/>
      <c r="B61" s="110" t="s">
        <v>941</v>
      </c>
      <c r="C61" s="111"/>
      <c r="D61" s="112"/>
      <c r="E61" s="121"/>
      <c r="F61" s="122"/>
      <c r="G61" s="122"/>
      <c r="H61" s="117"/>
    </row>
    <row r="62" spans="1:8" s="45" customFormat="1" ht="13.5" customHeight="1" x14ac:dyDescent="0.2">
      <c r="A62" s="116"/>
      <c r="B62" s="110" t="s">
        <v>1010</v>
      </c>
      <c r="C62" s="111"/>
      <c r="D62" s="112"/>
      <c r="E62" s="121"/>
      <c r="F62" s="122"/>
      <c r="G62" s="122"/>
      <c r="H62" s="117"/>
    </row>
    <row r="63" spans="1:8" s="45" customFormat="1" ht="13.5" customHeight="1" x14ac:dyDescent="0.2">
      <c r="A63" s="116"/>
      <c r="B63" s="110" t="s">
        <v>1011</v>
      </c>
      <c r="C63" s="111"/>
      <c r="D63" s="112"/>
      <c r="E63" s="121"/>
      <c r="F63" s="122"/>
      <c r="G63" s="122"/>
      <c r="H63" s="117"/>
    </row>
    <row r="64" spans="1:8" s="45" customFormat="1" ht="13.5" customHeight="1" x14ac:dyDescent="0.2">
      <c r="A64" s="116"/>
      <c r="B64" s="110" t="s">
        <v>1009</v>
      </c>
      <c r="C64" s="111"/>
      <c r="D64" s="112"/>
      <c r="E64" s="121"/>
      <c r="F64" s="122"/>
      <c r="G64" s="122"/>
      <c r="H64" s="117"/>
    </row>
    <row r="65" spans="1:8" s="45" customFormat="1" ht="13.5" customHeight="1" x14ac:dyDescent="0.2">
      <c r="A65" s="116"/>
      <c r="B65" s="110" t="s">
        <v>988</v>
      </c>
      <c r="C65" s="111"/>
      <c r="D65" s="112"/>
      <c r="E65" s="121"/>
      <c r="F65" s="2107"/>
      <c r="G65" s="2107"/>
      <c r="H65" s="117"/>
    </row>
    <row r="66" spans="1:8" s="45" customFormat="1" ht="13.5" customHeight="1" x14ac:dyDescent="0.2">
      <c r="A66" s="116"/>
      <c r="B66" s="110"/>
      <c r="C66" s="111"/>
      <c r="D66" s="112"/>
      <c r="E66" s="142"/>
      <c r="F66" s="123">
        <f>-SUM(F53:F65)</f>
        <v>0</v>
      </c>
      <c r="G66" s="123">
        <f>-SUM(G53:G65)</f>
        <v>0</v>
      </c>
      <c r="H66" s="117"/>
    </row>
    <row r="67" spans="1:8" s="45" customFormat="1" ht="13.5" customHeight="1" x14ac:dyDescent="0.2">
      <c r="A67" s="116"/>
      <c r="B67" s="119" t="s">
        <v>948</v>
      </c>
      <c r="C67" s="124"/>
      <c r="D67" s="112"/>
      <c r="E67" s="142"/>
      <c r="F67" s="58"/>
      <c r="G67" s="58"/>
      <c r="H67" s="125"/>
    </row>
    <row r="68" spans="1:8" s="45" customFormat="1" ht="13.5" customHeight="1" x14ac:dyDescent="0.2">
      <c r="A68" s="116"/>
      <c r="B68" s="110" t="s">
        <v>944</v>
      </c>
      <c r="C68" s="110"/>
      <c r="D68" s="112"/>
      <c r="E68" s="143"/>
      <c r="F68" s="114"/>
      <c r="G68" s="114"/>
      <c r="H68" s="125"/>
    </row>
    <row r="69" spans="1:8" s="45" customFormat="1" ht="13.5" customHeight="1" x14ac:dyDescent="0.2">
      <c r="A69" s="116"/>
      <c r="B69" s="2095" t="s">
        <v>943</v>
      </c>
      <c r="C69" s="110"/>
      <c r="D69" s="112"/>
      <c r="E69" s="1904"/>
      <c r="F69" s="114"/>
      <c r="G69" s="114"/>
      <c r="H69" s="125"/>
    </row>
    <row r="70" spans="1:8" s="45" customFormat="1" ht="13.5" customHeight="1" x14ac:dyDescent="0.2">
      <c r="A70" s="116"/>
      <c r="B70" s="110" t="s">
        <v>803</v>
      </c>
      <c r="C70" s="110"/>
      <c r="D70" s="112"/>
      <c r="E70" s="1904"/>
      <c r="F70" s="114"/>
      <c r="G70" s="114"/>
      <c r="H70" s="125"/>
    </row>
    <row r="71" spans="1:8" s="45" customFormat="1" ht="13.5" customHeight="1" x14ac:dyDescent="0.2">
      <c r="A71" s="116"/>
      <c r="B71" s="110" t="s">
        <v>983</v>
      </c>
      <c r="C71" s="110"/>
      <c r="D71" s="112"/>
      <c r="E71" s="1904"/>
      <c r="F71" s="114"/>
      <c r="G71" s="114"/>
      <c r="H71" s="125"/>
    </row>
    <row r="72" spans="1:8" s="45" customFormat="1" ht="13.5" customHeight="1" x14ac:dyDescent="0.2">
      <c r="A72" s="116"/>
      <c r="B72" s="2095" t="s">
        <v>984</v>
      </c>
      <c r="C72" s="110"/>
      <c r="D72" s="112"/>
      <c r="E72" s="1904"/>
      <c r="F72" s="114"/>
      <c r="G72" s="114"/>
      <c r="H72" s="125"/>
    </row>
    <row r="73" spans="1:8" s="45" customFormat="1" ht="13.5" customHeight="1" x14ac:dyDescent="0.2">
      <c r="A73" s="116"/>
      <c r="B73" s="124" t="s">
        <v>937</v>
      </c>
      <c r="C73" s="111"/>
      <c r="D73" s="112"/>
      <c r="E73" s="144"/>
      <c r="F73" s="114"/>
      <c r="G73" s="114"/>
      <c r="H73" s="125"/>
    </row>
    <row r="74" spans="1:8" s="45" customFormat="1" ht="13.5" customHeight="1" x14ac:dyDescent="0.2">
      <c r="A74" s="116"/>
      <c r="B74" s="124" t="s">
        <v>964</v>
      </c>
      <c r="C74" s="111"/>
      <c r="D74" s="112"/>
      <c r="E74" s="144"/>
      <c r="F74" s="114"/>
      <c r="G74" s="114"/>
      <c r="H74" s="2146" t="s">
        <v>982</v>
      </c>
    </row>
    <row r="75" spans="1:8" s="45" customFormat="1" ht="13.5" customHeight="1" x14ac:dyDescent="0.2">
      <c r="A75" s="116"/>
      <c r="B75" s="110" t="s">
        <v>938</v>
      </c>
      <c r="C75" s="110"/>
      <c r="D75" s="126"/>
      <c r="E75" s="142"/>
      <c r="F75" s="114"/>
      <c r="G75" s="114"/>
      <c r="H75" s="125"/>
    </row>
    <row r="76" spans="1:8" s="45" customFormat="1" ht="13.5" customHeight="1" x14ac:dyDescent="0.2">
      <c r="A76" s="116"/>
      <c r="B76" s="124" t="s">
        <v>939</v>
      </c>
      <c r="C76" s="124"/>
      <c r="D76" s="126"/>
      <c r="E76" s="142"/>
      <c r="F76" s="114"/>
      <c r="G76" s="114"/>
      <c r="H76" s="125"/>
    </row>
    <row r="77" spans="1:8" s="45" customFormat="1" ht="13.5" customHeight="1" x14ac:dyDescent="0.2">
      <c r="A77" s="116"/>
      <c r="B77" s="110" t="s">
        <v>940</v>
      </c>
      <c r="C77" s="124"/>
      <c r="D77" s="126"/>
      <c r="E77" s="121"/>
      <c r="F77" s="114"/>
      <c r="G77" s="114"/>
      <c r="H77" s="125"/>
    </row>
    <row r="78" spans="1:8" s="45" customFormat="1" ht="13.5" customHeight="1" x14ac:dyDescent="0.2">
      <c r="A78" s="59"/>
      <c r="B78" s="110" t="s">
        <v>1009</v>
      </c>
      <c r="C78" s="124"/>
      <c r="D78" s="126"/>
      <c r="E78" s="142"/>
      <c r="F78" s="114"/>
      <c r="G78" s="114"/>
      <c r="H78" s="125"/>
    </row>
    <row r="79" spans="1:8" s="45" customFormat="1" ht="13.5" customHeight="1" x14ac:dyDescent="0.2">
      <c r="A79" s="59"/>
      <c r="B79" s="110" t="s">
        <v>988</v>
      </c>
      <c r="C79" s="124"/>
      <c r="D79" s="126"/>
      <c r="E79" s="143"/>
      <c r="F79" s="114"/>
      <c r="G79" s="114"/>
      <c r="H79" s="125"/>
    </row>
    <row r="80" spans="1:8" s="45" customFormat="1" ht="13.5" customHeight="1" x14ac:dyDescent="0.2">
      <c r="A80" s="59"/>
      <c r="B80" s="110"/>
      <c r="C80" s="124"/>
      <c r="D80" s="126"/>
      <c r="E80" s="143"/>
      <c r="F80" s="127">
        <f>-SUM(F68:F79)</f>
        <v>0</v>
      </c>
      <c r="G80" s="127">
        <f>-SUM(G68:G79)</f>
        <v>0</v>
      </c>
      <c r="H80" s="125"/>
    </row>
    <row r="81" spans="1:8" s="45" customFormat="1" ht="13.5" customHeight="1" x14ac:dyDescent="0.2">
      <c r="A81" s="1691" t="s">
        <v>168</v>
      </c>
      <c r="B81" s="110"/>
      <c r="C81" s="124"/>
      <c r="D81" s="126"/>
      <c r="E81" s="143"/>
      <c r="F81" s="128">
        <f>F16+F37+F51+F66+F80</f>
        <v>0</v>
      </c>
      <c r="G81" s="128">
        <f>G16+G37+G51+G66+G80</f>
        <v>0</v>
      </c>
      <c r="H81" s="125"/>
    </row>
    <row r="82" spans="1:8" s="45" customFormat="1" ht="13.5" customHeight="1" x14ac:dyDescent="0.2">
      <c r="A82" s="59"/>
      <c r="B82" s="110"/>
      <c r="C82" s="124"/>
      <c r="D82" s="126"/>
      <c r="E82" s="152"/>
      <c r="F82" s="58"/>
      <c r="G82" s="58"/>
      <c r="H82" s="125"/>
    </row>
    <row r="83" spans="1:8" s="45" customFormat="1" ht="13.5" customHeight="1" x14ac:dyDescent="0.2">
      <c r="A83" s="2094" t="s">
        <v>152</v>
      </c>
      <c r="B83" s="110" t="s">
        <v>932</v>
      </c>
      <c r="C83" s="124"/>
      <c r="D83" s="126"/>
      <c r="E83" s="152"/>
      <c r="F83" s="114"/>
      <c r="G83" s="114"/>
      <c r="H83" s="125"/>
    </row>
    <row r="84" spans="1:8" s="45" customFormat="1" ht="13.5" customHeight="1" x14ac:dyDescent="0.2">
      <c r="A84" s="59"/>
      <c r="B84" s="110"/>
      <c r="C84" s="124"/>
      <c r="D84" s="126"/>
      <c r="E84" s="152"/>
      <c r="F84" s="58"/>
      <c r="G84" s="58"/>
      <c r="H84" s="125"/>
    </row>
    <row r="85" spans="1:8" s="45" customFormat="1" ht="13.5" customHeight="1" x14ac:dyDescent="0.2">
      <c r="A85" s="1691" t="s">
        <v>224</v>
      </c>
      <c r="B85" s="110"/>
      <c r="C85" s="124"/>
      <c r="D85" s="126"/>
      <c r="E85" s="152"/>
      <c r="F85" s="1868">
        <f>SUM(F81:F84)</f>
        <v>0</v>
      </c>
      <c r="G85" s="1868">
        <f>SUM(G81:G84)</f>
        <v>0</v>
      </c>
      <c r="H85" s="125"/>
    </row>
    <row r="86" spans="1:8" s="45" customFormat="1" ht="13.5" customHeight="1" x14ac:dyDescent="0.2">
      <c r="A86" s="106"/>
      <c r="B86" s="124"/>
      <c r="C86" s="124"/>
      <c r="D86" s="124"/>
      <c r="E86" s="124"/>
      <c r="F86" s="124"/>
      <c r="G86" s="58"/>
      <c r="H86" s="55"/>
    </row>
  </sheetData>
  <customSheetViews>
    <customSheetView guid="{F72FE543-F911-423C-A34B-9CA018DFE603}" showPageBreaks="1" showGridLines="0" fitToPage="1" printArea="1" view="pageBreakPreview">
      <selection activeCell="G21" sqref="G21"/>
      <rowBreaks count="1" manualBreakCount="1">
        <brk id="65" max="7" man="1"/>
      </rowBreaks>
      <pageMargins left="0.74803149606299213" right="0.39370078740157483" top="0.55118110236220474" bottom="0.62992125984251968" header="0.51181102362204722" footer="0.47244094488188981"/>
      <pageSetup paperSize="9" scale="65"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0200-000000000000}"/>
    <hyperlink ref="H74" r:id="rId2" xr:uid="{A097D0D6-FA7A-4A5C-9F68-43BE8C3D703A}"/>
  </hyperlinks>
  <pageMargins left="0.74803149606299213" right="0.39370078740157483" top="0.55118110236220474" bottom="0.62992125984251968" header="0.51181102362204722" footer="0.47244094488188981"/>
  <pageSetup paperSize="9" scale="64" orientation="portrait" r:id="rId3"/>
  <headerFooter alignWithMargins="0">
    <oddFooter>&amp;LPrinted:&amp;T on &amp;D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6199">
    <pageSetUpPr fitToPage="1"/>
  </sheetPr>
  <dimension ref="A1:H98"/>
  <sheetViews>
    <sheetView showGridLines="0" view="pageBreakPreview" zoomScaleNormal="50" zoomScaleSheetLayoutView="100" workbookViewId="0">
      <selection activeCell="F84" sqref="F84"/>
    </sheetView>
  </sheetViews>
  <sheetFormatPr defaultColWidth="9.140625" defaultRowHeight="15" x14ac:dyDescent="0.25"/>
  <cols>
    <col min="1" max="1" width="11.5703125" style="19" customWidth="1"/>
    <col min="2" max="2" width="11.42578125" style="19" customWidth="1"/>
    <col min="3" max="3" width="30.7109375" style="19" customWidth="1"/>
    <col min="4" max="4" width="10.7109375" style="19" customWidth="1"/>
    <col min="5" max="5" width="15.7109375" style="20" customWidth="1"/>
    <col min="6" max="7" width="15.7109375" style="92" customWidth="1"/>
    <col min="8" max="8" width="13.7109375" style="19" customWidth="1"/>
    <col min="9" max="10" width="10.42578125" style="19" customWidth="1"/>
    <col min="11" max="16384" width="9.140625" style="19"/>
  </cols>
  <sheetData>
    <row r="1" spans="1:8" ht="5.25" customHeight="1" thickBot="1" x14ac:dyDescent="0.3"/>
    <row r="2" spans="1:8" ht="19.899999999999999" customHeight="1" thickBot="1" x14ac:dyDescent="0.35">
      <c r="A2" s="2269" t="s">
        <v>44</v>
      </c>
      <c r="B2" s="2301"/>
      <c r="C2" s="2270"/>
      <c r="D2" s="21"/>
      <c r="F2" s="93"/>
      <c r="G2" s="93"/>
      <c r="H2" s="20"/>
    </row>
    <row r="3" spans="1:8" ht="27" customHeight="1" x14ac:dyDescent="0.25">
      <c r="A3" s="22"/>
    </row>
    <row r="4" spans="1:8" ht="19.5" customHeight="1" x14ac:dyDescent="0.25">
      <c r="A4" s="21"/>
    </row>
    <row r="5" spans="1:8" ht="5.25" customHeight="1" x14ac:dyDescent="0.25">
      <c r="A5" s="23"/>
      <c r="B5" s="24"/>
      <c r="C5" s="25"/>
      <c r="E5" s="82"/>
      <c r="F5" s="94"/>
      <c r="G5" s="94"/>
      <c r="H5" s="25"/>
    </row>
    <row r="6" spans="1:8" ht="14.25" customHeight="1" x14ac:dyDescent="0.25">
      <c r="A6" s="26" t="s">
        <v>40</v>
      </c>
      <c r="B6" s="28" t="str">
        <f>'Index and Structure'!B2</f>
        <v>Nicolo Superannuation fund</v>
      </c>
      <c r="C6" s="29"/>
      <c r="D6" s="30"/>
      <c r="E6" s="31" t="s">
        <v>38</v>
      </c>
      <c r="F6" s="159" t="str">
        <f>'Index and Structure'!B5</f>
        <v>NICO0024</v>
      </c>
      <c r="G6" s="96"/>
      <c r="H6" s="33"/>
    </row>
    <row r="7" spans="1:8" ht="14.25" customHeight="1" x14ac:dyDescent="0.25">
      <c r="A7" s="26" t="s">
        <v>45</v>
      </c>
      <c r="B7" s="28" t="str">
        <f>'Index and Structure'!A12</f>
        <v>Tax Reconciliation - Trust/Partnership</v>
      </c>
      <c r="C7" s="29"/>
      <c r="D7" s="30"/>
      <c r="E7" s="34" t="s">
        <v>41</v>
      </c>
      <c r="F7" s="160" t="str">
        <f>'Index and Structure'!B6</f>
        <v>Liam Aubin</v>
      </c>
      <c r="G7" s="1866" t="s">
        <v>42</v>
      </c>
      <c r="H7" s="35"/>
    </row>
    <row r="8" spans="1:8" ht="14.25" customHeight="1" x14ac:dyDescent="0.25">
      <c r="A8" s="36" t="s">
        <v>46</v>
      </c>
      <c r="B8" s="37" t="str">
        <f>'Index and Structure'!B4</f>
        <v>30 June 2022</v>
      </c>
      <c r="C8" s="38"/>
      <c r="D8" s="30"/>
      <c r="E8" s="39" t="s">
        <v>43</v>
      </c>
      <c r="F8" s="161" t="str">
        <f>'Index and Structure'!B7</f>
        <v>Nicole Bryant</v>
      </c>
      <c r="G8" s="1867" t="s">
        <v>42</v>
      </c>
      <c r="H8" s="41"/>
    </row>
    <row r="9" spans="1:8" ht="15" customHeight="1" x14ac:dyDescent="0.25"/>
    <row r="10" spans="1:8" ht="30" customHeight="1" x14ac:dyDescent="0.25">
      <c r="A10" s="42"/>
      <c r="B10" s="43"/>
      <c r="C10" s="43"/>
      <c r="D10" s="43"/>
      <c r="E10" s="184"/>
      <c r="F10" s="99"/>
      <c r="G10" s="99"/>
      <c r="H10" s="44"/>
    </row>
    <row r="11" spans="1:8" s="45" customFormat="1" ht="13.5" customHeight="1" x14ac:dyDescent="0.2">
      <c r="A11" s="100"/>
      <c r="B11" s="101"/>
      <c r="C11" s="101"/>
      <c r="D11" s="101"/>
      <c r="E11" s="185"/>
      <c r="F11" s="103"/>
      <c r="G11" s="104"/>
      <c r="H11" s="105"/>
    </row>
    <row r="12" spans="1:8" s="45" customFormat="1" ht="13.5" customHeight="1" x14ac:dyDescent="0.2">
      <c r="A12" s="445" t="str">
        <f>B7</f>
        <v>Tax Reconciliation - Trust/Partnership</v>
      </c>
      <c r="C12" s="48"/>
      <c r="D12" s="48"/>
      <c r="E12" s="186"/>
      <c r="F12" s="58"/>
      <c r="G12" s="58"/>
      <c r="H12" s="71"/>
    </row>
    <row r="13" spans="1:8" s="45" customFormat="1" ht="13.5" customHeight="1" x14ac:dyDescent="0.2">
      <c r="A13" s="106"/>
      <c r="B13" s="1689" t="s">
        <v>458</v>
      </c>
      <c r="C13" s="1689"/>
      <c r="D13" s="48"/>
      <c r="E13" s="186"/>
      <c r="F13" s="107"/>
      <c r="G13" s="58"/>
      <c r="H13" s="71"/>
    </row>
    <row r="14" spans="1:8" s="45" customFormat="1" ht="13.5" customHeight="1" x14ac:dyDescent="0.2">
      <c r="A14" s="106"/>
      <c r="B14" s="1690" t="s">
        <v>646</v>
      </c>
      <c r="C14" s="1690"/>
      <c r="D14" s="49"/>
      <c r="E14" s="186"/>
      <c r="F14" s="107"/>
      <c r="G14" s="58"/>
      <c r="H14" s="108"/>
    </row>
    <row r="15" spans="1:8" s="45" customFormat="1" ht="27" customHeight="1" x14ac:dyDescent="0.2">
      <c r="A15" s="106"/>
      <c r="B15" s="1690"/>
      <c r="C15" s="1690"/>
      <c r="D15" s="49"/>
      <c r="E15" s="1718"/>
      <c r="F15" s="1720" t="s">
        <v>935</v>
      </c>
      <c r="G15" s="1719" t="s">
        <v>936</v>
      </c>
      <c r="H15" s="108"/>
    </row>
    <row r="16" spans="1:8" s="45" customFormat="1" ht="13.5" customHeight="1" x14ac:dyDescent="0.2">
      <c r="A16" s="1691" t="s">
        <v>789</v>
      </c>
      <c r="B16" s="110"/>
      <c r="C16" s="111"/>
      <c r="D16" s="112"/>
      <c r="E16" s="113" t="s">
        <v>50</v>
      </c>
      <c r="F16" s="2108"/>
      <c r="G16" s="2108"/>
      <c r="H16" s="115" t="s">
        <v>457</v>
      </c>
    </row>
    <row r="17" spans="1:8" s="45" customFormat="1" ht="13.5" customHeight="1" x14ac:dyDescent="0.2">
      <c r="A17" s="116"/>
      <c r="B17" s="110"/>
      <c r="C17" s="111"/>
      <c r="D17" s="112"/>
      <c r="E17" s="142"/>
      <c r="F17" s="107"/>
      <c r="G17" s="107"/>
      <c r="H17" s="117"/>
    </row>
    <row r="18" spans="1:8" s="45" customFormat="1" ht="13.5" customHeight="1" x14ac:dyDescent="0.2">
      <c r="A18" s="118" t="s">
        <v>155</v>
      </c>
      <c r="B18" s="119" t="s">
        <v>951</v>
      </c>
      <c r="C18" s="120"/>
      <c r="D18" s="112"/>
      <c r="E18" s="142"/>
      <c r="F18" s="107"/>
      <c r="G18" s="107"/>
      <c r="H18" s="117"/>
    </row>
    <row r="19" spans="1:8" s="45" customFormat="1" ht="13.5" customHeight="1" x14ac:dyDescent="0.2">
      <c r="A19" s="116"/>
      <c r="B19" s="110" t="s">
        <v>156</v>
      </c>
      <c r="C19" s="111"/>
      <c r="D19" s="112"/>
      <c r="E19" s="121"/>
      <c r="F19" s="122"/>
      <c r="G19" s="122"/>
      <c r="H19" s="117"/>
    </row>
    <row r="20" spans="1:8" s="45" customFormat="1" ht="13.5" customHeight="1" x14ac:dyDescent="0.2">
      <c r="A20" s="116"/>
      <c r="B20" s="110" t="s">
        <v>157</v>
      </c>
      <c r="C20" s="111"/>
      <c r="D20" s="112"/>
      <c r="E20" s="121"/>
      <c r="F20" s="122"/>
      <c r="G20" s="122"/>
      <c r="H20" s="117"/>
    </row>
    <row r="21" spans="1:8" s="45" customFormat="1" ht="13.5" customHeight="1" x14ac:dyDescent="0.2">
      <c r="A21" s="116"/>
      <c r="B21" s="110" t="s">
        <v>31</v>
      </c>
      <c r="C21" s="111"/>
      <c r="D21" s="112"/>
      <c r="E21" s="121"/>
      <c r="F21" s="122"/>
      <c r="G21" s="122"/>
      <c r="H21" s="117"/>
    </row>
    <row r="22" spans="1:8" s="45" customFormat="1" ht="13.5" customHeight="1" x14ac:dyDescent="0.2">
      <c r="A22" s="116"/>
      <c r="B22" s="110" t="s">
        <v>89</v>
      </c>
      <c r="C22" s="111"/>
      <c r="D22" s="112"/>
      <c r="E22" s="121"/>
      <c r="F22" s="122"/>
      <c r="G22" s="122"/>
      <c r="H22" s="117"/>
    </row>
    <row r="23" spans="1:8" s="45" customFormat="1" ht="13.5" customHeight="1" x14ac:dyDescent="0.2">
      <c r="A23" s="116"/>
      <c r="B23" s="110" t="s">
        <v>158</v>
      </c>
      <c r="C23" s="111"/>
      <c r="D23" s="112"/>
      <c r="E23" s="121"/>
      <c r="F23" s="122"/>
      <c r="G23" s="122"/>
      <c r="H23" s="117"/>
    </row>
    <row r="24" spans="1:8" s="45" customFormat="1" ht="13.5" customHeight="1" x14ac:dyDescent="0.2">
      <c r="A24" s="116"/>
      <c r="B24" s="110" t="s">
        <v>986</v>
      </c>
      <c r="C24" s="111"/>
      <c r="D24" s="112"/>
      <c r="E24" s="121"/>
      <c r="F24" s="122"/>
      <c r="G24" s="122"/>
      <c r="H24" s="117"/>
    </row>
    <row r="25" spans="1:8" s="45" customFormat="1" ht="13.5" customHeight="1" x14ac:dyDescent="0.2">
      <c r="A25" s="116"/>
      <c r="B25" s="110" t="s">
        <v>985</v>
      </c>
      <c r="C25" s="111"/>
      <c r="D25" s="112"/>
      <c r="E25" s="121"/>
      <c r="F25" s="122"/>
      <c r="G25" s="122"/>
      <c r="H25" s="117"/>
    </row>
    <row r="26" spans="1:8" s="45" customFormat="1" ht="13.5" customHeight="1" x14ac:dyDescent="0.2">
      <c r="A26" s="116"/>
      <c r="B26" s="110" t="s">
        <v>271</v>
      </c>
      <c r="C26" s="111"/>
      <c r="D26" s="112"/>
      <c r="E26" s="121"/>
      <c r="F26" s="122"/>
      <c r="G26" s="122"/>
      <c r="H26" s="117"/>
    </row>
    <row r="27" spans="1:8" s="45" customFormat="1" ht="13.5" customHeight="1" x14ac:dyDescent="0.2">
      <c r="A27" s="116"/>
      <c r="B27" s="110" t="s">
        <v>952</v>
      </c>
      <c r="C27" s="111"/>
      <c r="D27" s="112"/>
      <c r="E27" s="121"/>
      <c r="F27" s="122"/>
      <c r="G27" s="122"/>
      <c r="H27" s="117"/>
    </row>
    <row r="28" spans="1:8" s="45" customFormat="1" ht="13.5" customHeight="1" x14ac:dyDescent="0.2">
      <c r="A28" s="116"/>
      <c r="B28" s="110" t="s">
        <v>953</v>
      </c>
      <c r="C28" s="111"/>
      <c r="D28" s="112"/>
      <c r="E28" s="121"/>
      <c r="F28" s="122"/>
      <c r="G28" s="122"/>
      <c r="H28" s="117"/>
    </row>
    <row r="29" spans="1:8" s="45" customFormat="1" ht="13.5" customHeight="1" x14ac:dyDescent="0.2">
      <c r="A29" s="116"/>
      <c r="B29" s="2095" t="s">
        <v>943</v>
      </c>
      <c r="C29" s="111"/>
      <c r="D29" s="112"/>
      <c r="E29" s="121"/>
      <c r="F29" s="122"/>
      <c r="G29" s="122"/>
      <c r="H29" s="117"/>
    </row>
    <row r="30" spans="1:8" s="45" customFormat="1" ht="13.5" customHeight="1" x14ac:dyDescent="0.2">
      <c r="A30" s="116"/>
      <c r="B30" s="110" t="s">
        <v>955</v>
      </c>
      <c r="C30" s="111"/>
      <c r="D30" s="112"/>
      <c r="E30" s="121"/>
      <c r="F30" s="122"/>
      <c r="G30" s="122"/>
      <c r="H30" s="117"/>
    </row>
    <row r="31" spans="1:8" s="45" customFormat="1" ht="13.5" customHeight="1" x14ac:dyDescent="0.2">
      <c r="A31" s="116"/>
      <c r="B31" s="2095" t="s">
        <v>956</v>
      </c>
      <c r="C31" s="111"/>
      <c r="D31" s="112"/>
      <c r="E31" s="121"/>
      <c r="F31" s="122"/>
      <c r="G31" s="122"/>
      <c r="H31" s="117"/>
    </row>
    <row r="32" spans="1:8" s="45" customFormat="1" ht="13.5" customHeight="1" x14ac:dyDescent="0.2">
      <c r="A32" s="116"/>
      <c r="B32" s="110" t="s">
        <v>976</v>
      </c>
      <c r="C32" s="111"/>
      <c r="D32" s="112"/>
      <c r="E32" s="121"/>
      <c r="F32" s="122"/>
      <c r="G32" s="122"/>
      <c r="H32" s="117"/>
    </row>
    <row r="33" spans="1:8" s="45" customFormat="1" ht="13.5" customHeight="1" x14ac:dyDescent="0.2">
      <c r="A33" s="116"/>
      <c r="B33" s="110" t="s">
        <v>977</v>
      </c>
      <c r="C33" s="111"/>
      <c r="D33" s="112"/>
      <c r="E33" s="121"/>
      <c r="F33" s="122"/>
      <c r="G33" s="122"/>
      <c r="H33" s="117"/>
    </row>
    <row r="34" spans="1:8" s="45" customFormat="1" ht="13.5" customHeight="1" x14ac:dyDescent="0.2">
      <c r="A34" s="116"/>
      <c r="B34" s="110" t="s">
        <v>980</v>
      </c>
      <c r="C34" s="111"/>
      <c r="D34" s="112"/>
      <c r="E34" s="121"/>
      <c r="F34" s="122"/>
      <c r="G34" s="122"/>
      <c r="H34" s="117"/>
    </row>
    <row r="35" spans="1:8" s="45" customFormat="1" ht="13.5" customHeight="1" x14ac:dyDescent="0.2">
      <c r="A35" s="116"/>
      <c r="B35" s="110" t="s">
        <v>163</v>
      </c>
      <c r="C35" s="111"/>
      <c r="D35" s="112"/>
      <c r="E35" s="121"/>
      <c r="F35" s="122"/>
      <c r="G35" s="122"/>
      <c r="H35" s="117"/>
    </row>
    <row r="36" spans="1:8" s="45" customFormat="1" ht="13.5" customHeight="1" x14ac:dyDescent="0.2">
      <c r="A36" s="116"/>
      <c r="B36" s="110" t="s">
        <v>1009</v>
      </c>
      <c r="C36" s="111"/>
      <c r="D36" s="112"/>
      <c r="E36" s="121"/>
      <c r="F36" s="122"/>
      <c r="G36" s="122"/>
      <c r="H36" s="117"/>
    </row>
    <row r="37" spans="1:8" s="45" customFormat="1" ht="13.5" customHeight="1" x14ac:dyDescent="0.2">
      <c r="A37" s="116"/>
      <c r="B37" s="110" t="s">
        <v>988</v>
      </c>
      <c r="C37" s="111"/>
      <c r="D37" s="112"/>
      <c r="E37" s="121"/>
      <c r="F37" s="2107"/>
      <c r="G37" s="2107"/>
      <c r="H37" s="117"/>
    </row>
    <row r="38" spans="1:8" s="45" customFormat="1" ht="13.5" customHeight="1" x14ac:dyDescent="0.2">
      <c r="A38" s="116"/>
      <c r="B38" s="110"/>
      <c r="C38" s="111"/>
      <c r="D38" s="112"/>
      <c r="E38" s="142"/>
      <c r="F38" s="123">
        <f>SUM(F19:F37)</f>
        <v>0</v>
      </c>
      <c r="G38" s="123">
        <f>SUM(G19:G37)</f>
        <v>0</v>
      </c>
      <c r="H38" s="117"/>
    </row>
    <row r="39" spans="1:8" s="45" customFormat="1" ht="13.5" customHeight="1" x14ac:dyDescent="0.2">
      <c r="A39" s="116"/>
      <c r="B39" s="119" t="s">
        <v>949</v>
      </c>
      <c r="C39" s="111"/>
      <c r="D39" s="112"/>
      <c r="E39" s="142"/>
      <c r="F39" s="107"/>
      <c r="G39" s="107"/>
      <c r="H39" s="117"/>
    </row>
    <row r="40" spans="1:8" s="45" customFormat="1" ht="13.5" customHeight="1" x14ac:dyDescent="0.2">
      <c r="A40" s="116"/>
      <c r="B40" s="110" t="s">
        <v>1013</v>
      </c>
      <c r="C40" s="111"/>
      <c r="D40" s="112"/>
      <c r="E40" s="121"/>
      <c r="F40" s="122"/>
      <c r="G40" s="122"/>
      <c r="H40" s="117"/>
    </row>
    <row r="41" spans="1:8" s="45" customFormat="1" ht="13.5" customHeight="1" x14ac:dyDescent="0.2">
      <c r="A41" s="116"/>
      <c r="B41" s="110" t="s">
        <v>972</v>
      </c>
      <c r="C41" s="111"/>
      <c r="D41" s="112"/>
      <c r="E41" s="121"/>
      <c r="F41" s="122"/>
      <c r="G41" s="122"/>
      <c r="H41" s="117"/>
    </row>
    <row r="42" spans="1:8" s="45" customFormat="1" ht="13.5" customHeight="1" x14ac:dyDescent="0.2">
      <c r="A42" s="116"/>
      <c r="B42" s="110" t="s">
        <v>950</v>
      </c>
      <c r="C42" s="111"/>
      <c r="D42" s="112"/>
      <c r="E42" s="121"/>
      <c r="F42" s="122"/>
      <c r="G42" s="122"/>
      <c r="H42" s="117"/>
    </row>
    <row r="43" spans="1:8" s="45" customFormat="1" ht="13.5" customHeight="1" x14ac:dyDescent="0.2">
      <c r="A43" s="116"/>
      <c r="B43" s="2095" t="s">
        <v>943</v>
      </c>
      <c r="C43" s="111"/>
      <c r="D43" s="112"/>
      <c r="E43" s="121"/>
      <c r="F43" s="122"/>
      <c r="G43" s="122"/>
      <c r="H43" s="117"/>
    </row>
    <row r="44" spans="1:8" s="45" customFormat="1" ht="13.5" customHeight="1" x14ac:dyDescent="0.2">
      <c r="A44" s="116"/>
      <c r="B44" s="110" t="s">
        <v>164</v>
      </c>
      <c r="C44" s="111"/>
      <c r="D44" s="112"/>
      <c r="E44" s="121"/>
      <c r="F44" s="122"/>
      <c r="G44" s="122"/>
      <c r="H44" s="117"/>
    </row>
    <row r="45" spans="1:8" s="45" customFormat="1" ht="13.5" customHeight="1" x14ac:dyDescent="0.2">
      <c r="A45" s="116"/>
      <c r="B45" s="110" t="s">
        <v>165</v>
      </c>
      <c r="C45" s="111"/>
      <c r="D45" s="112"/>
      <c r="E45" s="121"/>
      <c r="F45" s="122"/>
      <c r="G45" s="122"/>
      <c r="H45" s="117"/>
    </row>
    <row r="46" spans="1:8" s="45" customFormat="1" ht="13.5" customHeight="1" x14ac:dyDescent="0.2">
      <c r="A46" s="116"/>
      <c r="B46" s="110" t="s">
        <v>166</v>
      </c>
      <c r="C46" s="111"/>
      <c r="D46" s="112"/>
      <c r="E46" s="121"/>
      <c r="F46" s="122"/>
      <c r="G46" s="122"/>
      <c r="H46" s="117"/>
    </row>
    <row r="47" spans="1:8" s="45" customFormat="1" ht="13.5" customHeight="1" x14ac:dyDescent="0.2">
      <c r="A47" s="116"/>
      <c r="B47" s="110" t="s">
        <v>1014</v>
      </c>
      <c r="C47" s="111"/>
      <c r="D47" s="112"/>
      <c r="E47" s="121"/>
      <c r="F47" s="122"/>
      <c r="G47" s="122"/>
      <c r="H47" s="117"/>
    </row>
    <row r="48" spans="1:8" s="45" customFormat="1" ht="13.5" customHeight="1" x14ac:dyDescent="0.2">
      <c r="A48" s="116"/>
      <c r="B48" s="110" t="s">
        <v>1009</v>
      </c>
      <c r="C48" s="111"/>
      <c r="D48" s="112"/>
      <c r="E48" s="121"/>
      <c r="F48" s="122"/>
      <c r="G48" s="122"/>
      <c r="H48" s="117"/>
    </row>
    <row r="49" spans="1:8" s="45" customFormat="1" ht="13.5" customHeight="1" x14ac:dyDescent="0.2">
      <c r="A49" s="116"/>
      <c r="B49" s="110" t="s">
        <v>988</v>
      </c>
      <c r="C49" s="111"/>
      <c r="D49" s="112"/>
      <c r="E49" s="121"/>
      <c r="F49" s="2107"/>
      <c r="G49" s="2107"/>
      <c r="H49" s="117"/>
    </row>
    <row r="50" spans="1:8" s="45" customFormat="1" ht="13.5" customHeight="1" x14ac:dyDescent="0.2">
      <c r="A50" s="116"/>
      <c r="B50" s="110"/>
      <c r="C50" s="111"/>
      <c r="D50" s="112"/>
      <c r="E50" s="142"/>
      <c r="F50" s="123">
        <f>SUM(F40:F49)</f>
        <v>0</v>
      </c>
      <c r="G50" s="123">
        <f>SUM(G40:G49)</f>
        <v>0</v>
      </c>
      <c r="H50" s="117"/>
    </row>
    <row r="51" spans="1:8" s="45" customFormat="1" ht="13.5" customHeight="1" x14ac:dyDescent="0.2">
      <c r="A51" s="118" t="s">
        <v>152</v>
      </c>
      <c r="B51" s="119" t="s">
        <v>942</v>
      </c>
      <c r="C51" s="111"/>
      <c r="D51" s="112"/>
      <c r="E51" s="142"/>
      <c r="F51" s="107"/>
      <c r="G51" s="107"/>
      <c r="H51" s="117"/>
    </row>
    <row r="52" spans="1:8" s="45" customFormat="1" ht="13.5" customHeight="1" x14ac:dyDescent="0.2">
      <c r="A52" s="116"/>
      <c r="B52" s="110" t="s">
        <v>167</v>
      </c>
      <c r="C52" s="111"/>
      <c r="D52" s="112"/>
      <c r="E52" s="121"/>
      <c r="F52" s="122"/>
      <c r="G52" s="122"/>
      <c r="H52" s="117"/>
    </row>
    <row r="53" spans="1:8" s="45" customFormat="1" ht="13.5" customHeight="1" x14ac:dyDescent="0.2">
      <c r="A53" s="116"/>
      <c r="B53" s="110" t="s">
        <v>954</v>
      </c>
      <c r="C53" s="111"/>
      <c r="D53" s="112"/>
      <c r="E53" s="121"/>
      <c r="F53" s="122"/>
      <c r="G53" s="122"/>
      <c r="H53" s="117"/>
    </row>
    <row r="54" spans="1:8" s="45" customFormat="1" ht="13.5" customHeight="1" x14ac:dyDescent="0.2">
      <c r="A54" s="116"/>
      <c r="B54" s="2095" t="s">
        <v>943</v>
      </c>
      <c r="C54" s="111"/>
      <c r="D54" s="112"/>
      <c r="E54" s="121"/>
      <c r="F54" s="122"/>
      <c r="G54" s="122"/>
      <c r="H54" s="117"/>
    </row>
    <row r="55" spans="1:8" s="45" customFormat="1" ht="13.5" customHeight="1" x14ac:dyDescent="0.2">
      <c r="A55" s="116"/>
      <c r="B55" s="110" t="s">
        <v>957</v>
      </c>
      <c r="C55" s="111"/>
      <c r="D55" s="112"/>
      <c r="E55" s="121"/>
      <c r="F55" s="122"/>
      <c r="G55" s="122"/>
      <c r="H55" s="117"/>
    </row>
    <row r="56" spans="1:8" s="45" customFormat="1" ht="13.5" customHeight="1" x14ac:dyDescent="0.2">
      <c r="A56" s="116"/>
      <c r="B56" s="2095" t="s">
        <v>1012</v>
      </c>
      <c r="C56" s="111"/>
      <c r="D56" s="112"/>
      <c r="E56" s="121"/>
      <c r="F56" s="122"/>
      <c r="G56" s="122"/>
      <c r="H56" s="117"/>
    </row>
    <row r="57" spans="1:8" s="45" customFormat="1" ht="13.5" customHeight="1" x14ac:dyDescent="0.2">
      <c r="A57" s="116"/>
      <c r="B57" s="110" t="s">
        <v>978</v>
      </c>
      <c r="C57" s="111"/>
      <c r="D57" s="112"/>
      <c r="E57" s="121"/>
      <c r="F57" s="122"/>
      <c r="G57" s="122"/>
      <c r="H57" s="117"/>
    </row>
    <row r="58" spans="1:8" s="45" customFormat="1" ht="13.5" customHeight="1" x14ac:dyDescent="0.2">
      <c r="A58" s="116"/>
      <c r="B58" s="110" t="s">
        <v>979</v>
      </c>
      <c r="C58" s="111"/>
      <c r="D58" s="112"/>
      <c r="E58" s="121"/>
      <c r="F58" s="122"/>
      <c r="G58" s="122"/>
      <c r="H58" s="117"/>
    </row>
    <row r="59" spans="1:8" s="45" customFormat="1" ht="13.5" customHeight="1" x14ac:dyDescent="0.2">
      <c r="A59" s="116"/>
      <c r="B59" s="110" t="s">
        <v>981</v>
      </c>
      <c r="C59" s="111"/>
      <c r="D59" s="112"/>
      <c r="E59" s="121"/>
      <c r="F59" s="122"/>
      <c r="G59" s="122"/>
      <c r="H59" s="117"/>
    </row>
    <row r="60" spans="1:8" s="45" customFormat="1" ht="13.5" customHeight="1" x14ac:dyDescent="0.2">
      <c r="A60" s="116"/>
      <c r="B60" s="110" t="s">
        <v>941</v>
      </c>
      <c r="C60" s="111"/>
      <c r="D60" s="112"/>
      <c r="E60" s="121"/>
      <c r="F60" s="122"/>
      <c r="G60" s="122"/>
      <c r="H60" s="117"/>
    </row>
    <row r="61" spans="1:8" s="45" customFormat="1" ht="13.5" customHeight="1" x14ac:dyDescent="0.2">
      <c r="A61" s="116"/>
      <c r="B61" s="110" t="s">
        <v>1010</v>
      </c>
      <c r="C61" s="111"/>
      <c r="D61" s="112"/>
      <c r="E61" s="121"/>
      <c r="F61" s="122"/>
      <c r="G61" s="122"/>
      <c r="H61" s="117"/>
    </row>
    <row r="62" spans="1:8" s="45" customFormat="1" ht="13.5" customHeight="1" x14ac:dyDescent="0.2">
      <c r="A62" s="116"/>
      <c r="B62" s="110" t="s">
        <v>1011</v>
      </c>
      <c r="C62" s="111"/>
      <c r="D62" s="112"/>
      <c r="E62" s="121"/>
      <c r="F62" s="122"/>
      <c r="G62" s="122"/>
      <c r="H62" s="117"/>
    </row>
    <row r="63" spans="1:8" s="45" customFormat="1" ht="13.5" customHeight="1" x14ac:dyDescent="0.2">
      <c r="A63" s="116"/>
      <c r="B63" s="110" t="s">
        <v>1009</v>
      </c>
      <c r="C63" s="111"/>
      <c r="D63" s="112"/>
      <c r="E63" s="121"/>
      <c r="F63" s="122"/>
      <c r="G63" s="122"/>
      <c r="H63" s="117"/>
    </row>
    <row r="64" spans="1:8" s="45" customFormat="1" ht="13.5" customHeight="1" x14ac:dyDescent="0.2">
      <c r="A64" s="116"/>
      <c r="B64" s="110" t="s">
        <v>988</v>
      </c>
      <c r="C64" s="111"/>
      <c r="D64" s="112"/>
      <c r="E64" s="121"/>
      <c r="F64" s="2145"/>
      <c r="G64" s="2145"/>
      <c r="H64" s="117"/>
    </row>
    <row r="65" spans="1:8" s="45" customFormat="1" ht="13.5" customHeight="1" x14ac:dyDescent="0.2">
      <c r="A65" s="116"/>
      <c r="B65" s="110"/>
      <c r="C65" s="111"/>
      <c r="D65" s="112"/>
      <c r="E65" s="121"/>
      <c r="F65" s="127">
        <f>-SUM(F52:F64)</f>
        <v>0</v>
      </c>
      <c r="G65" s="127">
        <f>-SUM(G52:G64)</f>
        <v>0</v>
      </c>
      <c r="H65" s="117"/>
    </row>
    <row r="66" spans="1:8" s="45" customFormat="1" ht="13.5" customHeight="1" x14ac:dyDescent="0.2">
      <c r="A66" s="116"/>
      <c r="B66" s="119" t="s">
        <v>948</v>
      </c>
      <c r="C66" s="124"/>
      <c r="D66" s="112"/>
      <c r="E66" s="142"/>
      <c r="F66" s="58"/>
      <c r="G66" s="58"/>
      <c r="H66" s="125"/>
    </row>
    <row r="67" spans="1:8" s="45" customFormat="1" ht="13.5" customHeight="1" x14ac:dyDescent="0.2">
      <c r="A67" s="116"/>
      <c r="B67" s="110" t="s">
        <v>944</v>
      </c>
      <c r="C67" s="110"/>
      <c r="D67" s="112"/>
      <c r="E67" s="143"/>
      <c r="F67" s="114"/>
      <c r="G67" s="114"/>
      <c r="H67" s="125"/>
    </row>
    <row r="68" spans="1:8" s="45" customFormat="1" ht="13.5" customHeight="1" x14ac:dyDescent="0.2">
      <c r="A68" s="116"/>
      <c r="B68" s="2095" t="s">
        <v>943</v>
      </c>
      <c r="C68" s="110"/>
      <c r="D68" s="112"/>
      <c r="E68" s="1904"/>
      <c r="F68" s="114"/>
      <c r="G68" s="114"/>
      <c r="H68" s="125"/>
    </row>
    <row r="69" spans="1:8" s="45" customFormat="1" ht="13.5" customHeight="1" x14ac:dyDescent="0.2">
      <c r="A69" s="116"/>
      <c r="B69" s="110" t="s">
        <v>803</v>
      </c>
      <c r="C69" s="110"/>
      <c r="D69" s="112"/>
      <c r="E69" s="1904"/>
      <c r="F69" s="114"/>
      <c r="G69" s="114"/>
      <c r="H69" s="125"/>
    </row>
    <row r="70" spans="1:8" s="45" customFormat="1" ht="13.5" customHeight="1" x14ac:dyDescent="0.2">
      <c r="A70" s="116"/>
      <c r="B70" s="110" t="s">
        <v>983</v>
      </c>
      <c r="C70" s="110"/>
      <c r="D70" s="112"/>
      <c r="E70" s="1904"/>
      <c r="F70" s="114"/>
      <c r="G70" s="114"/>
      <c r="H70" s="125"/>
    </row>
    <row r="71" spans="1:8" s="45" customFormat="1" ht="13.5" customHeight="1" x14ac:dyDescent="0.2">
      <c r="A71" s="116"/>
      <c r="B71" s="2095" t="s">
        <v>984</v>
      </c>
      <c r="C71" s="110"/>
      <c r="D71" s="112"/>
      <c r="E71" s="1904"/>
      <c r="F71" s="114"/>
      <c r="G71" s="114"/>
      <c r="H71" s="125"/>
    </row>
    <row r="72" spans="1:8" s="45" customFormat="1" ht="13.5" customHeight="1" x14ac:dyDescent="0.2">
      <c r="A72" s="116"/>
      <c r="B72" s="124" t="s">
        <v>937</v>
      </c>
      <c r="C72" s="111"/>
      <c r="D72" s="112"/>
      <c r="E72" s="144"/>
      <c r="F72" s="114"/>
      <c r="G72" s="114"/>
      <c r="H72" s="125"/>
    </row>
    <row r="73" spans="1:8" s="45" customFormat="1" ht="13.5" customHeight="1" x14ac:dyDescent="0.2">
      <c r="A73" s="116"/>
      <c r="B73" s="124" t="s">
        <v>964</v>
      </c>
      <c r="C73" s="111"/>
      <c r="D73" s="112"/>
      <c r="E73" s="144"/>
      <c r="F73" s="114"/>
      <c r="G73" s="114"/>
      <c r="H73" s="2146" t="s">
        <v>982</v>
      </c>
    </row>
    <row r="74" spans="1:8" s="45" customFormat="1" ht="13.5" customHeight="1" x14ac:dyDescent="0.2">
      <c r="A74" s="116"/>
      <c r="B74" s="110" t="s">
        <v>938</v>
      </c>
      <c r="C74" s="110"/>
      <c r="D74" s="126"/>
      <c r="E74" s="142"/>
      <c r="F74" s="114"/>
      <c r="G74" s="114"/>
      <c r="H74" s="125"/>
    </row>
    <row r="75" spans="1:8" s="45" customFormat="1" ht="13.5" customHeight="1" x14ac:dyDescent="0.2">
      <c r="A75" s="116"/>
      <c r="B75" s="124" t="s">
        <v>939</v>
      </c>
      <c r="C75" s="124"/>
      <c r="D75" s="126"/>
      <c r="E75" s="142"/>
      <c r="F75" s="114"/>
      <c r="G75" s="114"/>
      <c r="H75" s="125"/>
    </row>
    <row r="76" spans="1:8" s="45" customFormat="1" ht="13.5" customHeight="1" x14ac:dyDescent="0.2">
      <c r="A76" s="116"/>
      <c r="B76" s="110" t="s">
        <v>940</v>
      </c>
      <c r="C76" s="124"/>
      <c r="D76" s="126"/>
      <c r="E76" s="121"/>
      <c r="F76" s="114"/>
      <c r="G76" s="114"/>
      <c r="H76" s="125"/>
    </row>
    <row r="77" spans="1:8" s="45" customFormat="1" ht="13.5" customHeight="1" x14ac:dyDescent="0.2">
      <c r="A77" s="59"/>
      <c r="B77" s="110" t="s">
        <v>1009</v>
      </c>
      <c r="C77" s="124"/>
      <c r="D77" s="126"/>
      <c r="E77" s="142"/>
      <c r="F77" s="114"/>
      <c r="G77" s="114"/>
      <c r="H77" s="125"/>
    </row>
    <row r="78" spans="1:8" s="45" customFormat="1" ht="13.5" customHeight="1" x14ac:dyDescent="0.2">
      <c r="A78" s="59"/>
      <c r="B78" s="110" t="s">
        <v>988</v>
      </c>
      <c r="C78" s="124"/>
      <c r="D78" s="126"/>
      <c r="E78" s="143"/>
      <c r="F78" s="2145"/>
      <c r="G78" s="2145"/>
      <c r="H78" s="125"/>
    </row>
    <row r="79" spans="1:8" s="45" customFormat="1" ht="13.5" customHeight="1" x14ac:dyDescent="0.2">
      <c r="A79" s="59"/>
      <c r="B79" s="110"/>
      <c r="C79" s="124"/>
      <c r="D79" s="126"/>
      <c r="E79" s="143"/>
      <c r="F79" s="127">
        <f>-SUM(F67:F78)</f>
        <v>0</v>
      </c>
      <c r="G79" s="127">
        <f>-SUM(G67:G78)</f>
        <v>0</v>
      </c>
      <c r="H79" s="125"/>
    </row>
    <row r="80" spans="1:8" s="45" customFormat="1" ht="13.5" customHeight="1" x14ac:dyDescent="0.2">
      <c r="A80" s="1691" t="s">
        <v>168</v>
      </c>
      <c r="B80" s="110"/>
      <c r="C80" s="124"/>
      <c r="D80" s="126"/>
      <c r="E80" s="143"/>
      <c r="F80" s="128">
        <f>F16+F38+F50+F65+F79</f>
        <v>0</v>
      </c>
      <c r="G80" s="128">
        <f>G16+G38+G50+G65+G79</f>
        <v>0</v>
      </c>
      <c r="H80" s="125"/>
    </row>
    <row r="81" spans="1:8" s="45" customFormat="1" ht="13.5" customHeight="1" x14ac:dyDescent="0.2">
      <c r="A81" s="59"/>
      <c r="B81" s="110"/>
      <c r="C81" s="124"/>
      <c r="D81" s="126"/>
      <c r="E81" s="152"/>
      <c r="F81" s="58"/>
      <c r="G81" s="58"/>
      <c r="H81" s="125"/>
    </row>
    <row r="82" spans="1:8" s="45" customFormat="1" ht="13.5" customHeight="1" x14ac:dyDescent="0.2">
      <c r="A82" s="2094" t="s">
        <v>152</v>
      </c>
      <c r="B82" s="110" t="s">
        <v>932</v>
      </c>
      <c r="C82" s="124"/>
      <c r="D82" s="126"/>
      <c r="E82" s="152"/>
      <c r="F82" s="114"/>
      <c r="G82" s="114"/>
      <c r="H82" s="125"/>
    </row>
    <row r="83" spans="1:8" s="45" customFormat="1" ht="13.5" customHeight="1" x14ac:dyDescent="0.2">
      <c r="A83" s="59"/>
      <c r="B83" s="110"/>
      <c r="C83" s="124"/>
      <c r="D83" s="126"/>
      <c r="E83" s="152"/>
      <c r="F83" s="58"/>
      <c r="G83" s="58"/>
      <c r="H83" s="125"/>
    </row>
    <row r="84" spans="1:8" s="45" customFormat="1" ht="13.5" customHeight="1" x14ac:dyDescent="0.2">
      <c r="A84" s="1691" t="s">
        <v>221</v>
      </c>
      <c r="B84" s="110"/>
      <c r="C84" s="124"/>
      <c r="D84" s="126"/>
      <c r="E84" s="152"/>
      <c r="F84" s="1868">
        <f>SUM(F80:F83)</f>
        <v>0</v>
      </c>
      <c r="G84" s="1868">
        <f>SUM(G80:G83)</f>
        <v>0</v>
      </c>
      <c r="H84" s="125"/>
    </row>
    <row r="85" spans="1:8" s="45" customFormat="1" ht="13.5" customHeight="1" x14ac:dyDescent="0.2">
      <c r="A85" s="109"/>
      <c r="B85" s="110"/>
      <c r="C85" s="124"/>
      <c r="D85" s="126"/>
      <c r="E85" s="152"/>
      <c r="F85" s="162"/>
      <c r="G85" s="163"/>
      <c r="H85" s="125"/>
    </row>
    <row r="86" spans="1:8" s="45" customFormat="1" ht="13.5" customHeight="1" x14ac:dyDescent="0.2">
      <c r="A86" s="109"/>
      <c r="B86" s="110"/>
      <c r="C86" s="169"/>
      <c r="D86" s="170"/>
      <c r="E86" s="187"/>
      <c r="F86" s="181"/>
      <c r="G86" s="163"/>
      <c r="H86" s="125"/>
    </row>
    <row r="87" spans="1:8" s="45" customFormat="1" ht="13.5" customHeight="1" x14ac:dyDescent="0.2">
      <c r="A87" s="109"/>
      <c r="B87" s="171"/>
      <c r="C87" s="172" t="s">
        <v>223</v>
      </c>
      <c r="D87" s="173" t="s">
        <v>154</v>
      </c>
      <c r="E87" s="173" t="s">
        <v>145</v>
      </c>
      <c r="F87" s="182" t="s">
        <v>222</v>
      </c>
      <c r="G87" s="2110" t="s">
        <v>749</v>
      </c>
      <c r="H87" s="125"/>
    </row>
    <row r="88" spans="1:8" s="45" customFormat="1" ht="13.5" customHeight="1" x14ac:dyDescent="0.2">
      <c r="A88" s="109"/>
      <c r="B88" s="171"/>
      <c r="C88" s="174"/>
      <c r="D88" s="2111"/>
      <c r="E88" s="2115">
        <f>D88*$F$84</f>
        <v>0</v>
      </c>
      <c r="F88" s="2113" t="e">
        <f>(E88/$F$84)*$F$94</f>
        <v>#DIV/0!</v>
      </c>
      <c r="G88" s="2147" t="e">
        <f>(E88/$F$84)*$F$40</f>
        <v>#DIV/0!</v>
      </c>
      <c r="H88" s="125"/>
    </row>
    <row r="89" spans="1:8" s="45" customFormat="1" ht="13.5" customHeight="1" x14ac:dyDescent="0.2">
      <c r="A89" s="109"/>
      <c r="B89" s="171"/>
      <c r="C89" s="175"/>
      <c r="D89" s="2111"/>
      <c r="E89" s="2115">
        <f t="shared" ref="E89:E93" si="0">D89*$F$84</f>
        <v>0</v>
      </c>
      <c r="F89" s="2113" t="e">
        <f>(E89/$F$84)*$F$94</f>
        <v>#DIV/0!</v>
      </c>
      <c r="G89" s="2113" t="e">
        <f t="shared" ref="G89:G93" si="1">(E89/$F$84)*$F$40</f>
        <v>#DIV/0!</v>
      </c>
      <c r="H89" s="125"/>
    </row>
    <row r="90" spans="1:8" s="45" customFormat="1" ht="13.5" customHeight="1" x14ac:dyDescent="0.2">
      <c r="A90" s="109"/>
      <c r="B90" s="171"/>
      <c r="C90" s="175"/>
      <c r="D90" s="2111"/>
      <c r="E90" s="2115">
        <f t="shared" si="0"/>
        <v>0</v>
      </c>
      <c r="F90" s="2113" t="e">
        <f t="shared" ref="F90:F93" si="2">(E90/$F$84)*$F$94</f>
        <v>#DIV/0!</v>
      </c>
      <c r="G90" s="2113" t="e">
        <f t="shared" si="1"/>
        <v>#DIV/0!</v>
      </c>
      <c r="H90" s="125"/>
    </row>
    <row r="91" spans="1:8" s="45" customFormat="1" ht="13.5" customHeight="1" x14ac:dyDescent="0.2">
      <c r="A91" s="109"/>
      <c r="B91" s="171"/>
      <c r="C91" s="175"/>
      <c r="D91" s="2111"/>
      <c r="E91" s="2115">
        <f t="shared" si="0"/>
        <v>0</v>
      </c>
      <c r="F91" s="2113" t="e">
        <f t="shared" si="2"/>
        <v>#DIV/0!</v>
      </c>
      <c r="G91" s="2113" t="e">
        <f t="shared" si="1"/>
        <v>#DIV/0!</v>
      </c>
      <c r="H91" s="125"/>
    </row>
    <row r="92" spans="1:8" s="45" customFormat="1" ht="13.5" customHeight="1" x14ac:dyDescent="0.2">
      <c r="A92" s="109"/>
      <c r="B92" s="171"/>
      <c r="C92" s="175"/>
      <c r="D92" s="2111"/>
      <c r="E92" s="2115">
        <f t="shared" si="0"/>
        <v>0</v>
      </c>
      <c r="F92" s="2113" t="e">
        <f t="shared" si="2"/>
        <v>#DIV/0!</v>
      </c>
      <c r="G92" s="2113" t="e">
        <f t="shared" si="1"/>
        <v>#DIV/0!</v>
      </c>
      <c r="H92" s="125"/>
    </row>
    <row r="93" spans="1:8" s="45" customFormat="1" ht="13.5" customHeight="1" x14ac:dyDescent="0.2">
      <c r="A93" s="109"/>
      <c r="B93" s="171"/>
      <c r="C93" s="175"/>
      <c r="D93" s="2112"/>
      <c r="E93" s="2116">
        <f t="shared" si="0"/>
        <v>0</v>
      </c>
      <c r="F93" s="2114" t="e">
        <f t="shared" si="2"/>
        <v>#DIV/0!</v>
      </c>
      <c r="G93" s="2114" t="e">
        <f t="shared" si="1"/>
        <v>#DIV/0!</v>
      </c>
      <c r="H93" s="176"/>
    </row>
    <row r="94" spans="1:8" s="45" customFormat="1" ht="13.5" customHeight="1" x14ac:dyDescent="0.2">
      <c r="A94" s="59"/>
      <c r="B94" s="171"/>
      <c r="C94" s="177"/>
      <c r="D94" s="178">
        <f>SUM(D88:D93)</f>
        <v>0</v>
      </c>
      <c r="E94" s="188">
        <f>SUM(E88:E93)</f>
        <v>0</v>
      </c>
      <c r="F94" s="188">
        <f>F16</f>
        <v>0</v>
      </c>
      <c r="G94" s="188" t="e">
        <f>SUM(G88:G93)</f>
        <v>#DIV/0!</v>
      </c>
      <c r="H94" s="2117"/>
    </row>
    <row r="95" spans="1:8" s="45" customFormat="1" x14ac:dyDescent="0.2">
      <c r="A95" s="59"/>
      <c r="B95" s="110"/>
      <c r="C95" s="179"/>
      <c r="D95" s="180"/>
      <c r="E95" s="189"/>
      <c r="F95" s="132"/>
      <c r="G95" s="1917"/>
      <c r="H95" s="125"/>
    </row>
    <row r="96" spans="1:8" s="45" customFormat="1" x14ac:dyDescent="0.2">
      <c r="A96" s="137"/>
      <c r="B96" s="110"/>
      <c r="C96" s="110"/>
      <c r="D96" s="126"/>
      <c r="E96" s="154"/>
      <c r="F96" s="133"/>
      <c r="G96" s="136" t="s">
        <v>29</v>
      </c>
      <c r="H96" s="2109" t="e">
        <f>F94-SUM(F88:F93)</f>
        <v>#DIV/0!</v>
      </c>
    </row>
    <row r="97" spans="1:8" s="45" customFormat="1" ht="13.5" customHeight="1" x14ac:dyDescent="0.2">
      <c r="A97" s="138"/>
      <c r="B97" s="139"/>
      <c r="C97" s="139"/>
      <c r="D97" s="139"/>
      <c r="E97" s="190"/>
      <c r="F97" s="140"/>
      <c r="G97" s="140"/>
      <c r="H97" s="54"/>
    </row>
    <row r="98" spans="1:8" x14ac:dyDescent="0.25">
      <c r="A98" s="79"/>
      <c r="B98" s="81"/>
      <c r="C98" s="81"/>
      <c r="D98" s="81"/>
      <c r="E98" s="191"/>
      <c r="F98" s="141"/>
      <c r="G98" s="141"/>
      <c r="H98" s="84"/>
    </row>
  </sheetData>
  <customSheetViews>
    <customSheetView guid="{F72FE543-F911-423C-A34B-9CA018DFE603}" showPageBreaks="1" showGridLines="0" fitToPage="1" printArea="1" view="pageBreakPreview">
      <selection activeCell="G70" sqref="G70"/>
      <rowBreaks count="1" manualBreakCount="1">
        <brk id="73" max="7" man="1"/>
      </rowBreaks>
      <pageMargins left="0.74803149606299213" right="0.39370078740157483" top="0.55118110236220474" bottom="0.62992125984251968" header="0.51181102362204722" footer="0.47244094488188981"/>
      <pageSetup paperSize="9" scale="60"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0300-000000000000}"/>
    <hyperlink ref="H73" r:id="rId2" xr:uid="{3A631C6F-AC29-42D9-8A35-9C686F12FD70}"/>
  </hyperlinks>
  <pageMargins left="0.74803149606299213" right="0.39370078740157483" top="0.55118110236220474" bottom="0.62992125984251968" header="0.51181102362204722" footer="0.47244094488188981"/>
  <pageSetup paperSize="9" scale="57" orientation="portrait" r:id="rId3"/>
  <headerFooter alignWithMargins="0">
    <oddFooter>&amp;LPrinted:&amp;T on &amp;D</oddFooter>
  </headerFooter>
  <rowBreaks count="1" manualBreakCount="1">
    <brk id="94"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6169"/>
  <dimension ref="A1:H58"/>
  <sheetViews>
    <sheetView showGridLines="0" view="pageBreakPreview" topLeftCell="A25" zoomScaleNormal="50" workbookViewId="0">
      <selection sqref="A1:C1"/>
    </sheetView>
  </sheetViews>
  <sheetFormatPr defaultColWidth="9.140625" defaultRowHeight="15" x14ac:dyDescent="0.25"/>
  <cols>
    <col min="1" max="1" width="13.140625" style="19" customWidth="1"/>
    <col min="2" max="2" width="11.42578125" style="19" customWidth="1"/>
    <col min="3" max="3" width="14.5703125" style="19" customWidth="1"/>
    <col min="4" max="4" width="7.28515625" style="19" customWidth="1"/>
    <col min="5" max="5" width="12.42578125" style="19" customWidth="1"/>
    <col min="6" max="6" width="19.140625" style="221" customWidth="1"/>
    <col min="7" max="7" width="9.42578125" style="19" customWidth="1"/>
    <col min="8" max="8" width="11.7109375" style="19" customWidth="1"/>
    <col min="9" max="10" width="10.42578125" style="19" customWidth="1"/>
    <col min="11" max="16384" width="9.140625" style="19"/>
  </cols>
  <sheetData>
    <row r="1" spans="1:8" ht="20.25" customHeight="1" thickBot="1" x14ac:dyDescent="0.35">
      <c r="A1" s="2327" t="s">
        <v>44</v>
      </c>
      <c r="B1" s="2328"/>
      <c r="C1" s="2329"/>
      <c r="D1" s="24"/>
      <c r="E1" s="24"/>
      <c r="F1" s="223"/>
      <c r="G1" s="24"/>
      <c r="H1" s="25"/>
    </row>
    <row r="2" spans="1:8" ht="11.25" customHeight="1" x14ac:dyDescent="0.25">
      <c r="A2" s="77"/>
      <c r="D2" s="21"/>
      <c r="E2" s="21"/>
      <c r="F2" s="222"/>
      <c r="G2" s="21"/>
      <c r="H2" s="233"/>
    </row>
    <row r="3" spans="1:8" ht="14.25" customHeight="1" x14ac:dyDescent="0.25">
      <c r="A3" s="23" t="s">
        <v>40</v>
      </c>
      <c r="B3" s="74" t="str">
        <f>'Index and Structure'!B2</f>
        <v>Nicolo Superannuation fund</v>
      </c>
      <c r="C3" s="75"/>
      <c r="D3" s="30"/>
      <c r="E3" s="73" t="s">
        <v>38</v>
      </c>
      <c r="F3" s="234" t="str">
        <f>'Index and Structure'!B5</f>
        <v>NICO0024</v>
      </c>
      <c r="G3" s="24"/>
      <c r="H3" s="25"/>
    </row>
    <row r="4" spans="1:8" ht="14.25" customHeight="1" x14ac:dyDescent="0.25">
      <c r="A4" s="77" t="s">
        <v>45</v>
      </c>
      <c r="B4" s="28" t="str">
        <f>'Index and Structure'!F12</f>
        <v>P &amp; L Reconciliation (MYOB)</v>
      </c>
      <c r="C4" s="29"/>
      <c r="D4" s="30"/>
      <c r="E4" s="78" t="s">
        <v>41</v>
      </c>
      <c r="F4" s="224" t="str">
        <f>'Index and Structure'!B6</f>
        <v>Liam Aubin</v>
      </c>
      <c r="G4" s="19" t="s">
        <v>42</v>
      </c>
      <c r="H4" s="35"/>
    </row>
    <row r="5" spans="1:8" ht="14.25" customHeight="1" x14ac:dyDescent="0.25">
      <c r="A5" s="79" t="s">
        <v>46</v>
      </c>
      <c r="B5" s="37" t="str">
        <f>'Index and Structure'!B4</f>
        <v>30 June 2022</v>
      </c>
      <c r="C5" s="38"/>
      <c r="D5" s="30"/>
      <c r="E5" s="80" t="s">
        <v>43</v>
      </c>
      <c r="F5" s="225" t="str">
        <f>'Index and Structure'!B7</f>
        <v>Nicole Bryant</v>
      </c>
      <c r="G5" s="81" t="s">
        <v>42</v>
      </c>
      <c r="H5" s="41"/>
    </row>
    <row r="6" spans="1:8" ht="9.75" customHeight="1" x14ac:dyDescent="0.25">
      <c r="A6" s="77"/>
      <c r="H6" s="33"/>
    </row>
    <row r="7" spans="1:8" ht="30" customHeight="1" x14ac:dyDescent="0.25">
      <c r="A7" s="42"/>
      <c r="B7" s="43"/>
      <c r="C7" s="43"/>
      <c r="D7" s="43"/>
      <c r="E7" s="43"/>
      <c r="F7" s="226"/>
      <c r="G7" s="43"/>
      <c r="H7" s="44"/>
    </row>
    <row r="8" spans="1:8" s="45" customFormat="1" ht="13.5" customHeight="1" x14ac:dyDescent="0.2">
      <c r="A8" s="192"/>
      <c r="B8" s="193"/>
      <c r="C8" s="193"/>
      <c r="D8" s="193"/>
      <c r="E8" s="194"/>
      <c r="F8" s="46"/>
      <c r="G8" s="195"/>
      <c r="H8" s="196"/>
    </row>
    <row r="9" spans="1:8" s="45" customFormat="1" ht="13.5" customHeight="1" thickBot="1" x14ac:dyDescent="0.25">
      <c r="A9" s="197"/>
      <c r="B9" s="165" t="str">
        <f>B4</f>
        <v>P &amp; L Reconciliation (MYOB)</v>
      </c>
      <c r="C9" s="165"/>
      <c r="D9" s="165"/>
      <c r="E9" s="165"/>
      <c r="F9" s="227">
        <f>F48</f>
        <v>0</v>
      </c>
      <c r="G9" s="199"/>
      <c r="H9" s="196"/>
    </row>
    <row r="10" spans="1:8" s="45" customFormat="1" ht="13.5" customHeight="1" thickTop="1" x14ac:dyDescent="0.2">
      <c r="A10" s="197"/>
      <c r="B10" s="165"/>
      <c r="C10" s="165"/>
      <c r="D10" s="165"/>
      <c r="E10" s="165"/>
      <c r="F10" s="107"/>
      <c r="G10" s="199"/>
      <c r="H10" s="196"/>
    </row>
    <row r="11" spans="1:8" s="45" customFormat="1" ht="13.5" customHeight="1" x14ac:dyDescent="0.2">
      <c r="A11" s="197"/>
      <c r="B11" s="165"/>
      <c r="C11" s="201"/>
      <c r="D11" s="202"/>
      <c r="E11" s="165"/>
      <c r="F11" s="58"/>
      <c r="G11" s="199"/>
      <c r="H11" s="86"/>
    </row>
    <row r="12" spans="1:8" s="45" customFormat="1" ht="13.5" customHeight="1" x14ac:dyDescent="0.2">
      <c r="A12" s="197"/>
      <c r="B12" s="165"/>
      <c r="C12" s="165"/>
      <c r="D12" s="202"/>
      <c r="E12" s="202"/>
      <c r="F12" s="58"/>
      <c r="G12" s="199"/>
      <c r="H12" s="86"/>
    </row>
    <row r="13" spans="1:8" s="45" customFormat="1" ht="13.5" customHeight="1" x14ac:dyDescent="0.2">
      <c r="A13" s="197"/>
      <c r="B13" s="201"/>
      <c r="C13" s="165"/>
      <c r="D13" s="202"/>
      <c r="E13" s="193"/>
      <c r="F13" s="58"/>
      <c r="G13" s="199"/>
      <c r="H13" s="86"/>
    </row>
    <row r="14" spans="1:8" s="45" customFormat="1" ht="13.5" customHeight="1" x14ac:dyDescent="0.2">
      <c r="A14" s="197"/>
      <c r="B14" s="203" t="s">
        <v>232</v>
      </c>
      <c r="C14" s="165"/>
      <c r="D14" s="204"/>
      <c r="E14" s="165"/>
      <c r="F14" s="114"/>
      <c r="G14" s="199"/>
      <c r="H14" s="86"/>
    </row>
    <row r="15" spans="1:8" s="45" customFormat="1" ht="14.25" customHeight="1" x14ac:dyDescent="0.2">
      <c r="A15" s="197"/>
      <c r="B15" s="201"/>
      <c r="C15" s="201"/>
      <c r="D15" s="204"/>
      <c r="E15" s="165"/>
      <c r="F15" s="163"/>
      <c r="G15" s="206"/>
      <c r="H15" s="86"/>
    </row>
    <row r="16" spans="1:8" s="45" customFormat="1" ht="14.25" customHeight="1" x14ac:dyDescent="0.2">
      <c r="A16" s="197"/>
      <c r="B16" s="165"/>
      <c r="C16" s="201"/>
      <c r="D16" s="204"/>
      <c r="E16" s="207"/>
      <c r="F16" s="114"/>
      <c r="G16" s="206"/>
      <c r="H16" s="86"/>
    </row>
    <row r="17" spans="1:8" s="45" customFormat="1" ht="14.25" customHeight="1" x14ac:dyDescent="0.2">
      <c r="A17" s="208" t="s">
        <v>65</v>
      </c>
      <c r="B17" s="51"/>
      <c r="C17" s="47"/>
      <c r="D17" s="209"/>
      <c r="E17" s="51"/>
      <c r="F17" s="114"/>
      <c r="G17" s="199"/>
      <c r="H17" s="86"/>
    </row>
    <row r="18" spans="1:8" s="45" customFormat="1" ht="14.25" customHeight="1" x14ac:dyDescent="0.2">
      <c r="A18" s="210"/>
      <c r="B18" s="51"/>
      <c r="C18" s="47"/>
      <c r="D18" s="209"/>
      <c r="E18" s="211"/>
      <c r="F18" s="114"/>
      <c r="G18" s="199"/>
      <c r="H18" s="86"/>
    </row>
    <row r="19" spans="1:8" s="45" customFormat="1" ht="14.25" customHeight="1" x14ac:dyDescent="0.2">
      <c r="A19" s="210"/>
      <c r="B19" s="51"/>
      <c r="C19" s="47"/>
      <c r="D19" s="209"/>
      <c r="E19" s="211"/>
      <c r="F19" s="114"/>
      <c r="G19" s="199"/>
      <c r="H19" s="86"/>
    </row>
    <row r="20" spans="1:8" s="45" customFormat="1" ht="14.25" customHeight="1" x14ac:dyDescent="0.2">
      <c r="A20" s="210"/>
      <c r="B20" s="51"/>
      <c r="C20" s="47"/>
      <c r="D20" s="209"/>
      <c r="E20" s="211"/>
      <c r="F20" s="114"/>
      <c r="G20" s="199"/>
      <c r="H20" s="86"/>
    </row>
    <row r="21" spans="1:8" s="45" customFormat="1" ht="14.25" customHeight="1" x14ac:dyDescent="0.2">
      <c r="A21" s="210"/>
      <c r="B21" s="51"/>
      <c r="C21" s="47"/>
      <c r="D21" s="209"/>
      <c r="E21" s="211"/>
      <c r="F21" s="114"/>
      <c r="G21" s="199"/>
      <c r="H21" s="86"/>
    </row>
    <row r="22" spans="1:8" s="45" customFormat="1" ht="14.25" customHeight="1" x14ac:dyDescent="0.2">
      <c r="A22" s="210"/>
      <c r="B22" s="51"/>
      <c r="C22" s="47"/>
      <c r="D22" s="209"/>
      <c r="E22" s="211"/>
      <c r="F22" s="114"/>
      <c r="G22" s="199"/>
      <c r="H22" s="86"/>
    </row>
    <row r="23" spans="1:8" s="45" customFormat="1" ht="14.25" customHeight="1" x14ac:dyDescent="0.2">
      <c r="A23" s="210"/>
      <c r="B23" s="51"/>
      <c r="C23" s="47"/>
      <c r="D23" s="209"/>
      <c r="E23" s="211"/>
      <c r="F23" s="114"/>
      <c r="G23" s="199"/>
      <c r="H23" s="86"/>
    </row>
    <row r="24" spans="1:8" s="45" customFormat="1" ht="14.25" customHeight="1" x14ac:dyDescent="0.2">
      <c r="A24" s="210"/>
      <c r="B24" s="51"/>
      <c r="C24" s="47"/>
      <c r="D24" s="209"/>
      <c r="E24" s="211"/>
      <c r="F24" s="114"/>
      <c r="G24" s="199"/>
      <c r="H24" s="86"/>
    </row>
    <row r="25" spans="1:8" s="45" customFormat="1" ht="14.25" customHeight="1" x14ac:dyDescent="0.2">
      <c r="A25" s="210"/>
      <c r="B25" s="51"/>
      <c r="C25" s="47"/>
      <c r="D25" s="209"/>
      <c r="E25" s="211"/>
      <c r="F25" s="114"/>
      <c r="G25" s="199"/>
      <c r="H25" s="86"/>
    </row>
    <row r="26" spans="1:8" s="45" customFormat="1" ht="14.25" customHeight="1" x14ac:dyDescent="0.2">
      <c r="A26" s="210"/>
      <c r="B26" s="51"/>
      <c r="C26" s="47"/>
      <c r="D26" s="209"/>
      <c r="E26" s="211"/>
      <c r="F26" s="114"/>
      <c r="G26" s="199"/>
      <c r="H26" s="86"/>
    </row>
    <row r="27" spans="1:8" s="45" customFormat="1" ht="14.25" customHeight="1" x14ac:dyDescent="0.2">
      <c r="A27" s="210"/>
      <c r="B27" s="51"/>
      <c r="C27" s="47"/>
      <c r="D27" s="209"/>
      <c r="E27" s="211"/>
      <c r="F27" s="114"/>
      <c r="G27" s="199"/>
      <c r="H27" s="86"/>
    </row>
    <row r="28" spans="1:8" s="45" customFormat="1" ht="14.25" customHeight="1" x14ac:dyDescent="0.2">
      <c r="A28" s="210"/>
      <c r="B28" s="47"/>
      <c r="C28" s="51"/>
      <c r="D28" s="209"/>
      <c r="E28" s="211"/>
      <c r="F28" s="133"/>
      <c r="G28" s="206"/>
      <c r="H28" s="86"/>
    </row>
    <row r="29" spans="1:8" s="45" customFormat="1" ht="14.25" customHeight="1" x14ac:dyDescent="0.2">
      <c r="A29" s="208" t="s">
        <v>51</v>
      </c>
      <c r="B29" s="51"/>
      <c r="C29" s="51"/>
      <c r="D29" s="209"/>
      <c r="E29" s="209"/>
      <c r="F29" s="228"/>
      <c r="G29" s="206"/>
      <c r="H29" s="86"/>
    </row>
    <row r="30" spans="1:8" s="45" customFormat="1" ht="14.25" customHeight="1" x14ac:dyDescent="0.2">
      <c r="A30" s="214"/>
      <c r="B30" s="51"/>
      <c r="C30" s="51"/>
      <c r="D30" s="209"/>
      <c r="E30" s="209"/>
      <c r="F30" s="228"/>
      <c r="G30" s="206"/>
      <c r="H30" s="86"/>
    </row>
    <row r="31" spans="1:8" s="45" customFormat="1" ht="14.25" customHeight="1" x14ac:dyDescent="0.2">
      <c r="A31" s="214"/>
      <c r="B31" s="51"/>
      <c r="C31" s="51"/>
      <c r="D31" s="209"/>
      <c r="E31" s="209"/>
      <c r="F31" s="228"/>
      <c r="G31" s="206"/>
      <c r="H31" s="86"/>
    </row>
    <row r="32" spans="1:8" s="45" customFormat="1" ht="14.25" customHeight="1" x14ac:dyDescent="0.2">
      <c r="A32" s="214"/>
      <c r="B32" s="51"/>
      <c r="C32" s="51"/>
      <c r="D32" s="209"/>
      <c r="E32" s="209"/>
      <c r="F32" s="228"/>
      <c r="G32" s="206"/>
      <c r="H32" s="86"/>
    </row>
    <row r="33" spans="1:8" s="45" customFormat="1" ht="14.25" customHeight="1" x14ac:dyDescent="0.2">
      <c r="A33" s="214"/>
      <c r="B33" s="51"/>
      <c r="C33" s="51"/>
      <c r="D33" s="209"/>
      <c r="E33" s="209"/>
      <c r="F33" s="228"/>
      <c r="G33" s="206"/>
      <c r="H33" s="86"/>
    </row>
    <row r="34" spans="1:8" s="45" customFormat="1" ht="14.25" customHeight="1" x14ac:dyDescent="0.2">
      <c r="A34" s="214"/>
      <c r="B34" s="51"/>
      <c r="C34" s="51"/>
      <c r="D34" s="209"/>
      <c r="E34" s="209"/>
      <c r="F34" s="228"/>
      <c r="G34" s="206"/>
      <c r="H34" s="86"/>
    </row>
    <row r="35" spans="1:8" s="45" customFormat="1" ht="14.25" customHeight="1" x14ac:dyDescent="0.2">
      <c r="A35" s="214"/>
      <c r="B35" s="51"/>
      <c r="C35" s="51"/>
      <c r="D35" s="209"/>
      <c r="E35" s="209"/>
      <c r="F35" s="228"/>
      <c r="G35" s="206"/>
      <c r="H35" s="86"/>
    </row>
    <row r="36" spans="1:8" s="45" customFormat="1" ht="14.25" customHeight="1" x14ac:dyDescent="0.2">
      <c r="A36" s="214"/>
      <c r="B36" s="51"/>
      <c r="C36" s="51"/>
      <c r="D36" s="209"/>
      <c r="E36" s="209"/>
      <c r="F36" s="228"/>
      <c r="G36" s="206"/>
      <c r="H36" s="86"/>
    </row>
    <row r="37" spans="1:8" s="45" customFormat="1" ht="14.25" customHeight="1" x14ac:dyDescent="0.2">
      <c r="A37" s="214"/>
      <c r="B37" s="51"/>
      <c r="C37" s="51"/>
      <c r="D37" s="209"/>
      <c r="E37" s="209"/>
      <c r="F37" s="228"/>
      <c r="G37" s="206"/>
      <c r="H37" s="86"/>
    </row>
    <row r="38" spans="1:8" s="45" customFormat="1" ht="14.25" customHeight="1" x14ac:dyDescent="0.2">
      <c r="A38" s="214"/>
      <c r="B38" s="51"/>
      <c r="C38" s="51"/>
      <c r="D38" s="209"/>
      <c r="E38" s="209"/>
      <c r="F38" s="228"/>
      <c r="G38" s="206"/>
      <c r="H38" s="86"/>
    </row>
    <row r="39" spans="1:8" s="45" customFormat="1" ht="14.25" customHeight="1" x14ac:dyDescent="0.2">
      <c r="A39" s="214"/>
      <c r="B39" s="51"/>
      <c r="C39" s="51"/>
      <c r="D39" s="209"/>
      <c r="E39" s="209"/>
      <c r="F39" s="228"/>
      <c r="G39" s="206"/>
      <c r="H39" s="86"/>
    </row>
    <row r="40" spans="1:8" s="45" customFormat="1" ht="14.25" customHeight="1" x14ac:dyDescent="0.2">
      <c r="A40" s="214"/>
      <c r="B40" s="51"/>
      <c r="C40" s="51"/>
      <c r="D40" s="209"/>
      <c r="E40" s="209"/>
      <c r="F40" s="228"/>
      <c r="G40" s="206"/>
      <c r="H40" s="86"/>
    </row>
    <row r="41" spans="1:8" s="45" customFormat="1" ht="14.25" customHeight="1" x14ac:dyDescent="0.2">
      <c r="A41" s="214"/>
      <c r="B41" s="51"/>
      <c r="C41" s="51"/>
      <c r="D41" s="209"/>
      <c r="E41" s="209"/>
      <c r="F41" s="228"/>
      <c r="G41" s="206"/>
      <c r="H41" s="86"/>
    </row>
    <row r="42" spans="1:8" s="45" customFormat="1" ht="14.25" customHeight="1" x14ac:dyDescent="0.2">
      <c r="A42" s="214"/>
      <c r="B42" s="51"/>
      <c r="C42" s="51"/>
      <c r="D42" s="209"/>
      <c r="E42" s="209"/>
      <c r="F42" s="228"/>
      <c r="G42" s="206"/>
      <c r="H42" s="86"/>
    </row>
    <row r="43" spans="1:8" s="45" customFormat="1" ht="14.25" customHeight="1" x14ac:dyDescent="0.2">
      <c r="A43" s="214"/>
      <c r="B43" s="51"/>
      <c r="C43" s="51"/>
      <c r="D43" s="209"/>
      <c r="E43" s="209"/>
      <c r="F43" s="228"/>
      <c r="G43" s="206"/>
      <c r="H43" s="86"/>
    </row>
    <row r="44" spans="1:8" s="45" customFormat="1" ht="14.25" customHeight="1" x14ac:dyDescent="0.2">
      <c r="A44" s="214"/>
      <c r="B44" s="51"/>
      <c r="C44" s="51"/>
      <c r="D44" s="209"/>
      <c r="E44" s="209"/>
      <c r="F44" s="228"/>
      <c r="G44" s="206"/>
      <c r="H44" s="86"/>
    </row>
    <row r="45" spans="1:8" s="45" customFormat="1" ht="14.25" customHeight="1" x14ac:dyDescent="0.2">
      <c r="A45" s="214"/>
      <c r="B45" s="51"/>
      <c r="C45" s="51"/>
      <c r="D45" s="209"/>
      <c r="E45" s="209"/>
      <c r="F45" s="228"/>
      <c r="G45" s="206"/>
      <c r="H45" s="86"/>
    </row>
    <row r="46" spans="1:8" s="45" customFormat="1" ht="14.25" customHeight="1" x14ac:dyDescent="0.2">
      <c r="A46" s="197"/>
      <c r="B46" s="47"/>
      <c r="C46" s="51"/>
      <c r="D46" s="51"/>
      <c r="E46" s="51"/>
      <c r="F46" s="228"/>
      <c r="G46" s="206"/>
      <c r="H46" s="86"/>
    </row>
    <row r="47" spans="1:8" s="45" customFormat="1" ht="12.75" customHeight="1" x14ac:dyDescent="0.2">
      <c r="A47" s="197"/>
      <c r="B47" s="201"/>
      <c r="C47" s="165"/>
      <c r="D47" s="165"/>
      <c r="E47" s="165"/>
      <c r="F47" s="229"/>
      <c r="G47" s="199"/>
      <c r="H47" s="86"/>
    </row>
    <row r="48" spans="1:8" s="45" customFormat="1" ht="13.5" customHeight="1" thickBot="1" x14ac:dyDescent="0.25">
      <c r="A48" s="197"/>
      <c r="B48" s="203" t="s">
        <v>231</v>
      </c>
      <c r="C48" s="165"/>
      <c r="D48" s="165"/>
      <c r="E48" s="165"/>
      <c r="F48" s="230">
        <f>F14+SUM(F16:F27)-SUM(F29:F46)</f>
        <v>0</v>
      </c>
      <c r="G48" s="199"/>
      <c r="H48" s="86"/>
    </row>
    <row r="49" spans="1:8" s="45" customFormat="1" ht="13.5" customHeight="1" thickTop="1" x14ac:dyDescent="0.2">
      <c r="A49" s="197"/>
      <c r="C49" s="165"/>
      <c r="D49" s="165"/>
      <c r="E49" s="165"/>
      <c r="F49" s="52"/>
      <c r="G49" s="165"/>
      <c r="H49" s="86"/>
    </row>
    <row r="50" spans="1:8" s="45" customFormat="1" ht="13.5" customHeight="1" x14ac:dyDescent="0.2">
      <c r="A50" s="197"/>
      <c r="B50" s="203" t="s">
        <v>233</v>
      </c>
      <c r="C50" s="165"/>
      <c r="D50" s="165"/>
      <c r="E50" s="165"/>
      <c r="F50" s="228"/>
      <c r="G50" s="165"/>
      <c r="H50" s="86"/>
    </row>
    <row r="51" spans="1:8" s="45" customFormat="1" ht="13.5" customHeight="1" x14ac:dyDescent="0.2">
      <c r="A51" s="197"/>
      <c r="C51" s="165"/>
      <c r="D51" s="165"/>
      <c r="E51" s="165"/>
      <c r="F51" s="52"/>
      <c r="G51" s="165"/>
      <c r="H51" s="217"/>
    </row>
    <row r="52" spans="1:8" s="45" customFormat="1" ht="13.5" customHeight="1" x14ac:dyDescent="0.2">
      <c r="A52" s="197"/>
      <c r="B52" s="168" t="s">
        <v>29</v>
      </c>
      <c r="C52" s="168"/>
      <c r="D52" s="168"/>
      <c r="E52" s="168"/>
      <c r="F52" s="231">
        <f>F48-F50</f>
        <v>0</v>
      </c>
      <c r="G52" s="165"/>
      <c r="H52" s="217"/>
    </row>
    <row r="53" spans="1:8" s="45" customFormat="1" ht="13.5" customHeight="1" x14ac:dyDescent="0.2">
      <c r="A53" s="197"/>
      <c r="B53" s="168"/>
      <c r="C53" s="168"/>
      <c r="D53" s="168"/>
      <c r="E53" s="168"/>
      <c r="F53" s="61"/>
      <c r="G53" s="165"/>
      <c r="H53" s="217"/>
    </row>
    <row r="54" spans="1:8" s="45" customFormat="1" ht="13.5" customHeight="1" x14ac:dyDescent="0.2">
      <c r="A54" s="197"/>
      <c r="B54" s="168"/>
      <c r="C54" s="168"/>
      <c r="D54" s="168"/>
      <c r="E54" s="168"/>
      <c r="F54" s="61"/>
      <c r="G54" s="165"/>
      <c r="H54" s="217"/>
    </row>
    <row r="55" spans="1:8" s="45" customFormat="1" ht="13.5" customHeight="1" x14ac:dyDescent="0.2">
      <c r="A55" s="197"/>
      <c r="B55" s="168"/>
      <c r="C55" s="168"/>
      <c r="D55" s="168"/>
      <c r="E55" s="168"/>
      <c r="F55" s="61"/>
      <c r="G55" s="165"/>
      <c r="H55" s="217"/>
    </row>
    <row r="56" spans="1:8" s="45" customFormat="1" ht="13.5" customHeight="1" x14ac:dyDescent="0.2">
      <c r="A56" s="197"/>
      <c r="B56" s="2318" t="s">
        <v>388</v>
      </c>
      <c r="C56" s="2319"/>
      <c r="D56" s="2319"/>
      <c r="E56" s="2319"/>
      <c r="F56" s="2319"/>
      <c r="G56" s="2320"/>
      <c r="H56" s="217"/>
    </row>
    <row r="57" spans="1:8" s="45" customFormat="1" ht="13.5" customHeight="1" x14ac:dyDescent="0.2">
      <c r="A57" s="197"/>
      <c r="B57" s="2321"/>
      <c r="C57" s="2322"/>
      <c r="D57" s="2322"/>
      <c r="E57" s="2322"/>
      <c r="F57" s="2322"/>
      <c r="G57" s="2323"/>
      <c r="H57" s="217"/>
    </row>
    <row r="58" spans="1:8" s="45" customFormat="1" ht="13.5" customHeight="1" x14ac:dyDescent="0.2">
      <c r="A58" s="219"/>
      <c r="B58" s="183"/>
      <c r="C58" s="183"/>
      <c r="D58" s="183"/>
      <c r="E58" s="183"/>
      <c r="F58" s="139"/>
      <c r="G58" s="183"/>
      <c r="H58" s="220"/>
    </row>
  </sheetData>
  <customSheetViews>
    <customSheetView guid="{F72FE543-F911-423C-A34B-9CA018DFE603}" showPageBreaks="1" showGridLines="0" printArea="1" view="pageBreakPreview" topLeftCell="A25">
      <selection activeCell="H42" sqref="H42"/>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A1:C1"/>
    <mergeCell ref="B56:G57"/>
  </mergeCells>
  <hyperlinks>
    <hyperlink ref="A1" location="'Index and Structure'!A1" display="The Macro Group" xr:uid="{00000000-0004-0000-0400-000000000000}"/>
  </hyperlinks>
  <pageMargins left="0.74803149606299213" right="0.39370078740157483" top="0.55118110236220474" bottom="0.62992125984251968" header="0.51181102362204722" footer="0.47244094488188981"/>
  <pageSetup paperSize="9" scale="90" orientation="portrait" r:id="rId2"/>
  <headerFooter alignWithMargins="0">
    <oddFooter>&amp;LPrinted:&amp;T on &amp;D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6112"/>
  <dimension ref="A1:H88"/>
  <sheetViews>
    <sheetView showGridLines="0" view="pageBreakPreview" zoomScaleNormal="50" workbookViewId="0"/>
  </sheetViews>
  <sheetFormatPr defaultColWidth="9.140625" defaultRowHeight="15" x14ac:dyDescent="0.25"/>
  <cols>
    <col min="1" max="1" width="13.7109375" style="250" customWidth="1"/>
    <col min="2" max="3" width="11.42578125" style="250" customWidth="1"/>
    <col min="4" max="4" width="14.42578125" style="250" customWidth="1"/>
    <col min="5" max="5" width="15.28515625" style="250" customWidth="1"/>
    <col min="6" max="6" width="14.28515625" style="250" customWidth="1"/>
    <col min="7" max="7" width="13.7109375" style="250" customWidth="1"/>
    <col min="8" max="8" width="13.140625" style="250" customWidth="1"/>
    <col min="9" max="10" width="10.42578125" style="250" customWidth="1"/>
    <col min="11" max="16384" width="9.140625" style="250"/>
  </cols>
  <sheetData>
    <row r="1" spans="1:8" ht="5.25" customHeight="1" thickBot="1" x14ac:dyDescent="0.3"/>
    <row r="2" spans="1:8" ht="19.899999999999999" customHeight="1" thickBot="1" x14ac:dyDescent="0.35">
      <c r="A2" s="2336" t="s">
        <v>44</v>
      </c>
      <c r="B2" s="2337"/>
      <c r="C2" s="2338"/>
      <c r="D2" s="251"/>
      <c r="E2" s="251"/>
      <c r="F2" s="251"/>
      <c r="G2" s="251"/>
      <c r="H2" s="252"/>
    </row>
    <row r="3" spans="1:8" ht="27" customHeight="1" x14ac:dyDescent="0.25">
      <c r="A3" s="253"/>
    </row>
    <row r="4" spans="1:8" ht="19.5" customHeight="1" x14ac:dyDescent="0.25">
      <c r="A4" s="251"/>
    </row>
    <row r="5" spans="1:8" ht="5.25" customHeight="1" x14ac:dyDescent="0.25">
      <c r="A5" s="254"/>
      <c r="B5" s="255"/>
      <c r="C5" s="256"/>
      <c r="E5" s="254"/>
      <c r="F5" s="255"/>
      <c r="G5" s="255"/>
      <c r="H5" s="256"/>
    </row>
    <row r="6" spans="1:8" ht="14.25" customHeight="1" x14ac:dyDescent="0.25">
      <c r="A6" s="436" t="s">
        <v>40</v>
      </c>
      <c r="B6" s="258" t="str">
        <f>'Index and Structure'!B2</f>
        <v>Nicolo Superannuation fund</v>
      </c>
      <c r="C6" s="259"/>
      <c r="D6" s="260"/>
      <c r="E6" s="437" t="s">
        <v>38</v>
      </c>
      <c r="F6" s="261" t="str">
        <f>'Index and Structure'!B5</f>
        <v>NICO0024</v>
      </c>
      <c r="H6" s="262"/>
    </row>
    <row r="7" spans="1:8" ht="14.25" customHeight="1" x14ac:dyDescent="0.25">
      <c r="A7" s="436" t="s">
        <v>45</v>
      </c>
      <c r="B7" s="258" t="str">
        <f>'Index and Structure'!A18</f>
        <v>Cash at Bank</v>
      </c>
      <c r="C7" s="259"/>
      <c r="D7" s="260"/>
      <c r="E7" s="438" t="s">
        <v>41</v>
      </c>
      <c r="F7" s="258" t="str">
        <f>'Index and Structure'!B6</f>
        <v>Liam Aubin</v>
      </c>
      <c r="G7" s="250" t="s">
        <v>42</v>
      </c>
      <c r="H7" s="264"/>
    </row>
    <row r="8" spans="1:8" ht="14.25" customHeight="1" x14ac:dyDescent="0.25">
      <c r="A8" s="439" t="s">
        <v>46</v>
      </c>
      <c r="B8" s="266" t="str">
        <f>'Index and Structure'!B4</f>
        <v>30 June 2022</v>
      </c>
      <c r="C8" s="267"/>
      <c r="D8" s="260"/>
      <c r="E8" s="440" t="s">
        <v>43</v>
      </c>
      <c r="F8" s="268" t="str">
        <f>'Index and Structure'!B7</f>
        <v>Nicole Bryant</v>
      </c>
      <c r="G8" s="441" t="s">
        <v>42</v>
      </c>
      <c r="H8" s="270"/>
    </row>
    <row r="9" spans="1:8" ht="9.75" customHeight="1" x14ac:dyDescent="0.25"/>
    <row r="10" spans="1:8" ht="30" customHeight="1" x14ac:dyDescent="0.25">
      <c r="A10" s="271"/>
      <c r="B10" s="272"/>
      <c r="C10" s="272"/>
      <c r="D10" s="272"/>
      <c r="E10" s="272"/>
      <c r="F10" s="273">
        <f>'Index and Structure'!D4</f>
        <v>2022</v>
      </c>
      <c r="G10" s="272"/>
      <c r="H10" s="274"/>
    </row>
    <row r="11" spans="1:8" s="91" customFormat="1" ht="13.5" customHeight="1" x14ac:dyDescent="0.2">
      <c r="A11" s="275"/>
      <c r="B11" s="276"/>
      <c r="C11" s="276"/>
      <c r="D11" s="276"/>
      <c r="E11" s="277"/>
      <c r="F11" s="276"/>
      <c r="G11" s="278"/>
      <c r="H11" s="279"/>
    </row>
    <row r="12" spans="1:8" s="91" customFormat="1" ht="13.5" customHeight="1" thickBot="1" x14ac:dyDescent="0.25">
      <c r="A12" s="1266" t="str">
        <f>B7</f>
        <v>Cash at Bank</v>
      </c>
      <c r="B12" s="1263"/>
      <c r="C12" s="280"/>
      <c r="D12" s="280"/>
      <c r="E12" s="280"/>
      <c r="F12" s="281">
        <f>F24</f>
        <v>0</v>
      </c>
      <c r="G12" s="280"/>
      <c r="H12" s="282"/>
    </row>
    <row r="13" spans="1:8" s="91" customFormat="1" ht="13.5" customHeight="1" thickTop="1" x14ac:dyDescent="0.2">
      <c r="A13" s="283"/>
      <c r="B13" s="280"/>
      <c r="C13" s="280"/>
      <c r="D13" s="280"/>
      <c r="E13" s="280"/>
      <c r="F13" s="284"/>
      <c r="G13" s="280"/>
      <c r="H13" s="282"/>
    </row>
    <row r="14" spans="1:8" s="91" customFormat="1" ht="13.5" customHeight="1" x14ac:dyDescent="0.2">
      <c r="A14" s="283"/>
      <c r="B14" s="280"/>
      <c r="C14" s="285"/>
      <c r="D14" s="286"/>
      <c r="E14" s="280"/>
      <c r="F14" s="287"/>
      <c r="G14" s="280"/>
      <c r="H14" s="288"/>
    </row>
    <row r="15" spans="1:8" s="91" customFormat="1" ht="13.5" customHeight="1" x14ac:dyDescent="0.2">
      <c r="A15" s="283"/>
      <c r="C15" s="280"/>
      <c r="D15" s="286"/>
      <c r="E15" s="286"/>
      <c r="F15" s="287"/>
      <c r="G15" s="280"/>
      <c r="H15" s="288"/>
    </row>
    <row r="16" spans="1:8" s="91" customFormat="1" ht="13.5" customHeight="1" x14ac:dyDescent="0.2">
      <c r="A16" s="283"/>
      <c r="B16" s="285"/>
      <c r="C16" s="280"/>
      <c r="D16" s="286"/>
      <c r="E16" s="289"/>
      <c r="F16" s="287"/>
      <c r="G16" s="280"/>
      <c r="H16" s="288"/>
    </row>
    <row r="17" spans="1:8" s="91" customFormat="1" ht="13.5" customHeight="1" x14ac:dyDescent="0.2">
      <c r="A17" s="283"/>
      <c r="B17" s="280" t="s">
        <v>70</v>
      </c>
      <c r="C17" s="280"/>
      <c r="D17" s="290"/>
      <c r="E17" s="280"/>
      <c r="F17" s="291"/>
      <c r="G17" s="280"/>
      <c r="H17" s="288"/>
    </row>
    <row r="18" spans="1:8" s="91" customFormat="1" ht="13.5" customHeight="1" x14ac:dyDescent="0.2">
      <c r="A18" s="283"/>
      <c r="B18" s="285"/>
      <c r="C18" s="285"/>
      <c r="D18" s="290"/>
      <c r="E18" s="280"/>
      <c r="F18" s="287"/>
      <c r="G18" s="280"/>
      <c r="H18" s="288"/>
    </row>
    <row r="19" spans="1:8" s="91" customFormat="1" ht="13.5" customHeight="1" x14ac:dyDescent="0.2">
      <c r="A19" s="283"/>
      <c r="B19" s="280"/>
      <c r="C19" s="285"/>
      <c r="D19" s="290"/>
      <c r="E19" s="280"/>
      <c r="F19" s="287"/>
      <c r="G19" s="280"/>
      <c r="H19" s="288"/>
    </row>
    <row r="20" spans="1:8" s="91" customFormat="1" ht="13.5" customHeight="1" x14ac:dyDescent="0.2">
      <c r="A20" s="283" t="s">
        <v>65</v>
      </c>
      <c r="B20" s="280" t="s">
        <v>66</v>
      </c>
      <c r="C20" s="285"/>
      <c r="D20" s="290"/>
      <c r="E20" s="280"/>
      <c r="F20" s="292"/>
      <c r="G20" s="280"/>
      <c r="H20" s="288"/>
    </row>
    <row r="21" spans="1:8" s="91" customFormat="1" ht="13.5" customHeight="1" x14ac:dyDescent="0.2">
      <c r="A21" s="283"/>
      <c r="B21" s="285"/>
      <c r="C21" s="280"/>
      <c r="D21" s="290"/>
      <c r="E21" s="286"/>
      <c r="F21" s="293"/>
      <c r="G21" s="280"/>
      <c r="H21" s="288"/>
    </row>
    <row r="22" spans="1:8" s="91" customFormat="1" ht="13.5" customHeight="1" x14ac:dyDescent="0.2">
      <c r="A22" s="283" t="s">
        <v>51</v>
      </c>
      <c r="B22" s="280" t="s">
        <v>67</v>
      </c>
      <c r="C22" s="280"/>
      <c r="D22" s="290"/>
      <c r="E22" s="290"/>
      <c r="F22" s="294"/>
      <c r="G22" s="280"/>
      <c r="H22" s="288"/>
    </row>
    <row r="23" spans="1:8" s="91" customFormat="1" ht="13.5" customHeight="1" x14ac:dyDescent="0.2">
      <c r="A23" s="283"/>
      <c r="B23" s="285"/>
      <c r="C23" s="280"/>
      <c r="D23" s="280"/>
      <c r="E23" s="280"/>
      <c r="F23" s="287"/>
      <c r="G23" s="280"/>
      <c r="H23" s="295"/>
    </row>
    <row r="24" spans="1:8" s="91" customFormat="1" ht="13.5" customHeight="1" thickBot="1" x14ac:dyDescent="0.25">
      <c r="A24" s="283"/>
      <c r="B24" s="280" t="s">
        <v>4</v>
      </c>
      <c r="C24" s="280"/>
      <c r="D24" s="280"/>
      <c r="E24" s="280"/>
      <c r="F24" s="296">
        <f>F17+F20-F22</f>
        <v>0</v>
      </c>
      <c r="G24" s="280"/>
      <c r="H24" s="295"/>
    </row>
    <row r="25" spans="1:8" s="91" customFormat="1" ht="13.5" customHeight="1" thickTop="1" x14ac:dyDescent="0.2">
      <c r="A25" s="283"/>
      <c r="B25" s="280"/>
      <c r="C25" s="280"/>
      <c r="D25" s="280"/>
      <c r="E25" s="280"/>
      <c r="F25" s="290"/>
      <c r="G25" s="280"/>
      <c r="H25" s="295"/>
    </row>
    <row r="26" spans="1:8" s="91" customFormat="1" ht="13.5" customHeight="1" x14ac:dyDescent="0.2">
      <c r="A26" s="283"/>
      <c r="B26" s="280"/>
      <c r="C26" s="280"/>
      <c r="D26" s="280"/>
      <c r="E26" s="280"/>
      <c r="F26" s="290"/>
      <c r="G26" s="280"/>
      <c r="H26" s="295"/>
    </row>
    <row r="27" spans="1:8" s="91" customFormat="1" ht="13.5" customHeight="1" x14ac:dyDescent="0.2">
      <c r="A27" s="283"/>
      <c r="B27" s="280"/>
      <c r="C27" s="280"/>
      <c r="D27" s="280"/>
      <c r="E27" s="280"/>
      <c r="F27" s="290"/>
      <c r="G27" s="280"/>
      <c r="H27" s="295"/>
    </row>
    <row r="28" spans="1:8" s="91" customFormat="1" ht="13.5" customHeight="1" x14ac:dyDescent="0.2">
      <c r="A28" s="283"/>
      <c r="B28" s="280"/>
      <c r="C28" s="280"/>
      <c r="D28" s="280"/>
      <c r="E28" s="280"/>
      <c r="F28" s="290"/>
      <c r="G28" s="280"/>
      <c r="H28" s="295"/>
    </row>
    <row r="29" spans="1:8" s="91" customFormat="1" ht="13.5" customHeight="1" x14ac:dyDescent="0.2">
      <c r="A29" s="297"/>
      <c r="B29" s="280"/>
      <c r="C29" s="280"/>
      <c r="D29" s="280"/>
      <c r="E29" s="280"/>
      <c r="F29" s="290"/>
      <c r="G29" s="280"/>
      <c r="H29" s="295"/>
    </row>
    <row r="30" spans="1:8" s="91" customFormat="1" ht="13.5" customHeight="1" x14ac:dyDescent="0.2">
      <c r="A30" s="298" t="s">
        <v>66</v>
      </c>
      <c r="B30" s="299"/>
      <c r="C30" s="299"/>
      <c r="D30" s="299"/>
      <c r="E30" s="299"/>
      <c r="F30" s="290"/>
      <c r="G30" s="280"/>
      <c r="H30" s="295"/>
    </row>
    <row r="31" spans="1:8" s="91" customFormat="1" ht="13.5" customHeight="1" x14ac:dyDescent="0.2">
      <c r="A31" s="300" t="s">
        <v>30</v>
      </c>
      <c r="B31" s="301" t="s">
        <v>68</v>
      </c>
      <c r="C31" s="301"/>
      <c r="D31" s="301"/>
      <c r="E31" s="301" t="s">
        <v>34</v>
      </c>
      <c r="F31" s="302" t="s">
        <v>50</v>
      </c>
      <c r="G31" s="280"/>
      <c r="H31" s="295"/>
    </row>
    <row r="32" spans="1:8" s="91" customFormat="1" ht="13.5" customHeight="1" x14ac:dyDescent="0.2">
      <c r="A32" s="303"/>
      <c r="B32" s="304"/>
      <c r="C32" s="304"/>
      <c r="D32" s="304"/>
      <c r="E32" s="305"/>
      <c r="F32" s="302"/>
      <c r="G32" s="280"/>
      <c r="H32" s="295"/>
    </row>
    <row r="33" spans="1:8" s="91" customFormat="1" ht="13.5" customHeight="1" x14ac:dyDescent="0.2">
      <c r="A33" s="306"/>
      <c r="B33" s="280"/>
      <c r="C33" s="280"/>
      <c r="D33" s="280"/>
      <c r="E33" s="307"/>
      <c r="F33" s="302"/>
      <c r="G33" s="280"/>
      <c r="H33" s="295"/>
    </row>
    <row r="34" spans="1:8" s="91" customFormat="1" ht="13.5" customHeight="1" x14ac:dyDescent="0.2">
      <c r="A34" s="306"/>
      <c r="B34" s="280"/>
      <c r="C34" s="280"/>
      <c r="D34" s="280"/>
      <c r="E34" s="307"/>
      <c r="F34" s="302"/>
      <c r="G34" s="280"/>
      <c r="H34" s="295"/>
    </row>
    <row r="35" spans="1:8" s="91" customFormat="1" ht="13.5" customHeight="1" x14ac:dyDescent="0.2">
      <c r="A35" s="306"/>
      <c r="B35" s="280"/>
      <c r="C35" s="280"/>
      <c r="D35" s="280"/>
      <c r="E35" s="307"/>
      <c r="F35" s="302"/>
      <c r="G35" s="280"/>
      <c r="H35" s="295"/>
    </row>
    <row r="36" spans="1:8" s="91" customFormat="1" ht="13.5" customHeight="1" x14ac:dyDescent="0.2">
      <c r="A36" s="306"/>
      <c r="B36" s="280"/>
      <c r="C36" s="280"/>
      <c r="D36" s="280"/>
      <c r="E36" s="307"/>
      <c r="F36" s="302"/>
      <c r="G36" s="280"/>
      <c r="H36" s="295"/>
    </row>
    <row r="37" spans="1:8" s="91" customFormat="1" ht="13.5" customHeight="1" x14ac:dyDescent="0.2">
      <c r="A37" s="306"/>
      <c r="B37" s="280"/>
      <c r="C37" s="280"/>
      <c r="D37" s="280"/>
      <c r="E37" s="307"/>
      <c r="F37" s="302"/>
      <c r="G37" s="280"/>
      <c r="H37" s="295"/>
    </row>
    <row r="38" spans="1:8" s="91" customFormat="1" ht="13.5" customHeight="1" x14ac:dyDescent="0.2">
      <c r="A38" s="306"/>
      <c r="B38" s="280"/>
      <c r="C38" s="280"/>
      <c r="D38" s="280"/>
      <c r="E38" s="308"/>
      <c r="F38" s="302"/>
      <c r="G38" s="280"/>
      <c r="H38" s="295"/>
    </row>
    <row r="39" spans="1:8" s="91" customFormat="1" ht="13.5" customHeight="1" thickBot="1" x14ac:dyDescent="0.25">
      <c r="A39" s="283"/>
      <c r="B39" s="280"/>
      <c r="C39" s="280"/>
      <c r="D39" s="309" t="s">
        <v>33</v>
      </c>
      <c r="E39" s="310">
        <f>SUM(E32:E38)</f>
        <v>0</v>
      </c>
      <c r="F39" s="302"/>
      <c r="G39" s="280"/>
      <c r="H39" s="295"/>
    </row>
    <row r="40" spans="1:8" s="91" customFormat="1" ht="13.5" customHeight="1" thickTop="1" x14ac:dyDescent="0.2">
      <c r="A40" s="311"/>
      <c r="B40" s="280"/>
      <c r="C40" s="280"/>
      <c r="D40" s="280"/>
      <c r="E40" s="304"/>
      <c r="F40" s="302"/>
      <c r="G40" s="280"/>
      <c r="H40" s="295"/>
    </row>
    <row r="41" spans="1:8" s="91" customFormat="1" ht="13.5" customHeight="1" x14ac:dyDescent="0.2">
      <c r="A41" s="311"/>
      <c r="B41" s="280"/>
      <c r="C41" s="280"/>
      <c r="D41" s="280"/>
      <c r="E41" s="280"/>
      <c r="F41" s="302"/>
      <c r="G41" s="280"/>
      <c r="H41" s="295"/>
    </row>
    <row r="42" spans="1:8" s="91" customFormat="1" ht="13.5" customHeight="1" x14ac:dyDescent="0.2">
      <c r="A42" s="298" t="s">
        <v>67</v>
      </c>
      <c r="B42" s="299"/>
      <c r="C42" s="299"/>
      <c r="D42" s="299"/>
      <c r="E42" s="299"/>
      <c r="F42" s="302"/>
      <c r="G42" s="280"/>
      <c r="H42" s="295"/>
    </row>
    <row r="43" spans="1:8" s="91" customFormat="1" ht="13.5" customHeight="1" x14ac:dyDescent="0.2">
      <c r="A43" s="300" t="s">
        <v>30</v>
      </c>
      <c r="B43" s="301" t="s">
        <v>68</v>
      </c>
      <c r="C43" s="301"/>
      <c r="D43" s="301" t="s">
        <v>69</v>
      </c>
      <c r="E43" s="301" t="s">
        <v>34</v>
      </c>
      <c r="F43" s="312" t="s">
        <v>50</v>
      </c>
      <c r="G43" s="280"/>
      <c r="H43" s="295"/>
    </row>
    <row r="44" spans="1:8" s="91" customFormat="1" ht="13.5" customHeight="1" x14ac:dyDescent="0.2">
      <c r="A44" s="313"/>
      <c r="B44" s="304"/>
      <c r="C44" s="304"/>
      <c r="D44" s="304"/>
      <c r="E44" s="305"/>
      <c r="F44" s="302"/>
      <c r="G44" s="280"/>
      <c r="H44" s="295"/>
    </row>
    <row r="45" spans="1:8" s="91" customFormat="1" ht="13.5" customHeight="1" x14ac:dyDescent="0.2">
      <c r="A45" s="314"/>
      <c r="B45" s="280"/>
      <c r="C45" s="280"/>
      <c r="D45" s="280"/>
      <c r="E45" s="307"/>
      <c r="F45" s="302"/>
      <c r="G45" s="280"/>
      <c r="H45" s="295"/>
    </row>
    <row r="46" spans="1:8" s="91" customFormat="1" ht="13.5" customHeight="1" x14ac:dyDescent="0.2">
      <c r="A46" s="314"/>
      <c r="B46" s="280"/>
      <c r="C46" s="280"/>
      <c r="D46" s="280"/>
      <c r="E46" s="307"/>
      <c r="F46" s="302"/>
      <c r="G46" s="280"/>
      <c r="H46" s="295"/>
    </row>
    <row r="47" spans="1:8" s="91" customFormat="1" ht="13.5" customHeight="1" x14ac:dyDescent="0.2">
      <c r="A47" s="314"/>
      <c r="B47" s="280"/>
      <c r="C47" s="280"/>
      <c r="D47" s="280"/>
      <c r="E47" s="307"/>
      <c r="F47" s="302"/>
      <c r="G47" s="280"/>
      <c r="H47" s="295"/>
    </row>
    <row r="48" spans="1:8" s="91" customFormat="1" ht="13.5" customHeight="1" x14ac:dyDescent="0.2">
      <c r="A48" s="314"/>
      <c r="B48" s="280"/>
      <c r="C48" s="280"/>
      <c r="D48" s="280"/>
      <c r="E48" s="307"/>
      <c r="F48" s="302"/>
      <c r="G48" s="280"/>
      <c r="H48" s="295"/>
    </row>
    <row r="49" spans="1:8" s="91" customFormat="1" ht="13.5" customHeight="1" x14ac:dyDescent="0.2">
      <c r="A49" s="314"/>
      <c r="B49" s="280"/>
      <c r="C49" s="280"/>
      <c r="D49" s="280"/>
      <c r="E49" s="307"/>
      <c r="F49" s="302"/>
      <c r="G49" s="280"/>
      <c r="H49" s="295"/>
    </row>
    <row r="50" spans="1:8" s="91" customFormat="1" ht="13.5" customHeight="1" thickBot="1" x14ac:dyDescent="0.25">
      <c r="A50" s="315"/>
      <c r="B50" s="280"/>
      <c r="C50" s="280"/>
      <c r="D50" s="316" t="s">
        <v>33</v>
      </c>
      <c r="E50" s="310">
        <f>SUM(E44:E49)</f>
        <v>0</v>
      </c>
      <c r="F50" s="302"/>
      <c r="G50" s="280"/>
      <c r="H50" s="295"/>
    </row>
    <row r="51" spans="1:8" s="91" customFormat="1" ht="13.5" customHeight="1" thickTop="1" x14ac:dyDescent="0.2">
      <c r="A51" s="311"/>
      <c r="B51" s="280"/>
      <c r="C51" s="280"/>
      <c r="D51" s="280"/>
      <c r="E51" s="280"/>
      <c r="F51" s="280"/>
      <c r="G51" s="280"/>
      <c r="H51" s="295"/>
    </row>
    <row r="52" spans="1:8" s="91" customFormat="1" ht="13.5" customHeight="1" x14ac:dyDescent="0.2">
      <c r="A52" s="317"/>
      <c r="B52" s="2330" t="s">
        <v>389</v>
      </c>
      <c r="C52" s="2331"/>
      <c r="D52" s="2331"/>
      <c r="E52" s="2331"/>
      <c r="F52" s="2331"/>
      <c r="G52" s="2332"/>
      <c r="H52" s="288"/>
    </row>
    <row r="53" spans="1:8" s="91" customFormat="1" ht="19.899999999999999" customHeight="1" x14ac:dyDescent="0.2">
      <c r="A53" s="317"/>
      <c r="B53" s="2333"/>
      <c r="C53" s="2334"/>
      <c r="D53" s="2334"/>
      <c r="E53" s="2334"/>
      <c r="F53" s="2334"/>
      <c r="G53" s="2335"/>
      <c r="H53" s="288"/>
    </row>
    <row r="54" spans="1:8" s="91" customFormat="1" ht="13.5" customHeight="1" x14ac:dyDescent="0.2">
      <c r="A54" s="318"/>
      <c r="B54" s="319"/>
      <c r="C54" s="319"/>
      <c r="D54" s="319"/>
      <c r="E54" s="319"/>
      <c r="F54" s="319"/>
      <c r="G54" s="319"/>
      <c r="H54" s="320"/>
    </row>
    <row r="88" spans="1:2" x14ac:dyDescent="0.25">
      <c r="A88" s="1266">
        <f>B83</f>
        <v>0</v>
      </c>
      <c r="B88" s="1263"/>
    </row>
  </sheetData>
  <customSheetViews>
    <customSheetView guid="{F72FE543-F911-423C-A34B-9CA018DFE603}" showPageBreaks="1" showGridLines="0" printArea="1" view="pageBreakPreview" topLeftCell="A40">
      <selection activeCell="D59" sqref="D59"/>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B52:G53"/>
    <mergeCell ref="A2:C2"/>
  </mergeCells>
  <phoneticPr fontId="8" type="noConversion"/>
  <hyperlinks>
    <hyperlink ref="A2" location="'Index and Structure'!A1" display="The Macro Group" xr:uid="{00000000-0004-0000-0500-000000000000}"/>
  </hyperlinks>
  <pageMargins left="0.74803149606299213" right="0.39370078740157483" top="0.55118110236220474" bottom="0.62992125984251968" header="0.51181102362204722" footer="0.47244094488188981"/>
  <pageSetup paperSize="9" scale="85" orientation="portrait" r:id="rId2"/>
  <headerFooter alignWithMargins="0">
    <oddFooter>&amp;LPrinted:&amp;T on &amp;D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6148">
    <pageSetUpPr fitToPage="1"/>
  </sheetPr>
  <dimension ref="A1:H62"/>
  <sheetViews>
    <sheetView showGridLines="0" view="pageBreakPreview" zoomScaleNormal="50" workbookViewId="0">
      <selection activeCell="H15" sqref="H15"/>
    </sheetView>
  </sheetViews>
  <sheetFormatPr defaultColWidth="9.140625" defaultRowHeight="15" x14ac:dyDescent="0.25"/>
  <cols>
    <col min="1" max="5" width="13.140625" style="19" customWidth="1"/>
    <col min="6" max="6" width="18.7109375" style="19" customWidth="1"/>
    <col min="7" max="7" width="13.140625" style="19" customWidth="1"/>
    <col min="8" max="8" width="13.140625" style="408" customWidth="1"/>
    <col min="9" max="10" width="10.42578125" style="19" customWidth="1"/>
    <col min="11" max="16384" width="9.140625" style="19"/>
  </cols>
  <sheetData>
    <row r="1" spans="1:8" ht="5.25" customHeight="1" thickBot="1" x14ac:dyDescent="0.3"/>
    <row r="2" spans="1:8" ht="19.899999999999999" customHeight="1" thickBot="1" x14ac:dyDescent="0.3">
      <c r="A2" s="2339" t="s">
        <v>44</v>
      </c>
      <c r="B2" s="2340"/>
      <c r="C2" s="2341"/>
      <c r="D2" s="21"/>
      <c r="E2" s="21"/>
      <c r="F2" s="21"/>
      <c r="G2" s="21"/>
      <c r="H2" s="400"/>
    </row>
    <row r="3" spans="1:8" ht="27" customHeight="1" x14ac:dyDescent="0.25">
      <c r="A3" s="22"/>
    </row>
    <row r="4" spans="1:8" ht="19.5" customHeight="1" x14ac:dyDescent="0.25">
      <c r="A4" s="21"/>
    </row>
    <row r="5" spans="1:8" ht="5.25" customHeight="1" x14ac:dyDescent="0.25">
      <c r="A5" s="23"/>
      <c r="B5" s="24"/>
      <c r="C5" s="25"/>
      <c r="E5" s="23"/>
      <c r="F5" s="24"/>
      <c r="G5" s="24"/>
      <c r="H5" s="409"/>
    </row>
    <row r="6" spans="1:8" ht="14.25" customHeight="1" x14ac:dyDescent="0.25">
      <c r="A6" s="77" t="s">
        <v>40</v>
      </c>
      <c r="B6" s="28" t="str">
        <f>'Index and Structure'!B2</f>
        <v>Nicolo Superannuation fund</v>
      </c>
      <c r="C6" s="29"/>
      <c r="D6" s="30"/>
      <c r="E6" s="232" t="s">
        <v>38</v>
      </c>
      <c r="F6" s="32" t="str">
        <f>'Index and Structure'!B5</f>
        <v>NICO0024</v>
      </c>
      <c r="H6" s="410"/>
    </row>
    <row r="7" spans="1:8" ht="14.25" customHeight="1" x14ac:dyDescent="0.25">
      <c r="A7" s="77" t="s">
        <v>45</v>
      </c>
      <c r="B7" s="28" t="str">
        <f>'Index and Structure'!A19</f>
        <v>Prepayments</v>
      </c>
      <c r="C7" s="29"/>
      <c r="D7" s="30"/>
      <c r="E7" s="78" t="s">
        <v>41</v>
      </c>
      <c r="F7" s="28" t="str">
        <f>'Index and Structure'!B6</f>
        <v>Liam Aubin</v>
      </c>
      <c r="G7" s="19" t="s">
        <v>42</v>
      </c>
      <c r="H7" s="411"/>
    </row>
    <row r="8" spans="1:8" ht="14.25" customHeight="1" x14ac:dyDescent="0.25">
      <c r="A8" s="79" t="s">
        <v>46</v>
      </c>
      <c r="B8" s="37" t="str">
        <f>'Index and Structure'!B4</f>
        <v>30 June 2022</v>
      </c>
      <c r="C8" s="38"/>
      <c r="D8" s="30"/>
      <c r="E8" s="80" t="s">
        <v>43</v>
      </c>
      <c r="F8" s="40" t="str">
        <f>'Index and Structure'!B7</f>
        <v>Nicole Bryant</v>
      </c>
      <c r="G8" s="81" t="s">
        <v>42</v>
      </c>
      <c r="H8" s="412"/>
    </row>
    <row r="9" spans="1:8" ht="9.75" customHeight="1" x14ac:dyDescent="0.25"/>
    <row r="10" spans="1:8" ht="30" customHeight="1" x14ac:dyDescent="0.25">
      <c r="A10" s="42"/>
      <c r="B10" s="43"/>
      <c r="C10" s="43"/>
      <c r="D10" s="43"/>
      <c r="E10" s="43"/>
      <c r="F10" s="342">
        <f>'Index and Structure'!D4</f>
        <v>2022</v>
      </c>
      <c r="G10" s="43"/>
      <c r="H10" s="413"/>
    </row>
    <row r="11" spans="1:8" s="45" customFormat="1" ht="13.5" customHeight="1" x14ac:dyDescent="0.2">
      <c r="A11" s="348"/>
      <c r="B11" s="349"/>
      <c r="C11" s="349"/>
      <c r="D11" s="349"/>
      <c r="E11" s="164"/>
      <c r="F11" s="349"/>
      <c r="G11" s="350"/>
      <c r="H11" s="414"/>
    </row>
    <row r="12" spans="1:8" s="45" customFormat="1" ht="13.5" customHeight="1" thickBot="1" x14ac:dyDescent="0.25">
      <c r="A12" s="1266" t="str">
        <f>B7</f>
        <v>Prepayments</v>
      </c>
      <c r="B12" s="1263"/>
      <c r="C12" s="165"/>
      <c r="D12" s="165"/>
      <c r="E12" s="165"/>
      <c r="F12" s="198">
        <f>F26</f>
        <v>0</v>
      </c>
      <c r="G12" s="199"/>
      <c r="H12" s="415"/>
    </row>
    <row r="13" spans="1:8" s="45" customFormat="1" ht="13.5" customHeight="1" thickTop="1" x14ac:dyDescent="0.2">
      <c r="A13" s="237"/>
      <c r="B13" s="165"/>
      <c r="C13" s="165"/>
      <c r="D13" s="165"/>
      <c r="E13" s="165"/>
      <c r="F13" s="200"/>
      <c r="G13" s="199"/>
      <c r="H13" s="415"/>
    </row>
    <row r="14" spans="1:8" s="45" customFormat="1" ht="13.5" customHeight="1" x14ac:dyDescent="0.2">
      <c r="A14" s="197"/>
      <c r="B14" s="165"/>
      <c r="C14" s="201"/>
      <c r="D14" s="202"/>
      <c r="E14" s="165"/>
      <c r="F14" s="199"/>
      <c r="G14" s="199"/>
      <c r="H14" s="88"/>
    </row>
    <row r="15" spans="1:8" s="45" customFormat="1" ht="13.5" customHeight="1" x14ac:dyDescent="0.2">
      <c r="A15" s="197"/>
      <c r="C15" s="165"/>
      <c r="D15" s="202"/>
      <c r="E15" s="202"/>
      <c r="F15" s="199"/>
      <c r="G15" s="199"/>
      <c r="H15" s="88"/>
    </row>
    <row r="16" spans="1:8" s="45" customFormat="1" ht="13.5" customHeight="1" x14ac:dyDescent="0.2">
      <c r="A16" s="197"/>
      <c r="B16" s="201"/>
      <c r="C16" s="165"/>
      <c r="D16" s="202"/>
      <c r="E16" s="186"/>
      <c r="F16" s="199"/>
      <c r="G16" s="199"/>
      <c r="H16" s="88"/>
    </row>
    <row r="17" spans="1:8" s="45" customFormat="1" ht="13.5" customHeight="1" x14ac:dyDescent="0.2">
      <c r="A17" s="197"/>
      <c r="B17" s="343" t="s">
        <v>20</v>
      </c>
      <c r="C17" s="165"/>
      <c r="D17" s="204"/>
      <c r="E17" s="165"/>
      <c r="F17" s="205"/>
      <c r="G17" s="199"/>
      <c r="H17" s="88"/>
    </row>
    <row r="18" spans="1:8" s="45" customFormat="1" ht="13.5" customHeight="1" x14ac:dyDescent="0.2">
      <c r="A18" s="197"/>
      <c r="B18" s="201"/>
      <c r="C18" s="201"/>
      <c r="D18" s="204"/>
      <c r="E18" s="165"/>
      <c r="F18" s="199"/>
      <c r="G18" s="199"/>
      <c r="H18" s="88"/>
    </row>
    <row r="19" spans="1:8" s="45" customFormat="1" ht="13.5" customHeight="1" x14ac:dyDescent="0.2">
      <c r="A19" s="208" t="s">
        <v>65</v>
      </c>
      <c r="B19" s="51"/>
      <c r="C19" s="352"/>
      <c r="D19" s="352"/>
      <c r="E19" s="352"/>
      <c r="F19" s="353"/>
      <c r="G19" s="199"/>
      <c r="H19" s="88"/>
    </row>
    <row r="20" spans="1:8" s="45" customFormat="1" ht="13.5" customHeight="1" x14ac:dyDescent="0.2">
      <c r="A20" s="344"/>
      <c r="B20" s="51"/>
      <c r="C20" s="352"/>
      <c r="D20" s="354"/>
      <c r="E20" s="345"/>
      <c r="F20" s="353"/>
      <c r="G20" s="199"/>
      <c r="H20" s="88"/>
    </row>
    <row r="21" spans="1:8" s="45" customFormat="1" ht="13.5" customHeight="1" x14ac:dyDescent="0.2">
      <c r="A21" s="344"/>
      <c r="B21" s="51"/>
      <c r="C21" s="352"/>
      <c r="D21" s="354"/>
      <c r="E21" s="355"/>
      <c r="F21" s="353"/>
      <c r="G21" s="199"/>
      <c r="H21" s="88"/>
    </row>
    <row r="22" spans="1:8" s="45" customFormat="1" ht="13.5" customHeight="1" x14ac:dyDescent="0.2">
      <c r="A22" s="344"/>
      <c r="B22" s="51"/>
      <c r="C22" s="352"/>
      <c r="D22" s="354"/>
      <c r="E22" s="355"/>
      <c r="F22" s="199"/>
      <c r="G22" s="199"/>
      <c r="H22" s="88"/>
    </row>
    <row r="23" spans="1:8" s="45" customFormat="1" ht="12.75" customHeight="1" x14ac:dyDescent="0.2">
      <c r="A23" s="208" t="s">
        <v>51</v>
      </c>
      <c r="B23" s="51"/>
      <c r="C23" s="352"/>
      <c r="D23" s="354"/>
      <c r="E23" s="355"/>
      <c r="F23" s="205"/>
      <c r="G23" s="199"/>
      <c r="H23" s="88"/>
    </row>
    <row r="24" spans="1:8" s="45" customFormat="1" ht="13.5" customHeight="1" x14ac:dyDescent="0.2">
      <c r="A24" s="344"/>
      <c r="B24" s="51"/>
      <c r="C24" s="352"/>
      <c r="D24" s="354"/>
      <c r="E24" s="355"/>
      <c r="F24" s="205"/>
      <c r="G24" s="199"/>
      <c r="H24" s="88"/>
    </row>
    <row r="25" spans="1:8" s="45" customFormat="1" ht="12.75" customHeight="1" x14ac:dyDescent="0.2">
      <c r="A25" s="197"/>
      <c r="B25" s="51"/>
      <c r="C25" s="345"/>
      <c r="D25" s="345"/>
      <c r="E25" s="345"/>
      <c r="F25" s="205"/>
      <c r="G25" s="199"/>
      <c r="H25" s="88"/>
    </row>
    <row r="26" spans="1:8" s="45" customFormat="1" ht="13.5" customHeight="1" thickBot="1" x14ac:dyDescent="0.25">
      <c r="A26" s="197"/>
      <c r="B26" s="343" t="s">
        <v>4</v>
      </c>
      <c r="C26" s="165"/>
      <c r="D26" s="165"/>
      <c r="E26" s="165"/>
      <c r="F26" s="216">
        <f>F17+SUM(F19:F21)-SUM(F23:F25)</f>
        <v>0</v>
      </c>
      <c r="G26" s="199"/>
      <c r="H26" s="88"/>
    </row>
    <row r="27" spans="1:8" s="45" customFormat="1" ht="13.5" customHeight="1" thickTop="1" x14ac:dyDescent="0.2">
      <c r="A27" s="197"/>
      <c r="B27" s="165"/>
      <c r="C27" s="165"/>
      <c r="D27" s="165"/>
      <c r="E27" s="165"/>
      <c r="F27" s="204"/>
      <c r="G27" s="199"/>
      <c r="H27" s="88"/>
    </row>
    <row r="28" spans="1:8" s="45" customFormat="1" ht="13.5" customHeight="1" x14ac:dyDescent="0.2">
      <c r="A28" s="197"/>
      <c r="B28" s="165"/>
      <c r="C28" s="165"/>
      <c r="D28" s="165"/>
      <c r="E28" s="165"/>
      <c r="F28" s="204"/>
      <c r="G28" s="165"/>
      <c r="H28" s="88"/>
    </row>
    <row r="29" spans="1:8" s="45" customFormat="1" ht="13.5" customHeight="1" x14ac:dyDescent="0.2">
      <c r="A29" s="197"/>
      <c r="B29" s="165"/>
      <c r="C29" s="165"/>
      <c r="D29" s="165"/>
      <c r="E29" s="165"/>
      <c r="F29" s="204"/>
      <c r="G29" s="165"/>
      <c r="H29" s="88"/>
    </row>
    <row r="30" spans="1:8" s="45" customFormat="1" ht="13.5" customHeight="1" x14ac:dyDescent="0.2">
      <c r="A30" s="356"/>
      <c r="B30" s="168"/>
      <c r="C30" s="168"/>
      <c r="D30" s="168"/>
      <c r="E30" s="168"/>
      <c r="F30" s="218"/>
      <c r="G30" s="168"/>
      <c r="H30" s="416"/>
    </row>
    <row r="31" spans="1:8" s="45" customFormat="1" ht="13.5" customHeight="1" x14ac:dyDescent="0.2">
      <c r="A31" s="357" t="s">
        <v>77</v>
      </c>
      <c r="B31" s="358"/>
      <c r="C31" s="358"/>
      <c r="D31" s="358"/>
      <c r="E31" s="358"/>
      <c r="F31" s="359"/>
      <c r="G31" s="358"/>
      <c r="H31" s="417"/>
    </row>
    <row r="32" spans="1:8" s="45" customFormat="1" ht="13.5" customHeight="1" x14ac:dyDescent="0.2">
      <c r="A32" s="360"/>
      <c r="B32" s="361"/>
      <c r="C32" s="362"/>
      <c r="D32" s="362"/>
      <c r="E32" s="363"/>
      <c r="F32" s="362" t="s">
        <v>34</v>
      </c>
      <c r="G32" s="364"/>
      <c r="H32" s="418"/>
    </row>
    <row r="33" spans="1:8" s="45" customFormat="1" ht="13.5" customHeight="1" x14ac:dyDescent="0.2">
      <c r="A33" s="365" t="s">
        <v>72</v>
      </c>
      <c r="B33" s="366" t="s">
        <v>34</v>
      </c>
      <c r="C33" s="366" t="s">
        <v>73</v>
      </c>
      <c r="D33" s="366" t="s">
        <v>74</v>
      </c>
      <c r="E33" s="367" t="s">
        <v>78</v>
      </c>
      <c r="F33" s="366" t="s">
        <v>75</v>
      </c>
      <c r="G33" s="368" t="s">
        <v>238</v>
      </c>
      <c r="H33" s="419" t="s">
        <v>50</v>
      </c>
    </row>
    <row r="34" spans="1:8" s="45" customFormat="1" ht="13.5" customHeight="1" x14ac:dyDescent="0.2">
      <c r="A34" s="192" t="s">
        <v>76</v>
      </c>
      <c r="B34" s="370"/>
      <c r="C34" s="371">
        <v>40360</v>
      </c>
      <c r="D34" s="371">
        <v>40724</v>
      </c>
      <c r="E34" s="372">
        <f>D34-C34</f>
        <v>364</v>
      </c>
      <c r="F34" s="373">
        <f>B34/365*E34</f>
        <v>0</v>
      </c>
      <c r="G34" s="373">
        <f>B34-F34</f>
        <v>0</v>
      </c>
      <c r="H34" s="419"/>
    </row>
    <row r="35" spans="1:8" s="45" customFormat="1" ht="13.5" customHeight="1" x14ac:dyDescent="0.2">
      <c r="A35" s="197" t="s">
        <v>76</v>
      </c>
      <c r="B35" s="374"/>
      <c r="C35" s="375"/>
      <c r="D35" s="375"/>
      <c r="E35" s="376">
        <f t="shared" ref="E35:E42" si="0">D35-C35</f>
        <v>0</v>
      </c>
      <c r="F35" s="377">
        <f t="shared" ref="F35:F42" si="1">B35/365*E35</f>
        <v>0</v>
      </c>
      <c r="G35" s="377">
        <f t="shared" ref="G35:G42" si="2">B35-F35</f>
        <v>0</v>
      </c>
      <c r="H35" s="419"/>
    </row>
    <row r="36" spans="1:8" s="45" customFormat="1" ht="13.5" customHeight="1" x14ac:dyDescent="0.2">
      <c r="A36" s="197"/>
      <c r="B36" s="374"/>
      <c r="C36" s="378"/>
      <c r="D36" s="378"/>
      <c r="E36" s="376">
        <f t="shared" si="0"/>
        <v>0</v>
      </c>
      <c r="F36" s="377">
        <f t="shared" si="1"/>
        <v>0</v>
      </c>
      <c r="G36" s="377">
        <f t="shared" si="2"/>
        <v>0</v>
      </c>
      <c r="H36" s="420"/>
    </row>
    <row r="37" spans="1:8" s="45" customFormat="1" ht="13.5" customHeight="1" x14ac:dyDescent="0.2">
      <c r="A37" s="197"/>
      <c r="B37" s="374"/>
      <c r="C37" s="378"/>
      <c r="D37" s="378"/>
      <c r="E37" s="376">
        <f t="shared" si="0"/>
        <v>0</v>
      </c>
      <c r="F37" s="377">
        <f t="shared" si="1"/>
        <v>0</v>
      </c>
      <c r="G37" s="377">
        <f t="shared" si="2"/>
        <v>0</v>
      </c>
      <c r="H37" s="420"/>
    </row>
    <row r="38" spans="1:8" s="45" customFormat="1" ht="13.5" customHeight="1" x14ac:dyDescent="0.2">
      <c r="A38" s="197"/>
      <c r="B38" s="374"/>
      <c r="C38" s="375"/>
      <c r="D38" s="378"/>
      <c r="E38" s="376">
        <f t="shared" si="0"/>
        <v>0</v>
      </c>
      <c r="F38" s="377">
        <f t="shared" si="1"/>
        <v>0</v>
      </c>
      <c r="G38" s="377">
        <f t="shared" si="2"/>
        <v>0</v>
      </c>
      <c r="H38" s="420"/>
    </row>
    <row r="39" spans="1:8" s="45" customFormat="1" ht="13.5" customHeight="1" x14ac:dyDescent="0.2">
      <c r="A39" s="197"/>
      <c r="B39" s="374"/>
      <c r="C39" s="375"/>
      <c r="D39" s="378"/>
      <c r="E39" s="376">
        <f t="shared" si="0"/>
        <v>0</v>
      </c>
      <c r="F39" s="377">
        <f t="shared" si="1"/>
        <v>0</v>
      </c>
      <c r="G39" s="377">
        <f t="shared" si="2"/>
        <v>0</v>
      </c>
      <c r="H39" s="420"/>
    </row>
    <row r="40" spans="1:8" s="45" customFormat="1" ht="13.5" customHeight="1" x14ac:dyDescent="0.2">
      <c r="A40" s="197"/>
      <c r="B40" s="374"/>
      <c r="C40" s="375"/>
      <c r="D40" s="378"/>
      <c r="E40" s="376">
        <f t="shared" si="0"/>
        <v>0</v>
      </c>
      <c r="F40" s="377">
        <f t="shared" si="1"/>
        <v>0</v>
      </c>
      <c r="G40" s="377">
        <f t="shared" si="2"/>
        <v>0</v>
      </c>
      <c r="H40" s="420"/>
    </row>
    <row r="41" spans="1:8" s="45" customFormat="1" ht="13.5" customHeight="1" x14ac:dyDescent="0.2">
      <c r="A41" s="197"/>
      <c r="B41" s="374"/>
      <c r="C41" s="375"/>
      <c r="D41" s="378"/>
      <c r="E41" s="376">
        <f t="shared" si="0"/>
        <v>0</v>
      </c>
      <c r="F41" s="377">
        <f t="shared" si="1"/>
        <v>0</v>
      </c>
      <c r="G41" s="377">
        <f t="shared" si="2"/>
        <v>0</v>
      </c>
      <c r="H41" s="420"/>
    </row>
    <row r="42" spans="1:8" s="45" customFormat="1" ht="13.5" customHeight="1" x14ac:dyDescent="0.2">
      <c r="A42" s="197"/>
      <c r="B42" s="374"/>
      <c r="C42" s="375"/>
      <c r="D42" s="378"/>
      <c r="E42" s="376">
        <f t="shared" si="0"/>
        <v>0</v>
      </c>
      <c r="F42" s="377">
        <f t="shared" si="1"/>
        <v>0</v>
      </c>
      <c r="G42" s="377">
        <f t="shared" si="2"/>
        <v>0</v>
      </c>
      <c r="H42" s="420"/>
    </row>
    <row r="43" spans="1:8" s="45" customFormat="1" ht="13.5" customHeight="1" x14ac:dyDescent="0.2">
      <c r="A43" s="197"/>
      <c r="B43" s="168"/>
      <c r="C43" s="168"/>
      <c r="D43" s="168"/>
      <c r="E43" s="168"/>
      <c r="F43" s="218"/>
      <c r="G43" s="168"/>
      <c r="H43" s="421"/>
    </row>
    <row r="44" spans="1:8" s="45" customFormat="1" ht="13.5" customHeight="1" thickBot="1" x14ac:dyDescent="0.25">
      <c r="A44" s="197"/>
      <c r="B44" s="380">
        <f>SUM(B34:B43)</f>
        <v>0</v>
      </c>
      <c r="C44" s="168"/>
      <c r="D44" s="168"/>
      <c r="E44" s="168"/>
      <c r="F44" s="381">
        <f>SUM(F34:F43)</f>
        <v>0</v>
      </c>
      <c r="G44" s="382">
        <f>SUM(G34:G43)</f>
        <v>0</v>
      </c>
      <c r="H44" s="421"/>
    </row>
    <row r="45" spans="1:8" s="45" customFormat="1" ht="13.5" customHeight="1" thickTop="1" x14ac:dyDescent="0.2">
      <c r="A45" s="219"/>
      <c r="B45" s="383"/>
      <c r="C45" s="249"/>
      <c r="D45" s="249"/>
      <c r="E45" s="249"/>
      <c r="F45" s="249"/>
      <c r="G45" s="249"/>
      <c r="H45" s="422"/>
    </row>
    <row r="46" spans="1:8" s="45" customFormat="1" ht="13.5" customHeight="1" x14ac:dyDescent="0.2">
      <c r="A46" s="384"/>
      <c r="B46" s="195"/>
      <c r="C46" s="195"/>
      <c r="D46" s="195"/>
      <c r="E46" s="195"/>
      <c r="F46" s="195"/>
      <c r="G46" s="195"/>
      <c r="H46" s="415"/>
    </row>
    <row r="47" spans="1:8" s="45" customFormat="1" ht="13.5" customHeight="1" x14ac:dyDescent="0.2">
      <c r="A47" s="356"/>
      <c r="B47" s="168"/>
      <c r="C47" s="168"/>
      <c r="D47" s="168"/>
      <c r="E47" s="168"/>
      <c r="F47" s="168"/>
      <c r="G47" s="168"/>
      <c r="H47" s="421"/>
    </row>
    <row r="48" spans="1:8" s="45" customFormat="1" ht="13.5" customHeight="1" x14ac:dyDescent="0.2">
      <c r="A48" s="356"/>
      <c r="B48" s="168"/>
      <c r="C48" s="168"/>
      <c r="D48" s="168"/>
      <c r="E48" s="168"/>
      <c r="F48" s="168"/>
      <c r="G48" s="168"/>
      <c r="H48" s="421"/>
    </row>
    <row r="49" spans="1:8" s="45" customFormat="1" ht="13.5" customHeight="1" x14ac:dyDescent="0.2">
      <c r="A49" s="356"/>
      <c r="B49" s="168"/>
      <c r="C49" s="168"/>
      <c r="D49" s="168"/>
      <c r="E49" s="168"/>
      <c r="F49" s="168"/>
      <c r="G49" s="168"/>
      <c r="H49" s="421"/>
    </row>
    <row r="50" spans="1:8" s="45" customFormat="1" ht="13.5" customHeight="1" x14ac:dyDescent="0.2">
      <c r="A50" s="356"/>
      <c r="B50" s="168"/>
      <c r="C50" s="168"/>
      <c r="D50" s="168"/>
      <c r="E50" s="168"/>
      <c r="F50" s="168"/>
      <c r="G50" s="168"/>
      <c r="H50" s="421"/>
    </row>
    <row r="51" spans="1:8" s="45" customFormat="1" ht="13.5" customHeight="1" x14ac:dyDescent="0.2">
      <c r="A51" s="356"/>
      <c r="B51" s="168"/>
      <c r="C51" s="168"/>
      <c r="D51" s="168"/>
      <c r="E51" s="168"/>
      <c r="F51" s="168"/>
      <c r="G51" s="168"/>
      <c r="H51" s="421"/>
    </row>
    <row r="52" spans="1:8" s="45" customFormat="1" ht="13.5" customHeight="1" x14ac:dyDescent="0.2">
      <c r="A52" s="356"/>
      <c r="B52" s="168"/>
      <c r="C52" s="168"/>
      <c r="D52" s="168"/>
      <c r="E52" s="168"/>
      <c r="F52" s="168"/>
      <c r="G52" s="168"/>
      <c r="H52" s="421"/>
    </row>
    <row r="53" spans="1:8" s="45" customFormat="1" ht="13.5" customHeight="1" x14ac:dyDescent="0.2">
      <c r="A53" s="356"/>
      <c r="B53" s="168"/>
      <c r="C53" s="168"/>
      <c r="D53" s="168"/>
      <c r="E53" s="168"/>
      <c r="F53" s="168"/>
      <c r="G53" s="168"/>
      <c r="H53" s="421"/>
    </row>
    <row r="54" spans="1:8" s="45" customFormat="1" ht="13.5" customHeight="1" thickBot="1" x14ac:dyDescent="0.25">
      <c r="A54" s="356"/>
      <c r="B54" s="168"/>
      <c r="C54" s="168"/>
      <c r="D54" s="168"/>
      <c r="E54" s="168"/>
      <c r="F54" s="168"/>
      <c r="G54" s="168"/>
      <c r="H54" s="421"/>
    </row>
    <row r="55" spans="1:8" s="45" customFormat="1" ht="14.25" customHeight="1" x14ac:dyDescent="0.2">
      <c r="A55" s="385"/>
      <c r="B55" s="386" t="s">
        <v>79</v>
      </c>
      <c r="C55" s="387"/>
      <c r="D55" s="387"/>
      <c r="E55" s="387"/>
      <c r="F55" s="387"/>
      <c r="G55" s="388"/>
      <c r="H55" s="88"/>
    </row>
    <row r="56" spans="1:8" s="45" customFormat="1" ht="13.5" customHeight="1" x14ac:dyDescent="0.2">
      <c r="A56" s="385"/>
      <c r="B56" s="389" t="s">
        <v>80</v>
      </c>
      <c r="C56" s="85"/>
      <c r="D56" s="85"/>
      <c r="E56" s="85"/>
      <c r="F56" s="85"/>
      <c r="G56" s="390"/>
      <c r="H56" s="88"/>
    </row>
    <row r="57" spans="1:8" s="45" customFormat="1" ht="13.5" customHeight="1" x14ac:dyDescent="0.2">
      <c r="A57" s="385"/>
      <c r="B57" s="389" t="s">
        <v>81</v>
      </c>
      <c r="C57" s="85"/>
      <c r="D57" s="85"/>
      <c r="E57" s="85"/>
      <c r="F57" s="85"/>
      <c r="G57" s="390"/>
      <c r="H57" s="88"/>
    </row>
    <row r="58" spans="1:8" s="45" customFormat="1" ht="13.5" customHeight="1" x14ac:dyDescent="0.2">
      <c r="A58" s="385"/>
      <c r="B58" s="389" t="s">
        <v>82</v>
      </c>
      <c r="C58" s="85"/>
      <c r="D58" s="85"/>
      <c r="E58" s="85"/>
      <c r="F58" s="85"/>
      <c r="G58" s="390"/>
      <c r="H58" s="88"/>
    </row>
    <row r="59" spans="1:8" s="45" customFormat="1" ht="13.5" customHeight="1" x14ac:dyDescent="0.2">
      <c r="A59" s="385"/>
      <c r="B59" s="389" t="s">
        <v>83</v>
      </c>
      <c r="C59" s="85"/>
      <c r="D59" s="85"/>
      <c r="E59" s="85"/>
      <c r="F59" s="85"/>
      <c r="G59" s="390"/>
      <c r="H59" s="88"/>
    </row>
    <row r="60" spans="1:8" s="45" customFormat="1" ht="13.5" customHeight="1" x14ac:dyDescent="0.2">
      <c r="A60" s="385"/>
      <c r="B60" s="389" t="s">
        <v>84</v>
      </c>
      <c r="C60" s="85"/>
      <c r="D60" s="85"/>
      <c r="E60" s="85"/>
      <c r="F60" s="85"/>
      <c r="G60" s="390"/>
      <c r="H60" s="88"/>
    </row>
    <row r="61" spans="1:8" s="45" customFormat="1" ht="13.5" customHeight="1" thickBot="1" x14ac:dyDescent="0.25">
      <c r="A61" s="391"/>
      <c r="B61" s="392" t="s">
        <v>85</v>
      </c>
      <c r="C61" s="393"/>
      <c r="D61" s="393"/>
      <c r="E61" s="393"/>
      <c r="F61" s="393"/>
      <c r="G61" s="394"/>
      <c r="H61" s="88"/>
    </row>
    <row r="62" spans="1:8" s="45" customFormat="1" ht="13.5" customHeight="1" x14ac:dyDescent="0.2">
      <c r="A62" s="138"/>
      <c r="B62" s="395"/>
      <c r="C62" s="395"/>
      <c r="D62" s="395"/>
      <c r="E62" s="395"/>
      <c r="F62" s="395"/>
      <c r="G62" s="395"/>
      <c r="H62" s="423"/>
    </row>
  </sheetData>
  <customSheetViews>
    <customSheetView guid="{F72FE543-F911-423C-A34B-9CA018DFE603}" showPageBreaks="1" showGridLines="0" fitToPage="1" printArea="1" view="pageBreakPreview">
      <selection activeCell="D45" sqref="D45"/>
      <pageMargins left="0.74803149606299213" right="0.39370078740157483" top="0.55118110236220474" bottom="0.62992125984251968" header="0.51181102362204722" footer="0.47244094488188981"/>
      <pageSetup paperSize="9" scale="91"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0600-000000000000}"/>
  </hyperlinks>
  <pageMargins left="0.74803149606299213" right="0.39370078740157483" top="0.55118110236220474" bottom="0.62992125984251968" header="0.51181102362204722" footer="0.47244094488188981"/>
  <pageSetup paperSize="9" scale="83" orientation="portrait" r:id="rId2"/>
  <headerFooter alignWithMargins="0">
    <oddFooter>&amp;LPrinted:&amp;T on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45</vt:i4>
      </vt:variant>
      <vt:variant>
        <vt:lpstr>Named Ranges</vt:lpstr>
      </vt:variant>
      <vt:variant>
        <vt:i4>46</vt:i4>
      </vt:variant>
    </vt:vector>
  </HeadingPairs>
  <TitlesOfParts>
    <vt:vector size="91" baseType="lpstr">
      <vt:lpstr>Index and Structure</vt:lpstr>
      <vt:lpstr>Allocation of Firm's Profits</vt:lpstr>
      <vt:lpstr>Queries &amp; Review Points</vt:lpstr>
      <vt:lpstr>Tax Reconciliation - Company</vt:lpstr>
      <vt:lpstr>Tax Reconciliation -Strader</vt:lpstr>
      <vt:lpstr>Tax Reconciliation -Trust</vt:lpstr>
      <vt:lpstr>P&amp;L Reconciliation</vt:lpstr>
      <vt:lpstr>Cash at Bank</vt:lpstr>
      <vt:lpstr>Prepayments</vt:lpstr>
      <vt:lpstr>Crypto Held</vt:lpstr>
      <vt:lpstr>Acquisition Costs</vt:lpstr>
      <vt:lpstr>Deposits</vt:lpstr>
      <vt:lpstr>Other Assets - 1</vt:lpstr>
      <vt:lpstr>Loss Carry Back Tax Offset </vt:lpstr>
      <vt:lpstr>Corporate Tax Rate</vt:lpstr>
      <vt:lpstr>Corporate Imputation Rate</vt:lpstr>
      <vt:lpstr>Employee Loan - FBT</vt:lpstr>
      <vt:lpstr>Shareholder loan Credit Balance</vt:lpstr>
      <vt:lpstr>Shareholder Loan - Div 7A 2019</vt:lpstr>
      <vt:lpstr>Distributable Surplus</vt:lpstr>
      <vt:lpstr>Shareholder Loan - Div 7A 2020</vt:lpstr>
      <vt:lpstr>Shareholder Loan - Div 7A 2021</vt:lpstr>
      <vt:lpstr>GST Rec</vt:lpstr>
      <vt:lpstr>BAS reconciliation</vt:lpstr>
      <vt:lpstr>Superannuation Payable</vt:lpstr>
      <vt:lpstr>Loans - Bank</vt:lpstr>
      <vt:lpstr>Bill Facilities</vt:lpstr>
      <vt:lpstr>Tax Payable</vt:lpstr>
      <vt:lpstr>Capital Gains</vt:lpstr>
      <vt:lpstr>Capital Gains- Shares</vt:lpstr>
      <vt:lpstr>Managed Funds</vt:lpstr>
      <vt:lpstr>Salary and Wages</vt:lpstr>
      <vt:lpstr>Dividends Received</vt:lpstr>
      <vt:lpstr>FBT Contributions</vt:lpstr>
      <vt:lpstr>Disposal Lux Car - Pooled</vt:lpstr>
      <vt:lpstr>Disposal Lux Car - Not Pooled</vt:lpstr>
      <vt:lpstr>Rental Income - Unit 1</vt:lpstr>
      <vt:lpstr>Rental Income - Unit 2</vt:lpstr>
      <vt:lpstr>Rental Income - Unit 3</vt:lpstr>
      <vt:lpstr>Other Income</vt:lpstr>
      <vt:lpstr>Goods for own use</vt:lpstr>
      <vt:lpstr>Insurance</vt:lpstr>
      <vt:lpstr>Motor Vehicle</vt:lpstr>
      <vt:lpstr>Motor Vehicle (Multiple)</vt:lpstr>
      <vt:lpstr>Car purchase worksheet</vt:lpstr>
      <vt:lpstr>'Goods for own use'!CentreContent</vt:lpstr>
      <vt:lpstr>'Goods for own use'!Content</vt:lpstr>
      <vt:lpstr>'Acquisition Costs'!Print_Area</vt:lpstr>
      <vt:lpstr>'BAS reconciliation'!Print_Area</vt:lpstr>
      <vt:lpstr>'Bill Facilities'!Print_Area</vt:lpstr>
      <vt:lpstr>'Capital Gains'!Print_Area</vt:lpstr>
      <vt:lpstr>'Car purchase worksheet'!Print_Area</vt:lpstr>
      <vt:lpstr>'Cash at Bank'!Print_Area</vt:lpstr>
      <vt:lpstr>'Corporate Imputation Rate'!Print_Area</vt:lpstr>
      <vt:lpstr>'Corporate Tax Rate'!Print_Area</vt:lpstr>
      <vt:lpstr>Deposits!Print_Area</vt:lpstr>
      <vt:lpstr>'Disposal Lux Car - Not Pooled'!Print_Area</vt:lpstr>
      <vt:lpstr>'Disposal Lux Car - Pooled'!Print_Area</vt:lpstr>
      <vt:lpstr>'Distributable Surplus'!Print_Area</vt:lpstr>
      <vt:lpstr>'Dividends Received'!Print_Area</vt:lpstr>
      <vt:lpstr>'Employee Loan - FBT'!Print_Area</vt:lpstr>
      <vt:lpstr>'FBT Contributions'!Print_Area</vt:lpstr>
      <vt:lpstr>'Goods for own use'!Print_Area</vt:lpstr>
      <vt:lpstr>'GST Rec'!Print_Area</vt:lpstr>
      <vt:lpstr>'Index and Structure'!Print_Area</vt:lpstr>
      <vt:lpstr>Insurance!Print_Area</vt:lpstr>
      <vt:lpstr>'Loans - Bank'!Print_Area</vt:lpstr>
      <vt:lpstr>'Loss Carry Back Tax Offset '!Print_Area</vt:lpstr>
      <vt:lpstr>'Managed Funds'!Print_Area</vt:lpstr>
      <vt:lpstr>'Motor Vehicle'!Print_Area</vt:lpstr>
      <vt:lpstr>'Motor Vehicle (Multiple)'!Print_Area</vt:lpstr>
      <vt:lpstr>'Other Assets - 1'!Print_Area</vt:lpstr>
      <vt:lpstr>'Other Income'!Print_Area</vt:lpstr>
      <vt:lpstr>'P&amp;L Reconciliation'!Print_Area</vt:lpstr>
      <vt:lpstr>Prepayments!Print_Area</vt:lpstr>
      <vt:lpstr>'Rental Income - Unit 1'!Print_Area</vt:lpstr>
      <vt:lpstr>'Rental Income - Unit 2'!Print_Area</vt:lpstr>
      <vt:lpstr>'Rental Income - Unit 3'!Print_Area</vt:lpstr>
      <vt:lpstr>'Salary and Wages'!Print_Area</vt:lpstr>
      <vt:lpstr>'Shareholder Loan - Div 7A 2019'!Print_Area</vt:lpstr>
      <vt:lpstr>'Shareholder Loan - Div 7A 2020'!Print_Area</vt:lpstr>
      <vt:lpstr>'Shareholder Loan - Div 7A 2021'!Print_Area</vt:lpstr>
      <vt:lpstr>'Shareholder loan Credit Balance'!Print_Area</vt:lpstr>
      <vt:lpstr>'Superannuation Payable'!Print_Area</vt:lpstr>
      <vt:lpstr>'Tax Payable'!Print_Area</vt:lpstr>
      <vt:lpstr>'Tax Reconciliation -Strader'!Print_Area</vt:lpstr>
      <vt:lpstr>'Tax Reconciliation -Trust'!Print_Area</vt:lpstr>
      <vt:lpstr>'Shareholder Loan - Div 7A 2019'!Print_Titles</vt:lpstr>
      <vt:lpstr>'Shareholder Loan - Div 7A 2020'!Print_Titles</vt:lpstr>
      <vt:lpstr>'Shareholder Loan - Div 7A 2021'!Print_Titles</vt:lpstr>
      <vt:lpstr>'Goods for own use'!top</vt:lpstr>
    </vt:vector>
  </TitlesOfParts>
  <Company>The Macro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Nicholas Valassakis</dc:creator>
  <cp:lastModifiedBy>Liam Aubin</cp:lastModifiedBy>
  <cp:lastPrinted>2023-04-28T04:23:16Z</cp:lastPrinted>
  <dcterms:created xsi:type="dcterms:W3CDTF">1999-07-11T22:50:05Z</dcterms:created>
  <dcterms:modified xsi:type="dcterms:W3CDTF">2023-04-28T04:23:20Z</dcterms:modified>
</cp:coreProperties>
</file>